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24226"/>
  <mc:AlternateContent xmlns:mc="http://schemas.openxmlformats.org/markup-compatibility/2006">
    <mc:Choice Requires="x15">
      <x15ac:absPath xmlns:x15ac="http://schemas.microsoft.com/office/spreadsheetml/2010/11/ac" url="\\caseworks\DavWWWRoot\376\DataRequests\29417\Library\Red Lines\"/>
    </mc:Choice>
  </mc:AlternateContent>
  <xr:revisionPtr revIDLastSave="0" documentId="13_ncr:1_{693DE9C4-0E91-4FDE-AD4F-56DBCBC767BC}" xr6:coauthVersionLast="45" xr6:coauthVersionMax="45" xr10:uidLastSave="{00000000-0000-0000-0000-000000000000}"/>
  <bookViews>
    <workbookView xWindow="28680" yWindow="-120" windowWidth="29040" windowHeight="15840" xr2:uid="{00000000-000D-0000-FFFF-FFFF00000000}"/>
  </bookViews>
  <sheets>
    <sheet name="tariff tables" sheetId="5" r:id="rId1"/>
    <sheet name="tariff tables v. current tariff" sheetId="27" r:id="rId2"/>
    <sheet name="DSIM Cycle Tables" sheetId="20" r:id="rId3"/>
    <sheet name="PPC Cycle 2" sheetId="4" r:id="rId4"/>
    <sheet name="PPC Cycle 3" sheetId="18" r:id="rId5"/>
    <sheet name="PCR Cycle 2" sheetId="15" r:id="rId6"/>
    <sheet name="PCR Cycle 3" sheetId="22" r:id="rId7"/>
    <sheet name="PTD Cycle 2" sheetId="12" r:id="rId8"/>
    <sheet name="PTD Cycle 3" sheetId="19" r:id="rId9"/>
    <sheet name="TDR Cycle 2" sheetId="16" r:id="rId10"/>
    <sheet name="TDR Cycle 3" sheetId="24" r:id="rId11"/>
    <sheet name="EO Cycle 2" sheetId="8" r:id="rId12"/>
    <sheet name="EOR Cycle 1" sheetId="9" r:id="rId13"/>
    <sheet name="EOR Cycle 2" sheetId="23" r:id="rId14"/>
    <sheet name="OA Cycle 2" sheetId="10" r:id="rId15"/>
    <sheet name="OAR Cycle 2" sheetId="1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5">'PCR Cycle 2'!$A$1:$N$67</definedName>
    <definedName name="_xlnm.Print_Area" localSheetId="6">'PCR Cycle 3'!$A$1:$N$71</definedName>
    <definedName name="solver_adj" localSheetId="5" hidden="1">'PCR Cycle 2'!$E$50</definedName>
    <definedName name="solver_adj" localSheetId="6" hidden="1">'PCR Cycle 3'!$E$51</definedName>
    <definedName name="solver_adj" localSheetId="9" hidden="1">'TDR Cycle 2'!#REF!</definedName>
    <definedName name="solver_adj" localSheetId="10" hidden="1">'TDR Cycle 3'!#REF!</definedName>
    <definedName name="solver_cvg" localSheetId="5" hidden="1">0.0001</definedName>
    <definedName name="solver_cvg" localSheetId="6" hidden="1">0.0001</definedName>
    <definedName name="solver_cvg" localSheetId="9" hidden="1">0.0001</definedName>
    <definedName name="solver_cvg" localSheetId="10" hidden="1">0.0001</definedName>
    <definedName name="solver_drv" localSheetId="5" hidden="1">1</definedName>
    <definedName name="solver_drv" localSheetId="6" hidden="1">1</definedName>
    <definedName name="solver_drv" localSheetId="9" hidden="1">2</definedName>
    <definedName name="solver_drv" localSheetId="10" hidden="1">2</definedName>
    <definedName name="solver_eng" localSheetId="5" hidden="1">1</definedName>
    <definedName name="solver_eng" localSheetId="6" hidden="1">1</definedName>
    <definedName name="solver_eng" localSheetId="9" hidden="1">1</definedName>
    <definedName name="solver_eng" localSheetId="10" hidden="1">1</definedName>
    <definedName name="solver_est" localSheetId="5" hidden="1">1</definedName>
    <definedName name="solver_est" localSheetId="6" hidden="1">1</definedName>
    <definedName name="solver_est" localSheetId="9" hidden="1">1</definedName>
    <definedName name="solver_est" localSheetId="10" hidden="1">1</definedName>
    <definedName name="solver_itr" localSheetId="5" hidden="1">2147483647</definedName>
    <definedName name="solver_itr" localSheetId="6" hidden="1">2147483647</definedName>
    <definedName name="solver_itr" localSheetId="9" hidden="1">2147483647</definedName>
    <definedName name="solver_itr" localSheetId="10" hidden="1">2147483647</definedName>
    <definedName name="solver_mip" localSheetId="5" hidden="1">2147483647</definedName>
    <definedName name="solver_mip" localSheetId="6" hidden="1">2147483647</definedName>
    <definedName name="solver_mip" localSheetId="9" hidden="1">2147483647</definedName>
    <definedName name="solver_mip" localSheetId="10" hidden="1">2147483647</definedName>
    <definedName name="solver_mni" localSheetId="5" hidden="1">30</definedName>
    <definedName name="solver_mni" localSheetId="6" hidden="1">30</definedName>
    <definedName name="solver_mni" localSheetId="9" hidden="1">30</definedName>
    <definedName name="solver_mni" localSheetId="10" hidden="1">30</definedName>
    <definedName name="solver_mrt" localSheetId="5" hidden="1">0.075</definedName>
    <definedName name="solver_mrt" localSheetId="6" hidden="1">0.075</definedName>
    <definedName name="solver_mrt" localSheetId="9" hidden="1">0.075</definedName>
    <definedName name="solver_mrt" localSheetId="10" hidden="1">0.075</definedName>
    <definedName name="solver_msl" localSheetId="5" hidden="1">2</definedName>
    <definedName name="solver_msl" localSheetId="6" hidden="1">2</definedName>
    <definedName name="solver_msl" localSheetId="9" hidden="1">2</definedName>
    <definedName name="solver_msl" localSheetId="10" hidden="1">2</definedName>
    <definedName name="solver_neg" localSheetId="5" hidden="1">1</definedName>
    <definedName name="solver_neg" localSheetId="6" hidden="1">1</definedName>
    <definedName name="solver_neg" localSheetId="9" hidden="1">1</definedName>
    <definedName name="solver_neg" localSheetId="10" hidden="1">1</definedName>
    <definedName name="solver_nod" localSheetId="5" hidden="1">2147483647</definedName>
    <definedName name="solver_nod" localSheetId="6" hidden="1">2147483647</definedName>
    <definedName name="solver_nod" localSheetId="9" hidden="1">2147483647</definedName>
    <definedName name="solver_nod" localSheetId="10" hidden="1">2147483647</definedName>
    <definedName name="solver_num" localSheetId="5" hidden="1">0</definedName>
    <definedName name="solver_num" localSheetId="6" hidden="1">0</definedName>
    <definedName name="solver_num" localSheetId="9" hidden="1">0</definedName>
    <definedName name="solver_num" localSheetId="10" hidden="1">0</definedName>
    <definedName name="solver_nwt" localSheetId="5" hidden="1">1</definedName>
    <definedName name="solver_nwt" localSheetId="6" hidden="1">1</definedName>
    <definedName name="solver_nwt" localSheetId="9" hidden="1">1</definedName>
    <definedName name="solver_nwt" localSheetId="10" hidden="1">1</definedName>
    <definedName name="solver_opt" localSheetId="5" hidden="1">'PCR Cycle 2'!$E$55</definedName>
    <definedName name="solver_opt" localSheetId="6" hidden="1">'PCR Cycle 3'!$E$59</definedName>
    <definedName name="solver_opt" localSheetId="9" hidden="1">'TDR Cycle 2'!#REF!</definedName>
    <definedName name="solver_opt" localSheetId="10" hidden="1">'TDR Cycle 3'!#REF!</definedName>
    <definedName name="solver_pre" localSheetId="5" hidden="1">0.000001</definedName>
    <definedName name="solver_pre" localSheetId="6" hidden="1">0.000001</definedName>
    <definedName name="solver_pre" localSheetId="9" hidden="1">0.000001</definedName>
    <definedName name="solver_pre" localSheetId="10" hidden="1">0.000001</definedName>
    <definedName name="solver_rbv" localSheetId="5" hidden="1">1</definedName>
    <definedName name="solver_rbv" localSheetId="6" hidden="1">1</definedName>
    <definedName name="solver_rbv" localSheetId="9" hidden="1">2</definedName>
    <definedName name="solver_rbv" localSheetId="10" hidden="1">2</definedName>
    <definedName name="solver_rlx" localSheetId="5" hidden="1">2</definedName>
    <definedName name="solver_rlx" localSheetId="6" hidden="1">2</definedName>
    <definedName name="solver_rlx" localSheetId="9" hidden="1">2</definedName>
    <definedName name="solver_rlx" localSheetId="10" hidden="1">2</definedName>
    <definedName name="solver_rsd" localSheetId="5" hidden="1">0</definedName>
    <definedName name="solver_rsd" localSheetId="6" hidden="1">0</definedName>
    <definedName name="solver_rsd" localSheetId="9" hidden="1">0</definedName>
    <definedName name="solver_rsd" localSheetId="10" hidden="1">0</definedName>
    <definedName name="solver_scl" localSheetId="5" hidden="1">1</definedName>
    <definedName name="solver_scl" localSheetId="6" hidden="1">1</definedName>
    <definedName name="solver_scl" localSheetId="9" hidden="1">2</definedName>
    <definedName name="solver_scl" localSheetId="10" hidden="1">2</definedName>
    <definedName name="solver_sho" localSheetId="5" hidden="1">2</definedName>
    <definedName name="solver_sho" localSheetId="6" hidden="1">2</definedName>
    <definedName name="solver_sho" localSheetId="9" hidden="1">2</definedName>
    <definedName name="solver_sho" localSheetId="10" hidden="1">2</definedName>
    <definedName name="solver_ssz" localSheetId="5" hidden="1">100</definedName>
    <definedName name="solver_ssz" localSheetId="6" hidden="1">100</definedName>
    <definedName name="solver_ssz" localSheetId="9" hidden="1">100</definedName>
    <definedName name="solver_ssz" localSheetId="10" hidden="1">100</definedName>
    <definedName name="solver_tim" localSheetId="5" hidden="1">2147483647</definedName>
    <definedName name="solver_tim" localSheetId="6" hidden="1">2147483647</definedName>
    <definedName name="solver_tim" localSheetId="9" hidden="1">2147483647</definedName>
    <definedName name="solver_tim" localSheetId="10" hidden="1">2147483647</definedName>
    <definedName name="solver_tol" localSheetId="5" hidden="1">0.01</definedName>
    <definedName name="solver_tol" localSheetId="6" hidden="1">0.01</definedName>
    <definedName name="solver_tol" localSheetId="9" hidden="1">0.01</definedName>
    <definedName name="solver_tol" localSheetId="10" hidden="1">0.01</definedName>
    <definedName name="solver_typ" localSheetId="5" hidden="1">3</definedName>
    <definedName name="solver_typ" localSheetId="6" hidden="1">3</definedName>
    <definedName name="solver_typ" localSheetId="9" hidden="1">3</definedName>
    <definedName name="solver_typ" localSheetId="10" hidden="1">3</definedName>
    <definedName name="solver_val" localSheetId="5" hidden="1">0</definedName>
    <definedName name="solver_val" localSheetId="6" hidden="1">0</definedName>
    <definedName name="solver_val" localSheetId="9" hidden="1">23888.44</definedName>
    <definedName name="solver_val" localSheetId="10" hidden="1">23888.44</definedName>
    <definedName name="solver_ver" localSheetId="5" hidden="1">3</definedName>
    <definedName name="solver_ver" localSheetId="6"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20" l="1"/>
  <c r="D38" i="24" l="1"/>
  <c r="D39" i="24" l="1"/>
  <c r="D36" i="24"/>
  <c r="D40" i="24" l="1"/>
  <c r="D37" i="24" l="1"/>
  <c r="L14" i="24" l="1"/>
  <c r="L13" i="24"/>
  <c r="L12" i="24"/>
  <c r="L11" i="24"/>
  <c r="B38" i="8" l="1"/>
  <c r="B37" i="8"/>
  <c r="B36" i="8"/>
  <c r="B35" i="8"/>
  <c r="B32" i="8"/>
  <c r="B31" i="8"/>
  <c r="B26" i="8"/>
  <c r="B25" i="8"/>
  <c r="B24" i="8"/>
  <c r="B23" i="8"/>
  <c r="B20" i="8"/>
  <c r="B19" i="8"/>
  <c r="C19" i="8" l="1"/>
  <c r="D19" i="8" l="1"/>
  <c r="E19" i="8" l="1"/>
  <c r="C24" i="8" l="1"/>
  <c r="C25" i="8"/>
  <c r="C26" i="8"/>
  <c r="D26" i="8" l="1"/>
  <c r="D25" i="8"/>
  <c r="D24" i="8"/>
  <c r="C23" i="8" l="1"/>
  <c r="C20" i="8" l="1"/>
  <c r="D23" i="8" l="1"/>
  <c r="D20" i="8" l="1"/>
  <c r="E24" i="8" l="1"/>
  <c r="E26" i="8"/>
  <c r="E25" i="8" l="1"/>
  <c r="E23" i="8" l="1"/>
  <c r="E20" i="8" l="1"/>
  <c r="A1" i="27" l="1"/>
  <c r="C9" i="18" l="1"/>
  <c r="C8" i="18"/>
  <c r="C7" i="18"/>
  <c r="C6" i="18"/>
  <c r="C5" i="18"/>
  <c r="K19" i="22"/>
  <c r="J19" i="22"/>
  <c r="K18" i="22"/>
  <c r="J18" i="22"/>
  <c r="K17" i="22"/>
  <c r="J17" i="22"/>
  <c r="K16" i="22"/>
  <c r="J16" i="22"/>
  <c r="K15" i="22"/>
  <c r="J15" i="22"/>
  <c r="K29" i="24" l="1"/>
  <c r="L30" i="24"/>
  <c r="K30" i="24"/>
  <c r="L33" i="24"/>
  <c r="K33" i="24"/>
  <c r="K31" i="24" l="1"/>
  <c r="L29" i="24"/>
  <c r="L37" i="24"/>
  <c r="K32" i="24"/>
  <c r="K40" i="24"/>
  <c r="K37" i="24"/>
  <c r="L40" i="24"/>
  <c r="K36" i="24" l="1"/>
  <c r="L31" i="24"/>
  <c r="K38" i="24"/>
  <c r="L32" i="24"/>
  <c r="L36" i="24" l="1"/>
  <c r="K39" i="24" l="1"/>
  <c r="L38" i="24"/>
  <c r="L39" i="24" l="1"/>
  <c r="B10" i="19" l="1"/>
  <c r="B6" i="19" l="1"/>
  <c r="C10" i="19" l="1"/>
  <c r="B7" i="19"/>
  <c r="C7" i="19" l="1"/>
  <c r="C6" i="19"/>
  <c r="B8" i="19" l="1"/>
  <c r="B9" i="19"/>
  <c r="C8" i="19" l="1"/>
  <c r="C9" i="19" l="1"/>
  <c r="B61" i="22" l="1"/>
  <c r="I19" i="22"/>
  <c r="I18" i="22"/>
  <c r="I17" i="22"/>
  <c r="I16" i="22"/>
  <c r="I15" i="22"/>
  <c r="H19" i="22" l="1"/>
  <c r="H18" i="22"/>
  <c r="H17" i="22"/>
  <c r="H16" i="22"/>
  <c r="H15" i="22"/>
  <c r="G19" i="22" l="1"/>
  <c r="G18" i="22"/>
  <c r="G17" i="22"/>
  <c r="G16" i="22"/>
  <c r="G15" i="22"/>
  <c r="F19" i="22" l="1"/>
  <c r="F18" i="22"/>
  <c r="F17" i="22"/>
  <c r="F16" i="22"/>
  <c r="F15" i="22"/>
  <c r="E19" i="22" l="1"/>
  <c r="E18" i="22"/>
  <c r="E17" i="22"/>
  <c r="E16" i="22"/>
  <c r="E15" i="22"/>
  <c r="D19" i="22" l="1"/>
  <c r="D18" i="22"/>
  <c r="D17" i="22"/>
  <c r="D16" i="22"/>
  <c r="D15" i="22"/>
  <c r="H50" i="15" l="1"/>
  <c r="I19" i="15"/>
  <c r="H19" i="15"/>
  <c r="G19" i="15"/>
  <c r="F19" i="15"/>
  <c r="E19" i="15"/>
  <c r="D19" i="15"/>
  <c r="I18" i="15"/>
  <c r="H18" i="15"/>
  <c r="G18" i="15"/>
  <c r="F18" i="15"/>
  <c r="E18" i="15"/>
  <c r="D18" i="15"/>
  <c r="I17" i="15"/>
  <c r="H17" i="15"/>
  <c r="G17" i="15"/>
  <c r="F17" i="15"/>
  <c r="E17" i="15"/>
  <c r="D17" i="15"/>
  <c r="I16" i="15"/>
  <c r="H16" i="15"/>
  <c r="G16" i="15"/>
  <c r="F16" i="15"/>
  <c r="E16" i="15"/>
  <c r="D16" i="15"/>
  <c r="E31" i="24" l="1"/>
  <c r="E32" i="24"/>
  <c r="E29" i="24"/>
  <c r="E33" i="24"/>
  <c r="F31" i="24" l="1"/>
  <c r="F32" i="24"/>
  <c r="F29" i="24"/>
  <c r="F33" i="24"/>
  <c r="E38" i="24"/>
  <c r="E39" i="24" l="1"/>
  <c r="E40" i="24"/>
  <c r="E30" i="24"/>
  <c r="G33" i="24"/>
  <c r="G31" i="24"/>
  <c r="E36" i="24"/>
  <c r="F36" i="24"/>
  <c r="G29" i="24"/>
  <c r="G32" i="24"/>
  <c r="F38" i="24" l="1"/>
  <c r="F40" i="24"/>
  <c r="F39" i="24"/>
  <c r="F30" i="24"/>
  <c r="H32" i="24"/>
  <c r="G36" i="24"/>
  <c r="H29" i="24"/>
  <c r="H33" i="24"/>
  <c r="H31" i="24"/>
  <c r="E37" i="24"/>
  <c r="G38" i="24" l="1"/>
  <c r="G40" i="24"/>
  <c r="G39" i="24"/>
  <c r="G30" i="24"/>
  <c r="I33" i="24"/>
  <c r="I29" i="24"/>
  <c r="I32" i="24"/>
  <c r="I31" i="24"/>
  <c r="H40" i="24"/>
  <c r="F37" i="24"/>
  <c r="H39" i="24"/>
  <c r="H38" i="24" l="1"/>
  <c r="H30" i="24"/>
  <c r="J32" i="24"/>
  <c r="H36" i="24"/>
  <c r="J33" i="24"/>
  <c r="J31" i="24"/>
  <c r="J29" i="24"/>
  <c r="I36" i="24"/>
  <c r="I40" i="24"/>
  <c r="G37" i="24"/>
  <c r="I30" i="24" l="1"/>
  <c r="J40" i="24"/>
  <c r="J38" i="24"/>
  <c r="J36" i="24"/>
  <c r="H37" i="24"/>
  <c r="J39" i="24" l="1"/>
  <c r="I39" i="24"/>
  <c r="I38" i="24"/>
  <c r="J30" i="24"/>
  <c r="I37" i="24" l="1"/>
  <c r="J37" i="24" l="1"/>
  <c r="I50" i="15" l="1"/>
  <c r="G50" i="15"/>
  <c r="F50" i="15"/>
  <c r="E50" i="15"/>
  <c r="D50" i="15"/>
  <c r="D13" i="4" l="1"/>
  <c r="E16" i="10" s="1"/>
  <c r="D12" i="4"/>
  <c r="E15" i="10" s="1"/>
  <c r="D11" i="4"/>
  <c r="E14" i="10" s="1"/>
  <c r="D10" i="4"/>
  <c r="E13" i="10" s="1"/>
  <c r="L11" i="16" l="1"/>
  <c r="J11" i="23"/>
  <c r="J8" i="23"/>
  <c r="L10" i="16"/>
  <c r="J10" i="23"/>
  <c r="L8" i="16"/>
  <c r="L9" i="16"/>
  <c r="J9" i="23"/>
  <c r="K8" i="15"/>
  <c r="J8" i="9"/>
  <c r="K11" i="15"/>
  <c r="J11" i="9"/>
  <c r="K10" i="15"/>
  <c r="J10" i="9"/>
  <c r="K9" i="15"/>
  <c r="J9" i="9"/>
  <c r="B6" i="4"/>
  <c r="B13" i="4"/>
  <c r="B12" i="4"/>
  <c r="B11" i="4"/>
  <c r="B10" i="4"/>
  <c r="B5" i="4"/>
  <c r="B9" i="18"/>
  <c r="B8" i="18"/>
  <c r="B7" i="18"/>
  <c r="B6" i="18"/>
  <c r="B5" i="18"/>
  <c r="L31" i="15"/>
  <c r="K31" i="15"/>
  <c r="J31" i="15"/>
  <c r="L30" i="15"/>
  <c r="K30" i="15"/>
  <c r="J30" i="15"/>
  <c r="L29" i="15"/>
  <c r="K29" i="15"/>
  <c r="J29" i="15"/>
  <c r="L28" i="15"/>
  <c r="K28" i="15"/>
  <c r="J28" i="15"/>
  <c r="L27" i="15"/>
  <c r="K27" i="15"/>
  <c r="J27" i="15"/>
  <c r="B13" i="12" l="1"/>
  <c r="B12" i="12"/>
  <c r="B10" i="12"/>
  <c r="B11" i="12"/>
  <c r="B6" i="12" l="1"/>
  <c r="C12" i="12"/>
  <c r="C13" i="12"/>
  <c r="C11" i="12"/>
  <c r="C10" i="12"/>
  <c r="C6" i="12" l="1"/>
  <c r="G5" i="23" l="1"/>
  <c r="B58" i="23"/>
  <c r="E23" i="23"/>
  <c r="E22" i="23"/>
  <c r="E21" i="23"/>
  <c r="E20" i="23"/>
  <c r="E19" i="23"/>
  <c r="F23" i="23"/>
  <c r="F22" i="23"/>
  <c r="F21" i="23"/>
  <c r="F20" i="23"/>
  <c r="F19" i="23"/>
  <c r="G23" i="23"/>
  <c r="G22" i="23"/>
  <c r="G21" i="23"/>
  <c r="G20" i="23"/>
  <c r="G19" i="23"/>
  <c r="H23" i="23"/>
  <c r="H22" i="23"/>
  <c r="H21" i="23"/>
  <c r="H20" i="23"/>
  <c r="H19" i="23"/>
  <c r="I23" i="23"/>
  <c r="I22" i="23"/>
  <c r="I21" i="23"/>
  <c r="I20" i="23"/>
  <c r="I19" i="23"/>
  <c r="D23" i="23"/>
  <c r="D22" i="23"/>
  <c r="D21" i="23"/>
  <c r="D20" i="23"/>
  <c r="D19" i="23"/>
  <c r="J26" i="24"/>
  <c r="J25" i="24"/>
  <c r="J24" i="24"/>
  <c r="J23" i="24"/>
  <c r="J22" i="24"/>
  <c r="I26" i="24"/>
  <c r="I25" i="24"/>
  <c r="I24" i="24"/>
  <c r="I23" i="24"/>
  <c r="I22" i="24"/>
  <c r="H26" i="24"/>
  <c r="H25" i="24"/>
  <c r="H24" i="24"/>
  <c r="H23" i="24"/>
  <c r="H22" i="24"/>
  <c r="G26" i="24"/>
  <c r="G25" i="24"/>
  <c r="G24" i="24"/>
  <c r="G23" i="24"/>
  <c r="G22" i="24"/>
  <c r="F26" i="24"/>
  <c r="F25" i="24"/>
  <c r="F24" i="24"/>
  <c r="F23" i="24"/>
  <c r="F22" i="24"/>
  <c r="E26" i="24"/>
  <c r="E25" i="24"/>
  <c r="E24" i="24"/>
  <c r="E23" i="24"/>
  <c r="E22" i="24"/>
  <c r="E27" i="16" l="1"/>
  <c r="E28" i="16"/>
  <c r="E26" i="16"/>
  <c r="E35" i="16" l="1"/>
  <c r="E34" i="16"/>
  <c r="E37" i="16"/>
  <c r="E36" i="16"/>
  <c r="E30" i="16"/>
  <c r="E29" i="16" l="1"/>
  <c r="G35" i="16"/>
  <c r="F35" i="16"/>
  <c r="F28" i="16"/>
  <c r="F37" i="16"/>
  <c r="F30" i="16"/>
  <c r="F34" i="16"/>
  <c r="F27" i="16"/>
  <c r="F36" i="16"/>
  <c r="F29" i="16"/>
  <c r="H29" i="16"/>
  <c r="G37" i="16"/>
  <c r="G30" i="16"/>
  <c r="G34" i="16"/>
  <c r="G27" i="16"/>
  <c r="G28" i="16"/>
  <c r="H30" i="16"/>
  <c r="G36" i="16"/>
  <c r="G29" i="16"/>
  <c r="H28" i="16"/>
  <c r="F26" i="16"/>
  <c r="G26" i="16"/>
  <c r="H37" i="16" l="1"/>
  <c r="H35" i="16"/>
  <c r="H36" i="16"/>
  <c r="H34" i="16"/>
  <c r="I29" i="16"/>
  <c r="I28" i="16"/>
  <c r="H27" i="16"/>
  <c r="I27" i="16"/>
  <c r="H26" i="16"/>
  <c r="E33" i="16" l="1"/>
  <c r="I37" i="16"/>
  <c r="I36" i="16"/>
  <c r="I34" i="16"/>
  <c r="I35" i="16"/>
  <c r="I30" i="16"/>
  <c r="I26" i="16"/>
  <c r="F33" i="16" l="1"/>
  <c r="J36" i="16"/>
  <c r="J37" i="16"/>
  <c r="J35" i="16"/>
  <c r="K27" i="16"/>
  <c r="J34" i="16"/>
  <c r="J27" i="16"/>
  <c r="J30" i="16"/>
  <c r="J28" i="16"/>
  <c r="J29" i="16"/>
  <c r="J26" i="16"/>
  <c r="G33" i="16" l="1"/>
  <c r="K37" i="16"/>
  <c r="K35" i="16"/>
  <c r="K34" i="16"/>
  <c r="K30" i="16"/>
  <c r="K29" i="16"/>
  <c r="K28" i="16"/>
  <c r="K26" i="16"/>
  <c r="H33" i="16" l="1"/>
  <c r="L37" i="16"/>
  <c r="L35" i="16"/>
  <c r="K36" i="16"/>
  <c r="L36" i="16"/>
  <c r="L29" i="16"/>
  <c r="L30" i="16"/>
  <c r="L34" i="16"/>
  <c r="L27" i="16"/>
  <c r="L28" i="16"/>
  <c r="L26" i="16"/>
  <c r="I33" i="16" l="1"/>
  <c r="J33" i="16" l="1"/>
  <c r="K33" i="16" l="1"/>
  <c r="L33" i="16" l="1"/>
  <c r="F23" i="16" l="1"/>
  <c r="F22" i="16"/>
  <c r="F21" i="16"/>
  <c r="F20" i="16"/>
  <c r="F19" i="16"/>
  <c r="G23" i="16"/>
  <c r="G22" i="16"/>
  <c r="G21" i="16"/>
  <c r="G20" i="16"/>
  <c r="G19" i="16"/>
  <c r="H23" i="16"/>
  <c r="H22" i="16"/>
  <c r="H21" i="16"/>
  <c r="H20" i="16"/>
  <c r="H19" i="16"/>
  <c r="I23" i="16"/>
  <c r="I22" i="16"/>
  <c r="I21" i="16"/>
  <c r="I20" i="16"/>
  <c r="I19" i="16"/>
  <c r="J23" i="16"/>
  <c r="J22" i="16"/>
  <c r="J21" i="16"/>
  <c r="J20" i="16"/>
  <c r="J19" i="16"/>
  <c r="E23" i="16"/>
  <c r="E22" i="16"/>
  <c r="E21" i="16"/>
  <c r="E20" i="16"/>
  <c r="E19" i="16"/>
  <c r="I33" i="22"/>
  <c r="I32" i="22"/>
  <c r="I31" i="22"/>
  <c r="I30" i="22"/>
  <c r="I29" i="22"/>
  <c r="H33" i="22"/>
  <c r="H32" i="22"/>
  <c r="H31" i="22"/>
  <c r="H30" i="22"/>
  <c r="H29" i="22"/>
  <c r="G33" i="22"/>
  <c r="G32" i="22"/>
  <c r="G31" i="22"/>
  <c r="G30" i="22"/>
  <c r="G29" i="22"/>
  <c r="F33" i="22"/>
  <c r="F32" i="22"/>
  <c r="F31" i="22"/>
  <c r="F30" i="22"/>
  <c r="F29" i="22"/>
  <c r="E33" i="22"/>
  <c r="E32" i="22"/>
  <c r="E31" i="22"/>
  <c r="E30" i="22"/>
  <c r="E29" i="22"/>
  <c r="D33" i="22"/>
  <c r="D32" i="22"/>
  <c r="D31" i="22"/>
  <c r="D30" i="22"/>
  <c r="D29" i="22"/>
  <c r="E26" i="22"/>
  <c r="E25" i="22"/>
  <c r="E24" i="22"/>
  <c r="E23" i="22"/>
  <c r="E22" i="22"/>
  <c r="F26" i="22"/>
  <c r="F25" i="22"/>
  <c r="F24" i="22"/>
  <c r="F23" i="22"/>
  <c r="F22" i="22"/>
  <c r="G26" i="22"/>
  <c r="G25" i="22"/>
  <c r="G24" i="22"/>
  <c r="G23" i="22"/>
  <c r="G22" i="22"/>
  <c r="H26" i="22"/>
  <c r="H25" i="22"/>
  <c r="H24" i="22"/>
  <c r="H23" i="22"/>
  <c r="H22" i="22"/>
  <c r="I26" i="22"/>
  <c r="I25" i="22"/>
  <c r="I24" i="22"/>
  <c r="I23" i="22"/>
  <c r="I22" i="22"/>
  <c r="D26" i="22"/>
  <c r="D25" i="22"/>
  <c r="D24" i="22"/>
  <c r="D23" i="22"/>
  <c r="D22" i="22"/>
  <c r="I31" i="15"/>
  <c r="I30" i="15"/>
  <c r="I29" i="15"/>
  <c r="I28" i="15"/>
  <c r="I27" i="15"/>
  <c r="H31" i="15"/>
  <c r="H30" i="15"/>
  <c r="H29" i="15"/>
  <c r="H28" i="15"/>
  <c r="H27" i="15"/>
  <c r="G31" i="15"/>
  <c r="G30" i="15"/>
  <c r="G29" i="15"/>
  <c r="G28" i="15"/>
  <c r="G27" i="15"/>
  <c r="F31" i="15"/>
  <c r="F30" i="15"/>
  <c r="F29" i="15"/>
  <c r="F28" i="15"/>
  <c r="F27" i="15"/>
  <c r="E31" i="15"/>
  <c r="E30" i="15"/>
  <c r="E29" i="15"/>
  <c r="E28" i="15"/>
  <c r="E27" i="15"/>
  <c r="D31" i="15"/>
  <c r="D30" i="15"/>
  <c r="D29" i="15"/>
  <c r="D28" i="15"/>
  <c r="D27" i="15"/>
  <c r="I38" i="15"/>
  <c r="I37" i="15"/>
  <c r="I36" i="15"/>
  <c r="I35" i="15"/>
  <c r="I34" i="15"/>
  <c r="H38" i="15"/>
  <c r="H37" i="15"/>
  <c r="H36" i="15"/>
  <c r="H35" i="15"/>
  <c r="H34" i="15"/>
  <c r="G38" i="15"/>
  <c r="G37" i="15"/>
  <c r="G36" i="15"/>
  <c r="G35" i="15"/>
  <c r="G34" i="15"/>
  <c r="F38" i="15"/>
  <c r="F37" i="15"/>
  <c r="F36" i="15"/>
  <c r="F35" i="15"/>
  <c r="F34" i="15"/>
  <c r="E38" i="15"/>
  <c r="E37" i="15"/>
  <c r="E36" i="15"/>
  <c r="E35" i="15"/>
  <c r="E34" i="15"/>
  <c r="D38" i="15"/>
  <c r="D37" i="15"/>
  <c r="D36" i="15"/>
  <c r="D35" i="15"/>
  <c r="D34" i="15"/>
  <c r="G8" i="5" l="1"/>
  <c r="G7" i="5"/>
  <c r="G6" i="5"/>
  <c r="G5" i="5"/>
  <c r="B68" i="24" l="1"/>
  <c r="G4" i="5" l="1"/>
  <c r="B10" i="18"/>
  <c r="D43" i="16" l="1"/>
  <c r="C43" i="16"/>
  <c r="I7" i="24" l="1"/>
  <c r="I6" i="24"/>
  <c r="I5" i="24"/>
  <c r="C49" i="24" l="1"/>
  <c r="C56" i="24" s="1"/>
  <c r="C48" i="24"/>
  <c r="C55" i="24" s="1"/>
  <c r="C47" i="24"/>
  <c r="C54" i="24" s="1"/>
  <c r="C46" i="24"/>
  <c r="C53" i="24" s="1"/>
  <c r="C45" i="24"/>
  <c r="G49" i="24"/>
  <c r="F49" i="24"/>
  <c r="E49" i="24"/>
  <c r="D49" i="24"/>
  <c r="G48" i="24"/>
  <c r="F48" i="24"/>
  <c r="E48" i="24"/>
  <c r="D48" i="24"/>
  <c r="G47" i="24"/>
  <c r="F47" i="24"/>
  <c r="E47" i="24"/>
  <c r="D47" i="24"/>
  <c r="G46" i="24"/>
  <c r="F46" i="24"/>
  <c r="E46" i="24"/>
  <c r="D46" i="24"/>
  <c r="G45" i="24"/>
  <c r="F45" i="24"/>
  <c r="E45" i="24"/>
  <c r="D54" i="24" l="1"/>
  <c r="E54" i="24" s="1"/>
  <c r="D55" i="24"/>
  <c r="E55" i="24" s="1"/>
  <c r="D56" i="24"/>
  <c r="E56" i="24" s="1"/>
  <c r="D53" i="24"/>
  <c r="E53" i="24" l="1"/>
  <c r="G19" i="24"/>
  <c r="F19" i="24"/>
  <c r="E19" i="24"/>
  <c r="D19" i="24"/>
  <c r="H47" i="24" l="1"/>
  <c r="H48" i="24"/>
  <c r="H49" i="24"/>
  <c r="H45" i="24"/>
  <c r="I47" i="24" l="1"/>
  <c r="I48" i="24"/>
  <c r="I49" i="24"/>
  <c r="H19" i="24" l="1"/>
  <c r="H46" i="24"/>
  <c r="J49" i="24"/>
  <c r="J47" i="24"/>
  <c r="I45" i="24"/>
  <c r="J48" i="24"/>
  <c r="I46" i="24" l="1"/>
  <c r="I19" i="24"/>
  <c r="J45" i="24"/>
  <c r="J19" i="24" l="1"/>
  <c r="J46" i="24" l="1"/>
  <c r="L25" i="22" l="1"/>
  <c r="L32" i="22" s="1"/>
  <c r="K25" i="22"/>
  <c r="K32" i="22" s="1"/>
  <c r="L24" i="22"/>
  <c r="L31" i="22" s="1"/>
  <c r="K24" i="22"/>
  <c r="K31" i="22" s="1"/>
  <c r="K35" i="15"/>
  <c r="L22" i="22"/>
  <c r="K22" i="22"/>
  <c r="J26" i="22"/>
  <c r="J25" i="22"/>
  <c r="J32" i="22" s="1"/>
  <c r="J36" i="15"/>
  <c r="J35" i="15"/>
  <c r="J22" i="22"/>
  <c r="J19" i="13" l="1"/>
  <c r="J19" i="9"/>
  <c r="J19" i="23"/>
  <c r="K22" i="24"/>
  <c r="K19" i="16"/>
  <c r="K20" i="13"/>
  <c r="K20" i="9"/>
  <c r="K20" i="23"/>
  <c r="L23" i="24"/>
  <c r="L20" i="16"/>
  <c r="L37" i="15"/>
  <c r="L20" i="13"/>
  <c r="L20" i="9"/>
  <c r="L20" i="23"/>
  <c r="M23" i="24"/>
  <c r="M46" i="24" s="1"/>
  <c r="M20" i="16"/>
  <c r="K21" i="23"/>
  <c r="L24" i="24"/>
  <c r="L21" i="16"/>
  <c r="L35" i="15"/>
  <c r="L21" i="23"/>
  <c r="M24" i="24"/>
  <c r="M47" i="24" s="1"/>
  <c r="M21" i="16"/>
  <c r="E5" i="15"/>
  <c r="J20" i="13"/>
  <c r="J20" i="9"/>
  <c r="J20" i="23"/>
  <c r="K23" i="24"/>
  <c r="K20" i="16"/>
  <c r="J21" i="23"/>
  <c r="K24" i="24"/>
  <c r="K21" i="16"/>
  <c r="J22" i="23"/>
  <c r="K25" i="24"/>
  <c r="K22" i="16"/>
  <c r="K22" i="23"/>
  <c r="L25" i="24"/>
  <c r="L22" i="16"/>
  <c r="K36" i="15"/>
  <c r="J23" i="22"/>
  <c r="J30" i="22" s="1"/>
  <c r="L22" i="23"/>
  <c r="M25" i="24"/>
  <c r="M48" i="24" s="1"/>
  <c r="M22" i="16"/>
  <c r="L36" i="15"/>
  <c r="K23" i="22"/>
  <c r="K30" i="22" s="1"/>
  <c r="K23" i="23"/>
  <c r="L26" i="24"/>
  <c r="L23" i="16"/>
  <c r="J37" i="15"/>
  <c r="L23" i="22"/>
  <c r="L30" i="22" s="1"/>
  <c r="K26" i="22"/>
  <c r="J23" i="23"/>
  <c r="K26" i="24"/>
  <c r="K23" i="16"/>
  <c r="K19" i="13"/>
  <c r="K19" i="9"/>
  <c r="K19" i="23"/>
  <c r="L22" i="24"/>
  <c r="L19" i="16"/>
  <c r="L19" i="13"/>
  <c r="L19" i="9"/>
  <c r="L19" i="23"/>
  <c r="M22" i="24"/>
  <c r="M45" i="24" s="1"/>
  <c r="M19" i="16"/>
  <c r="L23" i="23"/>
  <c r="M26" i="24"/>
  <c r="M49" i="24" s="1"/>
  <c r="M23" i="16"/>
  <c r="K37" i="15"/>
  <c r="J24" i="22"/>
  <c r="J31" i="22" s="1"/>
  <c r="L26" i="22"/>
  <c r="E5" i="24" l="1"/>
  <c r="E7" i="24"/>
  <c r="E6" i="24"/>
  <c r="M43" i="16"/>
  <c r="H7" i="22" l="1"/>
  <c r="E7" i="22"/>
  <c r="D7" i="22"/>
  <c r="H6" i="22"/>
  <c r="E6" i="22"/>
  <c r="D6" i="22"/>
  <c r="H5" i="22"/>
  <c r="E5" i="22"/>
  <c r="D5" i="22"/>
  <c r="L41" i="22" l="1"/>
  <c r="H41" i="22"/>
  <c r="G41" i="22"/>
  <c r="F41" i="22"/>
  <c r="E41" i="22"/>
  <c r="D41" i="22"/>
  <c r="C41" i="22"/>
  <c r="C48" i="22" s="1"/>
  <c r="L40" i="22"/>
  <c r="H40" i="22"/>
  <c r="G40" i="22"/>
  <c r="F40" i="22"/>
  <c r="E40" i="22"/>
  <c r="D40" i="22"/>
  <c r="C40" i="22"/>
  <c r="C47" i="22" s="1"/>
  <c r="D47" i="22" s="1"/>
  <c r="L39" i="22"/>
  <c r="H39" i="22"/>
  <c r="G39" i="22"/>
  <c r="F39" i="22"/>
  <c r="E39" i="22"/>
  <c r="D39" i="22"/>
  <c r="C39" i="22"/>
  <c r="C46" i="22" s="1"/>
  <c r="D46" i="22" s="1"/>
  <c r="D48" i="22" l="1"/>
  <c r="D5" i="23" l="1"/>
  <c r="L38" i="23"/>
  <c r="C38" i="23"/>
  <c r="C45" i="23" s="1"/>
  <c r="L37" i="23"/>
  <c r="C37" i="23"/>
  <c r="C44" i="23" s="1"/>
  <c r="L36" i="23"/>
  <c r="C36" i="23"/>
  <c r="C43" i="23" s="1"/>
  <c r="C14" i="13"/>
  <c r="B14" i="13"/>
  <c r="C14" i="23"/>
  <c r="B14" i="23"/>
  <c r="C14" i="9"/>
  <c r="B14" i="9"/>
  <c r="C17" i="24"/>
  <c r="B17" i="24"/>
  <c r="C14" i="16"/>
  <c r="B14" i="16"/>
  <c r="C11" i="22"/>
  <c r="B11" i="22"/>
  <c r="J50" i="15" l="1"/>
  <c r="K50" i="15" s="1"/>
  <c r="E5" i="16" l="1"/>
  <c r="C68" i="24" l="1"/>
  <c r="D45" i="24"/>
  <c r="C52" i="24"/>
  <c r="E18" i="24"/>
  <c r="F18" i="24" s="1"/>
  <c r="G18" i="24" s="1"/>
  <c r="H18" i="24" s="1"/>
  <c r="I18" i="24" s="1"/>
  <c r="J18" i="24" s="1"/>
  <c r="K18" i="24" s="1"/>
  <c r="L18" i="24" s="1"/>
  <c r="M18" i="24" s="1"/>
  <c r="I8" i="24"/>
  <c r="I4" i="24"/>
  <c r="A1" i="24"/>
  <c r="D52" i="24" l="1"/>
  <c r="E52" i="24" s="1"/>
  <c r="I9" i="24"/>
  <c r="E8" i="24"/>
  <c r="L15" i="24"/>
  <c r="E4" i="24"/>
  <c r="D68" i="24"/>
  <c r="E9" i="24" l="1"/>
  <c r="D15" i="13" l="1"/>
  <c r="D15" i="23"/>
  <c r="E15" i="23" s="1"/>
  <c r="F15" i="23" s="1"/>
  <c r="G15" i="23" s="1"/>
  <c r="H15" i="23" s="1"/>
  <c r="I15" i="23" s="1"/>
  <c r="J15" i="23" s="1"/>
  <c r="K15" i="23" s="1"/>
  <c r="L15" i="23" s="1"/>
  <c r="D15" i="9"/>
  <c r="E15" i="16"/>
  <c r="D12" i="22"/>
  <c r="E15" i="15"/>
  <c r="F15" i="15" s="1"/>
  <c r="G15" i="15" s="1"/>
  <c r="H15" i="15" s="1"/>
  <c r="I15" i="15" s="1"/>
  <c r="J15" i="15" s="1"/>
  <c r="K15" i="15" s="1"/>
  <c r="L15" i="15" s="1"/>
  <c r="L12" i="22" s="1"/>
  <c r="C58" i="23"/>
  <c r="C39" i="23"/>
  <c r="C46" i="23" s="1"/>
  <c r="C35" i="23"/>
  <c r="C42" i="23" s="1"/>
  <c r="L39" i="23"/>
  <c r="L35" i="23"/>
  <c r="G4" i="23"/>
  <c r="G6" i="23" s="1"/>
  <c r="A1" i="23"/>
  <c r="C42" i="16"/>
  <c r="C61" i="22"/>
  <c r="L59" i="22"/>
  <c r="L33" i="22"/>
  <c r="K33" i="22"/>
  <c r="J33" i="22"/>
  <c r="L29" i="22"/>
  <c r="K29" i="22"/>
  <c r="J29" i="22"/>
  <c r="C42" i="22"/>
  <c r="C49" i="22" s="1"/>
  <c r="G42" i="22"/>
  <c r="F42" i="22"/>
  <c r="F38" i="22"/>
  <c r="E38" i="22"/>
  <c r="H8" i="22"/>
  <c r="H4" i="22"/>
  <c r="H9" i="22" s="1"/>
  <c r="A1" i="22"/>
  <c r="L38" i="22" l="1"/>
  <c r="G38" i="22"/>
  <c r="H38" i="22"/>
  <c r="E42" i="22"/>
  <c r="H42" i="22"/>
  <c r="J12" i="23"/>
  <c r="E4" i="22"/>
  <c r="L42" i="22"/>
  <c r="E8" i="22"/>
  <c r="D4" i="23"/>
  <c r="E12" i="22"/>
  <c r="G12" i="22"/>
  <c r="F12" i="22"/>
  <c r="H12" i="22"/>
  <c r="I12" i="22"/>
  <c r="J12" i="22"/>
  <c r="K12" i="22"/>
  <c r="D42" i="22"/>
  <c r="D49" i="22" s="1"/>
  <c r="D8" i="22"/>
  <c r="D4" i="22"/>
  <c r="C38" i="22"/>
  <c r="C45" i="22" s="1"/>
  <c r="D38" i="22"/>
  <c r="D6" i="23" l="1"/>
  <c r="E9" i="22"/>
  <c r="D9" i="22"/>
  <c r="D45" i="22"/>
  <c r="A1" i="18" l="1"/>
  <c r="F7" i="4" l="1"/>
  <c r="G7" i="4"/>
  <c r="H7" i="4"/>
  <c r="I7" i="4"/>
  <c r="F9" i="4"/>
  <c r="G9" i="4"/>
  <c r="H10" i="4"/>
  <c r="I10" i="4"/>
  <c r="A2" i="19"/>
  <c r="A1" i="19"/>
  <c r="F10" i="4" l="1"/>
  <c r="Z26" i="5"/>
  <c r="AA26" i="5"/>
  <c r="AA17" i="5"/>
  <c r="E18" i="20" s="1"/>
  <c r="Z17" i="5"/>
  <c r="AA25" i="5"/>
  <c r="AA16" i="5"/>
  <c r="Z25" i="5"/>
  <c r="Z16" i="5"/>
  <c r="AA15" i="5"/>
  <c r="Z24" i="5"/>
  <c r="AA24" i="5"/>
  <c r="Z15" i="5"/>
  <c r="H9" i="4"/>
  <c r="I9" i="4"/>
  <c r="B14" i="4"/>
  <c r="D14" i="4"/>
  <c r="G10" i="4"/>
  <c r="C6" i="4" s="1"/>
  <c r="B7" i="4"/>
  <c r="E17" i="20" l="1"/>
  <c r="D18" i="20"/>
  <c r="AA14" i="5"/>
  <c r="Z14" i="5"/>
  <c r="Z23" i="5"/>
  <c r="AA23" i="5"/>
  <c r="E16" i="20"/>
  <c r="D16" i="20"/>
  <c r="D17" i="20"/>
  <c r="J12" i="13"/>
  <c r="E17" i="10" l="1"/>
  <c r="D15" i="20"/>
  <c r="E15" i="20"/>
  <c r="K12" i="15"/>
  <c r="J12" i="9"/>
  <c r="B27" i="8"/>
  <c r="L12" i="16"/>
  <c r="E27" i="8" l="1"/>
  <c r="D27" i="8" l="1"/>
  <c r="F25" i="8" l="1"/>
  <c r="F26" i="8"/>
  <c r="F24" i="8"/>
  <c r="G26" i="8" l="1"/>
  <c r="F30" i="23" s="1"/>
  <c r="F39" i="23" s="1"/>
  <c r="G24" i="8"/>
  <c r="K28" i="23" s="1"/>
  <c r="K37" i="23" s="1"/>
  <c r="G25" i="8"/>
  <c r="G29" i="23" s="1"/>
  <c r="G38" i="23" s="1"/>
  <c r="E30" i="23"/>
  <c r="E39" i="23" s="1"/>
  <c r="F28" i="23"/>
  <c r="F37" i="23" s="1"/>
  <c r="G28" i="23"/>
  <c r="G37" i="23" s="1"/>
  <c r="J28" i="23"/>
  <c r="D30" i="23"/>
  <c r="D39" i="23" s="1"/>
  <c r="D46" i="23" s="1"/>
  <c r="C27" i="8"/>
  <c r="F23" i="8"/>
  <c r="G23" i="8" s="1"/>
  <c r="D29" i="23" l="1"/>
  <c r="D38" i="23" s="1"/>
  <c r="D45" i="23" s="1"/>
  <c r="K29" i="23"/>
  <c r="K38" i="23" s="1"/>
  <c r="K30" i="23"/>
  <c r="K39" i="23" s="1"/>
  <c r="I29" i="23"/>
  <c r="I38" i="23" s="1"/>
  <c r="J29" i="23"/>
  <c r="J38" i="23" s="1"/>
  <c r="H29" i="23"/>
  <c r="H38" i="23" s="1"/>
  <c r="D28" i="23"/>
  <c r="D37" i="23" s="1"/>
  <c r="D44" i="23" s="1"/>
  <c r="F29" i="23"/>
  <c r="F38" i="23" s="1"/>
  <c r="I28" i="23"/>
  <c r="I37" i="23" s="1"/>
  <c r="G30" i="23"/>
  <c r="G39" i="23" s="1"/>
  <c r="E28" i="23"/>
  <c r="E37" i="23" s="1"/>
  <c r="J30" i="23"/>
  <c r="J39" i="23" s="1"/>
  <c r="H28" i="23"/>
  <c r="H37" i="23" s="1"/>
  <c r="E29" i="23"/>
  <c r="E38" i="23" s="1"/>
  <c r="H30" i="23"/>
  <c r="H39" i="23" s="1"/>
  <c r="I30" i="23"/>
  <c r="I39" i="23" s="1"/>
  <c r="J37" i="23"/>
  <c r="F27" i="8"/>
  <c r="E27" i="23" l="1"/>
  <c r="E36" i="23" s="1"/>
  <c r="F27" i="23"/>
  <c r="F36" i="23" s="1"/>
  <c r="D27" i="23"/>
  <c r="D36" i="23" s="1"/>
  <c r="D43" i="23" s="1"/>
  <c r="G27" i="23"/>
  <c r="G36" i="23" s="1"/>
  <c r="K27" i="23"/>
  <c r="K36" i="23" s="1"/>
  <c r="H27" i="23"/>
  <c r="I27" i="23"/>
  <c r="I36" i="23" s="1"/>
  <c r="J27" i="23"/>
  <c r="G27" i="8"/>
  <c r="J36" i="23" l="1"/>
  <c r="H36" i="23"/>
  <c r="E5" i="23"/>
  <c r="F5" i="23" s="1"/>
  <c r="B7" i="8" l="1"/>
  <c r="B21" i="8" l="1"/>
  <c r="D5" i="10" l="1"/>
  <c r="D27" i="10"/>
  <c r="D28" i="10" l="1"/>
  <c r="D29" i="10" s="1"/>
  <c r="D30" i="10" l="1"/>
  <c r="D31" i="10" s="1"/>
  <c r="D32" i="10" l="1"/>
  <c r="D33" i="10" l="1"/>
  <c r="D34" i="10" s="1"/>
  <c r="D6" i="10" s="1"/>
  <c r="D8" i="10" s="1"/>
  <c r="D42" i="16" l="1"/>
  <c r="D16" i="16"/>
  <c r="F16" i="9" l="1"/>
  <c r="E16" i="9"/>
  <c r="D16" i="9"/>
  <c r="B43" i="9" l="1"/>
  <c r="B56" i="16"/>
  <c r="B57" i="15"/>
  <c r="A2" i="8" l="1"/>
  <c r="A1" i="8"/>
  <c r="C10" i="10" l="1"/>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A1" i="13"/>
  <c r="G6" i="13" l="1"/>
  <c r="D34" i="13"/>
  <c r="D33" i="13"/>
  <c r="I30" i="13"/>
  <c r="E5" i="13"/>
  <c r="E4" i="13"/>
  <c r="G30" i="13"/>
  <c r="H16" i="13"/>
  <c r="E6" i="13" l="1"/>
  <c r="C43" i="9" l="1"/>
  <c r="D30" i="9"/>
  <c r="C30" i="9"/>
  <c r="C34" i="9" s="1"/>
  <c r="C29" i="9"/>
  <c r="C33" i="9" s="1"/>
  <c r="I30" i="9"/>
  <c r="H30" i="9"/>
  <c r="G30" i="9"/>
  <c r="F30" i="9"/>
  <c r="E30" i="9"/>
  <c r="I29" i="9"/>
  <c r="H29" i="9"/>
  <c r="G29" i="9"/>
  <c r="F29" i="9"/>
  <c r="E29" i="9"/>
  <c r="D29" i="9"/>
  <c r="K16" i="9"/>
  <c r="J16" i="9"/>
  <c r="I16" i="9"/>
  <c r="H16" i="9"/>
  <c r="G16" i="9"/>
  <c r="E15" i="9"/>
  <c r="F15" i="9" s="1"/>
  <c r="G15" i="9" s="1"/>
  <c r="H15" i="9" s="1"/>
  <c r="I15" i="9" s="1"/>
  <c r="J15" i="9" s="1"/>
  <c r="K15" i="9" s="1"/>
  <c r="L15" i="9" s="1"/>
  <c r="G5" i="9"/>
  <c r="E5" i="9"/>
  <c r="G4" i="9"/>
  <c r="E4" i="9"/>
  <c r="A1" i="9"/>
  <c r="A1" i="10"/>
  <c r="A2" i="10"/>
  <c r="E6" i="9" l="1"/>
  <c r="G6" i="9"/>
  <c r="D34" i="9"/>
  <c r="D33" i="9"/>
  <c r="L30" i="13" l="1"/>
  <c r="L30" i="9"/>
  <c r="L29" i="13"/>
  <c r="L29" i="9"/>
  <c r="K29" i="13"/>
  <c r="K29" i="9"/>
  <c r="K30" i="13"/>
  <c r="K30" i="9"/>
  <c r="J29" i="13" l="1"/>
  <c r="D4" i="13"/>
  <c r="J29" i="9"/>
  <c r="D4" i="9"/>
  <c r="J30" i="9"/>
  <c r="D5" i="9"/>
  <c r="F5" i="9" s="1"/>
  <c r="J30" i="13"/>
  <c r="D5" i="13"/>
  <c r="F5" i="13" s="1"/>
  <c r="D6" i="13" l="1"/>
  <c r="F4" i="13"/>
  <c r="F4" i="9"/>
  <c r="D6" i="9"/>
  <c r="F6" i="13" l="1"/>
  <c r="F6" i="9"/>
  <c r="I24" i="15" l="1"/>
  <c r="I44" i="15" s="1"/>
  <c r="I23" i="15"/>
  <c r="C24" i="15"/>
  <c r="C44" i="15" s="1"/>
  <c r="C23" i="15"/>
  <c r="G24" i="15"/>
  <c r="G44" i="15" s="1"/>
  <c r="G23" i="15" l="1"/>
  <c r="F24" i="15"/>
  <c r="F44" i="15" s="1"/>
  <c r="E24" i="15"/>
  <c r="E44" i="15" s="1"/>
  <c r="H24" i="15"/>
  <c r="H44" i="15" s="1"/>
  <c r="H23" i="15"/>
  <c r="D23" i="15"/>
  <c r="E23" i="15"/>
  <c r="D24" i="15"/>
  <c r="D44" i="15" s="1"/>
  <c r="F23" i="15"/>
  <c r="H58" i="24" l="1"/>
  <c r="G36" i="13"/>
  <c r="G48" i="23"/>
  <c r="G36" i="9"/>
  <c r="H49" i="16"/>
  <c r="G51" i="22"/>
  <c r="E58" i="24"/>
  <c r="D36" i="13"/>
  <c r="D36" i="9"/>
  <c r="E49" i="16"/>
  <c r="D48" i="23"/>
  <c r="D51" i="22"/>
  <c r="F58" i="24"/>
  <c r="E36" i="13"/>
  <c r="E48" i="23"/>
  <c r="E36" i="9"/>
  <c r="F49" i="16"/>
  <c r="E51" i="22"/>
  <c r="G58" i="24"/>
  <c r="F36" i="13"/>
  <c r="F48" i="23"/>
  <c r="F36" i="9"/>
  <c r="G49" i="16"/>
  <c r="F51" i="22"/>
  <c r="I58" i="24"/>
  <c r="H36" i="13"/>
  <c r="H48" i="23"/>
  <c r="H36" i="9"/>
  <c r="I49" i="16"/>
  <c r="H51" i="22"/>
  <c r="E64" i="24" l="1"/>
  <c r="F64" i="24" s="1"/>
  <c r="E61" i="24"/>
  <c r="E63" i="24"/>
  <c r="E62" i="24"/>
  <c r="D55" i="22"/>
  <c r="D56" i="22"/>
  <c r="D54" i="22"/>
  <c r="D51" i="23"/>
  <c r="D53" i="23"/>
  <c r="D52" i="23"/>
  <c r="D39" i="13"/>
  <c r="D38" i="13"/>
  <c r="J58" i="24"/>
  <c r="I48" i="23"/>
  <c r="J49" i="16"/>
  <c r="I36" i="13"/>
  <c r="I51" i="22"/>
  <c r="I36" i="9"/>
  <c r="E60" i="24"/>
  <c r="D54" i="23"/>
  <c r="D53" i="22"/>
  <c r="D57" i="22"/>
  <c r="D39" i="9"/>
  <c r="D38" i="9"/>
  <c r="C56" i="16"/>
  <c r="D56" i="16" s="1"/>
  <c r="F56" i="24" l="1"/>
  <c r="G64" i="24" s="1"/>
  <c r="F54" i="24"/>
  <c r="F62" i="24"/>
  <c r="F63" i="24"/>
  <c r="F55" i="24"/>
  <c r="F52" i="24"/>
  <c r="F60" i="24"/>
  <c r="F61" i="24"/>
  <c r="F53" i="24"/>
  <c r="D61" i="22"/>
  <c r="E48" i="22"/>
  <c r="E56" i="22"/>
  <c r="F48" i="22" s="1"/>
  <c r="E46" i="22"/>
  <c r="E54" i="22"/>
  <c r="E47" i="22"/>
  <c r="E55" i="22"/>
  <c r="E52" i="23"/>
  <c r="E44" i="23"/>
  <c r="E53" i="23"/>
  <c r="E45" i="23"/>
  <c r="E51" i="23"/>
  <c r="E43" i="23"/>
  <c r="D41" i="9"/>
  <c r="D43" i="9"/>
  <c r="D40" i="9" s="1"/>
  <c r="E38" i="9"/>
  <c r="E33" i="9"/>
  <c r="E46" i="23"/>
  <c r="E54" i="23"/>
  <c r="E53" i="22"/>
  <c r="D59" i="22"/>
  <c r="E45" i="22"/>
  <c r="D58" i="22"/>
  <c r="E68" i="24"/>
  <c r="E65" i="24" s="1"/>
  <c r="E66" i="24"/>
  <c r="E38" i="13"/>
  <c r="E33" i="13"/>
  <c r="D41" i="13"/>
  <c r="D43" i="13"/>
  <c r="D40" i="13" s="1"/>
  <c r="E39" i="9"/>
  <c r="E34" i="9"/>
  <c r="E57" i="22"/>
  <c r="E49" i="22"/>
  <c r="E34" i="13"/>
  <c r="E39" i="13"/>
  <c r="L38" i="15"/>
  <c r="K38" i="15"/>
  <c r="J38" i="15"/>
  <c r="L34" i="15"/>
  <c r="K34" i="15"/>
  <c r="J34" i="15"/>
  <c r="G56" i="24" l="1"/>
  <c r="H64" i="24" s="1"/>
  <c r="E61" i="22"/>
  <c r="G52" i="24"/>
  <c r="D5" i="15"/>
  <c r="G53" i="24"/>
  <c r="G61" i="24"/>
  <c r="G60" i="24"/>
  <c r="H60" i="24" s="1"/>
  <c r="G55" i="24"/>
  <c r="G63" i="24"/>
  <c r="G54" i="24"/>
  <c r="G62" i="24"/>
  <c r="F47" i="22"/>
  <c r="F55" i="22"/>
  <c r="F46" i="22"/>
  <c r="F54" i="22"/>
  <c r="F56" i="22"/>
  <c r="G56" i="22" s="1"/>
  <c r="F45" i="23"/>
  <c r="F53" i="23"/>
  <c r="F43" i="23"/>
  <c r="F51" i="23"/>
  <c r="F44" i="23"/>
  <c r="F52" i="23"/>
  <c r="F39" i="9"/>
  <c r="F38" i="9"/>
  <c r="F53" i="22"/>
  <c r="F45" i="22"/>
  <c r="F34" i="9"/>
  <c r="F66" i="24"/>
  <c r="F68" i="24"/>
  <c r="F65" i="24" s="1"/>
  <c r="E59" i="22"/>
  <c r="E58" i="22"/>
  <c r="F34" i="13"/>
  <c r="F39" i="13"/>
  <c r="F46" i="23"/>
  <c r="F54" i="23"/>
  <c r="F33" i="9"/>
  <c r="E43" i="9"/>
  <c r="E40" i="9" s="1"/>
  <c r="E41" i="9"/>
  <c r="F33" i="13"/>
  <c r="F38" i="13"/>
  <c r="F49" i="22"/>
  <c r="F57" i="22"/>
  <c r="E41" i="13"/>
  <c r="E43" i="13"/>
  <c r="E40" i="13" s="1"/>
  <c r="H56" i="24" l="1"/>
  <c r="I64" i="24" s="1"/>
  <c r="H52" i="24"/>
  <c r="I60" i="24" s="1"/>
  <c r="H54" i="24"/>
  <c r="H62" i="24"/>
  <c r="H55" i="24"/>
  <c r="H63" i="24"/>
  <c r="H53" i="24"/>
  <c r="H61" i="24"/>
  <c r="F61" i="22"/>
  <c r="F58" i="22" s="1"/>
  <c r="G48" i="22"/>
  <c r="G46" i="22"/>
  <c r="G54" i="22"/>
  <c r="G47" i="22"/>
  <c r="G55" i="22"/>
  <c r="G57" i="22"/>
  <c r="G44" i="23"/>
  <c r="G52" i="23"/>
  <c r="G43" i="23"/>
  <c r="G51" i="23"/>
  <c r="G45" i="23"/>
  <c r="G53" i="23"/>
  <c r="G39" i="9"/>
  <c r="G38" i="9"/>
  <c r="G49" i="22"/>
  <c r="G34" i="9"/>
  <c r="G66" i="24"/>
  <c r="G68" i="24"/>
  <c r="G65" i="24" s="1"/>
  <c r="G33" i="9"/>
  <c r="G45" i="22"/>
  <c r="G53" i="22"/>
  <c r="G34" i="13"/>
  <c r="G39" i="13"/>
  <c r="F41" i="9"/>
  <c r="F43" i="9"/>
  <c r="F40" i="9" s="1"/>
  <c r="F59" i="22"/>
  <c r="G33" i="13"/>
  <c r="G38" i="13"/>
  <c r="F43" i="13"/>
  <c r="F40" i="13" s="1"/>
  <c r="F41" i="13"/>
  <c r="G54" i="23"/>
  <c r="G46" i="23"/>
  <c r="I56" i="24" l="1"/>
  <c r="J64" i="24" s="1"/>
  <c r="I52" i="24"/>
  <c r="J60" i="24" s="1"/>
  <c r="I53" i="24"/>
  <c r="I61" i="24"/>
  <c r="I55" i="24"/>
  <c r="I63" i="24"/>
  <c r="I54" i="24"/>
  <c r="I62" i="24"/>
  <c r="G61" i="22"/>
  <c r="G58" i="22" s="1"/>
  <c r="H47" i="22"/>
  <c r="H55" i="22"/>
  <c r="H54" i="22"/>
  <c r="H46" i="22"/>
  <c r="H48" i="22"/>
  <c r="H56" i="22"/>
  <c r="H45" i="23"/>
  <c r="H53" i="23"/>
  <c r="H43" i="23"/>
  <c r="H51" i="23"/>
  <c r="H39" i="9"/>
  <c r="H44" i="23"/>
  <c r="H52" i="23"/>
  <c r="H38" i="9"/>
  <c r="H34" i="13"/>
  <c r="H39" i="13"/>
  <c r="H45" i="22"/>
  <c r="H53" i="22"/>
  <c r="H33" i="9"/>
  <c r="H34" i="9"/>
  <c r="G41" i="9"/>
  <c r="G43" i="9"/>
  <c r="G40" i="9" s="1"/>
  <c r="H68" i="24"/>
  <c r="H65" i="24" s="1"/>
  <c r="H66" i="24"/>
  <c r="G41" i="13"/>
  <c r="G43" i="13"/>
  <c r="G40" i="13" s="1"/>
  <c r="H46" i="23"/>
  <c r="H54" i="23"/>
  <c r="H38" i="13"/>
  <c r="H33" i="13"/>
  <c r="G59" i="22"/>
  <c r="H57" i="22"/>
  <c r="H49" i="22"/>
  <c r="C47" i="16"/>
  <c r="D47" i="16" s="1"/>
  <c r="C46" i="16"/>
  <c r="D46" i="16" s="1"/>
  <c r="M42" i="16"/>
  <c r="F15" i="16"/>
  <c r="G15" i="16" s="1"/>
  <c r="H15" i="16" s="1"/>
  <c r="I15" i="16" s="1"/>
  <c r="J15" i="16" s="1"/>
  <c r="K15" i="16" s="1"/>
  <c r="L15" i="16" s="1"/>
  <c r="M15" i="16" s="1"/>
  <c r="I5" i="16"/>
  <c r="I4" i="16"/>
  <c r="A1" i="16"/>
  <c r="C57" i="15"/>
  <c r="L55" i="15"/>
  <c r="C48" i="15"/>
  <c r="C43" i="15"/>
  <c r="C47" i="15" s="1"/>
  <c r="L24" i="15"/>
  <c r="L44" i="15" s="1"/>
  <c r="L23" i="15"/>
  <c r="I43" i="15"/>
  <c r="H43" i="15"/>
  <c r="G43" i="15"/>
  <c r="F43" i="15"/>
  <c r="E43" i="15"/>
  <c r="D43" i="15"/>
  <c r="H5" i="15"/>
  <c r="H4" i="15"/>
  <c r="E4" i="15"/>
  <c r="A1" i="15"/>
  <c r="J56" i="24" l="1"/>
  <c r="J52" i="24"/>
  <c r="J54" i="24"/>
  <c r="J62" i="24"/>
  <c r="J55" i="24"/>
  <c r="J63" i="24"/>
  <c r="J53" i="24"/>
  <c r="J61" i="24"/>
  <c r="H61" i="22"/>
  <c r="H58" i="22" s="1"/>
  <c r="I39" i="9"/>
  <c r="I38" i="9"/>
  <c r="I44" i="23"/>
  <c r="I52" i="23"/>
  <c r="I43" i="23"/>
  <c r="I51" i="23"/>
  <c r="I45" i="23"/>
  <c r="I53" i="23"/>
  <c r="H41" i="9"/>
  <c r="H43" i="9"/>
  <c r="H40" i="9" s="1"/>
  <c r="I46" i="23"/>
  <c r="I54" i="23"/>
  <c r="H59" i="22"/>
  <c r="K58" i="24"/>
  <c r="J48" i="23"/>
  <c r="J36" i="9"/>
  <c r="K49" i="16"/>
  <c r="J36" i="13"/>
  <c r="J51" i="22"/>
  <c r="I66" i="24"/>
  <c r="I68" i="24"/>
  <c r="I65" i="24" s="1"/>
  <c r="I33" i="13"/>
  <c r="I38" i="13"/>
  <c r="I34" i="9"/>
  <c r="H41" i="13"/>
  <c r="H43" i="13"/>
  <c r="H40" i="13" s="1"/>
  <c r="I33" i="9"/>
  <c r="I34" i="13"/>
  <c r="I39" i="13"/>
  <c r="H6" i="15"/>
  <c r="D48" i="15"/>
  <c r="D53" i="15"/>
  <c r="D52" i="15"/>
  <c r="D47" i="15"/>
  <c r="I6" i="16"/>
  <c r="E6" i="15"/>
  <c r="D4" i="15"/>
  <c r="L43" i="15"/>
  <c r="E4" i="16"/>
  <c r="J39" i="9" l="1"/>
  <c r="J45" i="23"/>
  <c r="J53" i="23"/>
  <c r="J43" i="23"/>
  <c r="J51" i="23"/>
  <c r="J44" i="23"/>
  <c r="J52" i="23"/>
  <c r="J39" i="13"/>
  <c r="J38" i="9"/>
  <c r="J34" i="13"/>
  <c r="J33" i="9"/>
  <c r="J34" i="9"/>
  <c r="J46" i="23"/>
  <c r="J54" i="23"/>
  <c r="I43" i="9"/>
  <c r="I40" i="9" s="1"/>
  <c r="I41" i="9"/>
  <c r="I43" i="13"/>
  <c r="I40" i="13" s="1"/>
  <c r="I41" i="13"/>
  <c r="J33" i="13"/>
  <c r="J38" i="13"/>
  <c r="J66" i="24"/>
  <c r="J68" i="24"/>
  <c r="J65" i="24" s="1"/>
  <c r="D6" i="15"/>
  <c r="E48" i="15"/>
  <c r="E53" i="15"/>
  <c r="E47" i="15"/>
  <c r="E52" i="15"/>
  <c r="E6" i="16"/>
  <c r="D55" i="15"/>
  <c r="D57" i="15"/>
  <c r="D54" i="15" s="1"/>
  <c r="J41" i="9" l="1"/>
  <c r="K34" i="13"/>
  <c r="K44" i="23"/>
  <c r="K43" i="23"/>
  <c r="K45" i="23"/>
  <c r="J43" i="13"/>
  <c r="J40" i="13" s="1"/>
  <c r="K34" i="9"/>
  <c r="K33" i="13"/>
  <c r="J43" i="9"/>
  <c r="J40" i="9" s="1"/>
  <c r="J41" i="13"/>
  <c r="K33" i="9"/>
  <c r="K46" i="23"/>
  <c r="F48" i="15"/>
  <c r="F53" i="15"/>
  <c r="F52" i="15"/>
  <c r="F47" i="15"/>
  <c r="E55" i="15"/>
  <c r="E57" i="15"/>
  <c r="E54" i="15" s="1"/>
  <c r="G53" i="15" l="1"/>
  <c r="G48" i="15"/>
  <c r="G47" i="15"/>
  <c r="G52" i="15"/>
  <c r="F57" i="15"/>
  <c r="F54" i="15" s="1"/>
  <c r="F55" i="15"/>
  <c r="G55" i="15" l="1"/>
  <c r="H47" i="15"/>
  <c r="H48" i="15"/>
  <c r="H53" i="15"/>
  <c r="H52" i="15"/>
  <c r="G57" i="15"/>
  <c r="G54" i="15" s="1"/>
  <c r="I48" i="15" l="1"/>
  <c r="I53" i="15"/>
  <c r="I47" i="15"/>
  <c r="I52" i="15"/>
  <c r="H57" i="15"/>
  <c r="H54" i="15" s="1"/>
  <c r="H55" i="15"/>
  <c r="L58" i="24" l="1"/>
  <c r="K48" i="23"/>
  <c r="K36" i="13"/>
  <c r="K38" i="13" s="1"/>
  <c r="K36" i="9"/>
  <c r="K51" i="22"/>
  <c r="L49" i="16"/>
  <c r="I57" i="15"/>
  <c r="K52" i="23" l="1"/>
  <c r="K51" i="23"/>
  <c r="K53" i="23"/>
  <c r="K39" i="9"/>
  <c r="L39" i="9" s="1"/>
  <c r="K38" i="9"/>
  <c r="L38" i="9" s="1"/>
  <c r="K39" i="13"/>
  <c r="L34" i="13" s="1"/>
  <c r="K54" i="23"/>
  <c r="H4" i="13"/>
  <c r="L33" i="13"/>
  <c r="L38" i="13"/>
  <c r="I54" i="15"/>
  <c r="I55" i="15"/>
  <c r="H5" i="23" l="1"/>
  <c r="I5" i="23" s="1"/>
  <c r="H5" i="13"/>
  <c r="I5" i="13" s="1"/>
  <c r="I10" i="13" s="1"/>
  <c r="K43" i="13"/>
  <c r="K40" i="13" s="1"/>
  <c r="K41" i="13"/>
  <c r="H5" i="9"/>
  <c r="I5" i="9" s="1"/>
  <c r="I11" i="9" s="1"/>
  <c r="H4" i="9"/>
  <c r="K41" i="9"/>
  <c r="L34" i="9"/>
  <c r="L39" i="13"/>
  <c r="L41" i="13" s="1"/>
  <c r="L45" i="23"/>
  <c r="L53" i="23"/>
  <c r="L51" i="23"/>
  <c r="L43" i="23"/>
  <c r="K43" i="9"/>
  <c r="L43" i="9" s="1"/>
  <c r="L52" i="23"/>
  <c r="L44" i="23"/>
  <c r="L33" i="9"/>
  <c r="L54" i="23"/>
  <c r="L46" i="23"/>
  <c r="L41" i="9"/>
  <c r="I4" i="13"/>
  <c r="J5" i="13" l="1"/>
  <c r="I9" i="13"/>
  <c r="V24" i="5" s="1"/>
  <c r="I11" i="13"/>
  <c r="F26" i="5" s="1"/>
  <c r="H6" i="13"/>
  <c r="I8" i="13"/>
  <c r="V23" i="5" s="1"/>
  <c r="L43" i="13"/>
  <c r="L40" i="13" s="1"/>
  <c r="J5" i="23"/>
  <c r="I8" i="9"/>
  <c r="J5" i="9"/>
  <c r="H6" i="9"/>
  <c r="I9" i="9"/>
  <c r="I4" i="9"/>
  <c r="J4" i="9" s="1"/>
  <c r="I10" i="9"/>
  <c r="L40" i="9"/>
  <c r="K40" i="9"/>
  <c r="I8" i="23"/>
  <c r="U23" i="5" s="1"/>
  <c r="I9" i="23"/>
  <c r="U24" i="5" s="1"/>
  <c r="I11" i="23"/>
  <c r="U26" i="5" s="1"/>
  <c r="I10" i="23"/>
  <c r="U25" i="5" s="1"/>
  <c r="F25" i="5"/>
  <c r="V25" i="5"/>
  <c r="F24" i="5"/>
  <c r="I6" i="13"/>
  <c r="F22" i="5"/>
  <c r="J4" i="13"/>
  <c r="V26" i="5" l="1"/>
  <c r="F23" i="5"/>
  <c r="I12" i="13"/>
  <c r="I6" i="9"/>
  <c r="I12" i="9"/>
  <c r="E24" i="5"/>
  <c r="E26" i="5"/>
  <c r="E25" i="5"/>
  <c r="E23" i="5"/>
  <c r="I12" i="23"/>
  <c r="A1" i="5" l="1"/>
  <c r="A1" i="12"/>
  <c r="A2" i="12" l="1"/>
  <c r="Z13" i="5" l="1"/>
  <c r="AA22" i="5"/>
  <c r="AA13" i="5"/>
  <c r="Z22" i="5"/>
  <c r="V22" i="5"/>
  <c r="E14" i="20" l="1"/>
  <c r="D14" i="20"/>
  <c r="D9" i="10" l="1"/>
  <c r="V13" i="5"/>
  <c r="E5" i="20" s="1"/>
  <c r="E23" i="20" s="1"/>
  <c r="D14" i="10" l="1"/>
  <c r="D15" i="10"/>
  <c r="D16" i="10"/>
  <c r="D13" i="10"/>
  <c r="F13" i="5"/>
  <c r="D10" i="10"/>
  <c r="D11" i="10" s="1"/>
  <c r="F14" i="5" l="1"/>
  <c r="V14" i="5"/>
  <c r="E6" i="20" s="1"/>
  <c r="E24" i="20" s="1"/>
  <c r="D17" i="10"/>
  <c r="F17" i="5"/>
  <c r="V17" i="5"/>
  <c r="E9" i="20" s="1"/>
  <c r="E27" i="20" s="1"/>
  <c r="F16" i="5"/>
  <c r="V16" i="5"/>
  <c r="E8" i="20" s="1"/>
  <c r="E26" i="20" s="1"/>
  <c r="V15" i="5"/>
  <c r="E7" i="20" s="1"/>
  <c r="E25" i="20" s="1"/>
  <c r="F15" i="5"/>
  <c r="F4" i="5"/>
  <c r="M4" i="5"/>
  <c r="F6" i="5" l="1"/>
  <c r="M6" i="5"/>
  <c r="E31" i="20" s="1"/>
  <c r="F5" i="5"/>
  <c r="M5" i="5"/>
  <c r="E30" i="20" s="1"/>
  <c r="M7" i="5"/>
  <c r="E32" i="20" s="1"/>
  <c r="F7" i="5"/>
  <c r="M8" i="5"/>
  <c r="E33" i="20" s="1"/>
  <c r="F8" i="5"/>
  <c r="E29" i="20"/>
  <c r="K24" i="15"/>
  <c r="K44" i="15" s="1"/>
  <c r="J23" i="15" l="1"/>
  <c r="J43" i="15" l="1"/>
  <c r="J47" i="15" l="1"/>
  <c r="J52" i="15"/>
  <c r="K23" i="15"/>
  <c r="K43" i="15" l="1"/>
  <c r="K47" i="15" s="1"/>
  <c r="F4" i="15"/>
  <c r="K52" i="15" l="1"/>
  <c r="L47" i="15" s="1"/>
  <c r="G4" i="15"/>
  <c r="I4" i="15" l="1"/>
  <c r="J4" i="15" s="1"/>
  <c r="S22" i="5" s="1"/>
  <c r="K4" i="15" l="1"/>
  <c r="C5" i="4" l="1"/>
  <c r="C7" i="4" l="1"/>
  <c r="C8" i="4" s="1"/>
  <c r="C11" i="4"/>
  <c r="C13" i="4"/>
  <c r="C12" i="4"/>
  <c r="C10" i="4"/>
  <c r="S13" i="5"/>
  <c r="B5" i="20" l="1"/>
  <c r="S16" i="5"/>
  <c r="S14" i="5"/>
  <c r="S17" i="5"/>
  <c r="S15" i="5"/>
  <c r="C14" i="4"/>
  <c r="J24" i="15" l="1"/>
  <c r="J44" i="15" s="1"/>
  <c r="F5" i="15" l="1"/>
  <c r="G5" i="15" l="1"/>
  <c r="G6" i="15" s="1"/>
  <c r="F6" i="15"/>
  <c r="J48" i="15"/>
  <c r="J53" i="15"/>
  <c r="J55" i="15" l="1"/>
  <c r="J57" i="15"/>
  <c r="J54" i="15" s="1"/>
  <c r="K53" i="15"/>
  <c r="K48" i="15"/>
  <c r="L48" i="15" l="1"/>
  <c r="K55" i="15"/>
  <c r="K57" i="15"/>
  <c r="L57" i="15" s="1"/>
  <c r="I5" i="15"/>
  <c r="L54" i="15" l="1"/>
  <c r="J5" i="15"/>
  <c r="I6" i="15"/>
  <c r="K54" i="15"/>
  <c r="J9" i="15" l="1"/>
  <c r="S24" i="5" s="1"/>
  <c r="J10" i="15"/>
  <c r="S25" i="5" s="1"/>
  <c r="J8" i="15"/>
  <c r="S23" i="5" s="1"/>
  <c r="J11" i="15"/>
  <c r="J6" i="15"/>
  <c r="K5" i="15"/>
  <c r="B7" i="20" l="1"/>
  <c r="S26" i="5"/>
  <c r="J12" i="15"/>
  <c r="B8" i="20" l="1"/>
  <c r="B6" i="20"/>
  <c r="B9" i="20"/>
  <c r="E21" i="8" l="1"/>
  <c r="D21" i="8" l="1"/>
  <c r="F19" i="8" l="1"/>
  <c r="G19" i="8" s="1"/>
  <c r="G26" i="23" l="1"/>
  <c r="D26" i="23"/>
  <c r="F26" i="23"/>
  <c r="E26" i="23"/>
  <c r="K26" i="23"/>
  <c r="I26" i="23"/>
  <c r="H26" i="23"/>
  <c r="J26" i="23"/>
  <c r="E16" i="23" l="1"/>
  <c r="E35" i="23"/>
  <c r="F35" i="23"/>
  <c r="F16" i="23"/>
  <c r="D16" i="23"/>
  <c r="D35" i="23"/>
  <c r="G16" i="23"/>
  <c r="G35" i="23"/>
  <c r="J16" i="23"/>
  <c r="J35" i="23"/>
  <c r="I16" i="23"/>
  <c r="I35" i="23"/>
  <c r="K16" i="23"/>
  <c r="K35" i="23"/>
  <c r="H35" i="23"/>
  <c r="E4" i="23"/>
  <c r="H16" i="23"/>
  <c r="F20" i="8"/>
  <c r="G20" i="8" s="1"/>
  <c r="C21" i="8"/>
  <c r="D42" i="23" l="1"/>
  <c r="D50" i="23"/>
  <c r="D56" i="23" s="1"/>
  <c r="E6" i="23"/>
  <c r="F4" i="23"/>
  <c r="F21" i="8"/>
  <c r="E42" i="23" l="1"/>
  <c r="E50" i="23"/>
  <c r="E56" i="23" s="1"/>
  <c r="D58" i="23"/>
  <c r="F6" i="23"/>
  <c r="G21" i="8"/>
  <c r="D55" i="23" l="1"/>
  <c r="E58" i="23"/>
  <c r="F50" i="23"/>
  <c r="F56" i="23" s="1"/>
  <c r="F42" i="23"/>
  <c r="G50" i="23" l="1"/>
  <c r="G56" i="23" s="1"/>
  <c r="G42" i="23"/>
  <c r="E55" i="23"/>
  <c r="F58" i="23"/>
  <c r="H42" i="23" l="1"/>
  <c r="H50" i="23"/>
  <c r="H56" i="23" s="1"/>
  <c r="F55" i="23"/>
  <c r="G58" i="23"/>
  <c r="G55" i="23" l="1"/>
  <c r="H58" i="23"/>
  <c r="I50" i="23"/>
  <c r="I56" i="23" s="1"/>
  <c r="I42" i="23"/>
  <c r="J42" i="23" l="1"/>
  <c r="J50" i="23"/>
  <c r="J56" i="23" s="1"/>
  <c r="H55" i="23"/>
  <c r="I58" i="23"/>
  <c r="I55" i="23" l="1"/>
  <c r="J58" i="23"/>
  <c r="K42" i="23"/>
  <c r="K50" i="23"/>
  <c r="H4" i="23" l="1"/>
  <c r="K56" i="23"/>
  <c r="L42" i="23"/>
  <c r="L50" i="23"/>
  <c r="J55" i="23"/>
  <c r="K58" i="23"/>
  <c r="H6" i="23" l="1"/>
  <c r="I4" i="23"/>
  <c r="U22" i="5" s="1"/>
  <c r="L56" i="23"/>
  <c r="K55" i="23"/>
  <c r="L58" i="23"/>
  <c r="L55" i="23" s="1"/>
  <c r="J4" i="23"/>
  <c r="E22" i="5" l="1"/>
  <c r="I6" i="23"/>
  <c r="E16" i="16" l="1"/>
  <c r="E42" i="16"/>
  <c r="E43" i="16"/>
  <c r="F42" i="16" l="1"/>
  <c r="E51" i="16"/>
  <c r="E46" i="16"/>
  <c r="E52" i="16"/>
  <c r="E47" i="16"/>
  <c r="E54" i="16" l="1"/>
  <c r="F43" i="16"/>
  <c r="F47" i="16" s="1"/>
  <c r="F16" i="16"/>
  <c r="E56" i="16"/>
  <c r="E53" i="16" s="1"/>
  <c r="G42" i="16"/>
  <c r="F51" i="16"/>
  <c r="F46" i="16"/>
  <c r="G43" i="16"/>
  <c r="H43" i="16"/>
  <c r="F52" i="16" l="1"/>
  <c r="G52" i="16" s="1"/>
  <c r="G16" i="16"/>
  <c r="H16" i="16"/>
  <c r="H42" i="16"/>
  <c r="G46" i="16"/>
  <c r="G51" i="16"/>
  <c r="I43" i="16"/>
  <c r="F54" i="16" l="1"/>
  <c r="F56" i="16"/>
  <c r="F53" i="16" s="1"/>
  <c r="G47" i="16"/>
  <c r="H47" i="16" s="1"/>
  <c r="G54" i="16"/>
  <c r="H51" i="16"/>
  <c r="H46" i="16"/>
  <c r="H52" i="16"/>
  <c r="G56" i="16"/>
  <c r="G53" i="16" s="1"/>
  <c r="J43" i="16"/>
  <c r="H54" i="16" l="1"/>
  <c r="K43" i="16"/>
  <c r="I52" i="16"/>
  <c r="I47" i="16"/>
  <c r="H56" i="16"/>
  <c r="H53" i="16" s="1"/>
  <c r="I16" i="16"/>
  <c r="I42" i="16"/>
  <c r="I51" i="16" s="1"/>
  <c r="N30" i="16"/>
  <c r="N29" i="16"/>
  <c r="I46" i="16" l="1"/>
  <c r="I56" i="16"/>
  <c r="I54" i="16"/>
  <c r="J16" i="16"/>
  <c r="J42" i="16"/>
  <c r="J47" i="16"/>
  <c r="J52" i="16"/>
  <c r="N28" i="16"/>
  <c r="N27" i="16"/>
  <c r="N26" i="16"/>
  <c r="F4" i="16" s="1"/>
  <c r="J46" i="16" l="1"/>
  <c r="F5" i="16"/>
  <c r="F6" i="16" s="1"/>
  <c r="I53" i="16"/>
  <c r="J51" i="16"/>
  <c r="J56" i="16" s="1"/>
  <c r="G5" i="16"/>
  <c r="H5" i="16" s="1"/>
  <c r="K16" i="16"/>
  <c r="K42" i="16"/>
  <c r="L43" i="16"/>
  <c r="K47" i="16"/>
  <c r="K52" i="16"/>
  <c r="J53" i="16" l="1"/>
  <c r="K46" i="16"/>
  <c r="J54" i="16"/>
  <c r="K51" i="16"/>
  <c r="L52" i="16"/>
  <c r="J5" i="16" s="1"/>
  <c r="K5" i="16" s="1"/>
  <c r="L47" i="16"/>
  <c r="L16" i="16"/>
  <c r="L42" i="16"/>
  <c r="G4" i="16"/>
  <c r="L46" i="16" l="1"/>
  <c r="K11" i="16"/>
  <c r="T26" i="5" s="1"/>
  <c r="K9" i="16"/>
  <c r="T24" i="5" s="1"/>
  <c r="K10" i="16"/>
  <c r="T25" i="5" s="1"/>
  <c r="K8" i="16"/>
  <c r="H4" i="16"/>
  <c r="G6" i="16"/>
  <c r="K54" i="16"/>
  <c r="L51" i="16"/>
  <c r="M52" i="16"/>
  <c r="M47" i="16"/>
  <c r="L5" i="16" s="1"/>
  <c r="K56" i="16"/>
  <c r="K53" i="16" s="1"/>
  <c r="M46" i="16" l="1"/>
  <c r="L56" i="16"/>
  <c r="L53" i="16" s="1"/>
  <c r="T23" i="5"/>
  <c r="K12" i="16"/>
  <c r="J4" i="16"/>
  <c r="J6" i="16" s="1"/>
  <c r="L54" i="16"/>
  <c r="M51" i="16"/>
  <c r="M54" i="16" s="1"/>
  <c r="H6" i="16"/>
  <c r="M56" i="16" l="1"/>
  <c r="M53" i="16" s="1"/>
  <c r="K4" i="16"/>
  <c r="L4" i="16" s="1"/>
  <c r="K6" i="16" l="1"/>
  <c r="T22" i="5"/>
  <c r="T16" i="5" l="1"/>
  <c r="C8" i="20" l="1"/>
  <c r="T15" i="5"/>
  <c r="T17" i="5"/>
  <c r="B14" i="12"/>
  <c r="B7" i="12" s="1"/>
  <c r="B8" i="12" s="1"/>
  <c r="T14" i="5" l="1"/>
  <c r="C14" i="12"/>
  <c r="C7" i="12" s="1"/>
  <c r="C9" i="20"/>
  <c r="C7" i="20"/>
  <c r="C6" i="20" l="1"/>
  <c r="T13" i="5" l="1"/>
  <c r="C8" i="12"/>
  <c r="C5" i="20" l="1"/>
  <c r="I42" i="22" l="1"/>
  <c r="K42" i="22"/>
  <c r="J42" i="22"/>
  <c r="J38" i="22"/>
  <c r="X17" i="5" l="1"/>
  <c r="C17" i="5"/>
  <c r="X13" i="5"/>
  <c r="C13" i="5"/>
  <c r="K38" i="22"/>
  <c r="K41" i="22"/>
  <c r="I41" i="22"/>
  <c r="F4" i="22"/>
  <c r="I38" i="22"/>
  <c r="J41" i="22"/>
  <c r="F8" i="22"/>
  <c r="G8" i="22" s="1"/>
  <c r="I57" i="22"/>
  <c r="I49" i="22"/>
  <c r="F7" i="22" l="1"/>
  <c r="G7" i="22" s="1"/>
  <c r="I40" i="22"/>
  <c r="I53" i="22"/>
  <c r="I45" i="22"/>
  <c r="J49" i="22"/>
  <c r="J57" i="22"/>
  <c r="G4" i="22"/>
  <c r="I56" i="22"/>
  <c r="I48" i="22"/>
  <c r="J40" i="22"/>
  <c r="C16" i="5"/>
  <c r="X16" i="5"/>
  <c r="K40" i="22"/>
  <c r="J56" i="22" l="1"/>
  <c r="J48" i="22"/>
  <c r="I39" i="22"/>
  <c r="K49" i="22"/>
  <c r="K57" i="22"/>
  <c r="F5" i="22"/>
  <c r="J53" i="22"/>
  <c r="J45" i="22"/>
  <c r="J39" i="22"/>
  <c r="F6" i="22"/>
  <c r="G6" i="22" s="1"/>
  <c r="I47" i="22"/>
  <c r="I55" i="22"/>
  <c r="G5" i="22" l="1"/>
  <c r="G9" i="22" s="1"/>
  <c r="F9" i="22"/>
  <c r="K45" i="22"/>
  <c r="K53" i="22"/>
  <c r="I4" i="22" s="1"/>
  <c r="I46" i="22"/>
  <c r="I54" i="22"/>
  <c r="X14" i="5"/>
  <c r="C14" i="5"/>
  <c r="C10" i="18"/>
  <c r="J55" i="22"/>
  <c r="J47" i="22"/>
  <c r="K39" i="22"/>
  <c r="K48" i="22"/>
  <c r="K56" i="22"/>
  <c r="I7" i="22" s="1"/>
  <c r="J7" i="22" s="1"/>
  <c r="X25" i="5" s="1"/>
  <c r="L49" i="22"/>
  <c r="C15" i="5"/>
  <c r="X15" i="5"/>
  <c r="I8" i="22"/>
  <c r="J8" i="22" s="1"/>
  <c r="X26" i="5" s="1"/>
  <c r="K55" i="22" l="1"/>
  <c r="K47" i="22"/>
  <c r="J4" i="22"/>
  <c r="X22" i="5" s="1"/>
  <c r="I61" i="22"/>
  <c r="I58" i="22" s="1"/>
  <c r="I59" i="22"/>
  <c r="J46" i="22"/>
  <c r="J54" i="22"/>
  <c r="C25" i="5"/>
  <c r="J7" i="5" s="1"/>
  <c r="C26" i="5"/>
  <c r="K8" i="22"/>
  <c r="L48" i="22"/>
  <c r="K7" i="22" s="1"/>
  <c r="L45" i="22"/>
  <c r="I6" i="22" l="1"/>
  <c r="J6" i="22" s="1"/>
  <c r="X24" i="5" s="1"/>
  <c r="L47" i="22"/>
  <c r="B17" i="20"/>
  <c r="B26" i="20" s="1"/>
  <c r="S31" i="5"/>
  <c r="C7" i="5"/>
  <c r="J61" i="22"/>
  <c r="J58" i="22" s="1"/>
  <c r="J59" i="22"/>
  <c r="J8" i="5"/>
  <c r="S32" i="5" s="1"/>
  <c r="C8" i="5"/>
  <c r="K46" i="22"/>
  <c r="K54" i="22"/>
  <c r="K4" i="22"/>
  <c r="C22" i="5"/>
  <c r="B18" i="20"/>
  <c r="B27" i="20" s="1"/>
  <c r="C24" i="5" l="1"/>
  <c r="J6" i="5" s="1"/>
  <c r="K6" i="22"/>
  <c r="B33" i="20"/>
  <c r="B14" i="20"/>
  <c r="B23" i="20" s="1"/>
  <c r="K59" i="22"/>
  <c r="K61" i="22"/>
  <c r="L61" i="22" s="1"/>
  <c r="B16" i="20"/>
  <c r="B25" i="20" s="1"/>
  <c r="L46" i="22"/>
  <c r="C6" i="5"/>
  <c r="S30" i="5"/>
  <c r="B32" i="20"/>
  <c r="J4" i="5"/>
  <c r="S28" i="5" s="1"/>
  <c r="C4" i="5"/>
  <c r="I5" i="22"/>
  <c r="B31" i="20" l="1"/>
  <c r="L58" i="22"/>
  <c r="J5" i="22"/>
  <c r="X23" i="5" s="1"/>
  <c r="I9" i="22"/>
  <c r="K58" i="22"/>
  <c r="B29" i="20"/>
  <c r="K5" i="22" l="1"/>
  <c r="C23" i="5"/>
  <c r="J5" i="5" s="1"/>
  <c r="J9" i="22"/>
  <c r="B15" i="20" l="1"/>
  <c r="B24" i="20" s="1"/>
  <c r="C5" i="5"/>
  <c r="S29" i="5"/>
  <c r="B30" i="20" l="1"/>
  <c r="N31" i="24" l="1"/>
  <c r="F6" i="24" s="1"/>
  <c r="N32" i="24"/>
  <c r="F7" i="24" s="1"/>
  <c r="N29" i="24"/>
  <c r="F4" i="24" s="1"/>
  <c r="N33" i="24"/>
  <c r="F8" i="24" s="1"/>
  <c r="K48" i="24" l="1"/>
  <c r="K47" i="24"/>
  <c r="K49" i="24"/>
  <c r="L49" i="24"/>
  <c r="L48" i="24"/>
  <c r="N30" i="24"/>
  <c r="F5" i="24" s="1"/>
  <c r="F9" i="24" s="1"/>
  <c r="G8" i="24" l="1"/>
  <c r="H8" i="24" s="1"/>
  <c r="K64" i="24"/>
  <c r="K56" i="24"/>
  <c r="L45" i="24"/>
  <c r="K62" i="24"/>
  <c r="K54" i="24"/>
  <c r="G4" i="24"/>
  <c r="K45" i="24"/>
  <c r="G7" i="24"/>
  <c r="H7" i="24" s="1"/>
  <c r="K63" i="24"/>
  <c r="K55" i="24"/>
  <c r="L47" i="24" l="1"/>
  <c r="L62" i="24" s="1"/>
  <c r="G6" i="24"/>
  <c r="H6" i="24" s="1"/>
  <c r="H4" i="24"/>
  <c r="K60" i="24"/>
  <c r="K52" i="24"/>
  <c r="L54" i="24"/>
  <c r="L56" i="24"/>
  <c r="L64" i="24"/>
  <c r="J8" i="24" s="1"/>
  <c r="K8" i="24" s="1"/>
  <c r="Y26" i="5" s="1"/>
  <c r="K46" i="24"/>
  <c r="L63" i="24"/>
  <c r="J7" i="24" s="1"/>
  <c r="K7" i="24" s="1"/>
  <c r="Y25" i="5" s="1"/>
  <c r="L55" i="24"/>
  <c r="K19" i="24"/>
  <c r="J6" i="24" l="1"/>
  <c r="K6" i="24" s="1"/>
  <c r="Y24" i="5" s="1"/>
  <c r="M55" i="24"/>
  <c r="L7" i="24" s="1"/>
  <c r="K53" i="24"/>
  <c r="K61" i="24"/>
  <c r="K11" i="24"/>
  <c r="K14" i="24"/>
  <c r="K12" i="24"/>
  <c r="D26" i="5"/>
  <c r="K13" i="24"/>
  <c r="M56" i="24"/>
  <c r="L8" i="24" s="1"/>
  <c r="M64" i="24"/>
  <c r="M54" i="24"/>
  <c r="D25" i="5"/>
  <c r="L52" i="24"/>
  <c r="L60" i="24"/>
  <c r="D24" i="5" l="1"/>
  <c r="L6" i="24"/>
  <c r="K68" i="24"/>
  <c r="K65" i="24" s="1"/>
  <c r="G5" i="24"/>
  <c r="H5" i="24" s="1"/>
  <c r="H9" i="24" s="1"/>
  <c r="L19" i="24"/>
  <c r="L46" i="24"/>
  <c r="L61" i="24" s="1"/>
  <c r="J5" i="24" s="1"/>
  <c r="K66" i="24"/>
  <c r="J4" i="24"/>
  <c r="K4" i="24" s="1"/>
  <c r="Y22" i="5" s="1"/>
  <c r="M52" i="24"/>
  <c r="M60" i="24"/>
  <c r="K15" i="24"/>
  <c r="G9" i="24" l="1"/>
  <c r="L53" i="24"/>
  <c r="M53" i="24" s="1"/>
  <c r="J9" i="24"/>
  <c r="L66" i="24"/>
  <c r="D22" i="5"/>
  <c r="L68" i="24"/>
  <c r="K5" i="24"/>
  <c r="K9" i="24" s="1"/>
  <c r="M66" i="24"/>
  <c r="L4" i="24"/>
  <c r="Y23" i="5" l="1"/>
  <c r="D23" i="5"/>
  <c r="L5" i="24"/>
  <c r="M68" i="24"/>
  <c r="M65" i="24" s="1"/>
  <c r="L65" i="24"/>
  <c r="B11" i="19" l="1"/>
  <c r="Y16" i="5" l="1"/>
  <c r="D13" i="5"/>
  <c r="Y13" i="5"/>
  <c r="D17" i="5"/>
  <c r="Y17" i="5"/>
  <c r="D16" i="5" l="1"/>
  <c r="D7" i="5" s="1"/>
  <c r="C18" i="20"/>
  <c r="D8" i="5"/>
  <c r="K8" i="5"/>
  <c r="T32" i="5" s="1"/>
  <c r="C14" i="20"/>
  <c r="Y15" i="5"/>
  <c r="D15" i="5"/>
  <c r="K4" i="5"/>
  <c r="T28" i="5" s="1"/>
  <c r="D4" i="5"/>
  <c r="C17" i="20"/>
  <c r="K7" i="5" l="1"/>
  <c r="T31" i="5" s="1"/>
  <c r="F14" i="20"/>
  <c r="C23" i="20"/>
  <c r="D6" i="5"/>
  <c r="K6" i="5"/>
  <c r="T30" i="5" s="1"/>
  <c r="Y14" i="5"/>
  <c r="D14" i="5"/>
  <c r="C11" i="19"/>
  <c r="C16" i="20"/>
  <c r="F18" i="20"/>
  <c r="C27" i="20"/>
  <c r="C26" i="20"/>
  <c r="F17" i="20"/>
  <c r="F16" i="20" l="1"/>
  <c r="C25" i="20"/>
  <c r="C32" i="20"/>
  <c r="D5" i="5"/>
  <c r="K5" i="5"/>
  <c r="T29" i="5" s="1"/>
  <c r="C33" i="20"/>
  <c r="C15" i="20"/>
  <c r="C29" i="20"/>
  <c r="C24" i="20" l="1"/>
  <c r="F15" i="20"/>
  <c r="C31" i="20"/>
  <c r="C30" i="20" l="1"/>
  <c r="B13" i="8" l="1"/>
  <c r="B12" i="8"/>
  <c r="B14" i="8"/>
  <c r="B39" i="8" l="1"/>
  <c r="B11" i="8"/>
  <c r="B15" i="8" s="1"/>
  <c r="B33" i="8"/>
  <c r="B8" i="8"/>
  <c r="B9" i="8" s="1"/>
  <c r="E31" i="8" l="1"/>
  <c r="E7" i="8" l="1"/>
  <c r="C31" i="8" l="1"/>
  <c r="C7" i="8" l="1"/>
  <c r="D31" i="8"/>
  <c r="D7" i="8" l="1"/>
  <c r="F7" i="8" s="1"/>
  <c r="F31" i="8"/>
  <c r="G31" i="8" l="1"/>
  <c r="G7" i="8" l="1"/>
  <c r="E13" i="5" l="1"/>
  <c r="U13" i="5"/>
  <c r="D5" i="20" l="1"/>
  <c r="AB13" i="5"/>
  <c r="L4" i="5"/>
  <c r="U28" i="5" s="1"/>
  <c r="E4" i="5"/>
  <c r="H4" i="5" s="1"/>
  <c r="N4" i="5" l="1"/>
  <c r="B6" i="27"/>
  <c r="D6" i="27" s="1"/>
  <c r="D23" i="20"/>
  <c r="F5" i="20"/>
  <c r="E6" i="27" l="1"/>
  <c r="F23" i="20"/>
  <c r="D29" i="20"/>
  <c r="C36" i="8" l="1"/>
  <c r="C38" i="8"/>
  <c r="C37" i="8"/>
  <c r="C14" i="8" l="1"/>
  <c r="C13" i="8"/>
  <c r="C12" i="8"/>
  <c r="D37" i="8" l="1"/>
  <c r="D36" i="8"/>
  <c r="D38" i="8"/>
  <c r="D13" i="8" l="1"/>
  <c r="D14" i="8"/>
  <c r="D12" i="8"/>
  <c r="E36" i="8" l="1"/>
  <c r="E12" i="8" l="1"/>
  <c r="F12" i="8" s="1"/>
  <c r="F36" i="8"/>
  <c r="G36" i="8" s="1"/>
  <c r="G12" i="8" s="1"/>
  <c r="E38" i="8"/>
  <c r="E15" i="5" l="1"/>
  <c r="U15" i="5"/>
  <c r="E14" i="8"/>
  <c r="F14" i="8" s="1"/>
  <c r="F38" i="8"/>
  <c r="G38" i="8" s="1"/>
  <c r="G14" i="8" s="1"/>
  <c r="U17" i="5" l="1"/>
  <c r="E17" i="5"/>
  <c r="L8" i="5" s="1"/>
  <c r="D7" i="20"/>
  <c r="AB15" i="5"/>
  <c r="L6" i="5"/>
  <c r="U30" i="5" s="1"/>
  <c r="E6" i="5"/>
  <c r="H6" i="5" l="1"/>
  <c r="B8" i="27" s="1"/>
  <c r="D8" i="27" s="1"/>
  <c r="F7" i="20"/>
  <c r="D25" i="20"/>
  <c r="U32" i="5"/>
  <c r="E8" i="5"/>
  <c r="D9" i="20"/>
  <c r="AB17" i="5"/>
  <c r="E37" i="8"/>
  <c r="E8" i="27" l="1"/>
  <c r="N6" i="5"/>
  <c r="H8" i="5"/>
  <c r="B10" i="27" s="1"/>
  <c r="D10" i="27" s="1"/>
  <c r="D27" i="20"/>
  <c r="F9" i="20"/>
  <c r="E13" i="8"/>
  <c r="F13" i="8" s="1"/>
  <c r="F37" i="8"/>
  <c r="G37" i="8" s="1"/>
  <c r="G13" i="8" s="1"/>
  <c r="F25" i="20"/>
  <c r="G25" i="20" s="1"/>
  <c r="D31" i="20"/>
  <c r="E10" i="27" l="1"/>
  <c r="N8" i="5"/>
  <c r="U16" i="5"/>
  <c r="E16" i="5"/>
  <c r="E32" i="8"/>
  <c r="E35" i="8"/>
  <c r="F27" i="20"/>
  <c r="G27" i="20" s="1"/>
  <c r="D33" i="20"/>
  <c r="E39" i="8" l="1"/>
  <c r="E11" i="8"/>
  <c r="E15" i="8" s="1"/>
  <c r="E8" i="8"/>
  <c r="E9" i="8" s="1"/>
  <c r="E33" i="8"/>
  <c r="L7" i="5"/>
  <c r="U31" i="5" s="1"/>
  <c r="E7" i="5"/>
  <c r="AB16" i="5"/>
  <c r="D8" i="20"/>
  <c r="H7" i="5" l="1"/>
  <c r="B9" i="27" s="1"/>
  <c r="D9" i="27" s="1"/>
  <c r="D26" i="20"/>
  <c r="F8" i="20"/>
  <c r="E9" i="27" l="1"/>
  <c r="N7" i="5"/>
  <c r="F26" i="20"/>
  <c r="G26" i="20" s="1"/>
  <c r="D32" i="20"/>
  <c r="C35" i="8" l="1"/>
  <c r="C32" i="8"/>
  <c r="D35" i="8"/>
  <c r="D32" i="8"/>
  <c r="D8" i="8" l="1"/>
  <c r="D9" i="8" s="1"/>
  <c r="D33" i="8"/>
  <c r="D11" i="8"/>
  <c r="D15" i="8" s="1"/>
  <c r="D39" i="8"/>
  <c r="C8" i="8"/>
  <c r="F32" i="8"/>
  <c r="C33" i="8"/>
  <c r="C39" i="8"/>
  <c r="C11" i="8"/>
  <c r="F35" i="8"/>
  <c r="G32" i="8" l="1"/>
  <c r="F33" i="8"/>
  <c r="F8" i="8"/>
  <c r="F9" i="8" s="1"/>
  <c r="C9" i="8"/>
  <c r="G35" i="8"/>
  <c r="F39" i="8"/>
  <c r="C15" i="8"/>
  <c r="F11" i="8"/>
  <c r="F15" i="8" s="1"/>
  <c r="G39" i="8" l="1"/>
  <c r="G11" i="8"/>
  <c r="G8" i="8"/>
  <c r="G9" i="8" s="1"/>
  <c r="G33" i="8"/>
  <c r="U14" i="5" l="1"/>
  <c r="E14" i="5"/>
  <c r="G15" i="8"/>
  <c r="L5" i="5" l="1"/>
  <c r="U29" i="5" s="1"/>
  <c r="E5" i="5"/>
  <c r="D6" i="20"/>
  <c r="AB14" i="5"/>
  <c r="H5" i="5" l="1"/>
  <c r="D24" i="20"/>
  <c r="F6" i="20"/>
  <c r="N5" i="5" l="1"/>
  <c r="B7" i="27"/>
  <c r="D7" i="27" s="1"/>
  <c r="F24" i="20"/>
  <c r="G24" i="20" s="1"/>
  <c r="D30" i="20"/>
  <c r="E7" i="27" l="1"/>
</calcChain>
</file>

<file path=xl/sharedStrings.xml><?xml version="1.0" encoding="utf-8"?>
<sst xmlns="http://schemas.openxmlformats.org/spreadsheetml/2006/main" count="690" uniqueCount="223">
  <si>
    <t>Low Income</t>
  </si>
  <si>
    <t>Common/General</t>
  </si>
  <si>
    <t>Allocated Program Costs</t>
  </si>
  <si>
    <t>Over/(Under)</t>
  </si>
  <si>
    <t>PCR</t>
  </si>
  <si>
    <t>Allocations</t>
  </si>
  <si>
    <t>Total</t>
  </si>
  <si>
    <t>PPC</t>
  </si>
  <si>
    <t>Service Class</t>
  </si>
  <si>
    <t>FORECASTED</t>
  </si>
  <si>
    <t>TDR</t>
  </si>
  <si>
    <t>Interest</t>
  </si>
  <si>
    <t>CHECK</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</si>
  <si>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</si>
  <si>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</si>
  <si>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</si>
  <si>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</si>
  <si>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</si>
  <si>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</si>
  <si>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</si>
  <si>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</si>
  <si>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</si>
  <si>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</si>
  <si>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</si>
  <si>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</si>
  <si>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</si>
  <si>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</si>
  <si>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</si>
  <si>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</si>
  <si>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</si>
  <si>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</si>
  <si>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</si>
  <si>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</si>
  <si>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</si>
  <si>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</si>
  <si>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</si>
  <si>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</si>
  <si>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</si>
  <si>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</si>
  <si>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</si>
  <si>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</si>
  <si>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</si>
  <si>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</si>
  <si>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</si>
  <si>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</si>
  <si>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</si>
  <si>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</si>
  <si>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</si>
  <si>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</si>
  <si>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</si>
  <si>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</si>
  <si>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</si>
  <si>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</si>
  <si>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</si>
  <si>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</si>
  <si>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</si>
  <si>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</si>
  <si>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</si>
  <si>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</si>
  <si>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</si>
  <si>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</si>
  <si>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</si>
  <si>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Income-Eligible</t>
  </si>
  <si>
    <t>Cycle 2 Program Costs Reconciliation (PCR) Calculation</t>
  </si>
  <si>
    <t>Cycle 2 Throughput Disincentive TD Reconciliation (TDR) Calculation</t>
  </si>
  <si>
    <t>2. Actual Revenues - TD Only</t>
  </si>
  <si>
    <t>1. Actual/Forecasted TD</t>
  </si>
  <si>
    <t>Cycle 2 Projected Program Costs (PPC) Calculation</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</si>
  <si>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</si>
  <si>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</si>
  <si>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</si>
  <si>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</si>
  <si>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</si>
  <si>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</si>
  <si>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</si>
  <si>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</si>
  <si>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</si>
  <si>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</si>
  <si>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</si>
  <si>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</si>
  <si>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</si>
  <si>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</si>
  <si>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</si>
  <si>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</si>
  <si>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</si>
  <si>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</si>
  <si>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</si>
  <si>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</si>
  <si>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</si>
  <si>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</si>
  <si>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Cycle 1 Earnings Opportunity Reconciliation (EOR) Calculation</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</si>
  <si>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</si>
  <si>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</si>
  <si>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</si>
  <si>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</si>
  <si>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</si>
  <si>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</si>
  <si>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</si>
  <si>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3. Actual/Forecasted EO Amortization - Source:  None</t>
  </si>
  <si>
    <t>Res/Non-Res Allocation</t>
  </si>
  <si>
    <t>2. Carrying Costs on OA - Source: Calculated</t>
  </si>
  <si>
    <t>3. Monthly Short-Term Interest Rate</t>
  </si>
  <si>
    <t>OA-cycle 2</t>
  </si>
  <si>
    <t>OAR-cycle 2</t>
  </si>
  <si>
    <t>1.  Actual monthly EO - Source: None
    Forecasted monthly EO - Source: None</t>
  </si>
  <si>
    <t>6. Actual EO rate component of the tariff rate</t>
  </si>
  <si>
    <t>Cycle 2 Ordered Adjustments Reconciliation (OAR) Calculation</t>
  </si>
  <si>
    <t>Cycle 2 Ordered Adjustment (OA) Calculation</t>
  </si>
  <si>
    <t>1. Ordered Adjustment - None</t>
  </si>
  <si>
    <t>1. Ordered Adjustment - Source: None</t>
  </si>
  <si>
    <t>3. Monthly Short-Term Borrowing Rate - Source: None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</si>
  <si>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</si>
  <si>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</si>
  <si>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</si>
  <si>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</si>
  <si>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</si>
  <si>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</si>
  <si>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</si>
  <si>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</si>
  <si>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</si>
  <si>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</si>
  <si>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</si>
  <si>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</si>
  <si>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</si>
  <si>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</si>
  <si>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</si>
  <si>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</si>
  <si>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</si>
  <si>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3. Cycle 2 kWh Participation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</si>
  <si>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</si>
  <si>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</si>
  <si>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</si>
  <si>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</si>
  <si>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</si>
  <si>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</si>
  <si>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</si>
  <si>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</si>
  <si>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</si>
  <si>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</si>
  <si>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</si>
  <si>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</si>
  <si>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</si>
  <si>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</si>
  <si>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</si>
  <si>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</si>
  <si>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</si>
  <si>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</si>
  <si>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</si>
  <si>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</si>
  <si>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</si>
  <si>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</si>
  <si>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</si>
  <si>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</si>
  <si>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</si>
  <si>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</si>
  <si>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7. Cycle 2 kWh Participation - Source: Metro Cycle 2 TD Calc 042020 05102020.xlsx</t>
  </si>
  <si>
    <t>Cycle 3 Throughput Disincentive TD Reconciliation (TDR) Calculation</t>
  </si>
  <si>
    <t>Cycle 2 Earnings Opportunity Reconciliation (EOR) Calculation</t>
  </si>
  <si>
    <t>2. Actual monthly billed revenues by Residential/Non-Residential (EO revenues only) - Metro MEEIA 2019 Revenue Analysis.xlsx, Metro MEEIA 2020 Revenue Analysis.xlsx
Forecasted monthly billed revenues by Residential/Non-Residential (EO revenues only) - Source: calculated = Forecasted billed kWh sales X tariff rate</t>
  </si>
  <si>
    <t>1.  Actual monthly EO - Source: EO Cycle 2 tab column G divided by 12
    Forecasted monthly EO - Source: EO Cycle 2 tab column G divided by 12</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</si>
  <si>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</si>
  <si>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</si>
  <si>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</si>
  <si>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</si>
  <si>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</si>
  <si>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</si>
  <si>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</si>
  <si>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</si>
  <si>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</si>
  <si>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</si>
  <si>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</si>
  <si>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</si>
  <si>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</si>
  <si>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</si>
  <si>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</si>
  <si>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</si>
  <si>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</si>
  <si>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</si>
  <si>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</si>
  <si>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DSIM ($/kWh)</t>
  </si>
  <si>
    <t>3. Actual/Forecasted EO Amortization - Source:  EO Cycle 2 tab column G divided by 12</t>
  </si>
  <si>
    <t>Evergy Metro, Inc. - DSIM Rider Update Filed 12/01/2020</t>
  </si>
  <si>
    <t>Projections for Cycle 2 November 2020 - December 2021 DSIM</t>
  </si>
  <si>
    <t>Projections for Cycle 3 November 2020 - December 2021 DSIM</t>
  </si>
  <si>
    <t>Cumulative Over/Under Carryover From 06/01/2020 Filing</t>
  </si>
  <si>
    <t>Reverse May 2020 - July 2020  Forecast From 06/01/2020 Filing</t>
  </si>
  <si>
    <t>1. Actual monthly program costs by allocation bucket Residential, Non-Residential, Income-Eligible, Common/General) - Source: SI Projects Metro 052020-102020.xlsx
    Forecasted monthly program costs by allocation bucket - Source: None</t>
  </si>
  <si>
    <t>3. Actual monthly billed revenues by Residential/Non-Residential (program cost revenues only) - Metro MEEIA 2020 Revenue Analysis.xlsx
    Forecasted monthly billed revenues by Residential/Non-Residential (program cost revenues only) - Source: calculated = Forecasted billed kWh sales X tariff rate</t>
  </si>
  <si>
    <t>5. Monthly Short-Term Borrowing Rate - Source: Metro Short-Term Borrowing Rate May - October 2020.xlsx</t>
  </si>
  <si>
    <t>3. Cycle 2 kWh Participation - Source: Metro Cycle 2 TD Calc 102020 11042020.xlsx</t>
  </si>
  <si>
    <t>7. Cycle 2 kWh Participation - Source: Metro Cycle 2 TD Calc 102020 11042020.xlsx</t>
  </si>
  <si>
    <t>2. Forecasted program costs by allocation bucket (Residential, Non-Residential, Income-Eligible, Common/General) - Source: None</t>
  </si>
  <si>
    <t>2. Forecasted Throughput Disincentive - Source: Metro Cycle 2 Monthly TD Calc 102020 11042020.xlsx</t>
  </si>
  <si>
    <t>1. Forecasted Residential/Non-Residential kWh savings  - Source: Metro Cycle 2 Monthly TD Calc 102020 11042020.xlsx</t>
  </si>
  <si>
    <t>2. Actual monthly billed revenues by Residential/Non-Residential (TD revenues only) - Metro MEEIA 2020 Revenue Analysis.xlsx
Forecasted monthly billed revenues by Residential/Non-Residential (TD revenues only) - Source: calculated = Forecasted billed kWh sales X tariff rate</t>
  </si>
  <si>
    <t>6. Monthly Short-Term Borrowing Rate - Source: Metro Short-Term Borrowing Rate May - October 2020.xlsx</t>
  </si>
  <si>
    <t>3. Actual kWh Sales Impact - Source:  Metro Cycle 2 TD Calc 102020 11042020.xlsx
    Forecasted kWh Sales Impact - Source: Metro Cycle 2 TD Calc 102020 11042020.xlsx</t>
  </si>
  <si>
    <t>8. Cycle 2 kWh Participation - Source: Metro Cycle 2 TD Calc 102020 11042020.xlsx</t>
  </si>
  <si>
    <t>1. &amp; 4. Actual monthly TD - Source: Metro Cycle 2 TD Calc 102020 11042020.xlsx
    Forecasted monthly TD - Source: Metro Cycle 2 TD Calc 102020 11042020.xlsx</t>
  </si>
  <si>
    <t>2. Actual monthly billed revenues by Residential/Non-Residential (EO revenues only) - Metro MEEIA 2020 Revenue Analysis.xlsx
Forecasted monthly billed revenues by Residential/Non-Residential (EO revenues only) - Source: calculated = Forecasted billed kWh sales X tariff rate</t>
  </si>
  <si>
    <t>2. Forecasted program costs by customer class - Source: MEEIA Cycle 3 Forecast Metro 11102020.xlsx</t>
  </si>
  <si>
    <t>1. Actual monthly program costs by allocation bucket Residential, Non-Residential, Income-Eligible, Common/General) - Source: 05 2020 Metro Spend Allocations Worksheet.xlsx, 06 2020 Metro Spend Allocations Worksheet.xlsx, 07 2020 Metro Spend Allocations Worksheet.xlsx, 08 2020 Metro Spend Allocations Worksheet.xlsx, 09 2020 Metro Spend Allocations Worksheet.xlsx, 10 2020 Metro Spend Allocations Worksheet.xlsx
    Forecasted monthly program costs by allocation bucket - Source: MEEIA Cycle 3 Forecast Metro 11102020.xlsx</t>
  </si>
  <si>
    <t>1. Forecasted Residential/Non-Residential kWh savings  - Source: MEEIA Cycle 3 Forecast Metro 11102020.xlsx</t>
  </si>
  <si>
    <t>2. Forecasted Throughput Disincentive - Source: MEEIA Cycle 3 Forecast Metro 11102020.xlsx</t>
  </si>
  <si>
    <t>1. &amp; 4. Actual monthly TD - Source: Metro Cycle 3 Monthly TD Calc 102020 11042020.xlsx
    Forecasted monthly TD - Source: MEEIA Cycle 3 Forecast Metro 11102020.xlsx</t>
  </si>
  <si>
    <t>3. Actual kWh Sales Impact - Source:  Metro Cycle 3 Monthly TD Calc 102020 11042020.xlsx
    Forecasted kWh Sales Impact - Source: MEEIA Cycle 3 Forecast Metro 11102020.xlsx</t>
  </si>
  <si>
    <t>Cycle 2 - Total</t>
  </si>
  <si>
    <t>Cycle 2 - Program Years 1 to 3 (including EO TD Adjustments through March 2019)</t>
  </si>
  <si>
    <t>1. Total Earnings Opportunity - Source: Metro EO Calculation PY1-PY3 v2.xlsx, Metro EO Calculation PY4.xlsx</t>
  </si>
  <si>
    <t>2. EO TD Ex Post Gross Adjustment -  Source: TD Model Metro PY1-3 102020.xlsx, TD Model PY4 102020.xlsx</t>
  </si>
  <si>
    <t>3. EO TD NTG Adjustment -  Source: TD Model Metro PY1-3 102020.xlsx, TD Model PY4 102020.xlsx</t>
  </si>
  <si>
    <t>4. Carrying Costs @ AFUDC Rate -  Source: TD Model Metro PY1-3 102020.xlsx, TD Model PY4 102020.xlsx</t>
  </si>
  <si>
    <t>5. Total Earnings Opportunity plus Carrying Costs - Source: Sum of Columns 1. through 4.</t>
  </si>
  <si>
    <t>6. Amortization Over 24 Month Recovery Period - Source:Column 5  PY 1 - 3 divided by 2 (12 month recovery periods), PY 4 Column 5 divided by 24 times 11 (11 months of 2021)</t>
  </si>
  <si>
    <t>Proposed</t>
  </si>
  <si>
    <t>Current</t>
  </si>
  <si>
    <t>Change</t>
  </si>
  <si>
    <t>Monthly Bill Impact / 1,000 kWhs</t>
  </si>
  <si>
    <t>Cycle 2 - Program Year 4 (including EO TD Adjustments April 2019 to December 2021)</t>
  </si>
  <si>
    <t>1. Forecasted kWh by Residential/Non-Residential (Reduced for Opt-Out) - Source: Billed kWh Budget Metro 2020-2022.xlsx</t>
  </si>
  <si>
    <t>2. Actual monthly kWh billed sales by Residential/Non-Residential (reduced for opt-out) - Source: Metro MEEIA 2020 Revenue Analysis.xlsx
    Forecasted monthly kWh billed sales by Residential/Non-Residential (reduced for opt-out) - Source: Billed kWh Budget Metro 2020-2022.xlsx</t>
  </si>
  <si>
    <t>Retroactive Correction of TD Calculation (See Note A below)</t>
  </si>
  <si>
    <t xml:space="preserve">Note A: The NTG factors applied to the TD calculation in January through April 2020 for Business Standard (0.96) and Business Custom (0.92) programs were incorrect. The net impact of the correction is noted in this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</si>
</sst>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quot;$&quot;* #,##0.00_);_(&quot;$&quot;* \(#,##0.00\);_(&quot;$&quot;* &quot;-&quot;?????_);_(@_)"/>
    <numFmt numFmtId="177" formatCode="0.0%"/>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style="medium">
        <color indexed="64"/>
      </left>
      <right style="thin">
        <color rgb="FF7F7F7F"/>
      </right>
      <top/>
      <bottom style="medium">
        <color indexed="64"/>
      </bottom>
      <diagonal/>
    </border>
    <border>
      <left style="thin">
        <color rgb="FF7F7F7F"/>
      </left>
      <right style="thin">
        <color rgb="FF7F7F7F"/>
      </right>
      <top style="medium">
        <color indexed="64"/>
      </top>
      <bottom style="thin">
        <color rgb="FF7F7F7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rgb="FF7F7F7F"/>
      </left>
      <right style="medium">
        <color indexed="64"/>
      </right>
      <top style="medium">
        <color indexed="64"/>
      </top>
      <bottom style="thin">
        <color rgb="FF7F7F7F"/>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7" applyNumberFormat="0" applyFill="0" applyAlignment="0" applyProtection="0"/>
    <xf numFmtId="0" fontId="16" fillId="0" borderId="0" applyNumberFormat="0" applyFill="0" applyBorder="0" applyAlignment="0" applyProtection="0"/>
    <xf numFmtId="0" fontId="17" fillId="0" borderId="29" applyNumberFormat="0" applyFill="0" applyAlignment="0" applyProtection="0"/>
    <xf numFmtId="0" fontId="18" fillId="0" borderId="30" applyNumberFormat="0" applyFill="0" applyAlignment="0" applyProtection="0"/>
    <xf numFmtId="0" fontId="19" fillId="0" borderId="31"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2"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0">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43" fontId="6" fillId="6" borderId="2" xfId="1" applyFont="1" applyFill="1" applyBorder="1"/>
    <xf numFmtId="0" fontId="8" fillId="0" borderId="0" xfId="0" applyFont="1" applyAlignment="1">
      <alignment horizontal="right"/>
    </xf>
    <xf numFmtId="10" fontId="0" fillId="0" borderId="0" xfId="0" applyNumberFormat="1"/>
    <xf numFmtId="165" fontId="14" fillId="7" borderId="1" xfId="13" applyNumberFormat="1"/>
    <xf numFmtId="0" fontId="8" fillId="0" borderId="9" xfId="0" applyFont="1" applyBorder="1" applyAlignment="1">
      <alignment horizontal="right"/>
    </xf>
    <xf numFmtId="0" fontId="8" fillId="0" borderId="11" xfId="0" applyFont="1" applyBorder="1" applyAlignment="1">
      <alignment horizontal="right"/>
    </xf>
    <xf numFmtId="10" fontId="14" fillId="7" borderId="1" xfId="13" applyNumberFormat="1" applyBorder="1" applyAlignment="1">
      <alignment horizontal="center"/>
    </xf>
    <xf numFmtId="10" fontId="14" fillId="7" borderId="14" xfId="13" applyNumberFormat="1" applyBorder="1" applyAlignment="1">
      <alignment horizontal="center"/>
    </xf>
    <xf numFmtId="165" fontId="14" fillId="7" borderId="16" xfId="13" applyNumberFormat="1" applyBorder="1" applyAlignment="1">
      <alignment horizontal="center"/>
    </xf>
    <xf numFmtId="165" fontId="14" fillId="7" borderId="21" xfId="13" applyNumberFormat="1" applyBorder="1" applyAlignment="1">
      <alignment horizontal="center"/>
    </xf>
    <xf numFmtId="0" fontId="7" fillId="0" borderId="9" xfId="8" applyBorder="1" applyAlignment="1">
      <alignment horizontal="right"/>
    </xf>
    <xf numFmtId="0" fontId="8" fillId="0" borderId="25" xfId="0" applyFont="1" applyBorder="1" applyAlignment="1">
      <alignment horizontal="right"/>
    </xf>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6" xfId="6" applyNumberFormat="1" applyBorder="1" applyAlignment="1">
      <alignment horizontal="center"/>
    </xf>
    <xf numFmtId="165" fontId="5" fillId="5" borderId="21" xfId="6" applyNumberFormat="1" applyBorder="1" applyAlignment="1">
      <alignment horizontal="center"/>
    </xf>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8" xfId="0" applyBorder="1"/>
    <xf numFmtId="0" fontId="0" fillId="0" borderId="6" xfId="0" applyBorder="1"/>
    <xf numFmtId="0" fontId="0" fillId="0" borderId="0" xfId="0"/>
    <xf numFmtId="0" fontId="0" fillId="0" borderId="0" xfId="0"/>
    <xf numFmtId="165" fontId="0" fillId="0" borderId="0" xfId="0" applyNumberFormat="1"/>
    <xf numFmtId="0" fontId="8" fillId="0" borderId="0" xfId="0" applyFont="1" applyAlignment="1">
      <alignment horizontal="center"/>
    </xf>
    <xf numFmtId="165" fontId="14" fillId="7" borderId="33" xfId="13" applyNumberFormat="1" applyBorder="1"/>
    <xf numFmtId="44" fontId="6" fillId="6" borderId="34" xfId="7" applyNumberFormat="1" applyBorder="1"/>
    <xf numFmtId="44" fontId="6" fillId="6" borderId="35"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6" xfId="0" applyNumberFormat="1" applyBorder="1"/>
    <xf numFmtId="44" fontId="0" fillId="0" borderId="37"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0" fontId="8" fillId="0" borderId="0" xfId="0" applyFont="1" applyBorder="1" applyAlignment="1">
      <alignment horizontal="center" wrapText="1"/>
    </xf>
    <xf numFmtId="0" fontId="8" fillId="0" borderId="10" xfId="0" applyFont="1" applyBorder="1" applyAlignment="1">
      <alignment horizontal="center" wrapText="1"/>
    </xf>
    <xf numFmtId="41" fontId="5" fillId="5" borderId="13" xfId="6" applyNumberFormat="1" applyBorder="1"/>
    <xf numFmtId="41" fontId="5" fillId="5" borderId="1" xfId="6" applyNumberFormat="1" applyBorder="1"/>
    <xf numFmtId="165" fontId="4" fillId="4" borderId="39" xfId="11" applyNumberFormat="1" applyFont="1" applyFill="1" applyBorder="1"/>
    <xf numFmtId="3" fontId="4" fillId="4" borderId="39" xfId="5" applyNumberFormat="1" applyBorder="1"/>
    <xf numFmtId="165" fontId="4" fillId="4" borderId="38" xfId="5" applyNumberFormat="1" applyBorder="1"/>
    <xf numFmtId="165" fontId="4" fillId="4" borderId="39" xfId="5" applyNumberFormat="1" applyBorder="1"/>
    <xf numFmtId="41" fontId="4" fillId="4" borderId="39" xfId="5" applyNumberFormat="1" applyBorder="1"/>
    <xf numFmtId="165" fontId="4" fillId="4" borderId="40" xfId="5" applyNumberFormat="1" applyBorder="1"/>
    <xf numFmtId="165" fontId="4" fillId="4" borderId="40"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8" fillId="0" borderId="7" xfId="0" applyFont="1" applyBorder="1" applyAlignment="1">
      <alignment horizontal="right"/>
    </xf>
    <xf numFmtId="165" fontId="14" fillId="7" borderId="26" xfId="13" applyNumberFormat="1" applyBorder="1" applyAlignment="1">
      <alignment horizontal="center"/>
    </xf>
    <xf numFmtId="165" fontId="14" fillId="7" borderId="41" xfId="13" applyNumberFormat="1" applyBorder="1" applyAlignment="1">
      <alignment horizontal="center"/>
    </xf>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42" xfId="0" applyNumberFormat="1" applyBorder="1"/>
    <xf numFmtId="44" fontId="6" fillId="6" borderId="43"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5"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4" xfId="11" applyNumberFormat="1" applyFont="1" applyFill="1" applyBorder="1"/>
    <xf numFmtId="165" fontId="14" fillId="7" borderId="45" xfId="13" applyNumberFormat="1" applyBorder="1"/>
    <xf numFmtId="167" fontId="6" fillId="0" borderId="35" xfId="1" applyNumberFormat="1" applyFont="1" applyFill="1" applyBorder="1"/>
    <xf numFmtId="165" fontId="14" fillId="7" borderId="46" xfId="13" applyNumberFormat="1" applyBorder="1"/>
    <xf numFmtId="165" fontId="14" fillId="7" borderId="47" xfId="13" applyNumberFormat="1" applyBorder="1"/>
    <xf numFmtId="0" fontId="0" fillId="0" borderId="3" xfId="0" applyBorder="1" applyAlignment="1">
      <alignment horizontal="center" wrapText="1"/>
    </xf>
    <xf numFmtId="165" fontId="14" fillId="7" borderId="19" xfId="13" applyNumberFormat="1" applyBorder="1"/>
    <xf numFmtId="0" fontId="0" fillId="0" borderId="48" xfId="0" applyBorder="1"/>
    <xf numFmtId="165" fontId="5" fillId="5" borderId="23" xfId="6" applyNumberFormat="1" applyBorder="1"/>
    <xf numFmtId="165" fontId="5" fillId="5" borderId="49" xfId="11" applyNumberFormat="1" applyFont="1" applyFill="1" applyBorder="1"/>
    <xf numFmtId="165" fontId="14" fillId="7" borderId="23" xfId="13" applyNumberFormat="1" applyBorder="1"/>
    <xf numFmtId="44" fontId="6" fillId="6" borderId="50"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4" xfId="6" applyNumberFormat="1" applyFill="1" applyBorder="1"/>
    <xf numFmtId="41" fontId="14" fillId="7" borderId="1" xfId="13" applyNumberFormat="1"/>
    <xf numFmtId="41" fontId="6" fillId="6" borderId="2" xfId="7" applyNumberFormat="1"/>
    <xf numFmtId="165" fontId="4" fillId="4" borderId="51" xfId="11" applyNumberFormat="1" applyFont="1" applyFill="1" applyBorder="1"/>
    <xf numFmtId="3" fontId="4" fillId="4" borderId="51" xfId="5" applyNumberFormat="1" applyBorder="1"/>
    <xf numFmtId="165" fontId="4" fillId="4" borderId="53" xfId="5" applyNumberFormat="1" applyBorder="1"/>
    <xf numFmtId="165" fontId="4" fillId="4" borderId="51" xfId="5" applyNumberFormat="1" applyBorder="1"/>
    <xf numFmtId="41" fontId="4" fillId="4" borderId="51" xfId="5" applyNumberFormat="1" applyBorder="1"/>
    <xf numFmtId="165" fontId="4" fillId="4" borderId="53" xfId="11" applyNumberFormat="1" applyFont="1" applyFill="1" applyBorder="1"/>
    <xf numFmtId="0" fontId="8" fillId="0" borderId="0" xfId="0" applyFont="1" applyAlignment="1">
      <alignment horizontal="left" vertical="center" wrapText="1"/>
    </xf>
    <xf numFmtId="44" fontId="6" fillId="6" borderId="54"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5" xfId="5" applyNumberFormat="1" applyBorder="1"/>
    <xf numFmtId="41" fontId="4" fillId="4" borderId="56" xfId="5" applyNumberFormat="1" applyBorder="1"/>
    <xf numFmtId="165" fontId="4" fillId="4" borderId="56" xfId="5" applyNumberFormat="1" applyBorder="1"/>
    <xf numFmtId="165" fontId="4" fillId="4" borderId="57" xfId="11" applyNumberFormat="1" applyFont="1" applyFill="1" applyBorder="1"/>
    <xf numFmtId="165" fontId="14" fillId="7" borderId="52" xfId="13" applyNumberFormat="1" applyBorder="1"/>
    <xf numFmtId="44" fontId="6" fillId="6" borderId="58" xfId="7" applyNumberFormat="1" applyBorder="1"/>
    <xf numFmtId="44" fontId="6" fillId="6" borderId="59" xfId="7" applyNumberFormat="1" applyBorder="1"/>
    <xf numFmtId="165" fontId="5" fillId="5" borderId="14" xfId="6" applyNumberFormat="1" applyBorder="1"/>
    <xf numFmtId="0" fontId="7" fillId="0" borderId="10" xfId="8" applyBorder="1"/>
    <xf numFmtId="165" fontId="5" fillId="5" borderId="33"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60"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6" xfId="11" applyNumberFormat="1" applyFont="1" applyFill="1" applyBorder="1"/>
    <xf numFmtId="3" fontId="4" fillId="4" borderId="56" xfId="5" applyNumberFormat="1" applyBorder="1"/>
    <xf numFmtId="165" fontId="4" fillId="4" borderId="57"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3"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61" xfId="6" applyNumberFormat="1" applyBorder="1"/>
    <xf numFmtId="42" fontId="5" fillId="5" borderId="13" xfId="6" applyNumberFormat="1" applyBorder="1"/>
    <xf numFmtId="42" fontId="5" fillId="37" borderId="22" xfId="6" applyNumberFormat="1" applyFill="1" applyBorder="1"/>
    <xf numFmtId="41" fontId="5" fillId="5" borderId="62"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61" xfId="6" applyNumberFormat="1" applyFill="1" applyBorder="1"/>
    <xf numFmtId="41" fontId="5" fillId="0" borderId="61" xfId="6" applyNumberFormat="1" applyFill="1" applyBorder="1"/>
    <xf numFmtId="165" fontId="5" fillId="0" borderId="63" xfId="11" applyNumberFormat="1" applyFont="1" applyFill="1" applyBorder="1"/>
    <xf numFmtId="165" fontId="5" fillId="0" borderId="64" xfId="6" applyNumberFormat="1" applyFill="1" applyBorder="1"/>
    <xf numFmtId="0" fontId="0" fillId="0" borderId="65" xfId="0" applyFill="1" applyBorder="1"/>
    <xf numFmtId="44" fontId="0" fillId="0" borderId="65" xfId="0" applyNumberFormat="1" applyFill="1" applyBorder="1"/>
    <xf numFmtId="41" fontId="5" fillId="0" borderId="64" xfId="6" applyNumberFormat="1" applyFill="1" applyBorder="1"/>
    <xf numFmtId="165" fontId="5" fillId="0" borderId="65" xfId="6" applyNumberFormat="1" applyFill="1" applyBorder="1"/>
    <xf numFmtId="165" fontId="5" fillId="0" borderId="66" xfId="11" applyNumberFormat="1" applyFont="1" applyFill="1" applyBorder="1"/>
    <xf numFmtId="165" fontId="14" fillId="0" borderId="61" xfId="13" applyNumberFormat="1" applyFill="1" applyBorder="1"/>
    <xf numFmtId="44" fontId="6" fillId="0" borderId="68" xfId="7" applyNumberFormat="1" applyFill="1" applyBorder="1"/>
    <xf numFmtId="165" fontId="5" fillId="0" borderId="69" xfId="11" applyNumberFormat="1" applyFont="1" applyFill="1" applyBorder="1"/>
    <xf numFmtId="10" fontId="5" fillId="0" borderId="65" xfId="2" applyNumberFormat="1" applyFont="1" applyFill="1" applyBorder="1"/>
    <xf numFmtId="165" fontId="14" fillId="0" borderId="64" xfId="13" applyNumberFormat="1" applyFill="1" applyBorder="1"/>
    <xf numFmtId="171" fontId="0" fillId="0" borderId="65" xfId="0" applyNumberFormat="1" applyFill="1" applyBorder="1"/>
    <xf numFmtId="171" fontId="0" fillId="0" borderId="65" xfId="2" applyNumberFormat="1" applyFont="1" applyFill="1" applyBorder="1"/>
    <xf numFmtId="44" fontId="6" fillId="0" borderId="70" xfId="7" applyNumberFormat="1" applyFill="1" applyBorder="1"/>
    <xf numFmtId="0" fontId="0" fillId="0" borderId="65" xfId="0" applyBorder="1"/>
    <xf numFmtId="165" fontId="5" fillId="0" borderId="71" xfId="6" applyNumberFormat="1" applyFill="1" applyBorder="1"/>
    <xf numFmtId="0" fontId="0" fillId="39" borderId="67" xfId="0" applyFill="1" applyBorder="1" applyAlignment="1">
      <alignment horizontal="center" wrapText="1"/>
    </xf>
    <xf numFmtId="164" fontId="0" fillId="0" borderId="72"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4" xfId="12" applyNumberFormat="1" applyBorder="1"/>
    <xf numFmtId="42" fontId="14" fillId="7" borderId="73"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3" xfId="12" applyNumberFormat="1" applyBorder="1"/>
    <xf numFmtId="165" fontId="14" fillId="7" borderId="73" xfId="13" applyNumberFormat="1" applyBorder="1"/>
    <xf numFmtId="0" fontId="8" fillId="0" borderId="73"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5" xfId="13" applyNumberFormat="1" applyBorder="1"/>
    <xf numFmtId="165" fontId="14" fillId="7" borderId="76" xfId="13" applyNumberFormat="1" applyBorder="1"/>
    <xf numFmtId="44" fontId="14" fillId="7" borderId="22" xfId="13" applyNumberFormat="1" applyBorder="1"/>
    <xf numFmtId="44" fontId="14" fillId="7" borderId="1" xfId="13" applyNumberFormat="1" applyBorder="1"/>
    <xf numFmtId="41" fontId="14" fillId="7" borderId="73" xfId="13" applyNumberFormat="1" applyBorder="1"/>
    <xf numFmtId="0" fontId="8" fillId="0" borderId="0" xfId="0" applyFont="1" applyAlignment="1">
      <alignment horizontal="left"/>
    </xf>
    <xf numFmtId="172" fontId="40" fillId="0" borderId="6" xfId="0" applyNumberFormat="1" applyFont="1" applyBorder="1" applyAlignment="1">
      <alignment horizontal="right"/>
    </xf>
    <xf numFmtId="0" fontId="30" fillId="0" borderId="3" xfId="0" applyFont="1" applyBorder="1" applyAlignment="1">
      <alignment horizontal="center" vertical="center" wrapText="1"/>
    </xf>
    <xf numFmtId="170" fontId="10" fillId="0" borderId="6" xfId="0" applyNumberFormat="1" applyFont="1" applyBorder="1" applyAlignment="1">
      <alignment vertical="center"/>
    </xf>
    <xf numFmtId="176" fontId="10" fillId="0" borderId="6" xfId="0" applyNumberFormat="1" applyFont="1" applyBorder="1" applyAlignment="1">
      <alignment vertical="center"/>
    </xf>
    <xf numFmtId="170" fontId="40" fillId="0" borderId="4" xfId="0" applyNumberFormat="1" applyFont="1" applyFill="1" applyBorder="1" applyAlignment="1">
      <alignment vertical="center"/>
    </xf>
    <xf numFmtId="172" fontId="40" fillId="0" borderId="6" xfId="0" quotePrefix="1" applyNumberFormat="1" applyFont="1" applyFill="1" applyBorder="1" applyAlignment="1">
      <alignment horizontal="righ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170" fontId="36" fillId="0" borderId="4" xfId="0" applyNumberFormat="1" applyFont="1" applyFill="1" applyBorder="1" applyAlignment="1">
      <alignment vertical="center"/>
    </xf>
    <xf numFmtId="170" fontId="40" fillId="0" borderId="3" xfId="0" applyNumberFormat="1" applyFont="1" applyFill="1" applyBorder="1" applyAlignment="1">
      <alignment vertical="center"/>
    </xf>
    <xf numFmtId="0" fontId="9" fillId="0" borderId="0" xfId="0" applyFont="1" applyAlignment="1">
      <alignment horizontal="center" wrapText="1"/>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horizontal="left"/>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wrapText="1"/>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2.xml"/><Relationship Id="rId21" Type="http://schemas.openxmlformats.org/officeDocument/2006/relationships/externalLink" Target="externalLinks/externalLink5.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aseworks/376/DataRequests/29417/Library/Red%20Lines/Billed%20kWh%20Budget%20Metro%20Missouri%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caseworks/376/DataRequests/29417/Library/Red%20Lines/08%202020%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seworks/376/DataRequests/29417/Library/Red%20Lines/09%202020%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caseworks/376/DataRequests/29417/Library/Red%20Lines/10%202020%20Metro%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Cycle%203%20Monthly%20TD%20Calc%20102020%201104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EO%20Calculation%20PY1-PY3%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caseworks/376/DataRequests/29417/Library/Red%20Lines/TD%20Model%20Metro%20PY1-3%2010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EO%20Calculation%20PY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caseworks/376/DataRequests/29417/Library/Red%20Lines/TD%20Model%20Metro%20PY4%201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Cycle%202%20TD%20Calc%20102020%201104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aseworks/376/DataRequests/29417/Library/Red%20Lines/MEEIA%20Cycle%203%20Forecast%20Metro%20111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aseworks/376/DataRequests/29417/Library/Red%20Lines/SI%20Projects%20Metro%20052020-1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MEEIA%202020%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seworks/376/DataRequests/29417/Library/Red%20Lines/Metro%20Short-Term%20Borrowing%20Rate%20May%20-%20October%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aseworks/376/DataRequests/29417/Library/Red%20Lines/05%202020%20Metro%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caseworks/376/DataRequests/29417/Library/Red%20Lines/06%202020%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caseworks/376/DataRequests/29417/Library/Red%20Lines/07%202020%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M24">
            <v>157888109</v>
          </cell>
          <cell r="N24">
            <v>229944864</v>
          </cell>
          <cell r="O24">
            <v>263839272</v>
          </cell>
        </row>
        <row r="25">
          <cell r="M25">
            <v>29639799</v>
          </cell>
          <cell r="N25">
            <v>32332411</v>
          </cell>
          <cell r="O25">
            <v>34216291</v>
          </cell>
        </row>
        <row r="26">
          <cell r="M26">
            <v>84412821</v>
          </cell>
          <cell r="N26">
            <v>92081260</v>
          </cell>
          <cell r="O26">
            <v>97446467</v>
          </cell>
        </row>
        <row r="27">
          <cell r="M27">
            <v>130888538</v>
          </cell>
          <cell r="N27">
            <v>142779039</v>
          </cell>
          <cell r="O27">
            <v>151098203</v>
          </cell>
        </row>
        <row r="28">
          <cell r="M28">
            <v>39594717</v>
          </cell>
          <cell r="N28">
            <v>43191678</v>
          </cell>
          <cell r="O28">
            <v>45708285</v>
          </cell>
        </row>
        <row r="36">
          <cell r="G36">
            <v>1235783382</v>
          </cell>
          <cell r="H36">
            <v>1376490271</v>
          </cell>
        </row>
        <row r="37">
          <cell r="G37">
            <v>200474322</v>
          </cell>
          <cell r="H37">
            <v>209425996</v>
          </cell>
        </row>
        <row r="38">
          <cell r="G38">
            <v>570941905</v>
          </cell>
          <cell r="H38">
            <v>596435867</v>
          </cell>
        </row>
        <row r="39">
          <cell r="G39">
            <v>885289109</v>
          </cell>
          <cell r="H39">
            <v>924819447</v>
          </cell>
        </row>
        <row r="40">
          <cell r="G40">
            <v>267806273</v>
          </cell>
          <cell r="H40">
            <v>279764484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0 09082020"/>
      <sheetName val="Input"/>
      <sheetName val="Program Descriptions"/>
    </sheetNames>
    <sheetDataSet>
      <sheetData sheetId="0">
        <row r="28">
          <cell r="N28">
            <v>38650.35</v>
          </cell>
          <cell r="O28">
            <v>236804.42000000004</v>
          </cell>
          <cell r="P28">
            <v>118157.03</v>
          </cell>
          <cell r="Q28">
            <v>28580.900000000005</v>
          </cell>
          <cell r="R28">
            <v>556837.92000000016</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0 10062020"/>
      <sheetName val="Input"/>
      <sheetName val="Program Descriptions"/>
    </sheetNames>
    <sheetDataSet>
      <sheetData sheetId="0">
        <row r="28">
          <cell r="N28">
            <v>504671.18000000005</v>
          </cell>
          <cell r="O28">
            <v>58821.39</v>
          </cell>
          <cell r="P28">
            <v>536729.33000000007</v>
          </cell>
          <cell r="Q28">
            <v>166471.79999999999</v>
          </cell>
          <cell r="R28">
            <v>27878.549999999937</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0 11062020"/>
      <sheetName val="Input"/>
      <sheetName val="Program Descriptions"/>
    </sheetNames>
    <sheetDataSet>
      <sheetData sheetId="0">
        <row r="28">
          <cell r="N28">
            <v>1028319.5299999998</v>
          </cell>
          <cell r="O28">
            <v>33354.78</v>
          </cell>
          <cell r="P28">
            <v>126318.39</v>
          </cell>
          <cell r="Q28">
            <v>562174.85</v>
          </cell>
          <cell r="R28">
            <v>8045.9200000000455</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I460">
            <v>1391683.3893753563</v>
          </cell>
          <cell r="J460">
            <v>1505856.1299047521</v>
          </cell>
          <cell r="K460">
            <v>2223856.6986981365</v>
          </cell>
          <cell r="L460">
            <v>2332180.5626858207</v>
          </cell>
          <cell r="M460">
            <v>2850817.1697129281</v>
          </cell>
          <cell r="N460">
            <v>2833233.8806195324</v>
          </cell>
        </row>
        <row r="461">
          <cell r="I461">
            <v>137309.3502183666</v>
          </cell>
          <cell r="J461">
            <v>134326.87040726867</v>
          </cell>
          <cell r="K461">
            <v>155325.52880339391</v>
          </cell>
          <cell r="L461">
            <v>165176.75262612797</v>
          </cell>
          <cell r="M461">
            <v>164103.20645683134</v>
          </cell>
          <cell r="N461">
            <v>187712.78566910056</v>
          </cell>
        </row>
        <row r="462">
          <cell r="I462">
            <v>43918.872294487956</v>
          </cell>
          <cell r="J462">
            <v>76085.181026785096</v>
          </cell>
          <cell r="K462">
            <v>179560.43235735432</v>
          </cell>
          <cell r="L462">
            <v>303029.87333803601</v>
          </cell>
          <cell r="M462">
            <v>426321.15252677357</v>
          </cell>
          <cell r="N462">
            <v>604573.93603385962</v>
          </cell>
        </row>
        <row r="463">
          <cell r="I463">
            <v>94442.851434994445</v>
          </cell>
          <cell r="J463">
            <v>179579.23587479052</v>
          </cell>
          <cell r="K463">
            <v>266876.33061288658</v>
          </cell>
          <cell r="L463">
            <v>285041.42332059384</v>
          </cell>
          <cell r="M463">
            <v>344982.83047808195</v>
          </cell>
          <cell r="N463">
            <v>602032.34948596684</v>
          </cell>
        </row>
        <row r="464">
          <cell r="I464">
            <v>17206.493354693233</v>
          </cell>
          <cell r="J464">
            <v>16792.87235835729</v>
          </cell>
          <cell r="K464">
            <v>21292.468767684579</v>
          </cell>
          <cell r="L464">
            <v>19808.769014508867</v>
          </cell>
          <cell r="M464">
            <v>22674.189198442371</v>
          </cell>
          <cell r="N464">
            <v>28547.661232382256</v>
          </cell>
        </row>
        <row r="562">
          <cell r="I562">
            <v>109115.48999999999</v>
          </cell>
          <cell r="J562">
            <v>171894.53</v>
          </cell>
          <cell r="K562">
            <v>259797.53000000003</v>
          </cell>
          <cell r="L562">
            <v>269774.76999999996</v>
          </cell>
          <cell r="M562">
            <v>326631.82</v>
          </cell>
          <cell r="N562">
            <v>192534.72</v>
          </cell>
        </row>
        <row r="563">
          <cell r="I563">
            <v>10733.08</v>
          </cell>
          <cell r="J563">
            <v>13361.68</v>
          </cell>
          <cell r="K563">
            <v>14806.49</v>
          </cell>
          <cell r="L563">
            <v>15713.210000000001</v>
          </cell>
          <cell r="M563">
            <v>15841.87</v>
          </cell>
          <cell r="N563">
            <v>14023.830000000002</v>
          </cell>
        </row>
        <row r="564">
          <cell r="I564">
            <v>2414.48</v>
          </cell>
          <cell r="J564">
            <v>5382.8099999999995</v>
          </cell>
          <cell r="K564">
            <v>12035.179999999998</v>
          </cell>
          <cell r="L564">
            <v>19510.080000000002</v>
          </cell>
          <cell r="M564">
            <v>27194.639999999999</v>
          </cell>
          <cell r="N564">
            <v>27657.309999999998</v>
          </cell>
        </row>
        <row r="565">
          <cell r="I565">
            <v>3391.2599999999998</v>
          </cell>
          <cell r="J565">
            <v>8141.16</v>
          </cell>
          <cell r="K565">
            <v>11965.62</v>
          </cell>
          <cell r="L565">
            <v>12227.960000000001</v>
          </cell>
          <cell r="M565">
            <v>13795.849999999999</v>
          </cell>
          <cell r="N565">
            <v>17188.579999999998</v>
          </cell>
        </row>
        <row r="566">
          <cell r="I566">
            <v>456.96000000000004</v>
          </cell>
          <cell r="J566">
            <v>623.86</v>
          </cell>
          <cell r="K566">
            <v>1121.76</v>
          </cell>
          <cell r="L566">
            <v>830</v>
          </cell>
          <cell r="M566">
            <v>737.02</v>
          </cell>
          <cell r="N566">
            <v>573.13</v>
          </cell>
        </row>
        <row r="639">
          <cell r="H639">
            <v>0</v>
          </cell>
        </row>
        <row r="640">
          <cell r="H640">
            <v>-248.60999999999922</v>
          </cell>
        </row>
        <row r="641">
          <cell r="H641">
            <v>13.839999999999975</v>
          </cell>
        </row>
        <row r="642">
          <cell r="H642">
            <v>28.340000000000032</v>
          </cell>
        </row>
        <row r="643">
          <cell r="H643">
            <v>2.589999999999975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Jnl"/>
      <sheetName val="EM&amp;V Inputs"/>
      <sheetName val="kW Actuals (Gross)"/>
    </sheetNames>
    <sheetDataSet>
      <sheetData sheetId="0">
        <row r="1">
          <cell r="U1">
            <v>2016</v>
          </cell>
        </row>
      </sheetData>
      <sheetData sheetId="1"/>
      <sheetData sheetId="2">
        <row r="370">
          <cell r="AL370">
            <v>-1041427.6034010574</v>
          </cell>
          <cell r="BE370">
            <v>-694726.81018685759</v>
          </cell>
          <cell r="BS370">
            <v>-377882.06622358249</v>
          </cell>
        </row>
        <row r="371">
          <cell r="AL371">
            <v>-37272.289999999964</v>
          </cell>
          <cell r="BE371">
            <v>-10997.939999999999</v>
          </cell>
          <cell r="BS371">
            <v>-6495.5699999999924</v>
          </cell>
        </row>
        <row r="372">
          <cell r="AL372">
            <v>122147.32999999999</v>
          </cell>
          <cell r="BE372">
            <v>157547.77000000002</v>
          </cell>
          <cell r="BS372">
            <v>106911.15</v>
          </cell>
        </row>
        <row r="373">
          <cell r="AL373">
            <v>169641.43999999994</v>
          </cell>
          <cell r="BE373">
            <v>94756.98</v>
          </cell>
          <cell r="BS373">
            <v>63360.95</v>
          </cell>
        </row>
        <row r="374">
          <cell r="AL374">
            <v>34067.5</v>
          </cell>
          <cell r="BE374">
            <v>173391.59999999998</v>
          </cell>
          <cell r="BS374">
            <v>124450.89</v>
          </cell>
        </row>
        <row r="375">
          <cell r="AL375">
            <v>288583.98</v>
          </cell>
        </row>
      </sheetData>
      <sheetData sheetId="3">
        <row r="384">
          <cell r="AL384">
            <v>537465.77340105746</v>
          </cell>
          <cell r="BE384">
            <v>-925832.85981314245</v>
          </cell>
          <cell r="BS384">
            <v>-646599.65377641749</v>
          </cell>
        </row>
        <row r="385">
          <cell r="AL385">
            <v>101225.01999999997</v>
          </cell>
          <cell r="BE385">
            <v>-272534.92</v>
          </cell>
          <cell r="BS385">
            <v>-190733.81000000006</v>
          </cell>
        </row>
        <row r="386">
          <cell r="AL386">
            <v>340699.47000000009</v>
          </cell>
          <cell r="BE386">
            <v>-149567.88</v>
          </cell>
          <cell r="BS386">
            <v>-103379.37</v>
          </cell>
        </row>
        <row r="387">
          <cell r="AL387">
            <v>191871.41999999998</v>
          </cell>
          <cell r="BE387">
            <v>-169959.09999999995</v>
          </cell>
          <cell r="BS387">
            <v>-117395.95999999999</v>
          </cell>
        </row>
        <row r="388">
          <cell r="AL388">
            <v>28892.499999999996</v>
          </cell>
          <cell r="BE388">
            <v>-64266.69</v>
          </cell>
          <cell r="BS388">
            <v>-45473.929999999993</v>
          </cell>
        </row>
        <row r="389">
          <cell r="AL389">
            <v>662688.41</v>
          </cell>
        </row>
      </sheetData>
      <sheetData sheetId="4"/>
      <sheetData sheetId="5">
        <row r="63">
          <cell r="AL63">
            <v>11386.110000000004</v>
          </cell>
          <cell r="BE63">
            <v>-101739.62000000001</v>
          </cell>
        </row>
        <row r="64">
          <cell r="AL64">
            <v>4637.5600000000004</v>
          </cell>
          <cell r="BE64">
            <v>-6666.29</v>
          </cell>
        </row>
        <row r="65">
          <cell r="AL65">
            <v>19663.030000000002</v>
          </cell>
          <cell r="BE65">
            <v>34896.990000000005</v>
          </cell>
        </row>
        <row r="66">
          <cell r="AL66">
            <v>15454.890000000001</v>
          </cell>
          <cell r="BE66">
            <v>23935.109999999997</v>
          </cell>
        </row>
        <row r="67">
          <cell r="AL67">
            <v>1656.6799999999998</v>
          </cell>
          <cell r="BE67">
            <v>9086.5399999999991</v>
          </cell>
        </row>
        <row r="68">
          <cell r="AL68">
            <v>41412.160000000003</v>
          </cell>
          <cell r="BE68">
            <v>61252.35</v>
          </cell>
        </row>
      </sheetData>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4 Update"/>
      <sheetName val="EO Matrix @Meter"/>
      <sheetName val="PY4 Final EM&amp;V"/>
    </sheetNames>
    <sheetDataSet>
      <sheetData sheetId="0"/>
      <sheetData sheetId="1">
        <row r="18">
          <cell r="S18">
            <v>1266045.8400000001</v>
          </cell>
          <cell r="W18">
            <v>124816.68000000001</v>
          </cell>
          <cell r="X18">
            <v>390572.25</v>
          </cell>
          <cell r="Y18">
            <v>546171.26</v>
          </cell>
          <cell r="Z18">
            <v>84699.91</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EM&amp;V Inputs"/>
      <sheetName val="kW Actuals (Gross)"/>
    </sheetNames>
    <sheetDataSet>
      <sheetData sheetId="0" refreshError="1"/>
      <sheetData sheetId="1" refreshError="1"/>
      <sheetData sheetId="2">
        <row r="370">
          <cell r="BE370">
            <v>348248.03596538526</v>
          </cell>
          <cell r="BS370">
            <v>462675.89503260842</v>
          </cell>
        </row>
        <row r="371">
          <cell r="BE371">
            <v>-7814.8500000000076</v>
          </cell>
          <cell r="BS371">
            <v>-6382.320000000007</v>
          </cell>
        </row>
        <row r="372">
          <cell r="BE372">
            <v>-12243.369999999977</v>
          </cell>
          <cell r="BS372">
            <v>-8577.5399999999718</v>
          </cell>
        </row>
        <row r="373">
          <cell r="BE373">
            <v>-30357.180000000015</v>
          </cell>
          <cell r="BS373">
            <v>-23144.730000000025</v>
          </cell>
        </row>
        <row r="374">
          <cell r="BE374">
            <v>20419.699999999997</v>
          </cell>
          <cell r="BS374">
            <v>17504.579999999998</v>
          </cell>
        </row>
      </sheetData>
      <sheetData sheetId="3">
        <row r="384">
          <cell r="BE384">
            <v>-11312.68596538523</v>
          </cell>
          <cell r="BS384">
            <v>-190551.9250326085</v>
          </cell>
        </row>
        <row r="385">
          <cell r="BE385">
            <v>6418.280000000007</v>
          </cell>
          <cell r="BS385">
            <v>5749.5500000000102</v>
          </cell>
        </row>
        <row r="386">
          <cell r="BE386">
            <v>27424.559999999965</v>
          </cell>
          <cell r="BS386">
            <v>24226.459999999955</v>
          </cell>
        </row>
        <row r="387">
          <cell r="BE387">
            <v>9142.860000000017</v>
          </cell>
          <cell r="BS387">
            <v>8020.1500000000269</v>
          </cell>
        </row>
        <row r="388">
          <cell r="BE388">
            <v>-20846.180000000008</v>
          </cell>
          <cell r="BS388">
            <v>-17043.3</v>
          </cell>
        </row>
      </sheetData>
      <sheetData sheetId="4" refreshError="1"/>
      <sheetData sheetId="5">
        <row r="62">
          <cell r="BE62">
            <v>12227.150000000001</v>
          </cell>
        </row>
        <row r="63">
          <cell r="BE63">
            <v>-81.699999999999989</v>
          </cell>
        </row>
        <row r="64">
          <cell r="BE64">
            <v>435.66999999999996</v>
          </cell>
        </row>
        <row r="65">
          <cell r="BE65">
            <v>-858.83999999999992</v>
          </cell>
        </row>
        <row r="66">
          <cell r="BE66">
            <v>-40.730000000000004</v>
          </cell>
        </row>
        <row r="67">
          <cell r="BE67">
            <v>-545.59999999999991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0.13576441564001979</v>
          </cell>
          <cell r="CZ44">
            <v>0.35611574316442379</v>
          </cell>
          <cell r="DA44">
            <v>0.4183185730547726</v>
          </cell>
          <cell r="DB44">
            <v>8.9801268140783777E-2</v>
          </cell>
        </row>
        <row r="285">
          <cell r="AZ285">
            <v>3370413.5458254805</v>
          </cell>
          <cell r="BA285">
            <v>3266081.7171445102</v>
          </cell>
          <cell r="BB285">
            <v>3680422.2557181921</v>
          </cell>
          <cell r="BC285">
            <v>3515394.0907785045</v>
          </cell>
          <cell r="BD285">
            <v>3065941.0702093444</v>
          </cell>
          <cell r="BE285">
            <v>3188466.8000968723</v>
          </cell>
          <cell r="BF285">
            <v>3066562.9817966414</v>
          </cell>
          <cell r="BG285">
            <v>3662309.1959070778</v>
          </cell>
          <cell r="BH285">
            <v>3670317.7984049888</v>
          </cell>
          <cell r="BI285">
            <v>3305717.5520906802</v>
          </cell>
          <cell r="BJ285">
            <v>3281805.3874220303</v>
          </cell>
          <cell r="BK285">
            <v>3159237.1988244001</v>
          </cell>
          <cell r="BL285">
            <v>3370413.5458254805</v>
          </cell>
          <cell r="BM285">
            <v>3266081.7171445102</v>
          </cell>
          <cell r="BN285">
            <v>3680422.2557181921</v>
          </cell>
          <cell r="BO285">
            <v>3515394.0907785045</v>
          </cell>
          <cell r="BP285">
            <v>3065941.0702093444</v>
          </cell>
          <cell r="BQ285">
            <v>3188466.8000968723</v>
          </cell>
          <cell r="BR285">
            <v>3066562.9817966414</v>
          </cell>
          <cell r="BS285">
            <v>3662309.1959070778</v>
          </cell>
        </row>
        <row r="286">
          <cell r="AZ286">
            <v>556499.47614329192</v>
          </cell>
          <cell r="BA286">
            <v>546992.58507852885</v>
          </cell>
          <cell r="BB286">
            <v>563211.1824736062</v>
          </cell>
          <cell r="BC286">
            <v>575288.93952046824</v>
          </cell>
          <cell r="BD286">
            <v>521940.09533534345</v>
          </cell>
          <cell r="BE286">
            <v>550893.96566210699</v>
          </cell>
          <cell r="BF286">
            <v>519241.44169683417</v>
          </cell>
          <cell r="BG286">
            <v>517792.72147182899</v>
          </cell>
          <cell r="BH286">
            <v>546257.46031236276</v>
          </cell>
          <cell r="BI286">
            <v>496691.12885422038</v>
          </cell>
          <cell r="BJ286">
            <v>556097.3657622321</v>
          </cell>
          <cell r="BK286">
            <v>524405.96288920077</v>
          </cell>
          <cell r="BL286">
            <v>556499.47614329192</v>
          </cell>
          <cell r="BM286">
            <v>546992.58507852885</v>
          </cell>
          <cell r="BN286">
            <v>563211.1824736062</v>
          </cell>
          <cell r="BO286">
            <v>575288.93952046824</v>
          </cell>
          <cell r="BP286">
            <v>521940.09533534345</v>
          </cell>
          <cell r="BQ286">
            <v>550893.96566210699</v>
          </cell>
          <cell r="BR286">
            <v>519241.44169683417</v>
          </cell>
          <cell r="BS286">
            <v>517792.72147182899</v>
          </cell>
        </row>
        <row r="287">
          <cell r="AZ287">
            <v>2051435.6097464242</v>
          </cell>
          <cell r="BA287">
            <v>2034680.2422364058</v>
          </cell>
          <cell r="BB287">
            <v>2100193.7252263715</v>
          </cell>
          <cell r="BC287">
            <v>2134682.8023906159</v>
          </cell>
          <cell r="BD287">
            <v>1939903.2451075946</v>
          </cell>
          <cell r="BE287">
            <v>2014354.5312926706</v>
          </cell>
          <cell r="BF287">
            <v>1902188.3875856276</v>
          </cell>
          <cell r="BG287">
            <v>1896713.2328896965</v>
          </cell>
          <cell r="BH287">
            <v>1998762.7110877649</v>
          </cell>
          <cell r="BI287">
            <v>1812660.5122951441</v>
          </cell>
          <cell r="BJ287">
            <v>2044973.9453570289</v>
          </cell>
          <cell r="BK287">
            <v>1934325.6695846934</v>
          </cell>
          <cell r="BL287">
            <v>2051435.6097464242</v>
          </cell>
          <cell r="BM287">
            <v>2034680.2422364058</v>
          </cell>
          <cell r="BN287">
            <v>2100193.7252263715</v>
          </cell>
          <cell r="BO287">
            <v>2134682.8023906159</v>
          </cell>
          <cell r="BP287">
            <v>1939903.2451075946</v>
          </cell>
          <cell r="BQ287">
            <v>2014354.5312926706</v>
          </cell>
          <cell r="BR287">
            <v>1902188.3875856276</v>
          </cell>
          <cell r="BS287">
            <v>1896713.2328896965</v>
          </cell>
        </row>
        <row r="288">
          <cell r="AZ288">
            <v>2991661.3414560268</v>
          </cell>
          <cell r="BA288">
            <v>2941625.7665488054</v>
          </cell>
          <cell r="BB288">
            <v>3026421.3147310298</v>
          </cell>
          <cell r="BC288">
            <v>3087695.406693608</v>
          </cell>
          <cell r="BD288">
            <v>2808644.072664205</v>
          </cell>
          <cell r="BE288">
            <v>2956303.3048945833</v>
          </cell>
          <cell r="BF288">
            <v>2788695.0613562055</v>
          </cell>
          <cell r="BG288">
            <v>2780898.9069368993</v>
          </cell>
          <cell r="BH288">
            <v>2932655.5697997292</v>
          </cell>
          <cell r="BI288">
            <v>2664302.9772219518</v>
          </cell>
          <cell r="BJ288">
            <v>2990023.4024577467</v>
          </cell>
          <cell r="BK288">
            <v>2822497.4988393728</v>
          </cell>
          <cell r="BL288">
            <v>2991661.3414560268</v>
          </cell>
          <cell r="BM288">
            <v>2941625.7665488054</v>
          </cell>
          <cell r="BN288">
            <v>3026421.3147310298</v>
          </cell>
          <cell r="BO288">
            <v>3087695.406693608</v>
          </cell>
          <cell r="BP288">
            <v>2808644.072664205</v>
          </cell>
          <cell r="BQ288">
            <v>2956303.3048945833</v>
          </cell>
          <cell r="BR288">
            <v>2788695.0613562055</v>
          </cell>
          <cell r="BS288">
            <v>2780898.9069368993</v>
          </cell>
        </row>
        <row r="289">
          <cell r="AZ289">
            <v>629016.14873591927</v>
          </cell>
          <cell r="BA289">
            <v>610341.14270159625</v>
          </cell>
          <cell r="BB289">
            <v>625162.41647787194</v>
          </cell>
          <cell r="BC289">
            <v>640902.78208922653</v>
          </cell>
          <cell r="BD289">
            <v>585000.13350031408</v>
          </cell>
          <cell r="BE289">
            <v>627474.44586290943</v>
          </cell>
          <cell r="BF289">
            <v>591300.97023510153</v>
          </cell>
          <cell r="BG289">
            <v>590013.94408156979</v>
          </cell>
          <cell r="BH289">
            <v>622361.83728781843</v>
          </cell>
          <cell r="BI289">
            <v>566446.16349277867</v>
          </cell>
          <cell r="BJ289">
            <v>630750.72616422456</v>
          </cell>
          <cell r="BK289">
            <v>594515.60397069028</v>
          </cell>
          <cell r="BL289">
            <v>629016.14873591927</v>
          </cell>
          <cell r="BM289">
            <v>610341.14270159625</v>
          </cell>
          <cell r="BN289">
            <v>625162.41647787194</v>
          </cell>
          <cell r="BO289">
            <v>640902.78208922653</v>
          </cell>
          <cell r="BP289">
            <v>585000.13350031408</v>
          </cell>
          <cell r="BQ289">
            <v>627474.44586290943</v>
          </cell>
          <cell r="BR289">
            <v>591300.97023510153</v>
          </cell>
          <cell r="BS289">
            <v>590013.94408156979</v>
          </cell>
        </row>
        <row r="326">
          <cell r="AZ326">
            <v>216990.47</v>
          </cell>
          <cell r="BA326">
            <v>310643.09000000003</v>
          </cell>
          <cell r="BB326">
            <v>359810.86</v>
          </cell>
          <cell r="BC326">
            <v>342311.19</v>
          </cell>
          <cell r="BD326">
            <v>291163.2</v>
          </cell>
          <cell r="BE326">
            <v>182673.63</v>
          </cell>
          <cell r="BF326">
            <v>195698.16</v>
          </cell>
          <cell r="BG326">
            <v>218434.81</v>
          </cell>
          <cell r="BH326">
            <v>202171.15</v>
          </cell>
          <cell r="BI326">
            <v>192644.15</v>
          </cell>
          <cell r="BJ326">
            <v>199173.98</v>
          </cell>
          <cell r="BK326">
            <v>197578.37</v>
          </cell>
          <cell r="BL326">
            <v>216990.47</v>
          </cell>
          <cell r="BM326">
            <v>310643.09000000003</v>
          </cell>
          <cell r="BN326">
            <v>359810.86</v>
          </cell>
          <cell r="BO326">
            <v>342311.19</v>
          </cell>
          <cell r="BP326">
            <v>291163.2</v>
          </cell>
          <cell r="BQ326">
            <v>182673.63</v>
          </cell>
          <cell r="BR326">
            <v>195698.16</v>
          </cell>
          <cell r="BS326">
            <v>218434.81</v>
          </cell>
        </row>
        <row r="327">
          <cell r="AZ327">
            <v>41945.8</v>
          </cell>
          <cell r="BA327">
            <v>52319</v>
          </cell>
          <cell r="BB327">
            <v>51334.75</v>
          </cell>
          <cell r="BC327">
            <v>52372.19</v>
          </cell>
          <cell r="BD327">
            <v>48332.98</v>
          </cell>
          <cell r="BE327">
            <v>39120.79</v>
          </cell>
          <cell r="BF327">
            <v>38159.29</v>
          </cell>
          <cell r="BG327">
            <v>35422.89</v>
          </cell>
          <cell r="BH327">
            <v>35524.21</v>
          </cell>
          <cell r="BI327">
            <v>33100.22</v>
          </cell>
          <cell r="BJ327">
            <v>37824.6</v>
          </cell>
          <cell r="BK327">
            <v>37436.51</v>
          </cell>
          <cell r="BL327">
            <v>41945.8</v>
          </cell>
          <cell r="BM327">
            <v>52319</v>
          </cell>
          <cell r="BN327">
            <v>51334.75</v>
          </cell>
          <cell r="BO327">
            <v>52372.19</v>
          </cell>
          <cell r="BP327">
            <v>48332.98</v>
          </cell>
          <cell r="BQ327">
            <v>39120.79</v>
          </cell>
          <cell r="BR327">
            <v>38159.29</v>
          </cell>
          <cell r="BS327">
            <v>35422.89</v>
          </cell>
        </row>
        <row r="328">
          <cell r="AZ328">
            <v>98233.21</v>
          </cell>
          <cell r="BA328">
            <v>127653.97</v>
          </cell>
          <cell r="BB328">
            <v>126334.1</v>
          </cell>
          <cell r="BC328">
            <v>128917.53</v>
          </cell>
          <cell r="BD328">
            <v>117550.52</v>
          </cell>
          <cell r="BE328">
            <v>87309.38</v>
          </cell>
          <cell r="BF328">
            <v>88423.72</v>
          </cell>
          <cell r="BG328">
            <v>80119.53</v>
          </cell>
          <cell r="BH328">
            <v>79538.84</v>
          </cell>
          <cell r="BI328">
            <v>73707.55</v>
          </cell>
          <cell r="BJ328">
            <v>84193.01</v>
          </cell>
          <cell r="BK328">
            <v>85475.64</v>
          </cell>
          <cell r="BL328">
            <v>98233.21</v>
          </cell>
          <cell r="BM328">
            <v>127653.97</v>
          </cell>
          <cell r="BN328">
            <v>126334.1</v>
          </cell>
          <cell r="BO328">
            <v>128917.53</v>
          </cell>
          <cell r="BP328">
            <v>117550.52</v>
          </cell>
          <cell r="BQ328">
            <v>87309.38</v>
          </cell>
          <cell r="BR328">
            <v>88423.72</v>
          </cell>
          <cell r="BS328">
            <v>80119.53</v>
          </cell>
        </row>
        <row r="329">
          <cell r="AZ329">
            <v>89527.57</v>
          </cell>
          <cell r="BA329">
            <v>119153.73</v>
          </cell>
          <cell r="BB329">
            <v>115601.38</v>
          </cell>
          <cell r="BC329">
            <v>119766.95</v>
          </cell>
          <cell r="BD329">
            <v>105741.59</v>
          </cell>
          <cell r="BE329">
            <v>81169.53</v>
          </cell>
          <cell r="BF329">
            <v>81177.56</v>
          </cell>
          <cell r="BG329">
            <v>73142.13</v>
          </cell>
          <cell r="BH329">
            <v>74099.460000000006</v>
          </cell>
          <cell r="BI329">
            <v>70145.59</v>
          </cell>
          <cell r="BJ329">
            <v>80833.100000000006</v>
          </cell>
          <cell r="BK329">
            <v>80990.09</v>
          </cell>
          <cell r="BL329">
            <v>89527.57</v>
          </cell>
          <cell r="BM329">
            <v>119153.73</v>
          </cell>
          <cell r="BN329">
            <v>115601.38</v>
          </cell>
          <cell r="BO329">
            <v>119766.95</v>
          </cell>
          <cell r="BP329">
            <v>105741.59</v>
          </cell>
          <cell r="BQ329">
            <v>81169.53</v>
          </cell>
          <cell r="BR329">
            <v>81177.56</v>
          </cell>
          <cell r="BS329">
            <v>73142.13</v>
          </cell>
        </row>
        <row r="330">
          <cell r="AZ330">
            <v>9841.15</v>
          </cell>
          <cell r="BA330">
            <v>11275.11</v>
          </cell>
          <cell r="BB330">
            <v>10469.42</v>
          </cell>
          <cell r="BC330">
            <v>11336.85</v>
          </cell>
          <cell r="BD330">
            <v>10391.39</v>
          </cell>
          <cell r="BE330">
            <v>8434.2900000000009</v>
          </cell>
          <cell r="BF330">
            <v>9240.15</v>
          </cell>
          <cell r="BG330">
            <v>8317.08</v>
          </cell>
          <cell r="BH330">
            <v>8391.92</v>
          </cell>
          <cell r="BI330">
            <v>8368.7000000000007</v>
          </cell>
          <cell r="BJ330">
            <v>8930.94</v>
          </cell>
          <cell r="BK330">
            <v>7970.27</v>
          </cell>
          <cell r="BL330">
            <v>9841.15</v>
          </cell>
          <cell r="BM330">
            <v>11275.11</v>
          </cell>
          <cell r="BN330">
            <v>10469.42</v>
          </cell>
          <cell r="BO330">
            <v>11336.85</v>
          </cell>
          <cell r="BP330">
            <v>10391.39</v>
          </cell>
          <cell r="BQ330">
            <v>8434.2900000000009</v>
          </cell>
          <cell r="BR330">
            <v>9240.15</v>
          </cell>
          <cell r="BS330">
            <v>8317.08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Monthly TD Calc"/>
      <sheetName val="Monthly kWh-kW"/>
      <sheetName val="Implementer Contract Rates"/>
    </sheetNames>
    <sheetDataSet>
      <sheetData sheetId="0" refreshError="1"/>
      <sheetData sheetId="1" refreshError="1"/>
      <sheetData sheetId="2">
        <row r="277">
          <cell r="R277">
            <v>340124.35000000003</v>
          </cell>
          <cell r="S277">
            <v>555375.07000000007</v>
          </cell>
          <cell r="T277">
            <v>419244.31000000006</v>
          </cell>
          <cell r="U277">
            <v>429043.69</v>
          </cell>
          <cell r="V277">
            <v>422816.82</v>
          </cell>
          <cell r="W277">
            <v>569754.77999999991</v>
          </cell>
          <cell r="X277">
            <v>452964.25999999995</v>
          </cell>
          <cell r="Y277">
            <v>654093.05999999994</v>
          </cell>
          <cell r="Z277">
            <v>753741.6</v>
          </cell>
          <cell r="AA277">
            <v>552741.07999999996</v>
          </cell>
          <cell r="AB277">
            <v>561479.06999999995</v>
          </cell>
          <cell r="AC277">
            <v>1357368.64</v>
          </cell>
          <cell r="AD277">
            <v>480871.71</v>
          </cell>
          <cell r="AE277">
            <v>527154.41</v>
          </cell>
        </row>
        <row r="278">
          <cell r="R278">
            <v>74104.09</v>
          </cell>
          <cell r="S278">
            <v>84453.61</v>
          </cell>
          <cell r="T278">
            <v>44956.109999999993</v>
          </cell>
          <cell r="U278">
            <v>56082.97</v>
          </cell>
          <cell r="V278">
            <v>60437.56</v>
          </cell>
          <cell r="W278">
            <v>63886.51999999999</v>
          </cell>
          <cell r="X278">
            <v>62067.87999999999</v>
          </cell>
          <cell r="Y278">
            <v>82994.930000000008</v>
          </cell>
          <cell r="Z278">
            <v>86170.590000000011</v>
          </cell>
          <cell r="AA278">
            <v>77458.37000000001</v>
          </cell>
          <cell r="AB278">
            <v>97051.12000000001</v>
          </cell>
          <cell r="AC278">
            <v>101363.85</v>
          </cell>
          <cell r="AD278">
            <v>65535.389999999992</v>
          </cell>
          <cell r="AE278">
            <v>65243.27</v>
          </cell>
        </row>
        <row r="279">
          <cell r="R279">
            <v>209375.83999999997</v>
          </cell>
          <cell r="S279">
            <v>217797.25999999995</v>
          </cell>
          <cell r="T279">
            <v>106746.14000000001</v>
          </cell>
          <cell r="U279">
            <v>138272.25999999998</v>
          </cell>
          <cell r="V279">
            <v>153001.40000000002</v>
          </cell>
          <cell r="W279">
            <v>162772.01</v>
          </cell>
          <cell r="X279">
            <v>157643.65</v>
          </cell>
          <cell r="Y279">
            <v>216745.28000000003</v>
          </cell>
          <cell r="Z279">
            <v>224347.96999999997</v>
          </cell>
          <cell r="AA279">
            <v>201222.77</v>
          </cell>
          <cell r="AB279">
            <v>256831.52000000002</v>
          </cell>
          <cell r="AC279">
            <v>229397.49000000002</v>
          </cell>
          <cell r="AD279">
            <v>167511.50000000003</v>
          </cell>
          <cell r="AE279">
            <v>165155.65999999997</v>
          </cell>
        </row>
        <row r="280">
          <cell r="R280">
            <v>341715.27</v>
          </cell>
          <cell r="S280">
            <v>355287.51</v>
          </cell>
          <cell r="T280">
            <v>176096.98</v>
          </cell>
          <cell r="U280">
            <v>225294.71999999997</v>
          </cell>
          <cell r="V280">
            <v>248658.84</v>
          </cell>
          <cell r="W280">
            <v>264298.77</v>
          </cell>
          <cell r="X280">
            <v>256122.91</v>
          </cell>
          <cell r="Y280">
            <v>350471.63</v>
          </cell>
          <cell r="Z280">
            <v>363382.79</v>
          </cell>
          <cell r="AA280">
            <v>325851.35999999993</v>
          </cell>
          <cell r="AB280">
            <v>415010.76</v>
          </cell>
          <cell r="AC280">
            <v>371147.86</v>
          </cell>
          <cell r="AD280">
            <v>271981.07</v>
          </cell>
          <cell r="AE280">
            <v>268763.12</v>
          </cell>
        </row>
        <row r="281">
          <cell r="R281">
            <v>121091.18000000001</v>
          </cell>
          <cell r="S281">
            <v>125908.6</v>
          </cell>
          <cell r="T281">
            <v>62315.500000000007</v>
          </cell>
          <cell r="U281">
            <v>79853.329999999987</v>
          </cell>
          <cell r="V281">
            <v>88163.85</v>
          </cell>
          <cell r="W281">
            <v>93720.18</v>
          </cell>
          <cell r="X281">
            <v>90814.01999999999</v>
          </cell>
          <cell r="Y281">
            <v>124344.95000000001</v>
          </cell>
          <cell r="Z281">
            <v>128896.97999999998</v>
          </cell>
          <cell r="AA281">
            <v>115587.56000000001</v>
          </cell>
          <cell r="AB281">
            <v>147256.01</v>
          </cell>
          <cell r="AC281">
            <v>131670.59999999998</v>
          </cell>
          <cell r="AD281">
            <v>96444.930000000008</v>
          </cell>
          <cell r="AE281">
            <v>95275.699999999983</v>
          </cell>
        </row>
      </sheetData>
      <sheetData sheetId="3">
        <row r="461">
          <cell r="O461">
            <v>2440133.0989784054</v>
          </cell>
          <cell r="P461">
            <v>2987962.2623525844</v>
          </cell>
          <cell r="Q461">
            <v>3131953.6167183169</v>
          </cell>
          <cell r="R461">
            <v>2981298.1747629135</v>
          </cell>
          <cell r="S461">
            <v>3010851.5424556797</v>
          </cell>
          <cell r="T461">
            <v>3043217.143389632</v>
          </cell>
          <cell r="U461">
            <v>3283089.9227645653</v>
          </cell>
          <cell r="V461">
            <v>3157138.1859560958</v>
          </cell>
          <cell r="W461">
            <v>4362350.8675122913</v>
          </cell>
          <cell r="X461">
            <v>4444080.9501607586</v>
          </cell>
          <cell r="Y461">
            <v>3607097.8102906849</v>
          </cell>
          <cell r="Z461">
            <v>3992060.6167575237</v>
          </cell>
          <cell r="AA461">
            <v>4069106.1094782646</v>
          </cell>
          <cell r="AB461">
            <v>4937471.0925835231</v>
          </cell>
        </row>
        <row r="462">
          <cell r="O462">
            <v>211838.09724779037</v>
          </cell>
          <cell r="P462">
            <v>249285.53631553749</v>
          </cell>
          <cell r="Q462">
            <v>285233.77858609706</v>
          </cell>
          <cell r="R462">
            <v>272086.42251401459</v>
          </cell>
          <cell r="S462">
            <v>322778.74795506179</v>
          </cell>
          <cell r="T462">
            <v>333530.07576882077</v>
          </cell>
          <cell r="U462">
            <v>376261.14489456214</v>
          </cell>
          <cell r="V462">
            <v>389577.87966862565</v>
          </cell>
          <cell r="W462">
            <v>458737.91771304765</v>
          </cell>
          <cell r="X462">
            <v>501062.98293847818</v>
          </cell>
          <cell r="Y462">
            <v>483492.91933718679</v>
          </cell>
          <cell r="Z462">
            <v>562080.35472429753</v>
          </cell>
          <cell r="AA462">
            <v>568126.41466266417</v>
          </cell>
          <cell r="AB462">
            <v>596868.49926114036</v>
          </cell>
        </row>
        <row r="463">
          <cell r="O463">
            <v>686765.749773402</v>
          </cell>
          <cell r="P463">
            <v>794277.81487872393</v>
          </cell>
          <cell r="Q463">
            <v>901661.42425366794</v>
          </cell>
          <cell r="R463">
            <v>855338.61998662201</v>
          </cell>
          <cell r="S463">
            <v>1008039.9758088118</v>
          </cell>
          <cell r="T463">
            <v>1033809.6018757444</v>
          </cell>
          <cell r="U463">
            <v>1159937.1188989917</v>
          </cell>
          <cell r="V463">
            <v>1193478.2112144153</v>
          </cell>
          <cell r="W463">
            <v>1318275.6501201957</v>
          </cell>
          <cell r="X463">
            <v>1442112.3967104575</v>
          </cell>
          <cell r="Y463">
            <v>1457653.5795880642</v>
          </cell>
          <cell r="Z463">
            <v>1687018.3835920251</v>
          </cell>
          <cell r="AA463">
            <v>1699067.4614564413</v>
          </cell>
          <cell r="AB463">
            <v>1781111.964229699</v>
          </cell>
        </row>
        <row r="464">
          <cell r="O464">
            <v>855611.93807818496</v>
          </cell>
          <cell r="P464">
            <v>1028159.08459527</v>
          </cell>
          <cell r="Q464">
            <v>1188615.9613929966</v>
          </cell>
          <cell r="R464">
            <v>1138589.6700181155</v>
          </cell>
          <cell r="S464">
            <v>1358255.038822769</v>
          </cell>
          <cell r="T464">
            <v>1411499.8777661398</v>
          </cell>
          <cell r="U464">
            <v>1601656.2569714414</v>
          </cell>
          <cell r="V464">
            <v>1666430.3789544257</v>
          </cell>
          <cell r="W464">
            <v>1859845.4151178284</v>
          </cell>
          <cell r="X464">
            <v>2053650.7867354527</v>
          </cell>
          <cell r="Y464">
            <v>2096063.8461429628</v>
          </cell>
          <cell r="Z464">
            <v>2446883.8606803371</v>
          </cell>
          <cell r="AA464">
            <v>2480167.9124111258</v>
          </cell>
          <cell r="AB464">
            <v>2610820.9411930614</v>
          </cell>
        </row>
        <row r="465">
          <cell r="O465">
            <v>75927.030979258459</v>
          </cell>
          <cell r="P465">
            <v>136262.56428525041</v>
          </cell>
          <cell r="Q465">
            <v>181845.20155874436</v>
          </cell>
          <cell r="R465">
            <v>187104.14291363681</v>
          </cell>
          <cell r="S465">
            <v>241840.38773864141</v>
          </cell>
          <cell r="T465">
            <v>271827.31317156681</v>
          </cell>
          <cell r="U465">
            <v>328067.72082896455</v>
          </cell>
          <cell r="V465">
            <v>361310.6092054536</v>
          </cell>
          <cell r="W465">
            <v>423732.98545956297</v>
          </cell>
          <cell r="X465">
            <v>488096.69157668791</v>
          </cell>
          <cell r="Y465">
            <v>519423.17239687184</v>
          </cell>
          <cell r="Z465">
            <v>628083.7695340286</v>
          </cell>
          <cell r="AA465">
            <v>652881.48488269292</v>
          </cell>
          <cell r="AB465">
            <v>698386.49336516042</v>
          </cell>
        </row>
        <row r="563">
          <cell r="O563">
            <v>180181.64</v>
          </cell>
          <cell r="P563">
            <v>202915.52999999997</v>
          </cell>
          <cell r="Q563">
            <v>195962.62999999998</v>
          </cell>
          <cell r="R563">
            <v>197828.14</v>
          </cell>
          <cell r="S563">
            <v>208563.46000000002</v>
          </cell>
          <cell r="T563">
            <v>217291.90999999997</v>
          </cell>
          <cell r="U563">
            <v>239496.23</v>
          </cell>
          <cell r="V563">
            <v>338948.55</v>
          </cell>
          <cell r="W563">
            <v>487625.72000000009</v>
          </cell>
          <cell r="X563">
            <v>495295.98000000004</v>
          </cell>
          <cell r="Y563">
            <v>387149.62</v>
          </cell>
          <cell r="Z563">
            <v>257853.31</v>
          </cell>
          <cell r="AA563">
            <v>292789.42999999993</v>
          </cell>
          <cell r="AB563">
            <v>328297.58999999997</v>
          </cell>
        </row>
        <row r="564">
          <cell r="O564">
            <v>16398.05</v>
          </cell>
          <cell r="P564">
            <v>17845.850000000002</v>
          </cell>
          <cell r="Q564">
            <v>19465.630000000005</v>
          </cell>
          <cell r="R564">
            <v>19056.550000000003</v>
          </cell>
          <cell r="S564">
            <v>23183.63</v>
          </cell>
          <cell r="T564">
            <v>25118.86</v>
          </cell>
          <cell r="U564">
            <v>29976.46</v>
          </cell>
          <cell r="V564">
            <v>39566.22</v>
          </cell>
          <cell r="W564">
            <v>44531.909999999996</v>
          </cell>
          <cell r="X564">
            <v>48626.68</v>
          </cell>
          <cell r="Y564">
            <v>47447.600000000006</v>
          </cell>
          <cell r="Z564">
            <v>42319.340000000004</v>
          </cell>
          <cell r="AA564">
            <v>44191.770000000004</v>
          </cell>
          <cell r="AB564">
            <v>42905.56</v>
          </cell>
        </row>
        <row r="565">
          <cell r="O565">
            <v>34742.119999999995</v>
          </cell>
          <cell r="P565">
            <v>36030.800000000003</v>
          </cell>
          <cell r="Q565">
            <v>38497.230000000003</v>
          </cell>
          <cell r="R565">
            <v>37424.270000000004</v>
          </cell>
          <cell r="S565">
            <v>44778.250000000007</v>
          </cell>
          <cell r="T565">
            <v>49169.24</v>
          </cell>
          <cell r="U565">
            <v>59736.799999999996</v>
          </cell>
          <cell r="V565">
            <v>81159.81</v>
          </cell>
          <cell r="W565">
            <v>86000.1</v>
          </cell>
          <cell r="X565">
            <v>94488.299999999988</v>
          </cell>
          <cell r="Y565">
            <v>95416.97</v>
          </cell>
          <cell r="Z565">
            <v>78458.210000000006</v>
          </cell>
          <cell r="AA565">
            <v>84611.200000000012</v>
          </cell>
          <cell r="AB565">
            <v>79735.91</v>
          </cell>
        </row>
        <row r="566">
          <cell r="O566">
            <v>28399.659999999996</v>
          </cell>
          <cell r="P566">
            <v>29820.43</v>
          </cell>
          <cell r="Q566">
            <v>32788.430000000008</v>
          </cell>
          <cell r="R566">
            <v>32891.64</v>
          </cell>
          <cell r="S566">
            <v>40212.370000000003</v>
          </cell>
          <cell r="T566">
            <v>44088.580000000009</v>
          </cell>
          <cell r="U566">
            <v>51945.97</v>
          </cell>
          <cell r="V566">
            <v>74074.83</v>
          </cell>
          <cell r="W566">
            <v>77949.66</v>
          </cell>
          <cell r="X566">
            <v>87329.790000000008</v>
          </cell>
          <cell r="Y566">
            <v>85871.07</v>
          </cell>
          <cell r="Z566">
            <v>71944.650000000009</v>
          </cell>
          <cell r="AA566">
            <v>77042.729999999981</v>
          </cell>
          <cell r="AB566">
            <v>71756.479999999996</v>
          </cell>
        </row>
        <row r="567">
          <cell r="O567">
            <v>2586.59</v>
          </cell>
          <cell r="P567">
            <v>2936.37</v>
          </cell>
          <cell r="Q567">
            <v>3270.92</v>
          </cell>
          <cell r="R567">
            <v>3597.4700000000003</v>
          </cell>
          <cell r="S567">
            <v>4258.7000000000007</v>
          </cell>
          <cell r="T567">
            <v>4369.8799999999992</v>
          </cell>
          <cell r="U567">
            <v>5779.2100000000009</v>
          </cell>
          <cell r="V567">
            <v>7772.6100000000006</v>
          </cell>
          <cell r="W567">
            <v>8075.79</v>
          </cell>
          <cell r="X567">
            <v>9599.68</v>
          </cell>
          <cell r="Y567">
            <v>9808.2099999999991</v>
          </cell>
          <cell r="Z567">
            <v>8481.67</v>
          </cell>
          <cell r="AA567">
            <v>10081.089999999998</v>
          </cell>
          <cell r="AB567">
            <v>8988.39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Cycle 2"/>
      <sheetName val="Metro Cycle 3"/>
      <sheetName val="SI Projects 052020-102020"/>
    </sheetNames>
    <sheetDataSet>
      <sheetData sheetId="0">
        <row r="22">
          <cell r="C22">
            <v>-248.1</v>
          </cell>
          <cell r="D22">
            <v>0</v>
          </cell>
          <cell r="E22">
            <v>0</v>
          </cell>
          <cell r="F22">
            <v>50611.66</v>
          </cell>
          <cell r="G22">
            <v>-6219.4799999999987</v>
          </cell>
          <cell r="H22">
            <v>-24109.870000000003</v>
          </cell>
        </row>
        <row r="23">
          <cell r="C23">
            <v>0</v>
          </cell>
          <cell r="D23">
            <v>0</v>
          </cell>
          <cell r="E23">
            <v>0</v>
          </cell>
          <cell r="F23">
            <v>68640.350000000006</v>
          </cell>
          <cell r="G23">
            <v>-8434.9500000000007</v>
          </cell>
          <cell r="H23">
            <v>-32698.190000000002</v>
          </cell>
        </row>
        <row r="24">
          <cell r="C24">
            <v>0</v>
          </cell>
          <cell r="D24">
            <v>0</v>
          </cell>
          <cell r="E24">
            <v>0</v>
          </cell>
          <cell r="F24">
            <v>14800.490000000002</v>
          </cell>
          <cell r="G24">
            <v>-1818.7700000000011</v>
          </cell>
          <cell r="H24">
            <v>-7050.51</v>
          </cell>
        </row>
        <row r="25">
          <cell r="C25">
            <v>0</v>
          </cell>
          <cell r="D25">
            <v>0</v>
          </cell>
          <cell r="E25">
            <v>0</v>
          </cell>
          <cell r="F25">
            <v>0</v>
          </cell>
          <cell r="G25">
            <v>0</v>
          </cell>
          <cell r="H25">
            <v>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refreshError="1"/>
      <sheetData sheetId="1" refreshError="1"/>
      <sheetData sheetId="2" refreshError="1"/>
      <sheetData sheetId="3" refreshError="1"/>
      <sheetData sheetId="4">
        <row r="43">
          <cell r="F43">
            <v>12041.85</v>
          </cell>
        </row>
        <row r="44">
          <cell r="F44">
            <v>2895.5913070303895</v>
          </cell>
        </row>
        <row r="45">
          <cell r="F45">
            <v>6016.1558670578861</v>
          </cell>
        </row>
        <row r="46">
          <cell r="F46">
            <v>6424.2394523949679</v>
          </cell>
        </row>
        <row r="47">
          <cell r="F47">
            <v>-2685.6666264832434</v>
          </cell>
        </row>
        <row r="52">
          <cell r="F52">
            <v>102090.23000000001</v>
          </cell>
        </row>
        <row r="53">
          <cell r="F53">
            <v>19229.827954413195</v>
          </cell>
        </row>
        <row r="54">
          <cell r="F54">
            <v>40059.165460099728</v>
          </cell>
        </row>
        <row r="55">
          <cell r="F55">
            <v>46747.39079716929</v>
          </cell>
        </row>
        <row r="56">
          <cell r="F56">
            <v>9259.9257864476513</v>
          </cell>
        </row>
        <row r="61">
          <cell r="F61">
            <v>195418.44</v>
          </cell>
        </row>
        <row r="62">
          <cell r="F62">
            <v>34511.225450649006</v>
          </cell>
        </row>
        <row r="63">
          <cell r="F63">
            <v>63857.708865806962</v>
          </cell>
        </row>
        <row r="64">
          <cell r="F64">
            <v>57856.037395668121</v>
          </cell>
        </row>
        <row r="65">
          <cell r="F65">
            <v>5305.2682847635351</v>
          </cell>
        </row>
        <row r="70">
          <cell r="F70">
            <v>87449.83</v>
          </cell>
        </row>
        <row r="71">
          <cell r="F71">
            <v>24797.222920337546</v>
          </cell>
        </row>
        <row r="72">
          <cell r="F72">
            <v>60441.765236648644</v>
          </cell>
        </row>
        <row r="73">
          <cell r="F73">
            <v>70110.959267734594</v>
          </cell>
        </row>
        <row r="74">
          <cell r="F74">
            <v>11545.492575279213</v>
          </cell>
        </row>
        <row r="79">
          <cell r="F79">
            <v>352724.12</v>
          </cell>
        </row>
        <row r="80">
          <cell r="F80">
            <v>39449.949999999997</v>
          </cell>
        </row>
        <row r="81">
          <cell r="F81">
            <v>74894.89</v>
          </cell>
        </row>
        <row r="82">
          <cell r="F82">
            <v>134656.94</v>
          </cell>
        </row>
        <row r="83">
          <cell r="F83">
            <v>39584.370000000003</v>
          </cell>
        </row>
        <row r="87">
          <cell r="F87">
            <v>0</v>
          </cell>
        </row>
        <row r="88">
          <cell r="F88">
            <v>0</v>
          </cell>
        </row>
        <row r="89">
          <cell r="F89">
            <v>0</v>
          </cell>
        </row>
        <row r="90">
          <cell r="F90">
            <v>0</v>
          </cell>
        </row>
        <row r="91">
          <cell r="F91">
            <v>0</v>
          </cell>
        </row>
        <row r="95">
          <cell r="F95">
            <v>109315.33</v>
          </cell>
        </row>
        <row r="96">
          <cell r="F96">
            <v>5635.71</v>
          </cell>
        </row>
        <row r="97">
          <cell r="F97">
            <v>7883.67</v>
          </cell>
        </row>
        <row r="98">
          <cell r="F98">
            <v>8902.94</v>
          </cell>
        </row>
        <row r="99">
          <cell r="F99">
            <v>989.61</v>
          </cell>
        </row>
        <row r="123">
          <cell r="C123">
            <v>145753767.77759999</v>
          </cell>
        </row>
        <row r="124">
          <cell r="C124">
            <v>28178533.837200001</v>
          </cell>
        </row>
        <row r="125">
          <cell r="C125">
            <v>65697274.287299998</v>
          </cell>
        </row>
        <row r="126">
          <cell r="C126">
            <v>111286727.01079999</v>
          </cell>
        </row>
        <row r="127">
          <cell r="C127">
            <v>32986971.454</v>
          </cell>
        </row>
      </sheetData>
      <sheetData sheetId="5">
        <row r="43">
          <cell r="F43">
            <v>17553.03</v>
          </cell>
        </row>
        <row r="44">
          <cell r="F44">
            <v>3597.86</v>
          </cell>
        </row>
        <row r="45">
          <cell r="F45">
            <v>6644.8600000000006</v>
          </cell>
        </row>
        <row r="46">
          <cell r="F46">
            <v>9546.0400000000009</v>
          </cell>
        </row>
        <row r="47">
          <cell r="F47">
            <v>-524.13</v>
          </cell>
        </row>
        <row r="52">
          <cell r="F52">
            <v>150468.64000000001</v>
          </cell>
        </row>
        <row r="53">
          <cell r="F53">
            <v>25635.78</v>
          </cell>
        </row>
        <row r="54">
          <cell r="F54">
            <v>50471.360000000001</v>
          </cell>
        </row>
        <row r="55">
          <cell r="F55">
            <v>54183.62</v>
          </cell>
        </row>
        <row r="56">
          <cell r="F56">
            <v>9536.7999999999993</v>
          </cell>
        </row>
        <row r="61">
          <cell r="F61">
            <v>288243.96999999997</v>
          </cell>
        </row>
        <row r="62">
          <cell r="F62">
            <v>46028.29</v>
          </cell>
        </row>
        <row r="63">
          <cell r="F63">
            <v>80261.969999999987</v>
          </cell>
        </row>
        <row r="64">
          <cell r="F64">
            <v>67407.149999999994</v>
          </cell>
        </row>
        <row r="65">
          <cell r="F65">
            <v>5819.84</v>
          </cell>
        </row>
        <row r="70">
          <cell r="F70">
            <v>128979.56</v>
          </cell>
        </row>
        <row r="71">
          <cell r="F71">
            <v>33182.560000000005</v>
          </cell>
        </row>
        <row r="72">
          <cell r="F72">
            <v>76121.75</v>
          </cell>
        </row>
        <row r="73">
          <cell r="F73">
            <v>81333.740000000005</v>
          </cell>
        </row>
        <row r="74">
          <cell r="F74">
            <v>11869.84</v>
          </cell>
        </row>
        <row r="79">
          <cell r="F79">
            <v>520235.01</v>
          </cell>
        </row>
        <row r="80">
          <cell r="F80">
            <v>52790.42</v>
          </cell>
        </row>
        <row r="81">
          <cell r="F81">
            <v>94324.76</v>
          </cell>
        </row>
        <row r="82">
          <cell r="F82">
            <v>156212.38</v>
          </cell>
        </row>
        <row r="83">
          <cell r="F83">
            <v>40696.6</v>
          </cell>
        </row>
        <row r="87">
          <cell r="F87">
            <v>0</v>
          </cell>
        </row>
        <row r="88">
          <cell r="F88">
            <v>0</v>
          </cell>
        </row>
        <row r="89">
          <cell r="F89">
            <v>0</v>
          </cell>
        </row>
        <row r="90">
          <cell r="F90">
            <v>0</v>
          </cell>
        </row>
        <row r="91">
          <cell r="F91">
            <v>0</v>
          </cell>
        </row>
        <row r="95">
          <cell r="F95">
            <v>161229.85999999999</v>
          </cell>
        </row>
        <row r="96">
          <cell r="F96">
            <v>7541.49</v>
          </cell>
        </row>
        <row r="97">
          <cell r="F97">
            <v>9928.92</v>
          </cell>
        </row>
        <row r="98">
          <cell r="F98">
            <v>10328.09</v>
          </cell>
        </row>
        <row r="99">
          <cell r="F99">
            <v>1017.42</v>
          </cell>
        </row>
        <row r="123">
          <cell r="C123">
            <v>214973143.329</v>
          </cell>
        </row>
        <row r="124">
          <cell r="C124">
            <v>37707440.393700004</v>
          </cell>
        </row>
        <row r="125">
          <cell r="C125">
            <v>82741020.593200013</v>
          </cell>
        </row>
        <row r="126">
          <cell r="C126">
            <v>129101137.96530001</v>
          </cell>
        </row>
        <row r="127">
          <cell r="C127">
            <v>33913837.439499997</v>
          </cell>
        </row>
      </sheetData>
      <sheetData sheetId="6">
        <row r="43">
          <cell r="F43">
            <v>25127.360000000001</v>
          </cell>
        </row>
        <row r="44">
          <cell r="F44">
            <v>4632.57</v>
          </cell>
        </row>
        <row r="45">
          <cell r="F45">
            <v>9732.84</v>
          </cell>
        </row>
        <row r="46">
          <cell r="F46">
            <v>9475.82</v>
          </cell>
        </row>
        <row r="47">
          <cell r="F47">
            <v>324.70999999999998</v>
          </cell>
        </row>
        <row r="52">
          <cell r="F52">
            <v>216437.3</v>
          </cell>
        </row>
        <row r="53">
          <cell r="F53">
            <v>33081.960000000006</v>
          </cell>
        </row>
        <row r="54">
          <cell r="F54">
            <v>63650.909999999996</v>
          </cell>
        </row>
        <row r="55">
          <cell r="F55">
            <v>63484.100000000006</v>
          </cell>
        </row>
        <row r="56">
          <cell r="F56">
            <v>14184.8</v>
          </cell>
        </row>
        <row r="61">
          <cell r="F61">
            <v>414492.24999999994</v>
          </cell>
        </row>
        <row r="62">
          <cell r="F62">
            <v>59387.03</v>
          </cell>
        </row>
        <row r="63">
          <cell r="F63">
            <v>101439.82999999999</v>
          </cell>
        </row>
        <row r="64">
          <cell r="F64">
            <v>78698.16</v>
          </cell>
        </row>
        <row r="65">
          <cell r="F65">
            <v>8888</v>
          </cell>
        </row>
        <row r="70">
          <cell r="F70">
            <v>185514.93</v>
          </cell>
        </row>
        <row r="71">
          <cell r="F71">
            <v>42804.41</v>
          </cell>
        </row>
        <row r="72">
          <cell r="F72">
            <v>96050.880000000005</v>
          </cell>
        </row>
        <row r="73">
          <cell r="F73">
            <v>95293.39</v>
          </cell>
        </row>
        <row r="74">
          <cell r="F74">
            <v>17693.47</v>
          </cell>
        </row>
        <row r="79">
          <cell r="F79">
            <v>748211.85</v>
          </cell>
        </row>
        <row r="80">
          <cell r="F80">
            <v>68097.919999999998</v>
          </cell>
        </row>
        <row r="81">
          <cell r="F81">
            <v>119019.59</v>
          </cell>
        </row>
        <row r="82">
          <cell r="F82">
            <v>183051.37</v>
          </cell>
        </row>
        <row r="83">
          <cell r="F83">
            <v>60663.32</v>
          </cell>
        </row>
        <row r="87">
          <cell r="F87">
            <v>0</v>
          </cell>
        </row>
        <row r="88">
          <cell r="F88">
            <v>0</v>
          </cell>
        </row>
        <row r="89">
          <cell r="F89">
            <v>0</v>
          </cell>
        </row>
        <row r="90">
          <cell r="F90">
            <v>4</v>
          </cell>
        </row>
        <row r="91">
          <cell r="F91">
            <v>0</v>
          </cell>
        </row>
        <row r="95">
          <cell r="F95">
            <v>231883.84</v>
          </cell>
        </row>
        <row r="96">
          <cell r="F96">
            <v>9728.27</v>
          </cell>
        </row>
        <row r="97">
          <cell r="F97">
            <v>12528.38</v>
          </cell>
        </row>
        <row r="98">
          <cell r="F98">
            <v>12108.04</v>
          </cell>
        </row>
        <row r="99">
          <cell r="F99">
            <v>1516.58</v>
          </cell>
        </row>
        <row r="123">
          <cell r="C123">
            <v>309178453.01440001</v>
          </cell>
        </row>
        <row r="124">
          <cell r="C124">
            <v>48641370.017499998</v>
          </cell>
        </row>
        <row r="125">
          <cell r="C125">
            <v>104403148.91419999</v>
          </cell>
        </row>
        <row r="126">
          <cell r="C126">
            <v>151257548.8066</v>
          </cell>
        </row>
        <row r="127">
          <cell r="C127">
            <v>50552768.167100005</v>
          </cell>
        </row>
      </sheetData>
      <sheetData sheetId="7">
        <row r="43">
          <cell r="F43">
            <v>16059.6</v>
          </cell>
        </row>
        <row r="44">
          <cell r="F44">
            <v>3053.09</v>
          </cell>
        </row>
        <row r="45">
          <cell r="F45">
            <v>5971.47</v>
          </cell>
        </row>
        <row r="46">
          <cell r="F46">
            <v>6663</v>
          </cell>
        </row>
        <row r="47">
          <cell r="F47">
            <v>1285.45</v>
          </cell>
        </row>
        <row r="52">
          <cell r="F52">
            <v>165146.69999999998</v>
          </cell>
        </row>
        <row r="53">
          <cell r="F53">
            <v>16782.57</v>
          </cell>
        </row>
        <row r="54">
          <cell r="F54">
            <v>33400.199999999997</v>
          </cell>
        </row>
        <row r="55">
          <cell r="F55">
            <v>31746.619999999995</v>
          </cell>
        </row>
        <row r="56">
          <cell r="F56">
            <v>8784.24</v>
          </cell>
        </row>
        <row r="61">
          <cell r="F61">
            <v>397595.58999999997</v>
          </cell>
        </row>
        <row r="62">
          <cell r="F62">
            <v>57686.5</v>
          </cell>
        </row>
        <row r="63">
          <cell r="F63">
            <v>100087.54</v>
          </cell>
        </row>
        <row r="64">
          <cell r="F64">
            <v>83823.460000000006</v>
          </cell>
        </row>
        <row r="65">
          <cell r="F65">
            <v>9060.27</v>
          </cell>
        </row>
        <row r="70">
          <cell r="F70">
            <v>170976.52000000002</v>
          </cell>
        </row>
        <row r="71">
          <cell r="F71">
            <v>41480.9</v>
          </cell>
        </row>
        <row r="72">
          <cell r="F72">
            <v>93335.06</v>
          </cell>
        </row>
        <row r="73">
          <cell r="F73">
            <v>97371.450000000012</v>
          </cell>
        </row>
        <row r="74">
          <cell r="F74">
            <v>17949.22</v>
          </cell>
        </row>
        <row r="79">
          <cell r="F79">
            <v>707269.49</v>
          </cell>
        </row>
        <row r="80">
          <cell r="F80">
            <v>75250.55</v>
          </cell>
        </row>
        <row r="81">
          <cell r="F81">
            <v>132543.73000000001</v>
          </cell>
        </row>
        <row r="82">
          <cell r="F82">
            <v>213054.62</v>
          </cell>
        </row>
        <row r="83">
          <cell r="F83">
            <v>68085.440000000002</v>
          </cell>
        </row>
        <row r="87">
          <cell r="F87">
            <v>37282.629999999997</v>
          </cell>
        </row>
        <row r="88">
          <cell r="F88">
            <v>9745.48</v>
          </cell>
        </row>
        <row r="89">
          <cell r="F89">
            <v>2318.15</v>
          </cell>
        </row>
        <row r="90">
          <cell r="F90">
            <v>3784.92</v>
          </cell>
        </row>
        <row r="91">
          <cell r="F91">
            <v>1648.93</v>
          </cell>
        </row>
        <row r="95">
          <cell r="F95">
            <v>234325.45</v>
          </cell>
        </row>
        <row r="96">
          <cell r="F96">
            <v>19497.810000000001</v>
          </cell>
        </row>
        <row r="97">
          <cell r="F97">
            <v>17472.77</v>
          </cell>
        </row>
        <row r="98">
          <cell r="F98">
            <v>19256.45</v>
          </cell>
        </row>
        <row r="99">
          <cell r="F99">
            <v>2635.55</v>
          </cell>
        </row>
        <row r="123">
          <cell r="C123">
            <v>284962522.04360002</v>
          </cell>
        </row>
        <row r="124">
          <cell r="C124">
            <v>47137386.677199997</v>
          </cell>
        </row>
        <row r="125">
          <cell r="C125">
            <v>101451174.6153</v>
          </cell>
        </row>
        <row r="126">
          <cell r="C126">
            <v>152841359.00889999</v>
          </cell>
        </row>
        <row r="127">
          <cell r="C127">
            <v>48591351.737900004</v>
          </cell>
        </row>
      </sheetData>
      <sheetData sheetId="8">
        <row r="43">
          <cell r="F43">
            <v>2699.0299999999997</v>
          </cell>
        </row>
        <row r="44">
          <cell r="F44">
            <v>573.48</v>
          </cell>
        </row>
        <row r="45">
          <cell r="F45">
            <v>1223.47</v>
          </cell>
        </row>
        <row r="46">
          <cell r="F46">
            <v>2964.5400000000004</v>
          </cell>
        </row>
        <row r="47">
          <cell r="F47">
            <v>372.44</v>
          </cell>
        </row>
        <row r="52">
          <cell r="F52">
            <v>90401.51</v>
          </cell>
        </row>
        <row r="53">
          <cell r="F53">
            <v>-11788.04</v>
          </cell>
        </row>
        <row r="54">
          <cell r="F54">
            <v>-25040.219999999998</v>
          </cell>
        </row>
        <row r="55">
          <cell r="F55">
            <v>-26535.62</v>
          </cell>
        </row>
        <row r="56">
          <cell r="F56">
            <v>-5979.5599999999995</v>
          </cell>
        </row>
        <row r="61">
          <cell r="F61">
            <v>385090.87</v>
          </cell>
        </row>
        <row r="62">
          <cell r="F62">
            <v>56678.87</v>
          </cell>
        </row>
        <row r="63">
          <cell r="F63">
            <v>100976.4</v>
          </cell>
        </row>
        <row r="64">
          <cell r="F64">
            <v>92016.88</v>
          </cell>
        </row>
        <row r="65">
          <cell r="F65">
            <v>10047.469999999999</v>
          </cell>
        </row>
        <row r="70">
          <cell r="F70">
            <v>154122.28</v>
          </cell>
        </row>
        <row r="71">
          <cell r="F71">
            <v>40538.939999999995</v>
          </cell>
        </row>
        <row r="72">
          <cell r="F72">
            <v>91024.81</v>
          </cell>
        </row>
        <row r="73">
          <cell r="F73">
            <v>99649.540000000008</v>
          </cell>
        </row>
        <row r="74">
          <cell r="F74">
            <v>20602.28</v>
          </cell>
        </row>
        <row r="79">
          <cell r="F79">
            <v>667611.03</v>
          </cell>
        </row>
        <row r="80">
          <cell r="F80">
            <v>90634.53</v>
          </cell>
        </row>
        <row r="81">
          <cell r="F81">
            <v>163425.21</v>
          </cell>
        </row>
        <row r="82">
          <cell r="F82">
            <v>264362.34000000003</v>
          </cell>
        </row>
        <row r="83">
          <cell r="F83">
            <v>96961.85</v>
          </cell>
        </row>
        <row r="87">
          <cell r="F87">
            <v>97079.25</v>
          </cell>
        </row>
        <row r="88">
          <cell r="F88">
            <v>27514.94</v>
          </cell>
        </row>
        <row r="89">
          <cell r="F89">
            <v>6949.34</v>
          </cell>
        </row>
        <row r="90">
          <cell r="F90">
            <v>10605.99</v>
          </cell>
        </row>
        <row r="91">
          <cell r="F91">
            <v>6631.69</v>
          </cell>
        </row>
        <row r="95">
          <cell r="F95">
            <v>246301.79</v>
          </cell>
        </row>
        <row r="96">
          <cell r="F96">
            <v>37645.730000000003</v>
          </cell>
        </row>
        <row r="97">
          <cell r="F97">
            <v>27757.279999999999</v>
          </cell>
        </row>
        <row r="98">
          <cell r="F98">
            <v>31966.26</v>
          </cell>
        </row>
        <row r="99">
          <cell r="F99">
            <v>6178.06</v>
          </cell>
        </row>
        <row r="123">
          <cell r="C123">
            <v>256870301.28760001</v>
          </cell>
        </row>
        <row r="124">
          <cell r="C124">
            <v>46068093.666499995</v>
          </cell>
        </row>
        <row r="125">
          <cell r="C125">
            <v>98942401.979499996</v>
          </cell>
        </row>
        <row r="126">
          <cell r="C126">
            <v>153367735.80899999</v>
          </cell>
        </row>
        <row r="127">
          <cell r="C127">
            <v>48037818.487199999</v>
          </cell>
        </row>
      </sheetData>
      <sheetData sheetId="9">
        <row r="43">
          <cell r="F43">
            <v>1823.1200000000001</v>
          </cell>
        </row>
        <row r="44">
          <cell r="F44">
            <v>-406.78999999999996</v>
          </cell>
        </row>
        <row r="45">
          <cell r="F45">
            <v>-487.43999999999994</v>
          </cell>
        </row>
        <row r="46">
          <cell r="F46">
            <v>-807.97000000000025</v>
          </cell>
        </row>
        <row r="47">
          <cell r="F47">
            <v>-784.5</v>
          </cell>
        </row>
        <row r="52">
          <cell r="F52">
            <v>59312.810000000005</v>
          </cell>
        </row>
        <row r="53">
          <cell r="F53">
            <v>-10035.76</v>
          </cell>
        </row>
        <row r="54">
          <cell r="F54">
            <v>-21173.37</v>
          </cell>
        </row>
        <row r="55">
          <cell r="F55">
            <v>-25269.19</v>
          </cell>
        </row>
        <row r="56">
          <cell r="F56">
            <v>-6185.2099999999991</v>
          </cell>
        </row>
        <row r="61">
          <cell r="F61">
            <v>254167.4</v>
          </cell>
        </row>
        <row r="62">
          <cell r="F62">
            <v>47445.890000000007</v>
          </cell>
        </row>
        <row r="63">
          <cell r="F63">
            <v>86318.319999999992</v>
          </cell>
        </row>
        <row r="64">
          <cell r="F64">
            <v>84163.39</v>
          </cell>
        </row>
        <row r="65">
          <cell r="F65">
            <v>10055.129999999999</v>
          </cell>
        </row>
        <row r="70">
          <cell r="F70">
            <v>101648.49</v>
          </cell>
        </row>
        <row r="71">
          <cell r="F71">
            <v>34040.639999999999</v>
          </cell>
        </row>
        <row r="72">
          <cell r="F72">
            <v>78139.3</v>
          </cell>
        </row>
        <row r="73">
          <cell r="F73">
            <v>91509.090000000011</v>
          </cell>
        </row>
        <row r="74">
          <cell r="F74">
            <v>20440.05</v>
          </cell>
        </row>
        <row r="79">
          <cell r="F79">
            <v>440469.75</v>
          </cell>
        </row>
        <row r="80">
          <cell r="F80">
            <v>76203.600000000006</v>
          </cell>
        </row>
        <row r="81">
          <cell r="F81">
            <v>140141.04</v>
          </cell>
        </row>
        <row r="82">
          <cell r="F82">
            <v>243554.75999999998</v>
          </cell>
        </row>
        <row r="83">
          <cell r="F83">
            <v>96496</v>
          </cell>
        </row>
        <row r="87">
          <cell r="F87">
            <v>64364.29</v>
          </cell>
        </row>
        <row r="88">
          <cell r="F88">
            <v>23208.49</v>
          </cell>
        </row>
        <row r="89">
          <cell r="F89">
            <v>5945.38</v>
          </cell>
        </row>
        <row r="90">
          <cell r="F90">
            <v>9854.82</v>
          </cell>
        </row>
        <row r="91">
          <cell r="F91">
            <v>6654.9</v>
          </cell>
        </row>
        <row r="95">
          <cell r="F95">
            <v>162630.09</v>
          </cell>
        </row>
        <row r="96">
          <cell r="F96">
            <v>31718.62</v>
          </cell>
        </row>
        <row r="97">
          <cell r="F97">
            <v>23781.51</v>
          </cell>
        </row>
        <row r="98">
          <cell r="F98">
            <v>29564.440000000002</v>
          </cell>
        </row>
        <row r="99">
          <cell r="F99">
            <v>6179.55</v>
          </cell>
        </row>
        <row r="123">
          <cell r="C123">
            <v>169413803.6318</v>
          </cell>
        </row>
        <row r="124">
          <cell r="C124">
            <v>38682517.839799985</v>
          </cell>
        </row>
        <row r="125">
          <cell r="C125">
            <v>84933958.859400004</v>
          </cell>
        </row>
        <row r="126">
          <cell r="C126">
            <v>140783105.8946</v>
          </cell>
        </row>
        <row r="127">
          <cell r="C127">
            <v>47534974.676800005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0"/>
      <sheetName val="June 2020"/>
      <sheetName val="July 2020"/>
      <sheetName val="Aug 2020"/>
      <sheetName val="Sept 2020"/>
      <sheetName val="Oct 2020"/>
    </sheetNames>
    <sheetDataSet>
      <sheetData sheetId="0">
        <row r="51">
          <cell r="F51">
            <v>1.20652E-3</v>
          </cell>
        </row>
      </sheetData>
      <sheetData sheetId="1">
        <row r="51">
          <cell r="F51">
            <v>1.1948200000000001E-3</v>
          </cell>
        </row>
      </sheetData>
      <sheetData sheetId="2">
        <row r="51">
          <cell r="F51">
            <v>1.1852799999999999E-3</v>
          </cell>
        </row>
      </sheetData>
      <sheetData sheetId="3">
        <row r="51">
          <cell r="F51">
            <v>1.17614E-3</v>
          </cell>
        </row>
      </sheetData>
      <sheetData sheetId="4">
        <row r="49">
          <cell r="F49">
            <v>1.4018900000000003E-2</v>
          </cell>
        </row>
        <row r="51">
          <cell r="F51">
            <v>1.1682400000000001E-3</v>
          </cell>
        </row>
      </sheetData>
      <sheetData sheetId="5">
        <row r="51">
          <cell r="F51">
            <v>1.1636999999999999E-3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52020 06092020"/>
      <sheetName val="Input"/>
      <sheetName val="Program Descriptions"/>
    </sheetNames>
    <sheetDataSet>
      <sheetData sheetId="0">
        <row r="28">
          <cell r="N28">
            <v>20615.989999999998</v>
          </cell>
          <cell r="O28">
            <v>128188.81999999999</v>
          </cell>
          <cell r="P28">
            <v>171411.19</v>
          </cell>
          <cell r="Q28">
            <v>26272.680000000073</v>
          </cell>
          <cell r="R28">
            <v>864300.96999999986</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0 07092020"/>
      <sheetName val="Input"/>
      <sheetName val="Program Descriptions"/>
    </sheetNames>
    <sheetDataSet>
      <sheetData sheetId="0">
        <row r="28">
          <cell r="N28">
            <v>87148.569999999992</v>
          </cell>
          <cell r="O28">
            <v>95902.36</v>
          </cell>
          <cell r="P28">
            <v>273736.23000000004</v>
          </cell>
          <cell r="Q28">
            <v>21630.18</v>
          </cell>
          <cell r="R28">
            <v>504648.73</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0 08072020"/>
      <sheetName val="Input"/>
      <sheetName val="Program Descriptions"/>
    </sheetNames>
    <sheetDataSet>
      <sheetData sheetId="0">
        <row r="28">
          <cell r="N28">
            <v>40230.57</v>
          </cell>
          <cell r="O28">
            <v>369341.01</v>
          </cell>
          <cell r="P28">
            <v>113676.72</v>
          </cell>
          <cell r="Q28">
            <v>22298.579999999849</v>
          </cell>
          <cell r="R28">
            <v>503504.37999999995</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abSelected="1" workbookViewId="0">
      <pane xSplit="2" ySplit="3" topLeftCell="C4" activePane="bottomRight" state="frozen"/>
      <selection pane="topRight" activeCell="C1" sqref="C1"/>
      <selection pane="bottomLeft" activeCell="A4" sqref="A4"/>
      <selection pane="bottomRight" activeCell="H11" sqref="H11"/>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1.269531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bestFit="1" customWidth="1" outlineLevel="1"/>
    <col min="16" max="16" width="19.26953125" customWidth="1" outlineLevel="1"/>
    <col min="17" max="17" width="16" style="59" customWidth="1" outlineLevel="1"/>
    <col min="18" max="18" width="9.1796875" customWidth="1" outlineLevel="1"/>
    <col min="19" max="20" width="16" customWidth="1" outlineLevel="1"/>
    <col min="21" max="21" width="16" style="59" customWidth="1" outlineLevel="1"/>
    <col min="22" max="22" width="16" customWidth="1" outlineLevel="1"/>
    <col min="23" max="23" width="9.1796875" customWidth="1" outlineLevel="1"/>
    <col min="24" max="27" width="16" bestFit="1" customWidth="1" outlineLevel="1"/>
    <col min="28" max="28" width="12" bestFit="1" customWidth="1"/>
  </cols>
  <sheetData>
    <row r="1" spans="1:28" x14ac:dyDescent="0.35">
      <c r="A1" s="3" t="str">
        <f>+'PPC Cycle 2'!A1</f>
        <v>Evergy Metro, Inc. - DSIM Rider Update Filed 12/01/2020</v>
      </c>
    </row>
    <row r="2" spans="1:28" ht="15" thickBot="1" x14ac:dyDescent="0.4">
      <c r="H2" s="59"/>
      <c r="I2" s="59"/>
      <c r="J2" s="61"/>
      <c r="K2" s="61"/>
    </row>
    <row r="3" spans="1:28" ht="27.5" thickBot="1" x14ac:dyDescent="0.4">
      <c r="B3" s="105" t="s">
        <v>8</v>
      </c>
      <c r="C3" s="148" t="s">
        <v>21</v>
      </c>
      <c r="D3" s="148" t="s">
        <v>22</v>
      </c>
      <c r="E3" s="148" t="s">
        <v>59</v>
      </c>
      <c r="F3" s="148" t="s">
        <v>23</v>
      </c>
      <c r="G3" s="148" t="s">
        <v>40</v>
      </c>
      <c r="H3" s="107" t="s">
        <v>30</v>
      </c>
      <c r="I3" s="51"/>
      <c r="J3" s="106" t="s">
        <v>15</v>
      </c>
      <c r="K3" s="107" t="s">
        <v>58</v>
      </c>
      <c r="L3" s="107" t="s">
        <v>76</v>
      </c>
      <c r="M3" s="107" t="s">
        <v>77</v>
      </c>
    </row>
    <row r="4" spans="1:28" ht="15" thickBot="1" x14ac:dyDescent="0.4">
      <c r="B4" s="108" t="s">
        <v>26</v>
      </c>
      <c r="C4" s="146">
        <f t="shared" ref="C4:F8" si="0">C13+C22</f>
        <v>7613447.8149999995</v>
      </c>
      <c r="D4" s="147">
        <f t="shared" si="0"/>
        <v>7064823.9972999999</v>
      </c>
      <c r="E4" s="147">
        <f t="shared" si="0"/>
        <v>994689.08299999998</v>
      </c>
      <c r="F4" s="147">
        <f t="shared" si="0"/>
        <v>0</v>
      </c>
      <c r="G4" s="150">
        <f>+'PPC Cycle 3'!B5</f>
        <v>2612273653</v>
      </c>
      <c r="H4" s="151">
        <f>ROUND(SUM(C4:F4)/G4,5)</f>
        <v>6.0000000000000001E-3</v>
      </c>
      <c r="I4" s="152"/>
      <c r="J4" s="216">
        <f>ROUND((C13+C22)/G4,5)</f>
        <v>2.9099999999999998E-3</v>
      </c>
      <c r="K4" s="153">
        <f>ROUND((D13+D22)/G4,5)</f>
        <v>2.7000000000000001E-3</v>
      </c>
      <c r="L4" s="281">
        <f>ROUND((E13+E22)/G4,5)+0.00001</f>
        <v>3.9000000000000005E-4</v>
      </c>
      <c r="M4" s="153">
        <f>ROUND((F13+F22)/G4,5)</f>
        <v>0</v>
      </c>
      <c r="N4" s="249">
        <f>+H4-SUM(J4:M4)</f>
        <v>0</v>
      </c>
    </row>
    <row r="5" spans="1:28" ht="15" thickBot="1" x14ac:dyDescent="0.4">
      <c r="B5" s="108" t="s">
        <v>120</v>
      </c>
      <c r="C5" s="146">
        <f t="shared" si="0"/>
        <v>784912.8400000002</v>
      </c>
      <c r="D5" s="147">
        <f t="shared" si="0"/>
        <v>883824.32917999988</v>
      </c>
      <c r="E5" s="147">
        <f t="shared" si="0"/>
        <v>203316.21</v>
      </c>
      <c r="F5" s="147">
        <f t="shared" si="0"/>
        <v>0</v>
      </c>
      <c r="G5" s="150">
        <f>+'PPC Cycle 3'!B6</f>
        <v>409900318</v>
      </c>
      <c r="H5" s="151">
        <f>ROUND(SUM(C5:F5)/G5,5)</f>
        <v>4.5700000000000003E-3</v>
      </c>
      <c r="I5" s="152"/>
      <c r="J5" s="216">
        <f>ROUND((C14+C23)/G5,5)</f>
        <v>1.91E-3</v>
      </c>
      <c r="K5" s="153">
        <f>ROUND((D14+D23)/G5,5)</f>
        <v>2.16E-3</v>
      </c>
      <c r="L5" s="153">
        <f>ROUND((E14+E23)/G5,5)</f>
        <v>5.0000000000000001E-4</v>
      </c>
      <c r="M5" s="153">
        <f>ROUND((F14+F23)/G5,5)</f>
        <v>0</v>
      </c>
      <c r="N5" s="249">
        <f t="shared" ref="N5:N8" si="1">+H5-SUM(J5:M5)</f>
        <v>0</v>
      </c>
      <c r="O5" s="290"/>
      <c r="P5" s="290"/>
      <c r="Q5" s="290"/>
      <c r="R5" s="290"/>
      <c r="S5" s="290"/>
      <c r="T5" s="290"/>
    </row>
    <row r="6" spans="1:28" s="59" customFormat="1" ht="15" thickBot="1" x14ac:dyDescent="0.4">
      <c r="B6" s="108" t="s">
        <v>121</v>
      </c>
      <c r="C6" s="146">
        <f t="shared" si="0"/>
        <v>2810543.2699999996</v>
      </c>
      <c r="D6" s="147">
        <f t="shared" si="0"/>
        <v>2060330.57656</v>
      </c>
      <c r="E6" s="147">
        <f t="shared" si="0"/>
        <v>1369638.1500000001</v>
      </c>
      <c r="F6" s="147">
        <f t="shared" si="0"/>
        <v>0</v>
      </c>
      <c r="G6" s="150">
        <f>+'PPC Cycle 3'!B7</f>
        <v>1167377772</v>
      </c>
      <c r="H6" s="151">
        <f>ROUND(SUM(C6:F6)/G6,5)</f>
        <v>5.3499999999999997E-3</v>
      </c>
      <c r="I6" s="152"/>
      <c r="J6" s="292">
        <f>ROUND((C15+C24)/G6,5)+0.00001</f>
        <v>2.4199999999999998E-3</v>
      </c>
      <c r="K6" s="153">
        <f>ROUND((D15+D24)/G6,5)</f>
        <v>1.7600000000000001E-3</v>
      </c>
      <c r="L6" s="153">
        <f>ROUND((E15+E24)/G6,5)</f>
        <v>1.17E-3</v>
      </c>
      <c r="M6" s="153">
        <f>ROUND((F15+F24)/G6,5)</f>
        <v>0</v>
      </c>
      <c r="N6" s="249">
        <f t="shared" si="1"/>
        <v>0</v>
      </c>
      <c r="O6" s="290"/>
      <c r="P6" s="290"/>
      <c r="Q6" s="290"/>
      <c r="R6" s="290"/>
      <c r="S6" s="290"/>
      <c r="T6" s="290"/>
    </row>
    <row r="7" spans="1:28" s="59" customFormat="1" ht="15" thickBot="1" x14ac:dyDescent="0.4">
      <c r="B7" s="108" t="s">
        <v>122</v>
      </c>
      <c r="C7" s="146">
        <f t="shared" si="0"/>
        <v>3625932.69</v>
      </c>
      <c r="D7" s="147">
        <f t="shared" si="0"/>
        <v>1839514.2762</v>
      </c>
      <c r="E7" s="147">
        <f t="shared" si="0"/>
        <v>1446923.8699999999</v>
      </c>
      <c r="F7" s="147">
        <f t="shared" si="0"/>
        <v>0</v>
      </c>
      <c r="G7" s="150">
        <f>+'PPC Cycle 3'!B8</f>
        <v>1810108556</v>
      </c>
      <c r="H7" s="151">
        <f>ROUND(SUM(C7:F7)/G7,5)</f>
        <v>3.82E-3</v>
      </c>
      <c r="I7" s="152"/>
      <c r="J7" s="216">
        <f>ROUND((C16+C25)/G7,5)</f>
        <v>2E-3</v>
      </c>
      <c r="K7" s="153">
        <f>ROUND((D16+D25)/G7,5)</f>
        <v>1.0200000000000001E-3</v>
      </c>
      <c r="L7" s="153">
        <f>ROUND((E16+E25)/G7,5)</f>
        <v>8.0000000000000004E-4</v>
      </c>
      <c r="M7" s="153">
        <f>ROUND((F16+F25)/G7,5)</f>
        <v>0</v>
      </c>
      <c r="N7" s="249">
        <f t="shared" si="1"/>
        <v>0</v>
      </c>
      <c r="O7" s="290"/>
      <c r="P7" s="290"/>
      <c r="Q7" s="290"/>
      <c r="R7" s="290"/>
      <c r="S7" s="290"/>
      <c r="T7" s="290"/>
    </row>
    <row r="8" spans="1:28" s="59" customFormat="1" ht="15" thickBot="1" x14ac:dyDescent="0.4">
      <c r="B8" s="108" t="s">
        <v>123</v>
      </c>
      <c r="C8" s="146">
        <f t="shared" si="0"/>
        <v>961700.69000000018</v>
      </c>
      <c r="D8" s="147">
        <f t="shared" si="0"/>
        <v>190022.69160000002</v>
      </c>
      <c r="E8" s="147">
        <f t="shared" si="0"/>
        <v>390052.52</v>
      </c>
      <c r="F8" s="147">
        <f t="shared" si="0"/>
        <v>0</v>
      </c>
      <c r="G8" s="150">
        <f>+'PPC Cycle 3'!B9</f>
        <v>547570757</v>
      </c>
      <c r="H8" s="151">
        <f>ROUND(SUM(C8:F8)/G8,5)</f>
        <v>2.82E-3</v>
      </c>
      <c r="I8" s="152"/>
      <c r="J8" s="216">
        <f>ROUND((C17+C26)/G8,5)</f>
        <v>1.7600000000000001E-3</v>
      </c>
      <c r="K8" s="153">
        <f>ROUND((D17+D26)/G8,5)</f>
        <v>3.5E-4</v>
      </c>
      <c r="L8" s="291">
        <f>ROUND((E17+E26)/G8,5)</f>
        <v>7.1000000000000002E-4</v>
      </c>
      <c r="M8" s="153">
        <f>ROUND((F17+F26)/G8,5)</f>
        <v>0</v>
      </c>
      <c r="N8" s="249">
        <f t="shared" si="1"/>
        <v>0</v>
      </c>
      <c r="O8" s="290"/>
      <c r="P8" s="290"/>
      <c r="Q8" s="290"/>
      <c r="R8" s="290"/>
      <c r="S8" s="290"/>
      <c r="T8" s="290"/>
    </row>
    <row r="9" spans="1:28" x14ac:dyDescent="0.35">
      <c r="C9" s="145"/>
      <c r="D9" s="145"/>
      <c r="E9" s="145"/>
      <c r="F9" s="145"/>
      <c r="G9" s="144"/>
    </row>
    <row r="10" spans="1:28" x14ac:dyDescent="0.35">
      <c r="C10" s="145"/>
      <c r="D10" s="145"/>
      <c r="E10" s="145"/>
      <c r="F10" s="145"/>
      <c r="G10" s="144"/>
    </row>
    <row r="11" spans="1:28" ht="15" thickBot="1" x14ac:dyDescent="0.4">
      <c r="C11" s="145"/>
      <c r="D11" s="145"/>
      <c r="E11" s="145"/>
      <c r="F11" s="145"/>
      <c r="G11" s="144"/>
    </row>
    <row r="12" spans="1:28" ht="15" thickBot="1" x14ac:dyDescent="0.4">
      <c r="B12" s="105" t="s">
        <v>8</v>
      </c>
      <c r="C12" s="149" t="s">
        <v>7</v>
      </c>
      <c r="D12" s="149" t="s">
        <v>18</v>
      </c>
      <c r="E12" s="149" t="s">
        <v>60</v>
      </c>
      <c r="F12" s="149" t="s">
        <v>19</v>
      </c>
      <c r="G12" s="144"/>
      <c r="J12" s="17"/>
      <c r="K12" s="17"/>
      <c r="O12" s="149" t="s">
        <v>78</v>
      </c>
      <c r="P12" s="149" t="s">
        <v>79</v>
      </c>
      <c r="Q12" s="149" t="s">
        <v>86</v>
      </c>
      <c r="R12" s="59"/>
      <c r="S12" s="149" t="s">
        <v>80</v>
      </c>
      <c r="T12" s="149" t="s">
        <v>81</v>
      </c>
      <c r="U12" s="149" t="s">
        <v>116</v>
      </c>
      <c r="V12" s="149" t="s">
        <v>102</v>
      </c>
      <c r="X12" s="149" t="s">
        <v>129</v>
      </c>
      <c r="Y12" s="149" t="s">
        <v>130</v>
      </c>
      <c r="Z12" s="149" t="s">
        <v>131</v>
      </c>
      <c r="AA12" s="149" t="s">
        <v>132</v>
      </c>
    </row>
    <row r="13" spans="1:28" ht="15" thickBot="1" x14ac:dyDescent="0.4">
      <c r="B13" s="108" t="s">
        <v>26</v>
      </c>
      <c r="C13" s="147">
        <f>'PPC Cycle 2'!C5+'PPC Cycle 3'!C5</f>
        <v>7181273.4299999997</v>
      </c>
      <c r="D13" s="147">
        <f>'PTD Cycle 2'!C6+'PTD Cycle 3'!C6</f>
        <v>6556395.6299999999</v>
      </c>
      <c r="E13" s="147">
        <f>+'EO Cycle 2'!G7</f>
        <v>1088082.83</v>
      </c>
      <c r="F13" s="146">
        <f>+'OA Cycle 2'!D8</f>
        <v>0</v>
      </c>
      <c r="G13" s="144"/>
      <c r="J13" s="174"/>
      <c r="K13" s="17"/>
      <c r="O13" s="203">
        <v>0</v>
      </c>
      <c r="P13" s="203">
        <v>0</v>
      </c>
      <c r="Q13" s="248">
        <v>0</v>
      </c>
      <c r="R13" s="177"/>
      <c r="S13" s="176">
        <f>ROUND(+'PPC Cycle 2'!C5/'tariff tables'!$G4,5)</f>
        <v>0</v>
      </c>
      <c r="T13" s="176">
        <f>ROUND(+'PTD Cycle 2'!C6/'tariff tables'!G4,5)</f>
        <v>1.1100000000000001E-3</v>
      </c>
      <c r="U13" s="176">
        <f>ROUND('EO Cycle 2'!G7/'tariff tables'!G4,5)</f>
        <v>4.2000000000000002E-4</v>
      </c>
      <c r="V13" s="176">
        <f>ROUND('OA Cycle 2'!D8/'tariff tables'!G4,5)</f>
        <v>0</v>
      </c>
      <c r="X13" s="176">
        <f>ROUND('PPC Cycle 3'!C5/'tariff tables'!$G4,5)</f>
        <v>2.7499999999999998E-3</v>
      </c>
      <c r="Y13" s="176">
        <f>ROUND('PTD Cycle 3'!C6/'tariff tables'!G4,5)</f>
        <v>1.4E-3</v>
      </c>
      <c r="Z13" s="176">
        <f>ROUND(0/'tariff tables'!G4,5)</f>
        <v>0</v>
      </c>
      <c r="AA13" s="176">
        <f>ROUND(0/'tariff tables'!G4,5)</f>
        <v>0</v>
      </c>
      <c r="AB13" s="177">
        <f>SUM(O13:AA13,O22:AA22)</f>
        <v>6.000000000000001E-3</v>
      </c>
    </row>
    <row r="14" spans="1:28" ht="15" thickBot="1" x14ac:dyDescent="0.4">
      <c r="B14" s="108" t="s">
        <v>120</v>
      </c>
      <c r="C14" s="147">
        <f>'PPC Cycle 2'!C10+'PPC Cycle 3'!C6</f>
        <v>863248.56</v>
      </c>
      <c r="D14" s="147">
        <f>'PTD Cycle 2'!C10+'PTD Cycle 3'!C7</f>
        <v>929283.44</v>
      </c>
      <c r="E14" s="147">
        <f>+'EO Cycle 2'!G11</f>
        <v>188936.8</v>
      </c>
      <c r="F14" s="146">
        <f>+'OA Cycle 2'!D13</f>
        <v>0</v>
      </c>
      <c r="G14" s="144"/>
      <c r="J14" s="174"/>
      <c r="K14" s="17"/>
      <c r="O14" s="203">
        <v>0</v>
      </c>
      <c r="P14" s="203">
        <v>0</v>
      </c>
      <c r="Q14" s="248">
        <v>0</v>
      </c>
      <c r="R14" s="177"/>
      <c r="S14" s="176">
        <f>ROUND(+'PPC Cycle 2'!C10/'tariff tables'!$G5,5)</f>
        <v>0</v>
      </c>
      <c r="T14" s="203">
        <f>ROUND(+'PTD Cycle 2'!C10/'tariff tables'!G5,5)</f>
        <v>1.23E-3</v>
      </c>
      <c r="U14" s="248">
        <f>ROUND('EO Cycle 2'!G11/'tariff tables'!G5,5)</f>
        <v>4.6000000000000001E-4</v>
      </c>
      <c r="V14" s="203">
        <f>ROUND('OA Cycle 2'!D13/'tariff tables'!G5,5)</f>
        <v>0</v>
      </c>
      <c r="X14" s="176">
        <f>ROUND('PPC Cycle 3'!C6/'tariff tables'!$G5,5)</f>
        <v>2.1099999999999999E-3</v>
      </c>
      <c r="Y14" s="176">
        <f>ROUND('PTD Cycle 3'!C7/'tariff tables'!G5,5)</f>
        <v>1.0399999999999999E-3</v>
      </c>
      <c r="Z14" s="176">
        <f>ROUND(0/'tariff tables'!G5,5)</f>
        <v>0</v>
      </c>
      <c r="AA14" s="176">
        <f>ROUND(0/'tariff tables'!G5,5)</f>
        <v>0</v>
      </c>
      <c r="AB14" s="177">
        <f t="shared" ref="AB14:AB17" si="2">SUM(O14:AA14,O23:AA23)</f>
        <v>4.5700000000000003E-3</v>
      </c>
    </row>
    <row r="15" spans="1:28" s="59" customFormat="1" ht="15" thickBot="1" x14ac:dyDescent="0.4">
      <c r="B15" s="108" t="s">
        <v>121</v>
      </c>
      <c r="C15" s="147">
        <f>'PPC Cycle 2'!C11+'PPC Cycle 3'!C7</f>
        <v>2179647.65</v>
      </c>
      <c r="D15" s="147">
        <f>'PTD Cycle 2'!C11+'PTD Cycle 3'!C8</f>
        <v>2006933.29</v>
      </c>
      <c r="E15" s="147">
        <f>+'EO Cycle 2'!G12</f>
        <v>1331920.3600000001</v>
      </c>
      <c r="F15" s="146">
        <f>+'OA Cycle 2'!D14</f>
        <v>0</v>
      </c>
      <c r="G15" s="144"/>
      <c r="J15" s="174"/>
      <c r="K15" s="17"/>
      <c r="O15" s="203">
        <v>0</v>
      </c>
      <c r="P15" s="203">
        <v>0</v>
      </c>
      <c r="Q15" s="248">
        <v>0</v>
      </c>
      <c r="R15" s="177"/>
      <c r="S15" s="176">
        <f>ROUND(+'PPC Cycle 2'!C11/'tariff tables'!$G6,5)</f>
        <v>0</v>
      </c>
      <c r="T15" s="203">
        <f>ROUND(+'PTD Cycle 2'!C11/'tariff tables'!G6,5)</f>
        <v>1.01E-3</v>
      </c>
      <c r="U15" s="248">
        <f>ROUND('EO Cycle 2'!G12/'tariff tables'!G6,5)</f>
        <v>1.14E-3</v>
      </c>
      <c r="V15" s="203">
        <f>ROUND('OA Cycle 2'!D14/'tariff tables'!G6,5)</f>
        <v>0</v>
      </c>
      <c r="X15" s="176">
        <f>ROUND('PPC Cycle 3'!C7/'tariff tables'!$G6,5)</f>
        <v>1.8699999999999999E-3</v>
      </c>
      <c r="Y15" s="176">
        <f>ROUND('PTD Cycle 3'!C8/'tariff tables'!G6,5)</f>
        <v>7.1000000000000002E-4</v>
      </c>
      <c r="Z15" s="176">
        <f>ROUND(0/'tariff tables'!G6,5)</f>
        <v>0</v>
      </c>
      <c r="AA15" s="176">
        <f>ROUND(0/'tariff tables'!G6,5)</f>
        <v>0</v>
      </c>
      <c r="AB15" s="177">
        <f t="shared" si="2"/>
        <v>5.3499999999999989E-3</v>
      </c>
    </row>
    <row r="16" spans="1:28" s="59" customFormat="1" ht="15" thickBot="1" x14ac:dyDescent="0.4">
      <c r="B16" s="108" t="s">
        <v>122</v>
      </c>
      <c r="C16" s="147">
        <f>'PPC Cycle 2'!C12+'PPC Cycle 3'!C8</f>
        <v>3537080.81</v>
      </c>
      <c r="D16" s="147">
        <f>'PTD Cycle 2'!C12+'PTD Cycle 3'!C9</f>
        <v>1839244.88</v>
      </c>
      <c r="E16" s="147">
        <f>+'EO Cycle 2'!G13</f>
        <v>1402617.9</v>
      </c>
      <c r="F16" s="146">
        <f>+'OA Cycle 2'!D15</f>
        <v>0</v>
      </c>
      <c r="G16" s="144"/>
      <c r="J16" s="174"/>
      <c r="K16" s="17"/>
      <c r="O16" s="203">
        <v>0</v>
      </c>
      <c r="P16" s="203">
        <v>0</v>
      </c>
      <c r="Q16" s="265">
        <v>0</v>
      </c>
      <c r="R16" s="266"/>
      <c r="S16" s="210">
        <f>ROUND(+'PPC Cycle 2'!C12/'tariff tables'!$G7,5)</f>
        <v>0</v>
      </c>
      <c r="T16" s="267">
        <f>ROUND(+'PTD Cycle 2'!C12/'tariff tables'!G7,5)</f>
        <v>5.9999999999999995E-4</v>
      </c>
      <c r="U16" s="265">
        <f>ROUND('EO Cycle 2'!G13/'tariff tables'!G7,5)</f>
        <v>7.6999999999999996E-4</v>
      </c>
      <c r="V16" s="203">
        <f>ROUND('OA Cycle 2'!D15/'tariff tables'!G7,5)</f>
        <v>0</v>
      </c>
      <c r="X16" s="176">
        <f>ROUND('PPC Cycle 3'!C8/'tariff tables'!$G7,5)</f>
        <v>1.9499999999999999E-3</v>
      </c>
      <c r="Y16" s="176">
        <f>ROUND('PTD Cycle 3'!C9/'tariff tables'!G7,5)</f>
        <v>4.0999999999999999E-4</v>
      </c>
      <c r="Z16" s="176">
        <f>ROUND(0/'tariff tables'!G7,5)</f>
        <v>0</v>
      </c>
      <c r="AA16" s="176">
        <f>ROUND(0/'tariff tables'!G7,5)</f>
        <v>0</v>
      </c>
      <c r="AB16" s="177">
        <f t="shared" si="2"/>
        <v>3.82E-3</v>
      </c>
    </row>
    <row r="17" spans="2:28" s="59" customFormat="1" ht="15" thickBot="1" x14ac:dyDescent="0.4">
      <c r="B17" s="108" t="s">
        <v>123</v>
      </c>
      <c r="C17" s="147">
        <f>'PPC Cycle 2'!C13+'PPC Cycle 3'!C9</f>
        <v>1254343.6100000001</v>
      </c>
      <c r="D17" s="147">
        <f>'PTD Cycle 2'!C13+'PTD Cycle 3'!C10</f>
        <v>197050.89</v>
      </c>
      <c r="E17" s="147">
        <f>+'EO Cycle 2'!G14</f>
        <v>380541.27</v>
      </c>
      <c r="F17" s="146">
        <f>+'OA Cycle 2'!D16</f>
        <v>0</v>
      </c>
      <c r="G17" s="144"/>
      <c r="J17" s="174"/>
      <c r="K17" s="17"/>
      <c r="O17" s="203">
        <v>0</v>
      </c>
      <c r="P17" s="203">
        <v>0</v>
      </c>
      <c r="Q17" s="265">
        <v>0</v>
      </c>
      <c r="R17" s="266"/>
      <c r="S17" s="210">
        <f>ROUND(+'PPC Cycle 2'!C13/'tariff tables'!$G8,5)</f>
        <v>0</v>
      </c>
      <c r="T17" s="267">
        <f>ROUND(+'PTD Cycle 2'!C13/'tariff tables'!G8,5)</f>
        <v>2.1000000000000001E-4</v>
      </c>
      <c r="U17" s="282">
        <f>ROUND('EO Cycle 2'!G14/'tariff tables'!G8,5)+0.00001</f>
        <v>6.9999999999999999E-4</v>
      </c>
      <c r="V17" s="203">
        <f>ROUND('OA Cycle 2'!D16/'tariff tables'!G8,5)</f>
        <v>0</v>
      </c>
      <c r="X17" s="176">
        <f>ROUND('PPC Cycle 3'!C9/'tariff tables'!$G8,5)</f>
        <v>2.2899999999999999E-3</v>
      </c>
      <c r="Y17" s="176">
        <f>ROUND('PTD Cycle 3'!C10/'tariff tables'!G8,5)</f>
        <v>1.4999999999999999E-4</v>
      </c>
      <c r="Z17" s="176">
        <f>ROUND(0/'tariff tables'!G8,5)</f>
        <v>0</v>
      </c>
      <c r="AA17" s="176">
        <f>ROUND(0/'tariff tables'!G8,5)</f>
        <v>0</v>
      </c>
      <c r="AB17" s="177">
        <f t="shared" si="2"/>
        <v>2.82E-3</v>
      </c>
    </row>
    <row r="18" spans="2:28" x14ac:dyDescent="0.35">
      <c r="C18" s="145"/>
      <c r="D18" s="145"/>
      <c r="E18" s="145"/>
      <c r="F18" s="145"/>
      <c r="G18" s="144"/>
      <c r="J18" s="17"/>
      <c r="K18" s="17"/>
      <c r="O18" s="204"/>
      <c r="P18" s="204"/>
      <c r="Q18" s="268"/>
      <c r="R18" s="266"/>
      <c r="S18" s="266"/>
      <c r="T18" s="266"/>
      <c r="U18" s="266"/>
      <c r="V18" s="177"/>
      <c r="X18" s="177"/>
      <c r="Y18" s="177"/>
      <c r="Z18" s="177"/>
      <c r="AA18" s="177"/>
    </row>
    <row r="19" spans="2:28" x14ac:dyDescent="0.35">
      <c r="C19" s="145"/>
      <c r="D19" s="145"/>
      <c r="E19" s="145"/>
      <c r="F19" s="145"/>
      <c r="G19" s="144"/>
      <c r="J19" s="17"/>
      <c r="K19" s="17"/>
      <c r="O19" s="204"/>
      <c r="P19" s="204"/>
      <c r="Q19" s="268"/>
      <c r="R19" s="266"/>
      <c r="S19" s="266"/>
      <c r="T19" s="266"/>
      <c r="U19" s="266"/>
      <c r="V19" s="177"/>
      <c r="X19" s="177"/>
      <c r="Y19" s="177"/>
      <c r="Z19" s="177"/>
      <c r="AA19" s="177"/>
    </row>
    <row r="20" spans="2:28" ht="15" thickBot="1" x14ac:dyDescent="0.4">
      <c r="C20" s="145"/>
      <c r="D20" s="145"/>
      <c r="E20" s="145"/>
      <c r="F20" s="145"/>
      <c r="G20" s="144"/>
      <c r="J20" s="17"/>
      <c r="K20" s="17"/>
      <c r="O20" s="204"/>
      <c r="P20" s="204"/>
      <c r="Q20" s="268"/>
      <c r="R20" s="266"/>
      <c r="S20" s="266"/>
      <c r="T20" s="266"/>
      <c r="U20" s="266"/>
      <c r="V20" s="177"/>
      <c r="X20" s="177"/>
      <c r="Y20" s="177"/>
      <c r="Z20" s="177"/>
      <c r="AA20" s="177"/>
    </row>
    <row r="21" spans="2:28" ht="15" thickBot="1" x14ac:dyDescent="0.4">
      <c r="B21" s="105" t="s">
        <v>8</v>
      </c>
      <c r="C21" s="149" t="s">
        <v>4</v>
      </c>
      <c r="D21" s="149" t="s">
        <v>10</v>
      </c>
      <c r="E21" s="149" t="s">
        <v>61</v>
      </c>
      <c r="F21" s="149" t="s">
        <v>20</v>
      </c>
      <c r="G21" s="144"/>
      <c r="O21" s="205" t="s">
        <v>82</v>
      </c>
      <c r="P21" s="205" t="s">
        <v>83</v>
      </c>
      <c r="Q21" s="269" t="s">
        <v>87</v>
      </c>
      <c r="R21" s="266"/>
      <c r="S21" s="270" t="s">
        <v>84</v>
      </c>
      <c r="T21" s="270" t="s">
        <v>85</v>
      </c>
      <c r="U21" s="269" t="s">
        <v>119</v>
      </c>
      <c r="V21" s="178" t="s">
        <v>103</v>
      </c>
      <c r="X21" s="178" t="s">
        <v>133</v>
      </c>
      <c r="Y21" s="178" t="s">
        <v>134</v>
      </c>
      <c r="Z21" s="205" t="s">
        <v>135</v>
      </c>
      <c r="AA21" s="178" t="s">
        <v>136</v>
      </c>
    </row>
    <row r="22" spans="2:28" ht="15" thickBot="1" x14ac:dyDescent="0.4">
      <c r="B22" s="108" t="s">
        <v>26</v>
      </c>
      <c r="C22" s="147">
        <f>+'PCR Cycle 3'!J4+'PCR Cycle 2'!J4</f>
        <v>432174.38499999989</v>
      </c>
      <c r="D22" s="147">
        <f>'TDR Cycle 3'!K4+'TDR Cycle 2'!K4</f>
        <v>508428.36729999987</v>
      </c>
      <c r="E22" s="147">
        <f>+'EOR Cycle 1'!I4+'EOR Cycle 2'!I4</f>
        <v>-93393.747000000119</v>
      </c>
      <c r="F22" s="146">
        <f>+'OAR Cycle 2'!I4</f>
        <v>0</v>
      </c>
      <c r="G22" s="144"/>
      <c r="O22" s="203">
        <v>0</v>
      </c>
      <c r="P22" s="203">
        <v>0</v>
      </c>
      <c r="Q22" s="267">
        <v>0</v>
      </c>
      <c r="R22" s="266"/>
      <c r="S22" s="210">
        <f>ROUND(+'PCR Cycle 2'!J4/'tariff tables'!G4,5)</f>
        <v>1E-4</v>
      </c>
      <c r="T22" s="210">
        <f>ROUND(+'TDR Cycle 2'!K4/'tariff tables'!G4,5)</f>
        <v>1.4999999999999999E-4</v>
      </c>
      <c r="U22" s="277">
        <f>ROUND('EOR Cycle 2'!I4/'tariff tables'!G4,5)+0.00001</f>
        <v>-3.0000000000000004E-5</v>
      </c>
      <c r="V22" s="210">
        <f>ROUND('OAR Cycle 2'!I4/'tariff tables'!G4,5)</f>
        <v>0</v>
      </c>
      <c r="X22" s="277">
        <f>ROUND('PCR Cycle 3'!J4/'tariff tables'!G4,5)-0.00001</f>
        <v>5.9999999999999995E-5</v>
      </c>
      <c r="Y22" s="277">
        <f>ROUND('TDR Cycle 3'!K4/'tariff tables'!G4,5)-0.00001</f>
        <v>4.0000000000000003E-5</v>
      </c>
      <c r="Z22" s="210">
        <f>ROUND(0/'tariff tables'!G4,5)</f>
        <v>0</v>
      </c>
      <c r="AA22" s="210">
        <f>ROUND(0/'tariff tables'!G4,5)</f>
        <v>0</v>
      </c>
    </row>
    <row r="23" spans="2:28" ht="15" thickBot="1" x14ac:dyDescent="0.4">
      <c r="B23" s="108" t="s">
        <v>120</v>
      </c>
      <c r="C23" s="147">
        <f>'PCR Cycle 3'!J5+'PCR Cycle 2'!J8</f>
        <v>-78335.719999999899</v>
      </c>
      <c r="D23" s="147">
        <f>'TDR Cycle 3'!K5+'TDR Cycle 2'!K8</f>
        <v>-45459.110820000016</v>
      </c>
      <c r="E23" s="147">
        <f>+'EOR Cycle 1'!I8+'EOR Cycle 2'!I8</f>
        <v>14379.41</v>
      </c>
      <c r="F23" s="146">
        <f>+'OAR Cycle 2'!I8</f>
        <v>0</v>
      </c>
      <c r="G23" s="144"/>
      <c r="O23" s="203">
        <v>0</v>
      </c>
      <c r="P23" s="203">
        <v>0</v>
      </c>
      <c r="Q23" s="267">
        <v>0</v>
      </c>
      <c r="R23" s="266"/>
      <c r="S23" s="277">
        <f>ROUND(+'PCR Cycle 2'!J8/'tariff tables'!G5,5)-0.00001</f>
        <v>-1.9000000000000001E-4</v>
      </c>
      <c r="T23" s="210">
        <f>ROUND(+'TDR Cycle 2'!K8/'tariff tables'!G5,5)</f>
        <v>6.9999999999999994E-5</v>
      </c>
      <c r="U23" s="210">
        <f>ROUND('EOR Cycle 2'!I8/'tariff tables'!G5,5)</f>
        <v>4.0000000000000003E-5</v>
      </c>
      <c r="V23" s="210">
        <f>ROUND('OAR Cycle 2'!I8/'tariff tables'!G5,5)</f>
        <v>0</v>
      </c>
      <c r="X23" s="210">
        <f>ROUND('PCR Cycle 3'!J5/'tariff tables'!G5,5)</f>
        <v>-1.0000000000000001E-5</v>
      </c>
      <c r="Y23" s="210">
        <f>ROUND('TDR Cycle 3'!K5/'tariff tables'!G5,5)</f>
        <v>-1.8000000000000001E-4</v>
      </c>
      <c r="Z23" s="210">
        <f>ROUND(0/'tariff tables'!G5,5)</f>
        <v>0</v>
      </c>
      <c r="AA23" s="210">
        <f>ROUND(0/'tariff tables'!G5,5)</f>
        <v>0</v>
      </c>
    </row>
    <row r="24" spans="2:28" s="59" customFormat="1" ht="15" thickBot="1" x14ac:dyDescent="0.4">
      <c r="B24" s="108" t="s">
        <v>121</v>
      </c>
      <c r="C24" s="147">
        <f>'PCR Cycle 3'!J6+'PCR Cycle 2'!J9</f>
        <v>630895.61999999988</v>
      </c>
      <c r="D24" s="147">
        <f>'TDR Cycle 3'!K6+'TDR Cycle 2'!K9</f>
        <v>53397.286560000022</v>
      </c>
      <c r="E24" s="147">
        <f>+'EOR Cycle 1'!I9+'EOR Cycle 2'!I9</f>
        <v>37717.79</v>
      </c>
      <c r="F24" s="146">
        <f>+'OAR Cycle 2'!I9</f>
        <v>0</v>
      </c>
      <c r="G24" s="144"/>
      <c r="O24" s="203">
        <v>0</v>
      </c>
      <c r="P24" s="203">
        <v>0</v>
      </c>
      <c r="Q24" s="267">
        <v>0</v>
      </c>
      <c r="R24" s="266"/>
      <c r="S24" s="277">
        <f>ROUND(+'PCR Cycle 2'!J9/'tariff tables'!G6,5)+0.00001</f>
        <v>-1.6000000000000001E-4</v>
      </c>
      <c r="T24" s="277">
        <f>ROUND(+'TDR Cycle 2'!K9/'tariff tables'!G6,5)-0.00001</f>
        <v>5.9999999999999995E-5</v>
      </c>
      <c r="U24" s="210">
        <f>ROUND('EOR Cycle 2'!I9/'tariff tables'!G6,5)</f>
        <v>3.0000000000000001E-5</v>
      </c>
      <c r="V24" s="210">
        <f>ROUND('OAR Cycle 2'!I9/'tariff tables'!G6,5)</f>
        <v>0</v>
      </c>
      <c r="X24" s="210">
        <f>ROUND('PCR Cycle 3'!J6/'tariff tables'!G6,5)</f>
        <v>7.1000000000000002E-4</v>
      </c>
      <c r="Y24" s="210">
        <f>ROUND('TDR Cycle 3'!K6/'tariff tables'!G6,5)</f>
        <v>-2.0000000000000002E-5</v>
      </c>
      <c r="Z24" s="210">
        <f>ROUND(0/'tariff tables'!G6,5)</f>
        <v>0</v>
      </c>
      <c r="AA24" s="210">
        <f>ROUND(0/'tariff tables'!G6,5)</f>
        <v>0</v>
      </c>
    </row>
    <row r="25" spans="2:28" s="59" customFormat="1" ht="15" thickBot="1" x14ac:dyDescent="0.4">
      <c r="B25" s="108" t="s">
        <v>122</v>
      </c>
      <c r="C25" s="147">
        <f>'PCR Cycle 3'!J7+'PCR Cycle 2'!J10</f>
        <v>88851.88</v>
      </c>
      <c r="D25" s="147">
        <f>'TDR Cycle 3'!K7+'TDR Cycle 2'!K10</f>
        <v>269.39620000000286</v>
      </c>
      <c r="E25" s="147">
        <f>+'EOR Cycle 1'!I10+'EOR Cycle 2'!I10</f>
        <v>44305.97</v>
      </c>
      <c r="F25" s="146">
        <f>+'OAR Cycle 2'!I10</f>
        <v>0</v>
      </c>
      <c r="G25" s="144"/>
      <c r="O25" s="203">
        <v>0</v>
      </c>
      <c r="P25" s="203">
        <v>0</v>
      </c>
      <c r="Q25" s="267">
        <v>0</v>
      </c>
      <c r="R25" s="266"/>
      <c r="S25" s="210">
        <f>ROUND(+'PCR Cycle 2'!J10/'tariff tables'!G7,5)</f>
        <v>-1.2999999999999999E-4</v>
      </c>
      <c r="T25" s="210">
        <f>ROUND(+'TDR Cycle 2'!K10/'tariff tables'!G7,5)+0.00001</f>
        <v>6.0000000000000002E-5</v>
      </c>
      <c r="U25" s="277">
        <f>ROUND('EOR Cycle 2'!I10/'tariff tables'!G7,5)+0.00001</f>
        <v>3.0000000000000004E-5</v>
      </c>
      <c r="V25" s="210">
        <f>ROUND('OAR Cycle 2'!I10/'tariff tables'!G7,5)</f>
        <v>0</v>
      </c>
      <c r="X25" s="210">
        <f>ROUND('PCR Cycle 3'!J7/'tariff tables'!G7,5)</f>
        <v>1.8000000000000001E-4</v>
      </c>
      <c r="Y25" s="210">
        <f>ROUND('TDR Cycle 3'!K7/'tariff tables'!G7,5)</f>
        <v>-5.0000000000000002E-5</v>
      </c>
      <c r="Z25" s="210">
        <f>ROUND(0/'tariff tables'!G7,5)</f>
        <v>0</v>
      </c>
      <c r="AA25" s="210">
        <f>ROUND(0/'tariff tables'!G7,5)</f>
        <v>0</v>
      </c>
    </row>
    <row r="26" spans="2:28" s="59" customFormat="1" ht="15" thickBot="1" x14ac:dyDescent="0.4">
      <c r="B26" s="108" t="s">
        <v>123</v>
      </c>
      <c r="C26" s="147">
        <f>'PCR Cycle 3'!J8+'PCR Cycle 2'!J11</f>
        <v>-292642.92</v>
      </c>
      <c r="D26" s="147">
        <f>'TDR Cycle 3'!K8+'TDR Cycle 2'!K11</f>
        <v>-7028.1983999999975</v>
      </c>
      <c r="E26" s="147">
        <f>+'EOR Cycle 1'!I11+'EOR Cycle 2'!I11</f>
        <v>9511.25</v>
      </c>
      <c r="F26" s="146">
        <f>+'OAR Cycle 2'!I11</f>
        <v>0</v>
      </c>
      <c r="G26" s="144"/>
      <c r="O26" s="203">
        <v>0</v>
      </c>
      <c r="P26" s="203">
        <v>0</v>
      </c>
      <c r="Q26" s="267">
        <v>0</v>
      </c>
      <c r="R26" s="266"/>
      <c r="S26" s="210">
        <f>ROUND(+'PCR Cycle 2'!J11/'tariff tables'!G8,5)</f>
        <v>-9.0000000000000006E-5</v>
      </c>
      <c r="T26" s="210">
        <f>ROUND(+'TDR Cycle 2'!K11/'tariff tables'!G8,5)</f>
        <v>4.0000000000000003E-5</v>
      </c>
      <c r="U26" s="277">
        <f>ROUND('EOR Cycle 2'!I11/'tariff tables'!G8,5)-0.00001</f>
        <v>1.0000000000000001E-5</v>
      </c>
      <c r="V26" s="210">
        <f>ROUND('OAR Cycle 2'!I11/'tariff tables'!G8,5)</f>
        <v>0</v>
      </c>
      <c r="X26" s="210">
        <f>ROUND('PCR Cycle 3'!J8/'tariff tables'!G8,5)</f>
        <v>-4.4000000000000002E-4</v>
      </c>
      <c r="Y26" s="210">
        <f>ROUND('TDR Cycle 3'!K8/'tariff tables'!G8,5)</f>
        <v>-5.0000000000000002E-5</v>
      </c>
      <c r="Z26" s="210">
        <f>ROUND(0/'tariff tables'!G8,5)</f>
        <v>0</v>
      </c>
      <c r="AA26" s="210">
        <f>ROUND(0/'tariff tables'!G8,5)</f>
        <v>0</v>
      </c>
    </row>
    <row r="27" spans="2:28" x14ac:dyDescent="0.35">
      <c r="O27" s="59"/>
      <c r="P27" s="59"/>
      <c r="R27" s="59"/>
      <c r="S27" s="59"/>
      <c r="T27" s="59"/>
    </row>
    <row r="28" spans="2:28" x14ac:dyDescent="0.35">
      <c r="B28" s="111" t="s">
        <v>41</v>
      </c>
      <c r="R28" t="s">
        <v>170</v>
      </c>
      <c r="S28" s="175">
        <f>+J4-O13-O22-S13-S22-X13-X22</f>
        <v>1.6263032587282567E-19</v>
      </c>
      <c r="T28" s="175">
        <f t="shared" ref="S28:U32" si="3">+K4-P13-P22-T13-T22-Y13-Y22</f>
        <v>1.0164395367051604E-19</v>
      </c>
      <c r="U28" s="175">
        <f t="shared" si="3"/>
        <v>3.3881317890172014E-20</v>
      </c>
    </row>
    <row r="29" spans="2:28" x14ac:dyDescent="0.35">
      <c r="B29" s="112" t="s">
        <v>42</v>
      </c>
      <c r="R29" t="s">
        <v>171</v>
      </c>
      <c r="S29" s="175">
        <f t="shared" si="3"/>
        <v>-2.541098841762901E-20</v>
      </c>
      <c r="T29" s="175">
        <f t="shared" si="3"/>
        <v>0</v>
      </c>
      <c r="U29" s="175">
        <f t="shared" si="3"/>
        <v>-6.7762635780344027E-21</v>
      </c>
    </row>
    <row r="30" spans="2:28" x14ac:dyDescent="0.35">
      <c r="B30" s="112" t="s">
        <v>45</v>
      </c>
      <c r="R30" t="s">
        <v>172</v>
      </c>
      <c r="S30" s="175">
        <f t="shared" si="3"/>
        <v>0</v>
      </c>
      <c r="T30" s="175">
        <f t="shared" si="3"/>
        <v>5.7598240413292423E-20</v>
      </c>
      <c r="U30" s="175">
        <f t="shared" si="3"/>
        <v>7.7927031147395631E-20</v>
      </c>
    </row>
    <row r="31" spans="2:28" x14ac:dyDescent="0.35">
      <c r="B31" s="112" t="s">
        <v>161</v>
      </c>
      <c r="R31" t="s">
        <v>173</v>
      </c>
      <c r="S31" s="175">
        <f t="shared" si="3"/>
        <v>0</v>
      </c>
      <c r="T31" s="175">
        <f t="shared" si="3"/>
        <v>1.4230153513872246E-19</v>
      </c>
      <c r="U31" s="175">
        <f t="shared" si="3"/>
        <v>7.453889935837843E-20</v>
      </c>
    </row>
    <row r="32" spans="2:28" x14ac:dyDescent="0.35">
      <c r="B32" s="112" t="s">
        <v>43</v>
      </c>
      <c r="R32" t="s">
        <v>174</v>
      </c>
      <c r="S32" s="175">
        <f t="shared" si="3"/>
        <v>0</v>
      </c>
      <c r="T32" s="175">
        <f t="shared" si="3"/>
        <v>0</v>
      </c>
      <c r="U32" s="175">
        <f t="shared" si="3"/>
        <v>2.541098841762901E-20</v>
      </c>
    </row>
    <row r="33" spans="2:20" x14ac:dyDescent="0.35">
      <c r="B33" s="112" t="s">
        <v>166</v>
      </c>
      <c r="O33" s="283"/>
      <c r="P33" s="283"/>
      <c r="Q33" s="283"/>
      <c r="R33" s="169"/>
      <c r="S33" s="59"/>
      <c r="T33" s="59"/>
    </row>
    <row r="34" spans="2:20" x14ac:dyDescent="0.35">
      <c r="B34" s="112" t="s">
        <v>160</v>
      </c>
      <c r="O34" s="169"/>
      <c r="P34" s="169"/>
      <c r="Q34" s="284"/>
      <c r="R34" s="169"/>
      <c r="S34" s="59"/>
      <c r="T34" s="59"/>
    </row>
    <row r="35" spans="2:20" x14ac:dyDescent="0.35">
      <c r="B35" s="112" t="s">
        <v>50</v>
      </c>
      <c r="O35" s="285"/>
      <c r="P35" s="169"/>
      <c r="Q35" s="284"/>
      <c r="R35" s="169"/>
      <c r="S35" s="59"/>
      <c r="T35" s="59"/>
    </row>
    <row r="36" spans="2:20" x14ac:dyDescent="0.35">
      <c r="B36" s="112" t="s">
        <v>165</v>
      </c>
      <c r="O36" s="286"/>
      <c r="P36" s="287"/>
      <c r="Q36" s="284"/>
      <c r="R36" s="284"/>
      <c r="S36" s="59"/>
      <c r="T36" s="59"/>
    </row>
    <row r="37" spans="2:20" x14ac:dyDescent="0.35">
      <c r="B37" s="112" t="s">
        <v>162</v>
      </c>
      <c r="O37" s="286"/>
      <c r="P37" s="287"/>
      <c r="Q37" s="284"/>
      <c r="R37" s="284"/>
      <c r="S37" s="59"/>
      <c r="T37" s="59"/>
    </row>
    <row r="38" spans="2:20" x14ac:dyDescent="0.35">
      <c r="B38" s="112" t="s">
        <v>163</v>
      </c>
      <c r="O38" s="286"/>
      <c r="P38" s="287"/>
      <c r="Q38" s="284"/>
      <c r="R38" s="284"/>
      <c r="S38" s="59"/>
      <c r="T38" s="59"/>
    </row>
    <row r="39" spans="2:20" x14ac:dyDescent="0.35">
      <c r="B39" s="112" t="s">
        <v>167</v>
      </c>
      <c r="O39" s="286"/>
      <c r="P39" s="287"/>
      <c r="Q39" s="284"/>
      <c r="R39" s="284"/>
      <c r="S39" s="59"/>
      <c r="T39" s="59"/>
    </row>
    <row r="40" spans="2:20" x14ac:dyDescent="0.35">
      <c r="B40" s="112" t="s">
        <v>44</v>
      </c>
      <c r="O40" s="286"/>
      <c r="P40" s="287"/>
      <c r="Q40" s="284"/>
      <c r="R40" s="284"/>
      <c r="S40" s="59"/>
      <c r="T40" s="59"/>
    </row>
    <row r="41" spans="2:20" x14ac:dyDescent="0.35">
      <c r="B41" s="112" t="s">
        <v>164</v>
      </c>
      <c r="O41" s="286"/>
      <c r="P41" s="287"/>
      <c r="Q41" s="284"/>
      <c r="R41" s="284"/>
      <c r="S41" s="59"/>
      <c r="T41" s="59"/>
    </row>
    <row r="42" spans="2:20" x14ac:dyDescent="0.35">
      <c r="B42" s="112" t="s">
        <v>168</v>
      </c>
      <c r="O42" s="288"/>
      <c r="P42" s="287"/>
      <c r="Q42" s="284"/>
      <c r="R42" s="284"/>
      <c r="S42" s="59"/>
      <c r="T42" s="59"/>
    </row>
    <row r="43" spans="2:20" x14ac:dyDescent="0.35">
      <c r="B43" s="112" t="s">
        <v>169</v>
      </c>
      <c r="O43" s="169"/>
      <c r="P43" s="289"/>
      <c r="Q43" s="284"/>
      <c r="R43" s="284"/>
      <c r="S43" s="59"/>
      <c r="T43" s="59"/>
    </row>
    <row r="44" spans="2:20" x14ac:dyDescent="0.35">
      <c r="O44" s="285"/>
      <c r="P44" s="169"/>
      <c r="Q44" s="284"/>
      <c r="R44" s="284"/>
      <c r="S44" s="59"/>
      <c r="T44" s="59"/>
    </row>
    <row r="45" spans="2:20" x14ac:dyDescent="0.35">
      <c r="O45" s="286"/>
      <c r="P45" s="287"/>
      <c r="Q45" s="284"/>
      <c r="R45" s="284"/>
      <c r="S45" s="59"/>
      <c r="T45" s="59"/>
    </row>
    <row r="46" spans="2:20" x14ac:dyDescent="0.35">
      <c r="O46" s="286"/>
      <c r="P46" s="287"/>
      <c r="Q46" s="284"/>
      <c r="R46" s="284"/>
      <c r="S46" s="59"/>
      <c r="T46" s="59"/>
    </row>
    <row r="47" spans="2:20" x14ac:dyDescent="0.35">
      <c r="O47" s="286"/>
      <c r="P47" s="287"/>
      <c r="Q47" s="284"/>
      <c r="R47" s="284"/>
      <c r="S47" s="59"/>
      <c r="T47" s="59"/>
    </row>
    <row r="48" spans="2:20" x14ac:dyDescent="0.35">
      <c r="O48" s="286"/>
      <c r="P48" s="287"/>
      <c r="Q48" s="284"/>
      <c r="R48" s="284"/>
      <c r="S48" s="59"/>
      <c r="T48" s="59"/>
    </row>
    <row r="49" spans="15:20" x14ac:dyDescent="0.35">
      <c r="O49" s="286"/>
      <c r="P49" s="287"/>
      <c r="Q49" s="284"/>
      <c r="R49" s="284"/>
      <c r="S49" s="59"/>
      <c r="T49" s="59"/>
    </row>
    <row r="50" spans="15:20" x14ac:dyDescent="0.35">
      <c r="O50" s="286"/>
      <c r="P50" s="287"/>
      <c r="Q50" s="284"/>
      <c r="R50" s="284"/>
      <c r="S50" s="59"/>
      <c r="T50" s="59"/>
    </row>
    <row r="51" spans="15:20" x14ac:dyDescent="0.35">
      <c r="O51" s="288"/>
      <c r="P51" s="287"/>
      <c r="Q51" s="284"/>
      <c r="R51" s="284"/>
    </row>
    <row r="52" spans="15:20" x14ac:dyDescent="0.35">
      <c r="O52" s="169"/>
      <c r="P52" s="289"/>
      <c r="Q52" s="284"/>
      <c r="R52" s="284"/>
    </row>
    <row r="53" spans="15:20" x14ac:dyDescent="0.35">
      <c r="O53" s="169"/>
      <c r="P53" s="169"/>
      <c r="Q53" s="284"/>
      <c r="R53" s="284"/>
    </row>
    <row r="54" spans="15:20" x14ac:dyDescent="0.35">
      <c r="O54" s="169"/>
      <c r="P54" s="169"/>
      <c r="Q54" s="169"/>
      <c r="R54" s="169"/>
    </row>
    <row r="55" spans="15:20" x14ac:dyDescent="0.35">
      <c r="O55" s="169"/>
      <c r="P55" s="169"/>
      <c r="Q55" s="169"/>
      <c r="R55" s="169"/>
    </row>
    <row r="56" spans="15:20" x14ac:dyDescent="0.35">
      <c r="O56" s="169"/>
      <c r="P56" s="169"/>
      <c r="Q56" s="169"/>
      <c r="R56" s="169"/>
    </row>
    <row r="57" spans="15:20" x14ac:dyDescent="0.35">
      <c r="O57" s="169"/>
      <c r="P57" s="169"/>
      <c r="Q57" s="169"/>
      <c r="R57" s="169"/>
    </row>
  </sheetData>
  <pageMargins left="0.2" right="0.2" top="0.75" bottom="0.25" header="0.3" footer="0.3"/>
  <pageSetup scale="33"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7"/>
  <sheetViews>
    <sheetView zoomScaleNormal="100" workbookViewId="0">
      <pane xSplit="1" ySplit="2" topLeftCell="F24" activePane="bottomRight" state="frozen"/>
      <selection activeCell="J18" sqref="J18"/>
      <selection pane="topRight" activeCell="J18" sqref="J18"/>
      <selection pane="bottomLeft" activeCell="J18" sqref="J18"/>
      <selection pane="bottomRight" activeCell="P1" sqref="P1:P1048576"/>
    </sheetView>
  </sheetViews>
  <sheetFormatPr defaultColWidth="9.1796875" defaultRowHeight="14.5" outlineLevelCol="1" x14ac:dyDescent="0.35"/>
  <cols>
    <col min="1" max="1" width="61.7265625" style="59" customWidth="1"/>
    <col min="2" max="2" width="12.1796875" style="59" customWidth="1"/>
    <col min="3" max="3" width="12.453125" style="59" customWidth="1"/>
    <col min="4" max="4" width="12.453125" style="59" hidden="1" customWidth="1" outlineLevel="1"/>
    <col min="5" max="5" width="15.453125" style="59" customWidth="1" collapsed="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6" style="59"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Metro, Inc. - DSIM Rider Update Filed 12/01/2020</v>
      </c>
      <c r="B1" s="3"/>
      <c r="C1" s="3"/>
      <c r="D1" s="3"/>
    </row>
    <row r="2" spans="1:35" x14ac:dyDescent="0.35">
      <c r="E2" s="3" t="s">
        <v>64</v>
      </c>
    </row>
    <row r="3" spans="1:35" ht="29" x14ac:dyDescent="0.35">
      <c r="E3" s="61" t="s">
        <v>48</v>
      </c>
      <c r="F3" s="83" t="s">
        <v>75</v>
      </c>
      <c r="G3" s="83" t="s">
        <v>56</v>
      </c>
      <c r="H3" s="61" t="s">
        <v>3</v>
      </c>
      <c r="I3" s="83" t="s">
        <v>57</v>
      </c>
      <c r="J3" s="61" t="s">
        <v>11</v>
      </c>
      <c r="K3" s="61" t="s">
        <v>10</v>
      </c>
      <c r="S3" s="61"/>
    </row>
    <row r="4" spans="1:35" x14ac:dyDescent="0.35">
      <c r="A4" s="21" t="s">
        <v>26</v>
      </c>
      <c r="B4" s="21"/>
      <c r="C4" s="21"/>
      <c r="D4" s="21"/>
      <c r="E4" s="23">
        <f>SUM(C19:M19)</f>
        <v>2098002.6774999998</v>
      </c>
      <c r="F4" s="156">
        <f>N26</f>
        <v>20179096.394506633</v>
      </c>
      <c r="G4" s="23">
        <f>SUM(C33:L33)</f>
        <v>1590091.8499999999</v>
      </c>
      <c r="H4" s="23">
        <f>G4-E4</f>
        <v>-507910.8274999999</v>
      </c>
      <c r="I4" s="23">
        <f>+B46</f>
        <v>889849.34</v>
      </c>
      <c r="J4" s="23">
        <f>SUM(C51:L51)</f>
        <v>6149.96</v>
      </c>
      <c r="K4" s="35">
        <f>SUM(H4:J4)</f>
        <v>388088.47250000009</v>
      </c>
      <c r="L4" s="60">
        <f>+K4-M46</f>
        <v>0</v>
      </c>
    </row>
    <row r="5" spans="1:35" ht="15" thickBot="1" x14ac:dyDescent="0.4">
      <c r="A5" s="21" t="s">
        <v>27</v>
      </c>
      <c r="B5" s="21"/>
      <c r="C5" s="21"/>
      <c r="D5" s="21"/>
      <c r="E5" s="23">
        <f>SUM(C20:M23)</f>
        <v>1344693.1859899997</v>
      </c>
      <c r="F5" s="156">
        <f>SUM(N27:N30)</f>
        <v>36344917.030176289</v>
      </c>
      <c r="G5" s="23">
        <f>SUM(C34:L37)</f>
        <v>1528185.9900000005</v>
      </c>
      <c r="H5" s="23">
        <f>G5-E5</f>
        <v>183492.80401000078</v>
      </c>
      <c r="I5" s="23">
        <f>+B47</f>
        <v>28211.63</v>
      </c>
      <c r="J5" s="23">
        <f>SUM(C52:L52)</f>
        <v>3116.8499999999995</v>
      </c>
      <c r="K5" s="35">
        <f>SUM(H5:J5)</f>
        <v>214821.28401000079</v>
      </c>
      <c r="L5" s="60">
        <f>+K5-M47</f>
        <v>9.0221874415874481E-10</v>
      </c>
    </row>
    <row r="6" spans="1:35" ht="15.5" thickTop="1" thickBot="1" x14ac:dyDescent="0.4">
      <c r="E6" s="39">
        <f t="shared" ref="E6" si="0">SUM(E4:E5)</f>
        <v>3442695.8634899994</v>
      </c>
      <c r="F6" s="157">
        <f t="shared" ref="F6:I6" si="1">SUM(F4:F5)</f>
        <v>56524013.424682923</v>
      </c>
      <c r="G6" s="39">
        <f t="shared" si="1"/>
        <v>3118277.8400000003</v>
      </c>
      <c r="H6" s="39">
        <f t="shared" si="1"/>
        <v>-324418.02348999912</v>
      </c>
      <c r="I6" s="39">
        <f t="shared" si="1"/>
        <v>918060.97</v>
      </c>
      <c r="J6" s="39">
        <f>SUM(J4:J5)</f>
        <v>9266.81</v>
      </c>
      <c r="K6" s="39">
        <f>SUM(K4:K5)</f>
        <v>602909.75651000091</v>
      </c>
      <c r="T6" s="5"/>
    </row>
    <row r="7" spans="1:35" ht="44" thickTop="1" x14ac:dyDescent="0.35">
      <c r="K7" s="253"/>
      <c r="L7" s="252" t="s">
        <v>139</v>
      </c>
    </row>
    <row r="8" spans="1:35" x14ac:dyDescent="0.35">
      <c r="A8" s="21" t="s">
        <v>120</v>
      </c>
      <c r="K8" s="35">
        <f>ROUND($K$5*L8,2)</f>
        <v>29165.09</v>
      </c>
      <c r="L8" s="250">
        <f>+'PPC Cycle 2'!D10</f>
        <v>0.13576441564001979</v>
      </c>
    </row>
    <row r="9" spans="1:35" x14ac:dyDescent="0.35">
      <c r="A9" s="21" t="s">
        <v>121</v>
      </c>
      <c r="K9" s="35">
        <f t="shared" ref="K9:K11" si="2">ROUND($K$5*L9,2)</f>
        <v>76501.240000000005</v>
      </c>
      <c r="L9" s="250">
        <f>+'PPC Cycle 2'!D11</f>
        <v>0.35611574316442379</v>
      </c>
    </row>
    <row r="10" spans="1:35" x14ac:dyDescent="0.35">
      <c r="A10" s="21" t="s">
        <v>122</v>
      </c>
      <c r="K10" s="35">
        <f t="shared" si="2"/>
        <v>89863.73</v>
      </c>
      <c r="L10" s="250">
        <f>+'PPC Cycle 2'!D12</f>
        <v>0.4183185730547726</v>
      </c>
    </row>
    <row r="11" spans="1:35" ht="15" thickBot="1" x14ac:dyDescent="0.4">
      <c r="A11" s="21" t="s">
        <v>123</v>
      </c>
      <c r="J11" s="4"/>
      <c r="K11" s="35">
        <f t="shared" si="2"/>
        <v>19291.22</v>
      </c>
      <c r="L11" s="250">
        <f>+'PPC Cycle 2'!D13</f>
        <v>8.9801268140783777E-2</v>
      </c>
      <c r="V11" s="4"/>
    </row>
    <row r="12" spans="1:35" ht="15.5" thickTop="1" thickBot="1" x14ac:dyDescent="0.4">
      <c r="A12" s="21" t="s">
        <v>125</v>
      </c>
      <c r="K12" s="39">
        <f>SUM(K8:K11)</f>
        <v>214821.28</v>
      </c>
      <c r="L12" s="251">
        <f>SUM(L8:L11)</f>
        <v>1</v>
      </c>
      <c r="V12" s="4"/>
      <c r="W12" s="5"/>
    </row>
    <row r="13" spans="1:35" ht="15.5" thickTop="1" thickBot="1" x14ac:dyDescent="0.4">
      <c r="V13" s="4"/>
      <c r="W13" s="5"/>
    </row>
    <row r="14" spans="1:35" ht="102" thickBot="1" x14ac:dyDescent="0.4">
      <c r="B14" s="136" t="str">
        <f>+'PCR Cycle 2'!B14</f>
        <v>Cumulative Over/Under Carryover From 06/01/2020 Filing</v>
      </c>
      <c r="C14" s="171" t="str">
        <f>+'PCR Cycle 2'!C14:F14</f>
        <v>Reverse May 2020 - July 2020  Forecast From 06/01/2020 Filing</v>
      </c>
      <c r="D14" s="236"/>
      <c r="E14" s="303" t="s">
        <v>35</v>
      </c>
      <c r="F14" s="303"/>
      <c r="G14" s="304"/>
      <c r="H14" s="305" t="s">
        <v>35</v>
      </c>
      <c r="I14" s="306"/>
      <c r="J14" s="307"/>
      <c r="K14" s="299" t="s">
        <v>9</v>
      </c>
      <c r="L14" s="300"/>
      <c r="M14" s="301"/>
    </row>
    <row r="15" spans="1:35" x14ac:dyDescent="0.35">
      <c r="A15" s="59" t="s">
        <v>66</v>
      </c>
      <c r="C15" s="123"/>
      <c r="D15" s="237"/>
      <c r="E15" s="19">
        <f>+'PCR Cycle 2'!D15</f>
        <v>43982</v>
      </c>
      <c r="F15" s="19">
        <f t="shared" ref="F15:M15" si="3">EOMONTH(E15,1)</f>
        <v>44012</v>
      </c>
      <c r="G15" s="19">
        <f t="shared" si="3"/>
        <v>44043</v>
      </c>
      <c r="H15" s="14">
        <f t="shared" si="3"/>
        <v>44074</v>
      </c>
      <c r="I15" s="19">
        <f t="shared" si="3"/>
        <v>44104</v>
      </c>
      <c r="J15" s="15">
        <f t="shared" si="3"/>
        <v>44135</v>
      </c>
      <c r="K15" s="19">
        <f t="shared" si="3"/>
        <v>44165</v>
      </c>
      <c r="L15" s="19">
        <f t="shared" si="3"/>
        <v>44196</v>
      </c>
      <c r="M15" s="15">
        <f t="shared" si="3"/>
        <v>44227</v>
      </c>
      <c r="Z15" s="1"/>
      <c r="AA15" s="1"/>
      <c r="AB15" s="1"/>
      <c r="AC15" s="1"/>
      <c r="AD15" s="1"/>
      <c r="AE15" s="1"/>
      <c r="AF15" s="1"/>
      <c r="AG15" s="1"/>
      <c r="AH15" s="1"/>
      <c r="AI15" s="1"/>
    </row>
    <row r="16" spans="1:35" x14ac:dyDescent="0.35">
      <c r="A16" s="59" t="s">
        <v>6</v>
      </c>
      <c r="C16" s="217">
        <v>-1077583.1000000001</v>
      </c>
      <c r="D16" s="220">
        <f t="shared" ref="D16" si="4">+D33+D37</f>
        <v>0</v>
      </c>
      <c r="E16" s="127">
        <f>SUM(E33:E37)</f>
        <v>456538.20000000007</v>
      </c>
      <c r="F16" s="127">
        <f t="shared" ref="F16:L16" si="5">SUM(F33:F37)</f>
        <v>621044.9</v>
      </c>
      <c r="G16" s="128">
        <f t="shared" si="5"/>
        <v>663550.51</v>
      </c>
      <c r="H16" s="16">
        <f t="shared" si="5"/>
        <v>654704.71</v>
      </c>
      <c r="I16" s="68">
        <f t="shared" si="5"/>
        <v>573179.68000000005</v>
      </c>
      <c r="J16" s="186">
        <f t="shared" si="5"/>
        <v>398707.62000000005</v>
      </c>
      <c r="K16" s="179">
        <f t="shared" si="5"/>
        <v>412698.88000000006</v>
      </c>
      <c r="L16" s="93">
        <f t="shared" si="5"/>
        <v>415436.44</v>
      </c>
      <c r="M16" s="94"/>
    </row>
    <row r="17" spans="1:15" x14ac:dyDescent="0.35">
      <c r="C17" s="117"/>
      <c r="D17" s="221"/>
      <c r="E17" s="17"/>
      <c r="F17" s="17"/>
      <c r="G17" s="17"/>
      <c r="H17" s="10"/>
      <c r="I17" s="17"/>
      <c r="J17" s="11"/>
      <c r="K17" s="43"/>
      <c r="L17" s="43"/>
      <c r="M17" s="41"/>
    </row>
    <row r="18" spans="1:15" x14ac:dyDescent="0.35">
      <c r="A18" s="59" t="s">
        <v>65</v>
      </c>
      <c r="C18" s="117"/>
      <c r="D18" s="221"/>
      <c r="E18" s="18"/>
      <c r="F18" s="18"/>
      <c r="G18" s="18"/>
      <c r="H18" s="109"/>
      <c r="I18" s="18"/>
      <c r="J18" s="187"/>
      <c r="K18" s="43"/>
      <c r="L18" s="43"/>
      <c r="M18" s="41"/>
      <c r="N18" s="3" t="s">
        <v>72</v>
      </c>
      <c r="O18" s="51"/>
    </row>
    <row r="19" spans="1:15" x14ac:dyDescent="0.35">
      <c r="A19" s="59" t="s">
        <v>26</v>
      </c>
      <c r="C19" s="217">
        <v>-814514.21</v>
      </c>
      <c r="D19" s="220">
        <v>0</v>
      </c>
      <c r="E19" s="154">
        <f>ROUND('[5]May 2020'!$F61,2)</f>
        <v>195418.44</v>
      </c>
      <c r="F19" s="154">
        <f>ROUND('[5]June 2020'!$F61,2)</f>
        <v>288243.96999999997</v>
      </c>
      <c r="G19" s="154">
        <f>ROUND('[5]July 2020'!$F61,2)</f>
        <v>414492.25</v>
      </c>
      <c r="H19" s="16">
        <f>ROUND('[5]Aug 2020'!$F61,2)</f>
        <v>397595.59</v>
      </c>
      <c r="I19" s="139">
        <f>ROUND('[5]Sept 2020'!$F61,2)</f>
        <v>385090.87</v>
      </c>
      <c r="J19" s="191">
        <f>ROUND('[5]Oct 2020'!$F61,2)</f>
        <v>254167.4</v>
      </c>
      <c r="K19" s="141">
        <f>'PCR Cycle 2'!J27*'TDR Cycle 2'!$N19</f>
        <v>236832.1635</v>
      </c>
      <c r="L19" s="53">
        <f>'PCR Cycle 2'!K27*'TDR Cycle 2'!$N19</f>
        <v>344917.29600000003</v>
      </c>
      <c r="M19" s="74">
        <f>'PCR Cycle 2'!L27*'TDR Cycle 2'!$N19</f>
        <v>395758.908</v>
      </c>
      <c r="N19" s="85">
        <v>1.5E-3</v>
      </c>
      <c r="O19" s="4"/>
    </row>
    <row r="20" spans="1:15" x14ac:dyDescent="0.35">
      <c r="A20" s="59" t="s">
        <v>120</v>
      </c>
      <c r="C20" s="217">
        <v>-127759.01</v>
      </c>
      <c r="D20" s="220"/>
      <c r="E20" s="154">
        <f>ROUND('[5]May 2020'!$F62,2)</f>
        <v>34511.230000000003</v>
      </c>
      <c r="F20" s="154">
        <f>ROUND('[5]June 2020'!$F62,2)</f>
        <v>46028.29</v>
      </c>
      <c r="G20" s="154">
        <f>ROUND('[5]July 2020'!$F62,2)</f>
        <v>59387.03</v>
      </c>
      <c r="H20" s="16">
        <f>ROUND('[5]Aug 2020'!$F62,2)</f>
        <v>57686.5</v>
      </c>
      <c r="I20" s="139">
        <f>ROUND('[5]Sept 2020'!$F62,2)</f>
        <v>56678.87</v>
      </c>
      <c r="J20" s="191">
        <f>ROUND('[5]Oct 2020'!$F62,2)</f>
        <v>47445.89</v>
      </c>
      <c r="K20" s="141">
        <f>'PCR Cycle 2'!J28*'TDR Cycle 2'!$N20</f>
        <v>36456.952769999996</v>
      </c>
      <c r="L20" s="53">
        <f>'PCR Cycle 2'!K28*'TDR Cycle 2'!$N20</f>
        <v>39768.865530000003</v>
      </c>
      <c r="M20" s="74">
        <f>'PCR Cycle 2'!L28*'TDR Cycle 2'!$N20</f>
        <v>42086.037929999999</v>
      </c>
      <c r="N20" s="85">
        <v>1.23E-3</v>
      </c>
      <c r="O20" s="4"/>
    </row>
    <row r="21" spans="1:15" x14ac:dyDescent="0.35">
      <c r="A21" s="59" t="s">
        <v>121</v>
      </c>
      <c r="C21" s="217">
        <v>-289292.12</v>
      </c>
      <c r="D21" s="220"/>
      <c r="E21" s="154">
        <f>ROUND('[5]May 2020'!$F63,2)</f>
        <v>63857.71</v>
      </c>
      <c r="F21" s="154">
        <f>ROUND('[5]June 2020'!$F63,2)</f>
        <v>80261.97</v>
      </c>
      <c r="G21" s="154">
        <f>ROUND('[5]July 2020'!$F63,2)</f>
        <v>101439.83</v>
      </c>
      <c r="H21" s="16">
        <f>ROUND('[5]Aug 2020'!$F63,2)</f>
        <v>100087.54</v>
      </c>
      <c r="I21" s="139">
        <f>ROUND('[5]Sept 2020'!$F63,2)</f>
        <v>100976.4</v>
      </c>
      <c r="J21" s="191">
        <f>ROUND('[5]Oct 2020'!$F63,2)</f>
        <v>86318.32</v>
      </c>
      <c r="K21" s="141">
        <f>'PCR Cycle 2'!J29*'TDR Cycle 2'!$N21</f>
        <v>86101.077420000001</v>
      </c>
      <c r="L21" s="53">
        <f>'PCR Cycle 2'!K29*'TDR Cycle 2'!$N21</f>
        <v>93922.885200000004</v>
      </c>
      <c r="M21" s="74">
        <f>'PCR Cycle 2'!L29*'TDR Cycle 2'!$N21</f>
        <v>99395.396340000007</v>
      </c>
      <c r="N21" s="85">
        <v>1.0200000000000001E-3</v>
      </c>
      <c r="O21" s="4"/>
    </row>
    <row r="22" spans="1:15" x14ac:dyDescent="0.35">
      <c r="A22" s="59" t="s">
        <v>122</v>
      </c>
      <c r="C22" s="217">
        <v>-240470.28</v>
      </c>
      <c r="D22" s="220"/>
      <c r="E22" s="154">
        <f>ROUND('[5]May 2020'!$F64,2)</f>
        <v>57856.04</v>
      </c>
      <c r="F22" s="154">
        <f>ROUND('[5]June 2020'!$F64,2)</f>
        <v>67407.149999999994</v>
      </c>
      <c r="G22" s="154">
        <f>ROUND('[5]July 2020'!$F64,2)</f>
        <v>78698.16</v>
      </c>
      <c r="H22" s="16">
        <f>ROUND('[5]Aug 2020'!$F64,2)</f>
        <v>83823.460000000006</v>
      </c>
      <c r="I22" s="139">
        <f>ROUND('[5]Sept 2020'!$F64,2)</f>
        <v>92016.88</v>
      </c>
      <c r="J22" s="191">
        <f>ROUND('[5]Oct 2020'!$F64,2)</f>
        <v>84163.39</v>
      </c>
      <c r="K22" s="141">
        <f>'PCR Cycle 2'!J30*'TDR Cycle 2'!$N22</f>
        <v>78533.122799999997</v>
      </c>
      <c r="L22" s="53">
        <f>'PCR Cycle 2'!K30*'TDR Cycle 2'!$N22</f>
        <v>85667.4234</v>
      </c>
      <c r="M22" s="74">
        <f>'PCR Cycle 2'!L30*'TDR Cycle 2'!$N22</f>
        <v>90658.921799999996</v>
      </c>
      <c r="N22" s="85">
        <v>5.9999999999999995E-4</v>
      </c>
      <c r="O22" s="4"/>
    </row>
    <row r="23" spans="1:15" x14ac:dyDescent="0.35">
      <c r="A23" s="59" t="s">
        <v>123</v>
      </c>
      <c r="C23" s="217">
        <v>-25180.61</v>
      </c>
      <c r="D23" s="220">
        <v>0</v>
      </c>
      <c r="E23" s="154">
        <f>ROUND('[5]May 2020'!$F65,2)</f>
        <v>5305.27</v>
      </c>
      <c r="F23" s="154">
        <f>ROUND('[5]June 2020'!$F65,2)</f>
        <v>5819.84</v>
      </c>
      <c r="G23" s="154">
        <f>ROUND('[5]July 2020'!$F65,2)</f>
        <v>8888</v>
      </c>
      <c r="H23" s="16">
        <f>ROUND('[5]Aug 2020'!$F65,2)</f>
        <v>9060.27</v>
      </c>
      <c r="I23" s="139">
        <f>ROUND('[5]Sept 2020'!$F65,2)</f>
        <v>10047.469999999999</v>
      </c>
      <c r="J23" s="191">
        <f>ROUND('[5]Oct 2020'!$F65,2)</f>
        <v>10055.129999999999</v>
      </c>
      <c r="K23" s="141">
        <f>'PCR Cycle 2'!J31*'TDR Cycle 2'!$N23</f>
        <v>8314.8905699999996</v>
      </c>
      <c r="L23" s="53">
        <f>'PCR Cycle 2'!K31*'TDR Cycle 2'!$N23</f>
        <v>9070.2523799999999</v>
      </c>
      <c r="M23" s="74">
        <f>'PCR Cycle 2'!L31*'TDR Cycle 2'!$N23</f>
        <v>9598.7398499999999</v>
      </c>
      <c r="N23" s="85">
        <v>2.1000000000000001E-4</v>
      </c>
      <c r="O23" s="4"/>
    </row>
    <row r="24" spans="1:15" x14ac:dyDescent="0.35">
      <c r="C24" s="80"/>
      <c r="D24" s="222"/>
      <c r="E24" s="81"/>
      <c r="F24" s="81"/>
      <c r="G24" s="81"/>
      <c r="H24" s="80"/>
      <c r="I24" s="81"/>
      <c r="J24" s="189"/>
      <c r="K24" s="69"/>
      <c r="L24" s="69"/>
      <c r="M24" s="13"/>
      <c r="O24" s="4"/>
    </row>
    <row r="25" spans="1:15" x14ac:dyDescent="0.35">
      <c r="A25" s="51" t="s">
        <v>70</v>
      </c>
      <c r="B25" s="51"/>
      <c r="C25" s="80"/>
      <c r="D25" s="222"/>
      <c r="E25" s="69"/>
      <c r="F25" s="69"/>
      <c r="G25" s="69"/>
      <c r="H25" s="12"/>
      <c r="I25" s="69"/>
      <c r="J25" s="190"/>
      <c r="K25" s="69"/>
      <c r="L25" s="69"/>
      <c r="M25" s="13"/>
      <c r="N25" s="7"/>
    </row>
    <row r="26" spans="1:15" x14ac:dyDescent="0.35">
      <c r="A26" s="59" t="s">
        <v>26</v>
      </c>
      <c r="C26" s="218">
        <v>-6636495.2629699912</v>
      </c>
      <c r="D26" s="223"/>
      <c r="E26" s="129">
        <f>+'[2]Monthly TD Calc'!AZ285</f>
        <v>3370413.5458254805</v>
      </c>
      <c r="F26" s="129">
        <f>+'[2]Monthly TD Calc'!BA285</f>
        <v>3266081.7171445102</v>
      </c>
      <c r="G26" s="143">
        <f>+'[2]Monthly TD Calc'!BB285</f>
        <v>3680422.2557181921</v>
      </c>
      <c r="H26" s="89">
        <f>+'[2]Monthly TD Calc'!BC285</f>
        <v>3515394.0907785045</v>
      </c>
      <c r="I26" s="90">
        <f>+'[2]Monthly TD Calc'!BD285</f>
        <v>3065941.0702093444</v>
      </c>
      <c r="J26" s="191">
        <f>+'[2]Monthly TD Calc'!BE285</f>
        <v>3188466.8000968723</v>
      </c>
      <c r="K26" s="180">
        <f>+'[2]Monthly TD Calc'!BF285</f>
        <v>3066562.9817966414</v>
      </c>
      <c r="L26" s="162">
        <f>+'[2]Monthly TD Calc'!BG285</f>
        <v>3662309.1959070778</v>
      </c>
      <c r="M26" s="95"/>
      <c r="N26" s="72">
        <f>SUM(C26:L26)</f>
        <v>20179096.394506633</v>
      </c>
    </row>
    <row r="27" spans="1:15" x14ac:dyDescent="0.35">
      <c r="A27" s="59" t="s">
        <v>120</v>
      </c>
      <c r="C27" s="218">
        <v>-1103492.0612218208</v>
      </c>
      <c r="D27" s="223"/>
      <c r="E27" s="129">
        <f>+'[2]Monthly TD Calc'!AZ286</f>
        <v>556499.47614329192</v>
      </c>
      <c r="F27" s="129">
        <f>+'[2]Monthly TD Calc'!BA286</f>
        <v>546992.58507852885</v>
      </c>
      <c r="G27" s="143">
        <f>+'[2]Monthly TD Calc'!BB286</f>
        <v>563211.1824736062</v>
      </c>
      <c r="H27" s="89">
        <f>+'[2]Monthly TD Calc'!BC286</f>
        <v>575288.93952046824</v>
      </c>
      <c r="I27" s="90">
        <f>+'[2]Monthly TD Calc'!BD286</f>
        <v>521940.09533534345</v>
      </c>
      <c r="J27" s="191">
        <f>+'[2]Monthly TD Calc'!BE286</f>
        <v>550893.96566210699</v>
      </c>
      <c r="K27" s="180">
        <f>+'[2]Monthly TD Calc'!BF286</f>
        <v>519241.44169683417</v>
      </c>
      <c r="L27" s="162">
        <f>+'[2]Monthly TD Calc'!BG286</f>
        <v>517792.72147182899</v>
      </c>
      <c r="M27" s="95"/>
      <c r="N27" s="72">
        <f t="shared" ref="N27:N30" si="6">SUM(C27:L27)</f>
        <v>3248368.3461601879</v>
      </c>
    </row>
    <row r="28" spans="1:15" x14ac:dyDescent="0.35">
      <c r="A28" s="59" t="s">
        <v>121</v>
      </c>
      <c r="C28" s="218">
        <v>-4086115.8519828301</v>
      </c>
      <c r="D28" s="223"/>
      <c r="E28" s="129">
        <f>+'[2]Monthly TD Calc'!AZ287</f>
        <v>2051435.6097464242</v>
      </c>
      <c r="F28" s="129">
        <f>+'[2]Monthly TD Calc'!BA287</f>
        <v>2034680.2422364058</v>
      </c>
      <c r="G28" s="143">
        <f>+'[2]Monthly TD Calc'!BB287</f>
        <v>2100193.7252263715</v>
      </c>
      <c r="H28" s="89">
        <f>+'[2]Monthly TD Calc'!BC287</f>
        <v>2134682.8023906159</v>
      </c>
      <c r="I28" s="90">
        <f>+'[2]Monthly TD Calc'!BD287</f>
        <v>1939903.2451075946</v>
      </c>
      <c r="J28" s="191">
        <f>+'[2]Monthly TD Calc'!BE287</f>
        <v>2014354.5312926706</v>
      </c>
      <c r="K28" s="180">
        <f>+'[2]Monthly TD Calc'!BF287</f>
        <v>1902188.3875856276</v>
      </c>
      <c r="L28" s="162">
        <f>+'[2]Monthly TD Calc'!BG287</f>
        <v>1896713.2328896965</v>
      </c>
      <c r="M28" s="95"/>
      <c r="N28" s="72">
        <f t="shared" si="6"/>
        <v>11988035.924492577</v>
      </c>
    </row>
    <row r="29" spans="1:15" x14ac:dyDescent="0.35">
      <c r="A29" s="59" t="s">
        <v>122</v>
      </c>
      <c r="C29" s="218">
        <v>-5933287.1080048326</v>
      </c>
      <c r="D29" s="223"/>
      <c r="E29" s="129">
        <f>+'[2]Monthly TD Calc'!AZ288</f>
        <v>2991661.3414560268</v>
      </c>
      <c r="F29" s="129">
        <f>+'[2]Monthly TD Calc'!BA288</f>
        <v>2941625.7665488054</v>
      </c>
      <c r="G29" s="143">
        <f>+'[2]Monthly TD Calc'!BB288</f>
        <v>3026421.3147310298</v>
      </c>
      <c r="H29" s="89">
        <f>+'[2]Monthly TD Calc'!BC288</f>
        <v>3087695.406693608</v>
      </c>
      <c r="I29" s="90">
        <f>+'[2]Monthly TD Calc'!BD288</f>
        <v>2808644.072664205</v>
      </c>
      <c r="J29" s="191">
        <f>+'[2]Monthly TD Calc'!BE288</f>
        <v>2956303.3048945833</v>
      </c>
      <c r="K29" s="180">
        <f>+'[2]Monthly TD Calc'!BF288</f>
        <v>2788695.0613562055</v>
      </c>
      <c r="L29" s="162">
        <f>+'[2]Monthly TD Calc'!BG288</f>
        <v>2780898.9069368993</v>
      </c>
      <c r="M29" s="95"/>
      <c r="N29" s="72">
        <f t="shared" si="6"/>
        <v>17448658.06727653</v>
      </c>
    </row>
    <row r="30" spans="1:15" x14ac:dyDescent="0.35">
      <c r="A30" s="59" t="s">
        <v>123</v>
      </c>
      <c r="C30" s="218">
        <v>-1239357.2914375155</v>
      </c>
      <c r="D30" s="223"/>
      <c r="E30" s="129">
        <f>+'[2]Monthly TD Calc'!AZ289</f>
        <v>629016.14873591927</v>
      </c>
      <c r="F30" s="129">
        <f>+'[2]Monthly TD Calc'!BA289</f>
        <v>610341.14270159625</v>
      </c>
      <c r="G30" s="143">
        <f>+'[2]Monthly TD Calc'!BB289</f>
        <v>625162.41647787194</v>
      </c>
      <c r="H30" s="89">
        <f>+'[2]Monthly TD Calc'!BC289</f>
        <v>640902.78208922653</v>
      </c>
      <c r="I30" s="90">
        <f>+'[2]Monthly TD Calc'!BD289</f>
        <v>585000.13350031408</v>
      </c>
      <c r="J30" s="191">
        <f>+'[2]Monthly TD Calc'!BE289</f>
        <v>627474.44586290943</v>
      </c>
      <c r="K30" s="180">
        <f>+'[2]Monthly TD Calc'!BF289</f>
        <v>591300.97023510153</v>
      </c>
      <c r="L30" s="162">
        <f>+'[2]Monthly TD Calc'!BG289</f>
        <v>590013.94408156979</v>
      </c>
      <c r="M30" s="95"/>
      <c r="N30" s="72">
        <f t="shared" si="6"/>
        <v>3659854.6922469931</v>
      </c>
    </row>
    <row r="31" spans="1:15" x14ac:dyDescent="0.35">
      <c r="C31" s="80"/>
      <c r="D31" s="222"/>
      <c r="E31" s="81"/>
      <c r="F31" s="81"/>
      <c r="G31" s="81"/>
      <c r="H31" s="80"/>
      <c r="I31" s="81"/>
      <c r="J31" s="189"/>
      <c r="K31" s="69"/>
      <c r="L31" s="69"/>
      <c r="M31" s="13"/>
    </row>
    <row r="32" spans="1:15" x14ac:dyDescent="0.35">
      <c r="A32" s="59" t="s">
        <v>73</v>
      </c>
      <c r="C32" s="48"/>
      <c r="D32" s="224"/>
      <c r="E32" s="49"/>
      <c r="F32" s="49"/>
      <c r="G32" s="49"/>
      <c r="H32" s="48"/>
      <c r="I32" s="49"/>
      <c r="J32" s="192"/>
      <c r="K32" s="65"/>
      <c r="L32" s="65"/>
      <c r="M32" s="50"/>
    </row>
    <row r="33" spans="1:15" x14ac:dyDescent="0.35">
      <c r="A33" s="59" t="s">
        <v>26</v>
      </c>
      <c r="C33" s="217">
        <v>-527633.56000000006</v>
      </c>
      <c r="D33" s="220"/>
      <c r="E33" s="127">
        <f>ROUND('[2]Monthly TD Calc'!AZ326,2)</f>
        <v>216990.47</v>
      </c>
      <c r="F33" s="127">
        <f>ROUND('[2]Monthly TD Calc'!BA326,2)</f>
        <v>310643.09000000003</v>
      </c>
      <c r="G33" s="128">
        <f>ROUND('[2]Monthly TD Calc'!BB326,2)</f>
        <v>359810.86</v>
      </c>
      <c r="H33" s="16">
        <f>ROUND('[2]Monthly TD Calc'!BC326,2)</f>
        <v>342311.19</v>
      </c>
      <c r="I33" s="68">
        <f>ROUND('[2]Monthly TD Calc'!BD326,2)</f>
        <v>291163.2</v>
      </c>
      <c r="J33" s="191">
        <f>ROUND('[2]Monthly TD Calc'!BE326,2)</f>
        <v>182673.63</v>
      </c>
      <c r="K33" s="181">
        <f>ROUND('[2]Monthly TD Calc'!BF326,2)</f>
        <v>195698.16</v>
      </c>
      <c r="L33" s="161">
        <f>ROUND('[2]Monthly TD Calc'!BG326,2)</f>
        <v>218434.81</v>
      </c>
      <c r="M33" s="94"/>
    </row>
    <row r="34" spans="1:15" x14ac:dyDescent="0.35">
      <c r="A34" s="59" t="s">
        <v>120</v>
      </c>
      <c r="C34" s="217">
        <v>-94264.8</v>
      </c>
      <c r="D34" s="220"/>
      <c r="E34" s="127">
        <f>ROUND('[2]Monthly TD Calc'!AZ327,2)</f>
        <v>41945.8</v>
      </c>
      <c r="F34" s="127">
        <f>ROUND('[2]Monthly TD Calc'!BA327,2)</f>
        <v>52319</v>
      </c>
      <c r="G34" s="128">
        <f>ROUND('[2]Monthly TD Calc'!BB327,2)</f>
        <v>51334.75</v>
      </c>
      <c r="H34" s="16">
        <f>ROUND('[2]Monthly TD Calc'!BC327,2)</f>
        <v>52372.19</v>
      </c>
      <c r="I34" s="68">
        <f>ROUND('[2]Monthly TD Calc'!BD327,2)</f>
        <v>48332.98</v>
      </c>
      <c r="J34" s="191">
        <f>ROUND('[2]Monthly TD Calc'!BE327,2)</f>
        <v>39120.79</v>
      </c>
      <c r="K34" s="181">
        <f>ROUND('[2]Monthly TD Calc'!BF327,2)</f>
        <v>38159.29</v>
      </c>
      <c r="L34" s="161">
        <f>ROUND('[2]Monthly TD Calc'!BG327,2)</f>
        <v>35422.89</v>
      </c>
      <c r="M34" s="94"/>
    </row>
    <row r="35" spans="1:15" x14ac:dyDescent="0.35">
      <c r="A35" s="59" t="s">
        <v>121</v>
      </c>
      <c r="C35" s="217">
        <v>-225887.18</v>
      </c>
      <c r="D35" s="220"/>
      <c r="E35" s="127">
        <f>ROUND('[2]Monthly TD Calc'!AZ328,2)</f>
        <v>98233.21</v>
      </c>
      <c r="F35" s="127">
        <f>ROUND('[2]Monthly TD Calc'!BA328,2)</f>
        <v>127653.97</v>
      </c>
      <c r="G35" s="128">
        <f>ROUND('[2]Monthly TD Calc'!BB328,2)</f>
        <v>126334.1</v>
      </c>
      <c r="H35" s="16">
        <f>ROUND('[2]Monthly TD Calc'!BC328,2)</f>
        <v>128917.53</v>
      </c>
      <c r="I35" s="68">
        <f>ROUND('[2]Monthly TD Calc'!BD328,2)</f>
        <v>117550.52</v>
      </c>
      <c r="J35" s="191">
        <f>ROUND('[2]Monthly TD Calc'!BE328,2)</f>
        <v>87309.38</v>
      </c>
      <c r="K35" s="181">
        <f>ROUND('[2]Monthly TD Calc'!BF328,2)</f>
        <v>88423.72</v>
      </c>
      <c r="L35" s="161">
        <f>ROUND('[2]Monthly TD Calc'!BG328,2)</f>
        <v>80119.53</v>
      </c>
      <c r="M35" s="94"/>
    </row>
    <row r="36" spans="1:15" x14ac:dyDescent="0.35">
      <c r="A36" s="59" t="s">
        <v>122</v>
      </c>
      <c r="C36" s="217">
        <v>-208681.3</v>
      </c>
      <c r="D36" s="220"/>
      <c r="E36" s="127">
        <f>ROUND('[2]Monthly TD Calc'!AZ329,2)</f>
        <v>89527.57</v>
      </c>
      <c r="F36" s="127">
        <f>ROUND('[2]Monthly TD Calc'!BA329,2)</f>
        <v>119153.73</v>
      </c>
      <c r="G36" s="128">
        <f>ROUND('[2]Monthly TD Calc'!BB329,2)</f>
        <v>115601.38</v>
      </c>
      <c r="H36" s="16">
        <f>ROUND('[2]Monthly TD Calc'!BC329,2)</f>
        <v>119766.95</v>
      </c>
      <c r="I36" s="68">
        <f>ROUND('[2]Monthly TD Calc'!BD329,2)</f>
        <v>105741.59</v>
      </c>
      <c r="J36" s="191">
        <f>ROUND('[2]Monthly TD Calc'!BE329,2)</f>
        <v>81169.53</v>
      </c>
      <c r="K36" s="181">
        <f>ROUND('[2]Monthly TD Calc'!BF329,2)</f>
        <v>81177.56</v>
      </c>
      <c r="L36" s="161">
        <f>ROUND('[2]Monthly TD Calc'!BG329,2)</f>
        <v>73142.13</v>
      </c>
      <c r="M36" s="94"/>
    </row>
    <row r="37" spans="1:15" x14ac:dyDescent="0.35">
      <c r="A37" s="59" t="s">
        <v>123</v>
      </c>
      <c r="C37" s="217">
        <v>-21116.260000000002</v>
      </c>
      <c r="D37" s="220"/>
      <c r="E37" s="127">
        <f>ROUND('[2]Monthly TD Calc'!AZ330,2)</f>
        <v>9841.15</v>
      </c>
      <c r="F37" s="127">
        <f>ROUND('[2]Monthly TD Calc'!BA330,2)</f>
        <v>11275.11</v>
      </c>
      <c r="G37" s="128">
        <f>ROUND('[2]Monthly TD Calc'!BB330,2)</f>
        <v>10469.42</v>
      </c>
      <c r="H37" s="16">
        <f>ROUND('[2]Monthly TD Calc'!BC330,2)</f>
        <v>11336.85</v>
      </c>
      <c r="I37" s="68">
        <f>ROUND('[2]Monthly TD Calc'!BD330,2)</f>
        <v>10391.39</v>
      </c>
      <c r="J37" s="191">
        <f>ROUND('[2]Monthly TD Calc'!BE330,2)</f>
        <v>8434.2900000000009</v>
      </c>
      <c r="K37" s="181">
        <f>ROUND('[2]Monthly TD Calc'!BF330,2)</f>
        <v>9240.15</v>
      </c>
      <c r="L37" s="161">
        <f>ROUND('[2]Monthly TD Calc'!BG330,2)</f>
        <v>8317.08</v>
      </c>
      <c r="M37" s="94"/>
      <c r="O37" s="60"/>
    </row>
    <row r="38" spans="1:15" x14ac:dyDescent="0.35">
      <c r="C38" s="117"/>
      <c r="D38" s="221"/>
      <c r="E38" s="18"/>
      <c r="F38" s="18"/>
      <c r="G38" s="18"/>
      <c r="H38" s="109"/>
      <c r="I38" s="18"/>
      <c r="J38" s="187"/>
      <c r="K38" s="69"/>
      <c r="L38" s="69"/>
      <c r="M38" s="13"/>
    </row>
    <row r="39" spans="1:15" ht="15" thickBot="1" x14ac:dyDescent="0.4">
      <c r="A39" s="3" t="s">
        <v>17</v>
      </c>
      <c r="B39" s="3"/>
      <c r="C39" s="219">
        <v>-4598.28</v>
      </c>
      <c r="D39" s="225"/>
      <c r="E39" s="154">
        <v>1668.48</v>
      </c>
      <c r="F39" s="154">
        <v>1793.42</v>
      </c>
      <c r="G39" s="155">
        <v>1860.6</v>
      </c>
      <c r="H39" s="38">
        <v>1852.61</v>
      </c>
      <c r="I39" s="140">
        <v>1804.24</v>
      </c>
      <c r="J39" s="193">
        <v>1709.12</v>
      </c>
      <c r="K39" s="182">
        <v>1643.04</v>
      </c>
      <c r="L39" s="163">
        <v>1533.56</v>
      </c>
      <c r="M39" s="97"/>
    </row>
    <row r="40" spans="1:15" x14ac:dyDescent="0.35">
      <c r="C40" s="77"/>
      <c r="D40" s="228"/>
      <c r="E40" s="79"/>
      <c r="F40" s="79"/>
      <c r="G40" s="45"/>
      <c r="H40" s="77"/>
      <c r="I40" s="45"/>
      <c r="J40" s="194"/>
      <c r="K40" s="46"/>
      <c r="L40" s="46"/>
      <c r="M40" s="73"/>
    </row>
    <row r="41" spans="1:15" x14ac:dyDescent="0.35">
      <c r="A41" s="59" t="s">
        <v>54</v>
      </c>
      <c r="C41" s="78"/>
      <c r="D41" s="229"/>
      <c r="E41" s="47"/>
      <c r="F41" s="47"/>
      <c r="G41" s="47"/>
      <c r="H41" s="78"/>
      <c r="I41" s="47"/>
      <c r="J41" s="195"/>
      <c r="K41" s="46"/>
      <c r="L41" s="46"/>
      <c r="M41" s="73"/>
    </row>
    <row r="42" spans="1:15" x14ac:dyDescent="0.35">
      <c r="A42" s="59" t="s">
        <v>26</v>
      </c>
      <c r="C42" s="226">
        <f>C33-C19</f>
        <v>286880.64999999991</v>
      </c>
      <c r="D42" s="230">
        <f t="shared" ref="D42" si="7">D33-D19</f>
        <v>0</v>
      </c>
      <c r="E42" s="53">
        <f t="shared" ref="E42:M42" si="8">E33-E19</f>
        <v>21572.03</v>
      </c>
      <c r="F42" s="274">
        <f t="shared" si="8"/>
        <v>22399.120000000054</v>
      </c>
      <c r="G42" s="126">
        <f t="shared" si="8"/>
        <v>-54681.390000000014</v>
      </c>
      <c r="H42" s="52">
        <f t="shared" si="8"/>
        <v>-55284.400000000023</v>
      </c>
      <c r="I42" s="53">
        <f t="shared" si="8"/>
        <v>-93927.669999999984</v>
      </c>
      <c r="J42" s="74">
        <f t="shared" si="8"/>
        <v>-71493.76999999999</v>
      </c>
      <c r="K42" s="141">
        <f t="shared" si="8"/>
        <v>-41134.003499999992</v>
      </c>
      <c r="L42" s="53">
        <f t="shared" si="8"/>
        <v>-126482.48600000003</v>
      </c>
      <c r="M42" s="74">
        <f t="shared" si="8"/>
        <v>-395758.908</v>
      </c>
    </row>
    <row r="43" spans="1:15" x14ac:dyDescent="0.35">
      <c r="A43" s="59" t="s">
        <v>27</v>
      </c>
      <c r="C43" s="226">
        <f t="shared" ref="C43:D43" si="9">SUM(C34:C37)-SUM(C20:C23)</f>
        <v>132752.47999999998</v>
      </c>
      <c r="D43" s="230">
        <f t="shared" si="9"/>
        <v>0</v>
      </c>
      <c r="E43" s="53">
        <f>SUM(E34:E37)-SUM(E20:E23)</f>
        <v>78017.48000000001</v>
      </c>
      <c r="F43" s="274">
        <f t="shared" ref="F43:M43" si="10">SUM(F34:F37)-SUM(F20:F23)</f>
        <v>110884.56</v>
      </c>
      <c r="G43" s="126">
        <f t="shared" si="10"/>
        <v>55326.629999999976</v>
      </c>
      <c r="H43" s="52">
        <f t="shared" si="10"/>
        <v>61735.749999999971</v>
      </c>
      <c r="I43" s="53">
        <f t="shared" si="10"/>
        <v>22296.859999999986</v>
      </c>
      <c r="J43" s="74">
        <f t="shared" si="10"/>
        <v>-11948.74000000002</v>
      </c>
      <c r="K43" s="141">
        <f t="shared" si="10"/>
        <v>7594.6764400000393</v>
      </c>
      <c r="L43" s="53">
        <f t="shared" si="10"/>
        <v>-31427.796510000015</v>
      </c>
      <c r="M43" s="74">
        <f t="shared" si="10"/>
        <v>-241739.09591999999</v>
      </c>
    </row>
    <row r="44" spans="1:15" x14ac:dyDescent="0.35">
      <c r="C44" s="117"/>
      <c r="D44" s="221"/>
      <c r="E44" s="17"/>
      <c r="F44" s="17"/>
      <c r="G44" s="17"/>
      <c r="H44" s="10"/>
      <c r="I44" s="17"/>
      <c r="J44" s="11"/>
      <c r="K44" s="17"/>
      <c r="L44" s="17"/>
      <c r="M44" s="11"/>
    </row>
    <row r="45" spans="1:15" ht="15" thickBot="1" x14ac:dyDescent="0.4">
      <c r="A45" s="59" t="s">
        <v>55</v>
      </c>
      <c r="C45" s="117"/>
      <c r="D45" s="221"/>
      <c r="E45" s="17"/>
      <c r="F45" s="17"/>
      <c r="G45" s="17"/>
      <c r="H45" s="10"/>
      <c r="I45" s="17"/>
      <c r="J45" s="11"/>
      <c r="K45" s="17"/>
      <c r="L45" s="17"/>
      <c r="M45" s="11"/>
    </row>
    <row r="46" spans="1:15" x14ac:dyDescent="0.35">
      <c r="A46" s="59" t="s">
        <v>26</v>
      </c>
      <c r="B46" s="134">
        <v>889849.34</v>
      </c>
      <c r="C46" s="226">
        <f t="shared" ref="C46:E47" si="11">+B46+C42+B51</f>
        <v>1176729.9899999998</v>
      </c>
      <c r="D46" s="230">
        <f t="shared" si="11"/>
        <v>1172801.9699999997</v>
      </c>
      <c r="E46" s="53">
        <f t="shared" si="11"/>
        <v>1194373.9999999998</v>
      </c>
      <c r="F46" s="53">
        <f t="shared" ref="F46:M46" si="12">+E46+F42+E51</f>
        <v>1218201.1399999999</v>
      </c>
      <c r="G46" s="126">
        <f t="shared" si="12"/>
        <v>1164961.8999999999</v>
      </c>
      <c r="H46" s="52">
        <f t="shared" si="12"/>
        <v>1111090.71</v>
      </c>
      <c r="I46" s="53">
        <f t="shared" si="12"/>
        <v>1018502.3500000001</v>
      </c>
      <c r="J46" s="74">
        <f t="shared" si="12"/>
        <v>948253.3</v>
      </c>
      <c r="K46" s="141">
        <f t="shared" si="12"/>
        <v>908264.37650000001</v>
      </c>
      <c r="L46" s="53">
        <f t="shared" si="12"/>
        <v>782862.77049999998</v>
      </c>
      <c r="M46" s="74">
        <f t="shared" si="12"/>
        <v>388088.47249999997</v>
      </c>
    </row>
    <row r="47" spans="1:15" ht="15" thickBot="1" x14ac:dyDescent="0.4">
      <c r="A47" s="59" t="s">
        <v>27</v>
      </c>
      <c r="B47" s="135">
        <v>28211.63</v>
      </c>
      <c r="C47" s="226">
        <f t="shared" si="11"/>
        <v>160964.10999999999</v>
      </c>
      <c r="D47" s="230">
        <f t="shared" si="11"/>
        <v>160293.84999999998</v>
      </c>
      <c r="E47" s="53">
        <f t="shared" si="11"/>
        <v>238311.33</v>
      </c>
      <c r="F47" s="53">
        <f t="shared" ref="F47:M47" si="13">+E47+F43+E52</f>
        <v>349436.35000000003</v>
      </c>
      <c r="G47" s="126">
        <f t="shared" si="13"/>
        <v>405114.25</v>
      </c>
      <c r="H47" s="52">
        <f t="shared" si="13"/>
        <v>467297.39</v>
      </c>
      <c r="I47" s="53">
        <f t="shared" si="13"/>
        <v>490107.55</v>
      </c>
      <c r="J47" s="74">
        <f t="shared" si="13"/>
        <v>478718.34999999992</v>
      </c>
      <c r="K47" s="141">
        <f t="shared" si="13"/>
        <v>486877.06643999991</v>
      </c>
      <c r="L47" s="53">
        <f t="shared" si="13"/>
        <v>456011.42992999987</v>
      </c>
      <c r="M47" s="74">
        <f t="shared" si="13"/>
        <v>214821.28400999989</v>
      </c>
    </row>
    <row r="48" spans="1:15" x14ac:dyDescent="0.35">
      <c r="C48" s="117"/>
      <c r="D48" s="221"/>
      <c r="E48" s="17"/>
      <c r="F48" s="17"/>
      <c r="G48" s="17"/>
      <c r="H48" s="10"/>
      <c r="I48" s="17"/>
      <c r="J48" s="11"/>
      <c r="K48" s="17"/>
      <c r="L48" s="17"/>
      <c r="M48" s="11"/>
    </row>
    <row r="49" spans="1:13" x14ac:dyDescent="0.35">
      <c r="A49" s="51" t="s">
        <v>138</v>
      </c>
      <c r="B49" s="51"/>
      <c r="C49" s="122"/>
      <c r="D49" s="231"/>
      <c r="E49" s="98">
        <f>+'PCR Cycle 2'!D50</f>
        <v>1.20652E-3</v>
      </c>
      <c r="F49" s="98">
        <f>+'PCR Cycle 2'!E50</f>
        <v>1.1948200000000001E-3</v>
      </c>
      <c r="G49" s="98">
        <f>+'PCR Cycle 2'!F50</f>
        <v>1.1852799999999999E-3</v>
      </c>
      <c r="H49" s="99">
        <f>+'PCR Cycle 2'!G50</f>
        <v>1.17614E-3</v>
      </c>
      <c r="I49" s="98">
        <f>+'PCR Cycle 2'!H50</f>
        <v>1.1682400000000001E-3</v>
      </c>
      <c r="J49" s="110">
        <f>+'PCR Cycle 2'!I50</f>
        <v>1.1636999999999999E-3</v>
      </c>
      <c r="K49" s="98">
        <f>+'PCR Cycle 2'!J50</f>
        <v>1.1636999999999999E-3</v>
      </c>
      <c r="L49" s="98">
        <f>+'PCR Cycle 2'!K50</f>
        <v>1.1636999999999999E-3</v>
      </c>
      <c r="M49" s="100"/>
    </row>
    <row r="50" spans="1:13" x14ac:dyDescent="0.35">
      <c r="A50" s="51" t="s">
        <v>39</v>
      </c>
      <c r="B50" s="51"/>
      <c r="C50" s="124"/>
      <c r="D50" s="232"/>
      <c r="E50" s="98"/>
      <c r="F50" s="98"/>
      <c r="G50" s="98"/>
      <c r="H50" s="99"/>
      <c r="I50" s="98"/>
      <c r="J50" s="100"/>
      <c r="K50" s="98"/>
      <c r="L50" s="98"/>
      <c r="M50" s="100"/>
    </row>
    <row r="51" spans="1:13" x14ac:dyDescent="0.35">
      <c r="A51" s="59" t="s">
        <v>26</v>
      </c>
      <c r="C51" s="226">
        <v>-3928.02</v>
      </c>
      <c r="D51" s="230"/>
      <c r="E51" s="274">
        <f>ROUND((D46+D51+E42/2)*E$49,2)</f>
        <v>1428.02</v>
      </c>
      <c r="F51" s="274">
        <f t="shared" ref="F51:F52" si="14">ROUND((E46+E51+F42/2)*F$49,2)</f>
        <v>1442.15</v>
      </c>
      <c r="G51" s="273">
        <f t="shared" ref="G51:G52" si="15">ROUND((F46+F51+G42/2)*G$49,2)</f>
        <v>1413.21</v>
      </c>
      <c r="H51" s="52">
        <f t="shared" ref="H51:H52" si="16">ROUND((G46+G51+H42/2)*H$49,2)</f>
        <v>1339.31</v>
      </c>
      <c r="I51" s="141">
        <f t="shared" ref="I51:J52" si="17">ROUND((H46+H51+I42/2)*I$49,2)</f>
        <v>1244.72</v>
      </c>
      <c r="J51" s="74">
        <f t="shared" si="17"/>
        <v>1145.08</v>
      </c>
      <c r="K51" s="183">
        <f t="shared" ref="K51:K52" si="18">ROUND((J46+J51+K42/2)*K$49,2)</f>
        <v>1080.8800000000001</v>
      </c>
      <c r="L51" s="126">
        <f t="shared" ref="L51:L52" si="19">ROUND((K46+K51+L42/2)*L$49,2)</f>
        <v>984.61</v>
      </c>
      <c r="M51" s="74">
        <f t="shared" ref="M51:M52" si="20">ROUND((L46+L51+M42/2)*M$49,2)</f>
        <v>0</v>
      </c>
    </row>
    <row r="52" spans="1:13" ht="15" thickBot="1" x14ac:dyDescent="0.4">
      <c r="A52" s="59" t="s">
        <v>27</v>
      </c>
      <c r="C52" s="226">
        <v>-670.26</v>
      </c>
      <c r="D52" s="230"/>
      <c r="E52" s="274">
        <f>ROUND((D47+D52+E43/2)*E$49,2)</f>
        <v>240.46</v>
      </c>
      <c r="F52" s="274">
        <f t="shared" si="14"/>
        <v>351.27</v>
      </c>
      <c r="G52" s="273">
        <f t="shared" si="15"/>
        <v>447.39</v>
      </c>
      <c r="H52" s="52">
        <f t="shared" si="16"/>
        <v>513.29999999999995</v>
      </c>
      <c r="I52" s="141">
        <f t="shared" si="17"/>
        <v>559.54</v>
      </c>
      <c r="J52" s="74">
        <f t="shared" si="17"/>
        <v>564.04</v>
      </c>
      <c r="K52" s="183">
        <f t="shared" si="18"/>
        <v>562.16</v>
      </c>
      <c r="L52" s="126">
        <f t="shared" si="19"/>
        <v>548.95000000000005</v>
      </c>
      <c r="M52" s="74">
        <f t="shared" si="20"/>
        <v>0</v>
      </c>
    </row>
    <row r="53" spans="1:13" ht="15.5" thickTop="1" thickBot="1" x14ac:dyDescent="0.4">
      <c r="A53" s="67" t="s">
        <v>24</v>
      </c>
      <c r="B53" s="67"/>
      <c r="C53" s="227">
        <v>0</v>
      </c>
      <c r="D53" s="233"/>
      <c r="E53" s="54">
        <f>SUM(E51:E52)+SUM(E46:E47)-E56</f>
        <v>0</v>
      </c>
      <c r="F53" s="54">
        <f t="shared" ref="F53:M53" si="21">SUM(F51:F52)+SUM(F46:F47)-F56</f>
        <v>0</v>
      </c>
      <c r="G53" s="63">
        <f t="shared" si="21"/>
        <v>0</v>
      </c>
      <c r="H53" s="64">
        <f t="shared" si="21"/>
        <v>0</v>
      </c>
      <c r="I53" s="54">
        <f t="shared" si="21"/>
        <v>0</v>
      </c>
      <c r="J53" s="75">
        <f t="shared" si="21"/>
        <v>0</v>
      </c>
      <c r="K53" s="184">
        <f t="shared" si="21"/>
        <v>0</v>
      </c>
      <c r="L53" s="63">
        <f t="shared" si="21"/>
        <v>0</v>
      </c>
      <c r="M53" s="75">
        <f t="shared" si="21"/>
        <v>0</v>
      </c>
    </row>
    <row r="54" spans="1:13" ht="15.5" thickTop="1" thickBot="1" x14ac:dyDescent="0.4">
      <c r="A54" s="67" t="s">
        <v>25</v>
      </c>
      <c r="B54" s="67"/>
      <c r="C54" s="227">
        <v>0</v>
      </c>
      <c r="D54" s="233"/>
      <c r="E54" s="54">
        <f>SUM(E51:E52)-E39</f>
        <v>0</v>
      </c>
      <c r="F54" s="54">
        <f t="shared" ref="F54:J54" si="22">SUM(F51:F52)-F39</f>
        <v>0</v>
      </c>
      <c r="G54" s="63">
        <f t="shared" ref="G54:I54" si="23">SUM(G51:G52)-G39</f>
        <v>0</v>
      </c>
      <c r="H54" s="64">
        <f t="shared" si="23"/>
        <v>0</v>
      </c>
      <c r="I54" s="54">
        <f t="shared" si="23"/>
        <v>1.999999999998181E-2</v>
      </c>
      <c r="J54" s="75">
        <f t="shared" si="22"/>
        <v>0</v>
      </c>
      <c r="K54" s="185">
        <f t="shared" ref="K54:M54" si="24">SUM(K51:K52)-K39</f>
        <v>0</v>
      </c>
      <c r="L54" s="54">
        <f t="shared" si="24"/>
        <v>0</v>
      </c>
      <c r="M54" s="54">
        <f t="shared" si="24"/>
        <v>0</v>
      </c>
    </row>
    <row r="55" spans="1:13" ht="15.5" thickTop="1" thickBot="1" x14ac:dyDescent="0.4">
      <c r="C55" s="117"/>
      <c r="D55" s="221"/>
      <c r="E55" s="17"/>
      <c r="F55" s="17"/>
      <c r="G55" s="17"/>
      <c r="H55" s="10"/>
      <c r="I55" s="17"/>
      <c r="J55" s="11"/>
      <c r="K55" s="17"/>
      <c r="L55" s="17"/>
      <c r="M55" s="11"/>
    </row>
    <row r="56" spans="1:13" ht="15" thickBot="1" x14ac:dyDescent="0.4">
      <c r="A56" s="59" t="s">
        <v>38</v>
      </c>
      <c r="B56" s="137">
        <f>+B46+B47</f>
        <v>918060.97</v>
      </c>
      <c r="C56" s="226">
        <f>(C16-SUM(C19:C23))+SUM(C51:C52)+B56</f>
        <v>1333095.8199999998</v>
      </c>
      <c r="D56" s="230">
        <f>(D16-SUM(D19:D23))+SUM(D51:D52)+C56</f>
        <v>1333095.8199999998</v>
      </c>
      <c r="E56" s="53">
        <f>(E16-SUM(E19:E23))+SUM(E51:E52)+D56</f>
        <v>1434353.8099999998</v>
      </c>
      <c r="F56" s="274">
        <f t="shared" ref="F56:M56" si="25">(F16-SUM(F19:F23))+SUM(F51:F52)+E56</f>
        <v>1569430.91</v>
      </c>
      <c r="G56" s="126">
        <f t="shared" si="25"/>
        <v>1571936.75</v>
      </c>
      <c r="H56" s="52">
        <f t="shared" si="25"/>
        <v>1580240.71</v>
      </c>
      <c r="I56" s="53">
        <f t="shared" si="25"/>
        <v>1510414.16</v>
      </c>
      <c r="J56" s="74">
        <f t="shared" si="25"/>
        <v>1428680.77</v>
      </c>
      <c r="K56" s="183">
        <f t="shared" si="25"/>
        <v>1396784.48294</v>
      </c>
      <c r="L56" s="126">
        <f t="shared" si="25"/>
        <v>1240407.76043</v>
      </c>
      <c r="M56" s="74">
        <f t="shared" si="25"/>
        <v>602909.75650999998</v>
      </c>
    </row>
    <row r="57" spans="1:13" x14ac:dyDescent="0.35">
      <c r="A57" s="59" t="s">
        <v>14</v>
      </c>
      <c r="C57" s="138"/>
      <c r="D57" s="234"/>
      <c r="E57" s="17"/>
      <c r="F57" s="17"/>
      <c r="G57" s="17"/>
      <c r="H57" s="10"/>
      <c r="I57" s="17"/>
      <c r="J57" s="11"/>
      <c r="K57" s="17"/>
      <c r="L57" s="17"/>
      <c r="M57" s="11"/>
    </row>
    <row r="58" spans="1:13" ht="15" thickBot="1" x14ac:dyDescent="0.4">
      <c r="A58" s="49"/>
      <c r="B58" s="49"/>
      <c r="C58" s="166"/>
      <c r="D58" s="235"/>
      <c r="E58" s="56"/>
      <c r="F58" s="56"/>
      <c r="G58" s="56"/>
      <c r="H58" s="55"/>
      <c r="I58" s="56"/>
      <c r="J58" s="57"/>
      <c r="K58" s="56"/>
      <c r="L58" s="56"/>
      <c r="M58" s="57"/>
    </row>
    <row r="60" spans="1:13" x14ac:dyDescent="0.35">
      <c r="A60" s="82" t="s">
        <v>13</v>
      </c>
      <c r="B60" s="82"/>
      <c r="C60" s="82"/>
      <c r="D60" s="82"/>
    </row>
    <row r="61" spans="1:13" ht="34.5" customHeight="1" x14ac:dyDescent="0.35">
      <c r="A61" s="302" t="s">
        <v>198</v>
      </c>
      <c r="B61" s="302"/>
      <c r="C61" s="302"/>
      <c r="D61" s="302"/>
      <c r="E61" s="302"/>
      <c r="F61" s="302"/>
      <c r="G61" s="302"/>
      <c r="H61" s="302"/>
      <c r="I61" s="302"/>
      <c r="J61" s="302"/>
      <c r="K61" s="215"/>
      <c r="L61" s="164"/>
      <c r="M61" s="164"/>
    </row>
    <row r="62" spans="1:13" ht="42.75" customHeight="1" x14ac:dyDescent="0.35">
      <c r="A62" s="302" t="s">
        <v>194</v>
      </c>
      <c r="B62" s="302"/>
      <c r="C62" s="302"/>
      <c r="D62" s="302"/>
      <c r="E62" s="302"/>
      <c r="F62" s="302"/>
      <c r="G62" s="302"/>
      <c r="H62" s="302"/>
      <c r="I62" s="302"/>
      <c r="J62" s="302"/>
      <c r="K62" s="302"/>
      <c r="L62" s="164"/>
      <c r="M62" s="164"/>
    </row>
    <row r="63" spans="1:13" ht="33.75" customHeight="1" x14ac:dyDescent="0.35">
      <c r="A63" s="302" t="s">
        <v>196</v>
      </c>
      <c r="B63" s="302"/>
      <c r="C63" s="302"/>
      <c r="D63" s="302"/>
      <c r="E63" s="302"/>
      <c r="F63" s="302"/>
      <c r="G63" s="302"/>
      <c r="H63" s="302"/>
      <c r="I63" s="302"/>
      <c r="J63" s="302"/>
      <c r="K63" s="215"/>
      <c r="L63" s="164"/>
      <c r="M63" s="164"/>
    </row>
    <row r="64" spans="1:13" x14ac:dyDescent="0.35">
      <c r="A64" s="3" t="s">
        <v>71</v>
      </c>
      <c r="B64" s="3"/>
      <c r="C64" s="3"/>
      <c r="D64" s="3"/>
    </row>
    <row r="65" spans="1:4" x14ac:dyDescent="0.35">
      <c r="A65" s="76" t="s">
        <v>195</v>
      </c>
      <c r="B65" s="3"/>
      <c r="C65" s="3"/>
      <c r="D65" s="3"/>
    </row>
    <row r="66" spans="1:4" x14ac:dyDescent="0.35">
      <c r="A66" s="3" t="s">
        <v>74</v>
      </c>
      <c r="B66" s="3"/>
      <c r="C66" s="3"/>
      <c r="D66" s="3"/>
    </row>
    <row r="67" spans="1:4" x14ac:dyDescent="0.35">
      <c r="A67" s="3" t="s">
        <v>197</v>
      </c>
      <c r="B67" s="3"/>
      <c r="C67" s="3"/>
      <c r="D67" s="3"/>
    </row>
  </sheetData>
  <mergeCells count="6">
    <mergeCell ref="A63:J63"/>
    <mergeCell ref="E14:G14"/>
    <mergeCell ref="A61:J61"/>
    <mergeCell ref="A62:K62"/>
    <mergeCell ref="H14:J14"/>
    <mergeCell ref="K14:M14"/>
  </mergeCells>
  <pageMargins left="0.2" right="0.2" top="0.75" bottom="0.25" header="0.3" footer="0.3"/>
  <pageSetup scale="45"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80"/>
  <sheetViews>
    <sheetView zoomScaleNormal="100" workbookViewId="0">
      <pane xSplit="1" ySplit="2" topLeftCell="N3" activePane="bottomRight" state="frozen"/>
      <selection activeCell="J18" sqref="J18"/>
      <selection pane="topRight" activeCell="J18" sqref="J18"/>
      <selection pane="bottomLeft" activeCell="J18" sqref="J18"/>
      <selection pane="bottomRight" activeCell="P1" sqref="P1:P1048576"/>
    </sheetView>
  </sheetViews>
  <sheetFormatPr defaultColWidth="9.1796875" defaultRowHeight="14.5" outlineLevelCol="1" x14ac:dyDescent="0.35"/>
  <cols>
    <col min="1" max="1" width="61.7265625" style="59" customWidth="1"/>
    <col min="2" max="2" width="12.1796875" style="59" customWidth="1"/>
    <col min="3" max="3" width="12.453125" style="59" customWidth="1"/>
    <col min="4" max="4" width="12.453125" style="59" customWidth="1" outlineLevel="1"/>
    <col min="5" max="5" width="15.453125" style="59" customWidth="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0.7265625" style="59" bestFit="1"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23" x14ac:dyDescent="0.35">
      <c r="A1" s="3" t="str">
        <f>+'PPC Cycle 2'!A1</f>
        <v>Evergy Metro, Inc. - DSIM Rider Update Filed 12/01/2020</v>
      </c>
      <c r="B1" s="3"/>
      <c r="C1" s="3"/>
      <c r="D1" s="3"/>
    </row>
    <row r="2" spans="1:23" x14ac:dyDescent="0.35">
      <c r="E2" s="3" t="s">
        <v>156</v>
      </c>
    </row>
    <row r="3" spans="1:23" ht="29" x14ac:dyDescent="0.35">
      <c r="E3" s="61" t="s">
        <v>48</v>
      </c>
      <c r="F3" s="83" t="s">
        <v>75</v>
      </c>
      <c r="G3" s="83" t="s">
        <v>56</v>
      </c>
      <c r="H3" s="61" t="s">
        <v>3</v>
      </c>
      <c r="I3" s="83" t="s">
        <v>57</v>
      </c>
      <c r="J3" s="61" t="s">
        <v>11</v>
      </c>
      <c r="K3" s="61" t="s">
        <v>10</v>
      </c>
      <c r="S3" s="61"/>
    </row>
    <row r="4" spans="1:23" x14ac:dyDescent="0.35">
      <c r="A4" s="21" t="s">
        <v>26</v>
      </c>
      <c r="B4" s="21"/>
      <c r="C4" s="21"/>
      <c r="D4" s="21"/>
      <c r="E4" s="23">
        <f>SUM(C22:M22)</f>
        <v>1315406.8952000001</v>
      </c>
      <c r="F4" s="156">
        <f>N29</f>
        <v>15863278.486275492</v>
      </c>
      <c r="G4" s="23">
        <f>SUM(C36:L36)</f>
        <v>1450546.43</v>
      </c>
      <c r="H4" s="23">
        <f>G4-E4</f>
        <v>135139.53479999979</v>
      </c>
      <c r="I4" s="23">
        <f>+B52</f>
        <v>-16792.2</v>
      </c>
      <c r="J4" s="23">
        <f>SUM(C60:L60)</f>
        <v>1992.56</v>
      </c>
      <c r="K4" s="35">
        <f>SUM(H4:J4)</f>
        <v>120339.89479999979</v>
      </c>
      <c r="L4" s="60">
        <f>+K4-M52</f>
        <v>-2.7648638933897018E-10</v>
      </c>
    </row>
    <row r="5" spans="1:23" x14ac:dyDescent="0.35">
      <c r="A5" s="21" t="s">
        <v>120</v>
      </c>
      <c r="B5" s="21"/>
      <c r="C5" s="21"/>
      <c r="D5" s="21"/>
      <c r="E5" s="23">
        <f t="shared" ref="E5:E7" si="0">SUM(C23:M23)</f>
        <v>169698.10082000002</v>
      </c>
      <c r="F5" s="156">
        <f t="shared" ref="F5:F7" si="1">N30</f>
        <v>1066806.9104411534</v>
      </c>
      <c r="G5" s="23">
        <f t="shared" ref="G5:G7" si="2">SUM(C37:L37)</f>
        <v>87152.41</v>
      </c>
      <c r="H5" s="23">
        <f t="shared" ref="H5:H7" si="3">G5-E5</f>
        <v>-82545.690820000018</v>
      </c>
      <c r="I5" s="23">
        <f t="shared" ref="I5:I7" si="4">+B53</f>
        <v>8021.63</v>
      </c>
      <c r="J5" s="23">
        <f t="shared" ref="J5:J7" si="5">SUM(C61:L61)</f>
        <v>-100.14</v>
      </c>
      <c r="K5" s="35">
        <f t="shared" ref="K5:K7" si="6">SUM(H5:J5)</f>
        <v>-74624.200820000013</v>
      </c>
      <c r="L5" s="60">
        <f t="shared" ref="L5:L7" si="7">+K5-M53</f>
        <v>0</v>
      </c>
    </row>
    <row r="6" spans="1:23" x14ac:dyDescent="0.35">
      <c r="A6" s="21" t="s">
        <v>121</v>
      </c>
      <c r="B6" s="21"/>
      <c r="C6" s="21"/>
      <c r="D6" s="21"/>
      <c r="E6" s="23">
        <f t="shared" si="0"/>
        <v>140267.16344</v>
      </c>
      <c r="F6" s="156">
        <f t="shared" si="1"/>
        <v>2928480.0897511775</v>
      </c>
      <c r="G6" s="23">
        <f t="shared" si="2"/>
        <v>150723.34000000003</v>
      </c>
      <c r="H6" s="23">
        <f t="shared" si="3"/>
        <v>10456.176560000022</v>
      </c>
      <c r="I6" s="23">
        <f t="shared" si="4"/>
        <v>-33462.57</v>
      </c>
      <c r="J6" s="23">
        <f t="shared" si="5"/>
        <v>-97.56</v>
      </c>
      <c r="K6" s="35">
        <f t="shared" si="6"/>
        <v>-23103.953439999979</v>
      </c>
      <c r="L6" s="60">
        <f t="shared" si="7"/>
        <v>0</v>
      </c>
    </row>
    <row r="7" spans="1:23" x14ac:dyDescent="0.35">
      <c r="A7" s="21" t="s">
        <v>122</v>
      </c>
      <c r="B7" s="21"/>
      <c r="C7" s="21"/>
      <c r="D7" s="21"/>
      <c r="E7" s="23">
        <f t="shared" si="0"/>
        <v>164331.60380000001</v>
      </c>
      <c r="F7" s="156">
        <f t="shared" si="1"/>
        <v>3289339.2523129648</v>
      </c>
      <c r="G7" s="23">
        <f t="shared" si="2"/>
        <v>104041.17000000001</v>
      </c>
      <c r="H7" s="23">
        <f t="shared" si="3"/>
        <v>-60290.433799999999</v>
      </c>
      <c r="I7" s="23">
        <f t="shared" si="4"/>
        <v>-29020.81</v>
      </c>
      <c r="J7" s="23">
        <f t="shared" si="5"/>
        <v>-283.09000000000003</v>
      </c>
      <c r="K7" s="35">
        <f t="shared" si="6"/>
        <v>-89594.333799999993</v>
      </c>
      <c r="L7" s="60">
        <f t="shared" si="7"/>
        <v>0</v>
      </c>
    </row>
    <row r="8" spans="1:23" ht="15" thickBot="1" x14ac:dyDescent="0.4">
      <c r="A8" s="21" t="s">
        <v>123</v>
      </c>
      <c r="B8" s="21"/>
      <c r="C8" s="21"/>
      <c r="D8" s="21"/>
      <c r="E8" s="23">
        <f>SUM(C26:M26)</f>
        <v>31024.308400000002</v>
      </c>
      <c r="F8" s="156">
        <f>N33</f>
        <v>218737.03589261055</v>
      </c>
      <c r="G8" s="23">
        <f>SUM(C40:L40)</f>
        <v>4708.4400000000005</v>
      </c>
      <c r="H8" s="23">
        <f>G8-E8</f>
        <v>-26315.868399999999</v>
      </c>
      <c r="I8" s="23">
        <f>+B56</f>
        <v>69.400000000000006</v>
      </c>
      <c r="J8" s="23">
        <f>SUM(C64:L64)</f>
        <v>-72.949999999999989</v>
      </c>
      <c r="K8" s="35">
        <f>SUM(H8:J8)</f>
        <v>-26319.418399999999</v>
      </c>
      <c r="L8" s="60">
        <f>+K8-M56</f>
        <v>0</v>
      </c>
    </row>
    <row r="9" spans="1:23" ht="15.5" thickTop="1" thickBot="1" x14ac:dyDescent="0.4">
      <c r="E9" s="39">
        <f t="shared" ref="E9:I9" si="8">SUM(E4:E8)</f>
        <v>1820728.0716600001</v>
      </c>
      <c r="F9" s="157">
        <f t="shared" si="8"/>
        <v>23366641.774673399</v>
      </c>
      <c r="G9" s="39">
        <f t="shared" si="8"/>
        <v>1797171.7899999998</v>
      </c>
      <c r="H9" s="39">
        <f t="shared" si="8"/>
        <v>-23556.281660000204</v>
      </c>
      <c r="I9" s="39">
        <f t="shared" si="8"/>
        <v>-71184.55</v>
      </c>
      <c r="J9" s="39">
        <f>SUM(J4:J8)</f>
        <v>1438.82</v>
      </c>
      <c r="K9" s="39">
        <f>SUM(K4:K8)</f>
        <v>-93302.011660000193</v>
      </c>
      <c r="T9" s="5"/>
    </row>
    <row r="10" spans="1:23" ht="44" thickTop="1" x14ac:dyDescent="0.35">
      <c r="K10" s="253"/>
      <c r="L10" s="252" t="s">
        <v>139</v>
      </c>
    </row>
    <row r="11" spans="1:23" x14ac:dyDescent="0.35">
      <c r="A11" s="21" t="s">
        <v>120</v>
      </c>
      <c r="K11" s="35">
        <f>ROUND($K$8*L11,2)</f>
        <v>-3573.24</v>
      </c>
      <c r="L11" s="250">
        <f>+'PPC Cycle 2'!D10</f>
        <v>0.13576441564001979</v>
      </c>
    </row>
    <row r="12" spans="1:23" x14ac:dyDescent="0.35">
      <c r="A12" s="21" t="s">
        <v>121</v>
      </c>
      <c r="K12" s="35">
        <f t="shared" ref="K12:K14" si="9">ROUND($K$8*L12,2)</f>
        <v>-9372.76</v>
      </c>
      <c r="L12" s="250">
        <f>+'PPC Cycle 2'!D11</f>
        <v>0.35611574316442379</v>
      </c>
    </row>
    <row r="13" spans="1:23" x14ac:dyDescent="0.35">
      <c r="A13" s="21" t="s">
        <v>122</v>
      </c>
      <c r="K13" s="35">
        <f t="shared" si="9"/>
        <v>-11009.9</v>
      </c>
      <c r="L13" s="250">
        <f>+'PPC Cycle 2'!D12</f>
        <v>0.4183185730547726</v>
      </c>
    </row>
    <row r="14" spans="1:23" ht="15" thickBot="1" x14ac:dyDescent="0.4">
      <c r="A14" s="21" t="s">
        <v>123</v>
      </c>
      <c r="J14" s="4"/>
      <c r="K14" s="35">
        <f t="shared" si="9"/>
        <v>-2363.52</v>
      </c>
      <c r="L14" s="250">
        <f>+'PPC Cycle 2'!D13</f>
        <v>8.9801268140783777E-2</v>
      </c>
      <c r="V14" s="4"/>
    </row>
    <row r="15" spans="1:23" ht="15.5" thickTop="1" thickBot="1" x14ac:dyDescent="0.4">
      <c r="A15" s="21" t="s">
        <v>125</v>
      </c>
      <c r="K15" s="39">
        <f>SUM(K11:K14)</f>
        <v>-26319.420000000002</v>
      </c>
      <c r="L15" s="251">
        <f>SUM(L11:L14)</f>
        <v>1</v>
      </c>
      <c r="V15" s="4"/>
      <c r="W15" s="5"/>
    </row>
    <row r="16" spans="1:23" ht="15.5" thickTop="1" thickBot="1" x14ac:dyDescent="0.4">
      <c r="V16" s="4"/>
      <c r="W16" s="5"/>
    </row>
    <row r="17" spans="1:35" ht="102" thickBot="1" x14ac:dyDescent="0.4">
      <c r="B17" s="136" t="str">
        <f>+'PCR Cycle 2'!B14</f>
        <v>Cumulative Over/Under Carryover From 06/01/2020 Filing</v>
      </c>
      <c r="C17" s="171" t="str">
        <f>+'PCR Cycle 2'!C14</f>
        <v>Reverse May 2020 - July 2020  Forecast From 06/01/2020 Filing</v>
      </c>
      <c r="D17" s="236" t="s">
        <v>221</v>
      </c>
      <c r="E17" s="303" t="s">
        <v>35</v>
      </c>
      <c r="F17" s="303"/>
      <c r="G17" s="304"/>
      <c r="H17" s="305" t="s">
        <v>35</v>
      </c>
      <c r="I17" s="306"/>
      <c r="J17" s="307"/>
      <c r="K17" s="299" t="s">
        <v>9</v>
      </c>
      <c r="L17" s="300"/>
      <c r="M17" s="301"/>
    </row>
    <row r="18" spans="1:35" x14ac:dyDescent="0.35">
      <c r="A18" s="59" t="s">
        <v>66</v>
      </c>
      <c r="C18" s="123"/>
      <c r="D18" s="237"/>
      <c r="E18" s="19">
        <f>+'PCR Cycle 2'!D15</f>
        <v>43982</v>
      </c>
      <c r="F18" s="19">
        <f t="shared" ref="F18:M18" si="10">EOMONTH(E18,1)</f>
        <v>44012</v>
      </c>
      <c r="G18" s="19">
        <f t="shared" si="10"/>
        <v>44043</v>
      </c>
      <c r="H18" s="14">
        <f t="shared" si="10"/>
        <v>44074</v>
      </c>
      <c r="I18" s="19">
        <f t="shared" si="10"/>
        <v>44104</v>
      </c>
      <c r="J18" s="15">
        <f t="shared" si="10"/>
        <v>44135</v>
      </c>
      <c r="K18" s="19">
        <f t="shared" si="10"/>
        <v>44165</v>
      </c>
      <c r="L18" s="19">
        <f t="shared" si="10"/>
        <v>44196</v>
      </c>
      <c r="M18" s="15">
        <f t="shared" si="10"/>
        <v>44227</v>
      </c>
      <c r="Z18" s="1"/>
      <c r="AA18" s="1"/>
      <c r="AB18" s="1"/>
      <c r="AC18" s="1"/>
      <c r="AD18" s="1"/>
      <c r="AE18" s="1"/>
      <c r="AF18" s="1"/>
      <c r="AG18" s="1"/>
      <c r="AH18" s="1"/>
      <c r="AI18" s="1"/>
    </row>
    <row r="19" spans="1:35" x14ac:dyDescent="0.35">
      <c r="A19" s="59" t="s">
        <v>6</v>
      </c>
      <c r="C19" s="217">
        <v>-333958.09000000003</v>
      </c>
      <c r="D19" s="220">
        <f>SUM(D36:D40)</f>
        <v>-203.84</v>
      </c>
      <c r="E19" s="127">
        <f t="shared" ref="E19:L19" si="11">SUM(E36:E40)</f>
        <v>126111.27</v>
      </c>
      <c r="F19" s="127">
        <f t="shared" si="11"/>
        <v>199404.03999999998</v>
      </c>
      <c r="G19" s="128">
        <f t="shared" si="11"/>
        <v>299726.58</v>
      </c>
      <c r="H19" s="16">
        <f t="shared" si="11"/>
        <v>318056.02000000008</v>
      </c>
      <c r="I19" s="68">
        <f t="shared" si="11"/>
        <v>384201.2</v>
      </c>
      <c r="J19" s="186">
        <f t="shared" si="11"/>
        <v>251977.57</v>
      </c>
      <c r="K19" s="179">
        <f t="shared" si="11"/>
        <v>262308.06</v>
      </c>
      <c r="L19" s="93">
        <f t="shared" si="11"/>
        <v>289548.98</v>
      </c>
      <c r="M19" s="94"/>
    </row>
    <row r="20" spans="1:35" x14ac:dyDescent="0.35">
      <c r="C20" s="117"/>
      <c r="D20" s="221"/>
      <c r="E20" s="17"/>
      <c r="F20" s="17"/>
      <c r="G20" s="17"/>
      <c r="H20" s="10"/>
      <c r="I20" s="17"/>
      <c r="J20" s="11"/>
      <c r="K20" s="43"/>
      <c r="L20" s="43"/>
      <c r="M20" s="41"/>
    </row>
    <row r="21" spans="1:35" x14ac:dyDescent="0.35">
      <c r="A21" s="59" t="s">
        <v>65</v>
      </c>
      <c r="C21" s="117"/>
      <c r="D21" s="221"/>
      <c r="E21" s="18"/>
      <c r="F21" s="18"/>
      <c r="G21" s="18"/>
      <c r="H21" s="109"/>
      <c r="I21" s="18"/>
      <c r="J21" s="187"/>
      <c r="K21" s="43"/>
      <c r="L21" s="43"/>
      <c r="M21" s="41"/>
      <c r="N21" s="3" t="s">
        <v>72</v>
      </c>
      <c r="O21" s="51"/>
    </row>
    <row r="22" spans="1:35" x14ac:dyDescent="0.35">
      <c r="A22" s="59" t="s">
        <v>26</v>
      </c>
      <c r="C22" s="217">
        <v>-455884.82</v>
      </c>
      <c r="D22" s="220">
        <v>0</v>
      </c>
      <c r="E22" s="154">
        <f>ROUND('[5]May 2020'!$F95,2)</f>
        <v>109315.33</v>
      </c>
      <c r="F22" s="154">
        <f>ROUND('[5]June 2020'!$F95,2)</f>
        <v>161229.85999999999</v>
      </c>
      <c r="G22" s="154">
        <f>ROUND('[5]July 2020'!$F95,2)</f>
        <v>231883.84</v>
      </c>
      <c r="H22" s="16">
        <f>ROUND('[5]Aug 2020'!$F95,2)</f>
        <v>234325.45</v>
      </c>
      <c r="I22" s="139">
        <f>ROUND('[5]Sept 2020'!$F95,2)</f>
        <v>246301.79</v>
      </c>
      <c r="J22" s="191">
        <f>ROUND('[5]Oct 2020'!$F95,2)</f>
        <v>162630.09</v>
      </c>
      <c r="K22" s="141">
        <f>'PCR Cycle 2'!J27*'TDR Cycle 3'!$N22</f>
        <v>151572.58464000002</v>
      </c>
      <c r="L22" s="53">
        <f>'PCR Cycle 2'!K27*'TDR Cycle 3'!$N22</f>
        <v>220747.06943999999</v>
      </c>
      <c r="M22" s="74">
        <f>'PCR Cycle 2'!L27*'TDR Cycle 3'!$N22</f>
        <v>253285.70112000001</v>
      </c>
      <c r="N22" s="85">
        <v>9.6000000000000002E-4</v>
      </c>
      <c r="O22" s="4"/>
    </row>
    <row r="23" spans="1:35" x14ac:dyDescent="0.35">
      <c r="A23" s="59" t="s">
        <v>120</v>
      </c>
      <c r="C23" s="217">
        <v>-20944.099999999999</v>
      </c>
      <c r="D23" s="220"/>
      <c r="E23" s="154">
        <f>ROUND('[5]May 2020'!$F96,2)</f>
        <v>5635.71</v>
      </c>
      <c r="F23" s="154">
        <f>ROUND('[5]June 2020'!$F96,2)</f>
        <v>7541.49</v>
      </c>
      <c r="G23" s="154">
        <f>ROUND('[5]July 2020'!$F96,2)</f>
        <v>9728.27</v>
      </c>
      <c r="H23" s="16">
        <f>ROUND('[5]Aug 2020'!$F96,2)</f>
        <v>19497.810000000001</v>
      </c>
      <c r="I23" s="139">
        <f>ROUND('[5]Sept 2020'!$F96,2)</f>
        <v>37645.730000000003</v>
      </c>
      <c r="J23" s="191">
        <f>ROUND('[5]Oct 2020'!$F96,2)</f>
        <v>31718.62</v>
      </c>
      <c r="K23" s="141">
        <f>'PCR Cycle 2'!J28*'TDR Cycle 3'!$N23</f>
        <v>24304.635180000001</v>
      </c>
      <c r="L23" s="53">
        <f>'PCR Cycle 2'!K28*'TDR Cycle 3'!$N23</f>
        <v>26512.577020000004</v>
      </c>
      <c r="M23" s="74">
        <f>'PCR Cycle 2'!L28*'TDR Cycle 3'!$N23</f>
        <v>28057.358620000003</v>
      </c>
      <c r="N23" s="85">
        <v>8.2000000000000009E-4</v>
      </c>
      <c r="O23" s="4"/>
    </row>
    <row r="24" spans="1:35" x14ac:dyDescent="0.35">
      <c r="A24" s="59" t="s">
        <v>121</v>
      </c>
      <c r="C24" s="217">
        <v>-35788.720000000001</v>
      </c>
      <c r="D24" s="220"/>
      <c r="E24" s="154">
        <f>ROUND('[5]May 2020'!$F97,2)</f>
        <v>7883.67</v>
      </c>
      <c r="F24" s="154">
        <f>ROUND('[5]June 2020'!$F97,2)</f>
        <v>9928.92</v>
      </c>
      <c r="G24" s="154">
        <f>ROUND('[5]July 2020'!$F97,2)</f>
        <v>12528.38</v>
      </c>
      <c r="H24" s="16">
        <f>ROUND('[5]Aug 2020'!$F97,2)</f>
        <v>17472.77</v>
      </c>
      <c r="I24" s="139">
        <f>ROUND('[5]Sept 2020'!$F97,2)</f>
        <v>27757.279999999999</v>
      </c>
      <c r="J24" s="191">
        <f>ROUND('[5]Oct 2020'!$F97,2)</f>
        <v>23781.51</v>
      </c>
      <c r="K24" s="141">
        <f>'PCR Cycle 2'!J29*'TDR Cycle 3'!$N24</f>
        <v>23635.58988</v>
      </c>
      <c r="L24" s="53">
        <f>'PCR Cycle 2'!K29*'TDR Cycle 3'!$N24</f>
        <v>25782.752799999998</v>
      </c>
      <c r="M24" s="74">
        <f>'PCR Cycle 2'!L29*'TDR Cycle 3'!$N24</f>
        <v>27285.010759999997</v>
      </c>
      <c r="N24" s="85">
        <v>2.7999999999999998E-4</v>
      </c>
      <c r="O24" s="4"/>
    </row>
    <row r="25" spans="1:35" x14ac:dyDescent="0.35">
      <c r="A25" s="59" t="s">
        <v>122</v>
      </c>
      <c r="C25" s="217">
        <v>-36995.43</v>
      </c>
      <c r="D25" s="220"/>
      <c r="E25" s="154">
        <f>ROUND('[5]May 2020'!$F98,2)</f>
        <v>8902.94</v>
      </c>
      <c r="F25" s="154">
        <f>ROUND('[5]June 2020'!$F98,2)</f>
        <v>10328.09</v>
      </c>
      <c r="G25" s="154">
        <f>ROUND('[5]July 2020'!$F98,2)</f>
        <v>12108.04</v>
      </c>
      <c r="H25" s="16">
        <f>ROUND('[5]Aug 2020'!$F98,2)</f>
        <v>19256.45</v>
      </c>
      <c r="I25" s="139">
        <f>ROUND('[5]Sept 2020'!$F98,2)</f>
        <v>31966.26</v>
      </c>
      <c r="J25" s="191">
        <f>ROUND('[5]Oct 2020'!$F98,2)</f>
        <v>29564.44</v>
      </c>
      <c r="K25" s="141">
        <f>'PCR Cycle 2'!J30*'TDR Cycle 3'!$N25</f>
        <v>27486.592980000001</v>
      </c>
      <c r="L25" s="53">
        <f>'PCR Cycle 2'!K30*'TDR Cycle 3'!$N25</f>
        <v>29983.598190000001</v>
      </c>
      <c r="M25" s="74">
        <f>'PCR Cycle 2'!L30*'TDR Cycle 3'!$N25</f>
        <v>31730.622630000002</v>
      </c>
      <c r="N25" s="85">
        <v>2.1000000000000001E-4</v>
      </c>
      <c r="O25" s="4"/>
    </row>
    <row r="26" spans="1:35" x14ac:dyDescent="0.35">
      <c r="A26" s="59" t="s">
        <v>123</v>
      </c>
      <c r="C26" s="217">
        <v>-4196.7700000000004</v>
      </c>
      <c r="D26" s="220">
        <v>0</v>
      </c>
      <c r="E26" s="154">
        <f>ROUND('[5]May 2020'!$F99,2)</f>
        <v>989.61</v>
      </c>
      <c r="F26" s="154">
        <f>ROUND('[5]June 2020'!$F99,2)</f>
        <v>1017.42</v>
      </c>
      <c r="G26" s="154">
        <f>ROUND('[5]July 2020'!$F99,2)</f>
        <v>1516.58</v>
      </c>
      <c r="H26" s="16">
        <f>ROUND('[5]Aug 2020'!$F99,2)</f>
        <v>2635.55</v>
      </c>
      <c r="I26" s="139">
        <f>ROUND('[5]Sept 2020'!$F99,2)</f>
        <v>6178.06</v>
      </c>
      <c r="J26" s="191">
        <f>ROUND('[5]Oct 2020'!$F99,2)</f>
        <v>6179.55</v>
      </c>
      <c r="K26" s="141">
        <f>'PCR Cycle 2'!J31*'TDR Cycle 3'!$N26</f>
        <v>5147.3132099999993</v>
      </c>
      <c r="L26" s="53">
        <f>'PCR Cycle 2'!K31*'TDR Cycle 3'!$N26</f>
        <v>5614.9181399999998</v>
      </c>
      <c r="M26" s="74">
        <f>'PCR Cycle 2'!L31*'TDR Cycle 3'!$N26</f>
        <v>5942.0770499999999</v>
      </c>
      <c r="N26" s="85">
        <v>1.2999999999999999E-4</v>
      </c>
      <c r="O26" s="4"/>
    </row>
    <row r="27" spans="1:35" x14ac:dyDescent="0.35">
      <c r="C27" s="80"/>
      <c r="D27" s="222"/>
      <c r="E27" s="81"/>
      <c r="F27" s="81"/>
      <c r="G27" s="81"/>
      <c r="H27" s="80"/>
      <c r="I27" s="81"/>
      <c r="J27" s="189"/>
      <c r="K27" s="69"/>
      <c r="L27" s="69"/>
      <c r="M27" s="13"/>
      <c r="O27" s="4"/>
    </row>
    <row r="28" spans="1:35" x14ac:dyDescent="0.35">
      <c r="A28" s="51" t="s">
        <v>70</v>
      </c>
      <c r="B28" s="51"/>
      <c r="C28" s="80"/>
      <c r="D28" s="222"/>
      <c r="E28" s="69"/>
      <c r="F28" s="69"/>
      <c r="G28" s="69"/>
      <c r="H28" s="12"/>
      <c r="I28" s="69"/>
      <c r="J28" s="190"/>
      <c r="K28" s="69"/>
      <c r="L28" s="69"/>
      <c r="M28" s="13"/>
      <c r="N28" s="7"/>
    </row>
    <row r="29" spans="1:35" x14ac:dyDescent="0.35">
      <c r="A29" s="59" t="s">
        <v>26</v>
      </c>
      <c r="C29" s="218">
        <v>-2702444.7060520235</v>
      </c>
      <c r="D29" s="223"/>
      <c r="E29" s="129">
        <f>+'[13]Monthly TD Calc'!I460</f>
        <v>1391683.3893753563</v>
      </c>
      <c r="F29" s="129">
        <f>+'[13]Monthly TD Calc'!J460</f>
        <v>1505856.1299047521</v>
      </c>
      <c r="G29" s="143">
        <f>+'[13]Monthly TD Calc'!K460</f>
        <v>2223856.6986981365</v>
      </c>
      <c r="H29" s="89">
        <f>+'[13]Monthly TD Calc'!L460</f>
        <v>2332180.5626858207</v>
      </c>
      <c r="I29" s="90">
        <f>+'[13]Monthly TD Calc'!M460</f>
        <v>2850817.1697129281</v>
      </c>
      <c r="J29" s="191">
        <f>+'[13]Monthly TD Calc'!N460</f>
        <v>2833233.8806195324</v>
      </c>
      <c r="K29" s="180">
        <f>+'[3]Monthly TD Calc'!O461</f>
        <v>2440133.0989784054</v>
      </c>
      <c r="L29" s="162">
        <f>+'[3]Monthly TD Calc'!P461</f>
        <v>2987962.2623525844</v>
      </c>
      <c r="M29" s="95"/>
      <c r="N29" s="72">
        <f>SUM(C29:L29)</f>
        <v>15863278.486275492</v>
      </c>
    </row>
    <row r="30" spans="1:35" x14ac:dyDescent="0.35">
      <c r="A30" s="59" t="s">
        <v>120</v>
      </c>
      <c r="C30" s="218">
        <v>-338271.21730326349</v>
      </c>
      <c r="D30" s="223"/>
      <c r="E30" s="129">
        <f>+'[13]Monthly TD Calc'!I461</f>
        <v>137309.3502183666</v>
      </c>
      <c r="F30" s="129">
        <f>+'[13]Monthly TD Calc'!J461</f>
        <v>134326.87040726867</v>
      </c>
      <c r="G30" s="143">
        <f>+'[13]Monthly TD Calc'!K461</f>
        <v>155325.52880339391</v>
      </c>
      <c r="H30" s="89">
        <f>+'[13]Monthly TD Calc'!L461</f>
        <v>165176.75262612797</v>
      </c>
      <c r="I30" s="90">
        <f>+'[13]Monthly TD Calc'!M461</f>
        <v>164103.20645683134</v>
      </c>
      <c r="J30" s="191">
        <f>+'[13]Monthly TD Calc'!N461</f>
        <v>187712.78566910056</v>
      </c>
      <c r="K30" s="180">
        <f>+'[3]Monthly TD Calc'!O462</f>
        <v>211838.09724779037</v>
      </c>
      <c r="L30" s="162">
        <f>+'[3]Monthly TD Calc'!P462</f>
        <v>249285.53631553749</v>
      </c>
      <c r="M30" s="95"/>
      <c r="N30" s="72">
        <f t="shared" ref="N30:N33" si="12">SUM(C30:L30)</f>
        <v>1066806.9104411534</v>
      </c>
    </row>
    <row r="31" spans="1:35" x14ac:dyDescent="0.35">
      <c r="A31" s="59" t="s">
        <v>121</v>
      </c>
      <c r="C31" s="218">
        <v>-186052.92247824522</v>
      </c>
      <c r="D31" s="223"/>
      <c r="E31" s="129">
        <f>+'[13]Monthly TD Calc'!I462</f>
        <v>43918.872294487956</v>
      </c>
      <c r="F31" s="129">
        <f>+'[13]Monthly TD Calc'!J462</f>
        <v>76085.181026785096</v>
      </c>
      <c r="G31" s="143">
        <f>+'[13]Monthly TD Calc'!K462</f>
        <v>179560.43235735432</v>
      </c>
      <c r="H31" s="89">
        <f>+'[13]Monthly TD Calc'!L462</f>
        <v>303029.87333803601</v>
      </c>
      <c r="I31" s="90">
        <f>+'[13]Monthly TD Calc'!M462</f>
        <v>426321.15252677357</v>
      </c>
      <c r="J31" s="191">
        <f>+'[13]Monthly TD Calc'!N462</f>
        <v>604573.93603385962</v>
      </c>
      <c r="K31" s="180">
        <f>+'[3]Monthly TD Calc'!O463</f>
        <v>686765.749773402</v>
      </c>
      <c r="L31" s="162">
        <f>+'[3]Monthly TD Calc'!P463</f>
        <v>794277.81487872393</v>
      </c>
      <c r="M31" s="95"/>
      <c r="N31" s="72">
        <f t="shared" si="12"/>
        <v>2928480.0897511775</v>
      </c>
    </row>
    <row r="32" spans="1:35" x14ac:dyDescent="0.35">
      <c r="A32" s="59" t="s">
        <v>122</v>
      </c>
      <c r="C32" s="218">
        <v>-367386.79156780441</v>
      </c>
      <c r="D32" s="223"/>
      <c r="E32" s="129">
        <f>+'[13]Monthly TD Calc'!I463</f>
        <v>94442.851434994445</v>
      </c>
      <c r="F32" s="129">
        <f>+'[13]Monthly TD Calc'!J463</f>
        <v>179579.23587479052</v>
      </c>
      <c r="G32" s="143">
        <f>+'[13]Monthly TD Calc'!K463</f>
        <v>266876.33061288658</v>
      </c>
      <c r="H32" s="89">
        <f>+'[13]Monthly TD Calc'!L463</f>
        <v>285041.42332059384</v>
      </c>
      <c r="I32" s="90">
        <f>+'[13]Monthly TD Calc'!M463</f>
        <v>344982.83047808195</v>
      </c>
      <c r="J32" s="191">
        <f>+'[13]Monthly TD Calc'!N463</f>
        <v>602032.34948596684</v>
      </c>
      <c r="K32" s="180">
        <f>+'[3]Monthly TD Calc'!O464</f>
        <v>855611.93807818496</v>
      </c>
      <c r="L32" s="162">
        <f>+'[3]Monthly TD Calc'!P464</f>
        <v>1028159.08459527</v>
      </c>
      <c r="M32" s="95"/>
      <c r="N32" s="72">
        <f t="shared" si="12"/>
        <v>3289339.2523129648</v>
      </c>
    </row>
    <row r="33" spans="1:15" x14ac:dyDescent="0.35">
      <c r="A33" s="59" t="s">
        <v>123</v>
      </c>
      <c r="C33" s="218">
        <v>-119775.0132979669</v>
      </c>
      <c r="D33" s="223"/>
      <c r="E33" s="129">
        <f>+'[13]Monthly TD Calc'!I464</f>
        <v>17206.493354693233</v>
      </c>
      <c r="F33" s="129">
        <f>+'[13]Monthly TD Calc'!J464</f>
        <v>16792.87235835729</v>
      </c>
      <c r="G33" s="143">
        <f>+'[13]Monthly TD Calc'!K464</f>
        <v>21292.468767684579</v>
      </c>
      <c r="H33" s="89">
        <f>+'[13]Monthly TD Calc'!L464</f>
        <v>19808.769014508867</v>
      </c>
      <c r="I33" s="90">
        <f>+'[13]Monthly TD Calc'!M464</f>
        <v>22674.189198442371</v>
      </c>
      <c r="J33" s="191">
        <f>+'[13]Monthly TD Calc'!N464</f>
        <v>28547.661232382256</v>
      </c>
      <c r="K33" s="180">
        <f>+'[3]Monthly TD Calc'!O465</f>
        <v>75927.030979258459</v>
      </c>
      <c r="L33" s="162">
        <f>+'[3]Monthly TD Calc'!P465</f>
        <v>136262.56428525041</v>
      </c>
      <c r="M33" s="95"/>
      <c r="N33" s="72">
        <f t="shared" si="12"/>
        <v>218737.03589261055</v>
      </c>
    </row>
    <row r="34" spans="1:15" x14ac:dyDescent="0.35">
      <c r="C34" s="80"/>
      <c r="D34" s="222"/>
      <c r="E34" s="81"/>
      <c r="F34" s="81"/>
      <c r="G34" s="81"/>
      <c r="H34" s="80"/>
      <c r="I34" s="81"/>
      <c r="J34" s="189"/>
      <c r="K34" s="69"/>
      <c r="L34" s="69"/>
      <c r="M34" s="13"/>
    </row>
    <row r="35" spans="1:15" x14ac:dyDescent="0.35">
      <c r="A35" s="59" t="s">
        <v>73</v>
      </c>
      <c r="C35" s="48"/>
      <c r="D35" s="224"/>
      <c r="E35" s="49"/>
      <c r="F35" s="49"/>
      <c r="G35" s="49"/>
      <c r="H35" s="48"/>
      <c r="I35" s="49"/>
      <c r="J35" s="192"/>
      <c r="K35" s="65"/>
      <c r="L35" s="65"/>
      <c r="M35" s="50"/>
    </row>
    <row r="36" spans="1:15" x14ac:dyDescent="0.35">
      <c r="A36" s="59" t="s">
        <v>26</v>
      </c>
      <c r="C36" s="217">
        <v>-262299.59999999998</v>
      </c>
      <c r="D36" s="220">
        <f>ROUND('[13]Monthly TD Calc'!H639,2)</f>
        <v>0</v>
      </c>
      <c r="E36" s="127">
        <f>ROUND('[13]Monthly TD Calc'!I562,2)</f>
        <v>109115.49</v>
      </c>
      <c r="F36" s="127">
        <f>ROUND('[13]Monthly TD Calc'!J562,2)</f>
        <v>171894.53</v>
      </c>
      <c r="G36" s="128">
        <f>ROUND('[13]Monthly TD Calc'!K562,2)</f>
        <v>259797.53</v>
      </c>
      <c r="H36" s="16">
        <f>ROUND('[13]Monthly TD Calc'!L562,2)</f>
        <v>269774.77</v>
      </c>
      <c r="I36" s="68">
        <f>ROUND('[13]Monthly TD Calc'!M562,2)</f>
        <v>326631.82</v>
      </c>
      <c r="J36" s="191">
        <f>ROUND('[13]Monthly TD Calc'!N562,2)</f>
        <v>192534.72</v>
      </c>
      <c r="K36" s="181">
        <f>ROUND('[3]Monthly TD Calc'!O563,2)</f>
        <v>180181.64</v>
      </c>
      <c r="L36" s="161">
        <f>ROUND('[3]Monthly TD Calc'!P563,2)</f>
        <v>202915.53</v>
      </c>
      <c r="M36" s="94"/>
    </row>
    <row r="37" spans="1:15" x14ac:dyDescent="0.35">
      <c r="A37" s="59" t="s">
        <v>120</v>
      </c>
      <c r="C37" s="217">
        <v>-31323.040000000001</v>
      </c>
      <c r="D37" s="220">
        <f>ROUND('[13]Monthly TD Calc'!H640,2)</f>
        <v>-248.61</v>
      </c>
      <c r="E37" s="127">
        <f>ROUND('[13]Monthly TD Calc'!I563,2)</f>
        <v>10733.08</v>
      </c>
      <c r="F37" s="127">
        <f>ROUND('[13]Monthly TD Calc'!J563,2)</f>
        <v>13361.68</v>
      </c>
      <c r="G37" s="128">
        <f>ROUND('[13]Monthly TD Calc'!K563,2)</f>
        <v>14806.49</v>
      </c>
      <c r="H37" s="16">
        <f>ROUND('[13]Monthly TD Calc'!L563,2)</f>
        <v>15713.21</v>
      </c>
      <c r="I37" s="68">
        <f>ROUND('[13]Monthly TD Calc'!M563,2)</f>
        <v>15841.87</v>
      </c>
      <c r="J37" s="191">
        <f>ROUND('[13]Monthly TD Calc'!N563,2)</f>
        <v>14023.83</v>
      </c>
      <c r="K37" s="181">
        <f>ROUND('[3]Monthly TD Calc'!O564,2)</f>
        <v>16398.05</v>
      </c>
      <c r="L37" s="161">
        <f>ROUND('[3]Monthly TD Calc'!P564,2)</f>
        <v>17845.849999999999</v>
      </c>
      <c r="M37" s="94"/>
    </row>
    <row r="38" spans="1:15" x14ac:dyDescent="0.35">
      <c r="A38" s="59" t="s">
        <v>121</v>
      </c>
      <c r="C38" s="217">
        <v>-14257.920000000002</v>
      </c>
      <c r="D38" s="220">
        <f>ROUND('[13]Monthly TD Calc'!H641,2)</f>
        <v>13.84</v>
      </c>
      <c r="E38" s="127">
        <f>ROUND('[13]Monthly TD Calc'!I564,2)</f>
        <v>2414.48</v>
      </c>
      <c r="F38" s="127">
        <f>ROUND('[13]Monthly TD Calc'!J564,2)</f>
        <v>5382.81</v>
      </c>
      <c r="G38" s="128">
        <f>ROUND('[13]Monthly TD Calc'!K564,2)</f>
        <v>12035.18</v>
      </c>
      <c r="H38" s="16">
        <f>ROUND('[13]Monthly TD Calc'!L564,2)</f>
        <v>19510.080000000002</v>
      </c>
      <c r="I38" s="68">
        <f>ROUND('[13]Monthly TD Calc'!M564,2)</f>
        <v>27194.639999999999</v>
      </c>
      <c r="J38" s="191">
        <f>ROUND('[13]Monthly TD Calc'!N564,2)</f>
        <v>27657.31</v>
      </c>
      <c r="K38" s="181">
        <f>ROUND('[3]Monthly TD Calc'!O565,2)</f>
        <v>34742.120000000003</v>
      </c>
      <c r="L38" s="161">
        <f>ROUND('[3]Monthly TD Calc'!P565,2)</f>
        <v>36030.800000000003</v>
      </c>
      <c r="M38" s="94"/>
    </row>
    <row r="39" spans="1:15" x14ac:dyDescent="0.35">
      <c r="A39" s="59" t="s">
        <v>122</v>
      </c>
      <c r="C39" s="217">
        <v>-20917.690000000002</v>
      </c>
      <c r="D39" s="220">
        <f>ROUND('[13]Monthly TD Calc'!H642,2)</f>
        <v>28.34</v>
      </c>
      <c r="E39" s="127">
        <f>ROUND('[13]Monthly TD Calc'!I565,2)</f>
        <v>3391.26</v>
      </c>
      <c r="F39" s="127">
        <f>ROUND('[13]Monthly TD Calc'!J565,2)</f>
        <v>8141.16</v>
      </c>
      <c r="G39" s="128">
        <f>ROUND('[13]Monthly TD Calc'!K565,2)</f>
        <v>11965.62</v>
      </c>
      <c r="H39" s="16">
        <f>ROUND('[13]Monthly TD Calc'!L565,2)</f>
        <v>12227.96</v>
      </c>
      <c r="I39" s="68">
        <f>ROUND('[13]Monthly TD Calc'!M565,2)</f>
        <v>13795.85</v>
      </c>
      <c r="J39" s="191">
        <f>ROUND('[13]Monthly TD Calc'!N565,2)</f>
        <v>17188.580000000002</v>
      </c>
      <c r="K39" s="181">
        <f>ROUND('[3]Monthly TD Calc'!O566,2)</f>
        <v>28399.66</v>
      </c>
      <c r="L39" s="161">
        <f>ROUND('[3]Monthly TD Calc'!P566,2)</f>
        <v>29820.43</v>
      </c>
      <c r="M39" s="94"/>
    </row>
    <row r="40" spans="1:15" x14ac:dyDescent="0.35">
      <c r="A40" s="59" t="s">
        <v>123</v>
      </c>
      <c r="C40" s="217">
        <v>-5159.84</v>
      </c>
      <c r="D40" s="220">
        <f>ROUND('[13]Monthly TD Calc'!H643,2)</f>
        <v>2.59</v>
      </c>
      <c r="E40" s="127">
        <f>ROUND('[13]Monthly TD Calc'!I566,2)</f>
        <v>456.96</v>
      </c>
      <c r="F40" s="127">
        <f>ROUND('[13]Monthly TD Calc'!J566,2)</f>
        <v>623.86</v>
      </c>
      <c r="G40" s="128">
        <f>ROUND('[13]Monthly TD Calc'!K566,2)</f>
        <v>1121.76</v>
      </c>
      <c r="H40" s="16">
        <f>ROUND('[13]Monthly TD Calc'!L566,2)</f>
        <v>830</v>
      </c>
      <c r="I40" s="68">
        <f>ROUND('[13]Monthly TD Calc'!M566,2)</f>
        <v>737.02</v>
      </c>
      <c r="J40" s="191">
        <f>ROUND('[13]Monthly TD Calc'!N566,2)</f>
        <v>573.13</v>
      </c>
      <c r="K40" s="181">
        <f>ROUND('[3]Monthly TD Calc'!O567,2)</f>
        <v>2586.59</v>
      </c>
      <c r="L40" s="161">
        <f>ROUND('[3]Monthly TD Calc'!P567,2)</f>
        <v>2936.37</v>
      </c>
      <c r="M40" s="94"/>
      <c r="O40" s="60"/>
    </row>
    <row r="41" spans="1:15" x14ac:dyDescent="0.35">
      <c r="C41" s="117"/>
      <c r="D41" s="221"/>
      <c r="E41" s="18"/>
      <c r="F41" s="18"/>
      <c r="G41" s="18"/>
      <c r="H41" s="109"/>
      <c r="I41" s="18"/>
      <c r="J41" s="187"/>
      <c r="K41" s="69"/>
      <c r="L41" s="69"/>
      <c r="M41" s="13"/>
    </row>
    <row r="42" spans="1:15" ht="15" thickBot="1" x14ac:dyDescent="0.4">
      <c r="A42" s="3" t="s">
        <v>17</v>
      </c>
      <c r="B42" s="3"/>
      <c r="C42" s="219">
        <v>-486.93000000000006</v>
      </c>
      <c r="D42" s="225">
        <v>-0.22</v>
      </c>
      <c r="E42" s="154">
        <v>174.54000000000002</v>
      </c>
      <c r="F42" s="154">
        <v>174.70000000000002</v>
      </c>
      <c r="G42" s="155">
        <v>198</v>
      </c>
      <c r="H42" s="38">
        <v>230.12999999999997</v>
      </c>
      <c r="I42" s="140">
        <v>263.45</v>
      </c>
      <c r="J42" s="193">
        <v>281.59999999999997</v>
      </c>
      <c r="K42" s="182">
        <v>298.38000000000005</v>
      </c>
      <c r="L42" s="163">
        <v>305.16999999999996</v>
      </c>
      <c r="M42" s="97"/>
    </row>
    <row r="43" spans="1:15" x14ac:dyDescent="0.35">
      <c r="C43" s="77"/>
      <c r="D43" s="228"/>
      <c r="E43" s="79"/>
      <c r="F43" s="79"/>
      <c r="G43" s="45"/>
      <c r="H43" s="77"/>
      <c r="I43" s="45"/>
      <c r="J43" s="194"/>
      <c r="K43" s="46"/>
      <c r="L43" s="46"/>
      <c r="M43" s="73"/>
    </row>
    <row r="44" spans="1:15" x14ac:dyDescent="0.35">
      <c r="A44" s="59" t="s">
        <v>54</v>
      </c>
      <c r="C44" s="78"/>
      <c r="D44" s="229"/>
      <c r="E44" s="47"/>
      <c r="F44" s="47"/>
      <c r="G44" s="47"/>
      <c r="H44" s="78"/>
      <c r="I44" s="47"/>
      <c r="J44" s="195"/>
      <c r="K44" s="46"/>
      <c r="L44" s="46"/>
      <c r="M44" s="73"/>
    </row>
    <row r="45" spans="1:15" x14ac:dyDescent="0.35">
      <c r="A45" s="59" t="s">
        <v>26</v>
      </c>
      <c r="C45" s="226">
        <f t="shared" ref="C45" si="13">C36-C22</f>
        <v>193585.22000000003</v>
      </c>
      <c r="D45" s="230">
        <f t="shared" ref="D45" si="14">D36-D22</f>
        <v>0</v>
      </c>
      <c r="E45" s="53">
        <f t="shared" ref="E45:M45" si="15">E36-E22</f>
        <v>-199.83999999999651</v>
      </c>
      <c r="F45" s="53">
        <f t="shared" si="15"/>
        <v>10664.670000000013</v>
      </c>
      <c r="G45" s="126">
        <f t="shared" si="15"/>
        <v>27913.690000000002</v>
      </c>
      <c r="H45" s="52">
        <f t="shared" si="15"/>
        <v>35449.320000000007</v>
      </c>
      <c r="I45" s="53">
        <f t="shared" si="15"/>
        <v>80330.03</v>
      </c>
      <c r="J45" s="74">
        <f t="shared" si="15"/>
        <v>29904.630000000005</v>
      </c>
      <c r="K45" s="141">
        <f t="shared" si="15"/>
        <v>28609.055359999998</v>
      </c>
      <c r="L45" s="53">
        <f t="shared" si="15"/>
        <v>-17831.539439999993</v>
      </c>
      <c r="M45" s="74">
        <f t="shared" si="15"/>
        <v>-253285.70112000001</v>
      </c>
    </row>
    <row r="46" spans="1:15" x14ac:dyDescent="0.35">
      <c r="A46" s="59" t="s">
        <v>120</v>
      </c>
      <c r="C46" s="226">
        <f t="shared" ref="C46" si="16">C37-C23</f>
        <v>-10378.940000000002</v>
      </c>
      <c r="D46" s="230">
        <f t="shared" ref="D46:M46" si="17">D37-D23</f>
        <v>-248.61</v>
      </c>
      <c r="E46" s="53">
        <f t="shared" si="17"/>
        <v>5097.37</v>
      </c>
      <c r="F46" s="53">
        <f t="shared" si="17"/>
        <v>5820.1900000000005</v>
      </c>
      <c r="G46" s="126">
        <f t="shared" si="17"/>
        <v>5078.2199999999993</v>
      </c>
      <c r="H46" s="52">
        <f t="shared" si="17"/>
        <v>-3784.6000000000022</v>
      </c>
      <c r="I46" s="53">
        <f t="shared" si="17"/>
        <v>-21803.86</v>
      </c>
      <c r="J46" s="74">
        <f t="shared" si="17"/>
        <v>-17694.79</v>
      </c>
      <c r="K46" s="141">
        <f t="shared" si="17"/>
        <v>-7906.5851800000019</v>
      </c>
      <c r="L46" s="53">
        <f t="shared" si="17"/>
        <v>-8666.7270200000057</v>
      </c>
      <c r="M46" s="74">
        <f t="shared" si="17"/>
        <v>-28057.358620000003</v>
      </c>
    </row>
    <row r="47" spans="1:15" x14ac:dyDescent="0.35">
      <c r="A47" s="59" t="s">
        <v>121</v>
      </c>
      <c r="C47" s="226">
        <f t="shared" ref="C47" si="18">C38-C24</f>
        <v>21530.799999999999</v>
      </c>
      <c r="D47" s="230">
        <f t="shared" ref="D47:M47" si="19">D38-D24</f>
        <v>13.84</v>
      </c>
      <c r="E47" s="53">
        <f t="shared" si="19"/>
        <v>-5469.1900000000005</v>
      </c>
      <c r="F47" s="53">
        <f t="shared" si="19"/>
        <v>-4546.1099999999997</v>
      </c>
      <c r="G47" s="126">
        <f t="shared" si="19"/>
        <v>-493.19999999999891</v>
      </c>
      <c r="H47" s="52">
        <f t="shared" si="19"/>
        <v>2037.3100000000013</v>
      </c>
      <c r="I47" s="53">
        <f t="shared" si="19"/>
        <v>-562.63999999999942</v>
      </c>
      <c r="J47" s="74">
        <f t="shared" si="19"/>
        <v>3875.8000000000029</v>
      </c>
      <c r="K47" s="141">
        <f t="shared" si="19"/>
        <v>11106.530120000003</v>
      </c>
      <c r="L47" s="53">
        <f t="shared" si="19"/>
        <v>10248.047200000005</v>
      </c>
      <c r="M47" s="74">
        <f t="shared" si="19"/>
        <v>-27285.010759999997</v>
      </c>
    </row>
    <row r="48" spans="1:15" x14ac:dyDescent="0.35">
      <c r="A48" s="59" t="s">
        <v>122</v>
      </c>
      <c r="C48" s="226">
        <f t="shared" ref="C48" si="20">C39-C25</f>
        <v>16077.739999999998</v>
      </c>
      <c r="D48" s="230">
        <f t="shared" ref="D48:M48" si="21">D39-D25</f>
        <v>28.34</v>
      </c>
      <c r="E48" s="53">
        <f t="shared" si="21"/>
        <v>-5511.68</v>
      </c>
      <c r="F48" s="53">
        <f t="shared" si="21"/>
        <v>-2186.9300000000003</v>
      </c>
      <c r="G48" s="126">
        <f t="shared" si="21"/>
        <v>-142.42000000000007</v>
      </c>
      <c r="H48" s="52">
        <f t="shared" si="21"/>
        <v>-7028.4900000000016</v>
      </c>
      <c r="I48" s="53">
        <f t="shared" si="21"/>
        <v>-18170.409999999996</v>
      </c>
      <c r="J48" s="74">
        <f t="shared" si="21"/>
        <v>-12375.859999999997</v>
      </c>
      <c r="K48" s="141">
        <f t="shared" si="21"/>
        <v>913.06701999999859</v>
      </c>
      <c r="L48" s="53">
        <f t="shared" si="21"/>
        <v>-163.16819000000032</v>
      </c>
      <c r="M48" s="74">
        <f t="shared" si="21"/>
        <v>-31730.622630000002</v>
      </c>
    </row>
    <row r="49" spans="1:13" x14ac:dyDescent="0.35">
      <c r="A49" s="59" t="s">
        <v>123</v>
      </c>
      <c r="C49" s="226">
        <f t="shared" ref="C49" si="22">C40-C26</f>
        <v>-963.06999999999971</v>
      </c>
      <c r="D49" s="230">
        <f t="shared" ref="D49:M49" si="23">D40-D26</f>
        <v>2.59</v>
      </c>
      <c r="E49" s="53">
        <f t="shared" si="23"/>
        <v>-532.65000000000009</v>
      </c>
      <c r="F49" s="53">
        <f t="shared" si="23"/>
        <v>-393.55999999999995</v>
      </c>
      <c r="G49" s="126">
        <f t="shared" si="23"/>
        <v>-394.81999999999994</v>
      </c>
      <c r="H49" s="52">
        <f t="shared" si="23"/>
        <v>-1805.5500000000002</v>
      </c>
      <c r="I49" s="53">
        <f t="shared" si="23"/>
        <v>-5441.0400000000009</v>
      </c>
      <c r="J49" s="74">
        <f t="shared" si="23"/>
        <v>-5606.42</v>
      </c>
      <c r="K49" s="141">
        <f t="shared" si="23"/>
        <v>-2560.7232099999992</v>
      </c>
      <c r="L49" s="53">
        <f t="shared" si="23"/>
        <v>-2678.5481399999999</v>
      </c>
      <c r="M49" s="74">
        <f t="shared" si="23"/>
        <v>-5942.0770499999999</v>
      </c>
    </row>
    <row r="50" spans="1:13" x14ac:dyDescent="0.35">
      <c r="C50" s="117"/>
      <c r="D50" s="221"/>
      <c r="E50" s="17"/>
      <c r="F50" s="17"/>
      <c r="G50" s="17"/>
      <c r="H50" s="10"/>
      <c r="I50" s="17"/>
      <c r="J50" s="11"/>
      <c r="K50" s="17"/>
      <c r="L50" s="17"/>
      <c r="M50" s="11"/>
    </row>
    <row r="51" spans="1:13" ht="15" thickBot="1" x14ac:dyDescent="0.4">
      <c r="A51" s="59" t="s">
        <v>55</v>
      </c>
      <c r="C51" s="117"/>
      <c r="D51" s="221"/>
      <c r="E51" s="17"/>
      <c r="F51" s="17"/>
      <c r="G51" s="17"/>
      <c r="H51" s="10"/>
      <c r="I51" s="17"/>
      <c r="J51" s="11"/>
      <c r="K51" s="17"/>
      <c r="L51" s="17"/>
      <c r="M51" s="11"/>
    </row>
    <row r="52" spans="1:13" x14ac:dyDescent="0.35">
      <c r="A52" s="59" t="s">
        <v>26</v>
      </c>
      <c r="B52" s="134">
        <v>-16792.2</v>
      </c>
      <c r="C52" s="226">
        <f t="shared" ref="C52:C56" si="24">+B52+C45+B60</f>
        <v>176793.02000000002</v>
      </c>
      <c r="D52" s="230">
        <f t="shared" ref="D52:D56" si="25">+C52+D45+C60</f>
        <v>176217.80000000002</v>
      </c>
      <c r="E52" s="53">
        <f t="shared" ref="E52:E56" si="26">+D52+E45+D60</f>
        <v>176017.96000000002</v>
      </c>
      <c r="F52" s="53">
        <f t="shared" ref="F52:F56" si="27">+E52+F45+E60</f>
        <v>186895.12000000002</v>
      </c>
      <c r="G52" s="126">
        <f t="shared" ref="G52:G56" si="28">+F52+G45+F60</f>
        <v>215025.74000000002</v>
      </c>
      <c r="H52" s="52">
        <f t="shared" ref="H52:H56" si="29">+G52+H45+G60</f>
        <v>250713.38000000003</v>
      </c>
      <c r="I52" s="53">
        <f t="shared" ref="I52:I56" si="30">+H52+I45+H60</f>
        <v>331317.44000000006</v>
      </c>
      <c r="J52" s="74">
        <f t="shared" ref="J52:J56" si="31">+I52+J45+I60</f>
        <v>361562.21000000008</v>
      </c>
      <c r="K52" s="141">
        <f t="shared" ref="K52:K56" si="32">+J52+K45+J60</f>
        <v>390574.61536000005</v>
      </c>
      <c r="L52" s="53">
        <f t="shared" ref="L52:L56" si="33">+K52+L45+K60</f>
        <v>373180.94592000009</v>
      </c>
      <c r="M52" s="74">
        <f t="shared" ref="M52:M56" si="34">+L52+M45+L60</f>
        <v>120339.89480000007</v>
      </c>
    </row>
    <row r="53" spans="1:13" x14ac:dyDescent="0.35">
      <c r="A53" s="59" t="s">
        <v>120</v>
      </c>
      <c r="B53" s="271">
        <v>8021.63</v>
      </c>
      <c r="C53" s="226">
        <f t="shared" si="24"/>
        <v>-2357.3100000000022</v>
      </c>
      <c r="D53" s="230">
        <f t="shared" si="25"/>
        <v>-2624.0400000000022</v>
      </c>
      <c r="E53" s="53">
        <f t="shared" si="26"/>
        <v>2473.0699999999974</v>
      </c>
      <c r="F53" s="53">
        <f t="shared" si="27"/>
        <v>8293.1699999999983</v>
      </c>
      <c r="G53" s="126">
        <f t="shared" si="28"/>
        <v>13377.819999999998</v>
      </c>
      <c r="H53" s="52">
        <f t="shared" si="29"/>
        <v>9606.0699999999961</v>
      </c>
      <c r="I53" s="53">
        <f t="shared" si="30"/>
        <v>-12184.270000000004</v>
      </c>
      <c r="J53" s="74">
        <f t="shared" si="31"/>
        <v>-29880.560000000005</v>
      </c>
      <c r="K53" s="141">
        <f t="shared" si="32"/>
        <v>-37811.62518000001</v>
      </c>
      <c r="L53" s="53">
        <f t="shared" si="33"/>
        <v>-46517.752200000017</v>
      </c>
      <c r="M53" s="74">
        <f t="shared" si="34"/>
        <v>-74624.200820000013</v>
      </c>
    </row>
    <row r="54" spans="1:13" x14ac:dyDescent="0.35">
      <c r="A54" s="59" t="s">
        <v>121</v>
      </c>
      <c r="B54" s="271">
        <v>-33462.57</v>
      </c>
      <c r="C54" s="226">
        <f t="shared" si="24"/>
        <v>-11931.77</v>
      </c>
      <c r="D54" s="230">
        <f t="shared" si="25"/>
        <v>-11861.99</v>
      </c>
      <c r="E54" s="53">
        <f t="shared" si="26"/>
        <v>-17331.170000000002</v>
      </c>
      <c r="F54" s="53">
        <f t="shared" si="27"/>
        <v>-21894.890000000003</v>
      </c>
      <c r="G54" s="126">
        <f t="shared" si="28"/>
        <v>-22411.530000000002</v>
      </c>
      <c r="H54" s="52">
        <f t="shared" si="29"/>
        <v>-20400.490000000002</v>
      </c>
      <c r="I54" s="53">
        <f t="shared" si="30"/>
        <v>-20988.32</v>
      </c>
      <c r="J54" s="74">
        <f t="shared" si="31"/>
        <v>-17136.709999999995</v>
      </c>
      <c r="K54" s="141">
        <f t="shared" si="32"/>
        <v>-6052.3798799999922</v>
      </c>
      <c r="L54" s="53">
        <f t="shared" si="33"/>
        <v>4182.1573200000121</v>
      </c>
      <c r="M54" s="74">
        <f t="shared" si="34"/>
        <v>-23103.953439999983</v>
      </c>
    </row>
    <row r="55" spans="1:13" x14ac:dyDescent="0.35">
      <c r="A55" s="59" t="s">
        <v>122</v>
      </c>
      <c r="B55" s="271">
        <v>-29020.81</v>
      </c>
      <c r="C55" s="226">
        <f t="shared" si="24"/>
        <v>-12943.070000000003</v>
      </c>
      <c r="D55" s="230">
        <f t="shared" si="25"/>
        <v>-12864.070000000003</v>
      </c>
      <c r="E55" s="53">
        <f t="shared" si="26"/>
        <v>-18375.720000000005</v>
      </c>
      <c r="F55" s="53">
        <f t="shared" si="27"/>
        <v>-20581.500000000004</v>
      </c>
      <c r="G55" s="126">
        <f t="shared" si="28"/>
        <v>-20747.200000000004</v>
      </c>
      <c r="H55" s="52">
        <f t="shared" si="29"/>
        <v>-27800.200000000004</v>
      </c>
      <c r="I55" s="53">
        <f t="shared" si="30"/>
        <v>-45999.17</v>
      </c>
      <c r="J55" s="74">
        <f t="shared" si="31"/>
        <v>-58418.15</v>
      </c>
      <c r="K55" s="141">
        <f t="shared" si="32"/>
        <v>-57565.862980000005</v>
      </c>
      <c r="L55" s="53">
        <f t="shared" si="33"/>
        <v>-57796.551169999999</v>
      </c>
      <c r="M55" s="74">
        <f t="shared" si="34"/>
        <v>-89594.333800000008</v>
      </c>
    </row>
    <row r="56" spans="1:13" ht="15" thickBot="1" x14ac:dyDescent="0.4">
      <c r="A56" s="59" t="s">
        <v>123</v>
      </c>
      <c r="B56" s="135">
        <v>69.400000000000006</v>
      </c>
      <c r="C56" s="226">
        <f t="shared" si="24"/>
        <v>-893.66999999999973</v>
      </c>
      <c r="D56" s="230">
        <f t="shared" si="25"/>
        <v>-891.26999999999975</v>
      </c>
      <c r="E56" s="53">
        <f t="shared" si="26"/>
        <v>-1423.9199999999998</v>
      </c>
      <c r="F56" s="53">
        <f t="shared" si="27"/>
        <v>-1818.8799999999999</v>
      </c>
      <c r="G56" s="126">
        <f t="shared" si="28"/>
        <v>-2215.64</v>
      </c>
      <c r="H56" s="52">
        <f t="shared" si="29"/>
        <v>-4023.58</v>
      </c>
      <c r="I56" s="53">
        <f t="shared" si="30"/>
        <v>-9468.2900000000009</v>
      </c>
      <c r="J56" s="74">
        <f t="shared" si="31"/>
        <v>-15082.59</v>
      </c>
      <c r="K56" s="141">
        <f t="shared" si="32"/>
        <v>-17657.603210000001</v>
      </c>
      <c r="L56" s="53">
        <f t="shared" si="33"/>
        <v>-20355.211350000001</v>
      </c>
      <c r="M56" s="74">
        <f t="shared" si="34"/>
        <v>-26319.418400000002</v>
      </c>
    </row>
    <row r="57" spans="1:13" x14ac:dyDescent="0.35">
      <c r="C57" s="117"/>
      <c r="D57" s="221"/>
      <c r="E57" s="17"/>
      <c r="F57" s="17"/>
      <c r="G57" s="17"/>
      <c r="H57" s="10"/>
      <c r="I57" s="17"/>
      <c r="J57" s="11"/>
      <c r="K57" s="17"/>
      <c r="L57" s="17"/>
      <c r="M57" s="11"/>
    </row>
    <row r="58" spans="1:13" x14ac:dyDescent="0.35">
      <c r="A58" s="51" t="s">
        <v>138</v>
      </c>
      <c r="B58" s="51"/>
      <c r="C58" s="122"/>
      <c r="D58" s="231"/>
      <c r="E58" s="98">
        <f>+'PCR Cycle 2'!D50</f>
        <v>1.20652E-3</v>
      </c>
      <c r="F58" s="98">
        <f>+'PCR Cycle 2'!E50</f>
        <v>1.1948200000000001E-3</v>
      </c>
      <c r="G58" s="98">
        <f>+'PCR Cycle 2'!F50</f>
        <v>1.1852799999999999E-3</v>
      </c>
      <c r="H58" s="99">
        <f>+'PCR Cycle 2'!G50</f>
        <v>1.17614E-3</v>
      </c>
      <c r="I58" s="98">
        <f>+'PCR Cycle 2'!H50</f>
        <v>1.1682400000000001E-3</v>
      </c>
      <c r="J58" s="110">
        <f>+'PCR Cycle 2'!I50</f>
        <v>1.1636999999999999E-3</v>
      </c>
      <c r="K58" s="98">
        <f>+'PCR Cycle 2'!J50</f>
        <v>1.1636999999999999E-3</v>
      </c>
      <c r="L58" s="98">
        <f>+'PCR Cycle 2'!K50</f>
        <v>1.1636999999999999E-3</v>
      </c>
      <c r="M58" s="100"/>
    </row>
    <row r="59" spans="1:13" x14ac:dyDescent="0.35">
      <c r="A59" s="51" t="s">
        <v>39</v>
      </c>
      <c r="B59" s="51"/>
      <c r="C59" s="124"/>
      <c r="D59" s="232"/>
      <c r="E59" s="98"/>
      <c r="F59" s="98"/>
      <c r="G59" s="98"/>
      <c r="H59" s="99"/>
      <c r="I59" s="98"/>
      <c r="J59" s="100"/>
      <c r="K59" s="98"/>
      <c r="L59" s="98"/>
      <c r="M59" s="100"/>
    </row>
    <row r="60" spans="1:13" x14ac:dyDescent="0.35">
      <c r="A60" s="59" t="s">
        <v>26</v>
      </c>
      <c r="C60" s="226">
        <v>-575.22</v>
      </c>
      <c r="D60" s="230">
        <v>0</v>
      </c>
      <c r="E60" s="53">
        <f t="shared" ref="E60:M64" si="35">ROUND((D52+D60+E45/2)*E$58,2)</f>
        <v>212.49</v>
      </c>
      <c r="F60" s="53">
        <f t="shared" ref="F60:F64" si="36">ROUND((E52+E60+F45/2)*F$58,2)</f>
        <v>216.93</v>
      </c>
      <c r="G60" s="126">
        <f t="shared" ref="G60:G64" si="37">ROUND((F52+F60+G45/2)*G$58,2)</f>
        <v>238.32</v>
      </c>
      <c r="H60" s="52">
        <f t="shared" ref="H60:H64" si="38">ROUND((G52+G60+H45/2)*H$58,2)</f>
        <v>274.02999999999997</v>
      </c>
      <c r="I60" s="141">
        <f t="shared" ref="I60:I64" si="39">ROUND((H52+H60+I45/2)*I$58,2)</f>
        <v>340.14</v>
      </c>
      <c r="J60" s="74">
        <f t="shared" ref="J60:J64" si="40">ROUND((I52+I60+J45/2)*J$58,2)</f>
        <v>403.35</v>
      </c>
      <c r="K60" s="183">
        <f t="shared" ref="K60:K64" si="41">ROUND((J52+J60+K45/2)*K$58,2)</f>
        <v>437.87</v>
      </c>
      <c r="L60" s="126">
        <f t="shared" ref="L60:L64" si="42">ROUND((K52+K60+L45/2)*L$58,2)</f>
        <v>444.65</v>
      </c>
      <c r="M60" s="74">
        <f t="shared" si="35"/>
        <v>0</v>
      </c>
    </row>
    <row r="61" spans="1:13" x14ac:dyDescent="0.35">
      <c r="A61" s="59" t="s">
        <v>120</v>
      </c>
      <c r="C61" s="226">
        <v>-18.119999999999997</v>
      </c>
      <c r="D61" s="230">
        <v>-0.26</v>
      </c>
      <c r="E61" s="53">
        <f t="shared" si="35"/>
        <v>-0.09</v>
      </c>
      <c r="F61" s="53">
        <f t="shared" si="36"/>
        <v>6.43</v>
      </c>
      <c r="G61" s="126">
        <f t="shared" si="37"/>
        <v>12.85</v>
      </c>
      <c r="H61" s="52">
        <f t="shared" si="38"/>
        <v>13.52</v>
      </c>
      <c r="I61" s="141">
        <f t="shared" si="39"/>
        <v>-1.5</v>
      </c>
      <c r="J61" s="74">
        <f t="shared" si="40"/>
        <v>-24.48</v>
      </c>
      <c r="K61" s="183">
        <f t="shared" si="41"/>
        <v>-39.4</v>
      </c>
      <c r="L61" s="126">
        <f t="shared" si="42"/>
        <v>-49.09</v>
      </c>
      <c r="M61" s="74"/>
    </row>
    <row r="62" spans="1:13" x14ac:dyDescent="0.35">
      <c r="A62" s="59" t="s">
        <v>121</v>
      </c>
      <c r="C62" s="226">
        <v>55.94</v>
      </c>
      <c r="D62" s="230">
        <v>9.9999999999997868E-3</v>
      </c>
      <c r="E62" s="53">
        <f t="shared" si="35"/>
        <v>-17.61</v>
      </c>
      <c r="F62" s="53">
        <f t="shared" si="36"/>
        <v>-23.44</v>
      </c>
      <c r="G62" s="126">
        <f t="shared" si="37"/>
        <v>-26.27</v>
      </c>
      <c r="H62" s="52">
        <f t="shared" si="38"/>
        <v>-25.19</v>
      </c>
      <c r="I62" s="141">
        <f t="shared" si="39"/>
        <v>-24.19</v>
      </c>
      <c r="J62" s="74">
        <f t="shared" si="40"/>
        <v>-22.2</v>
      </c>
      <c r="K62" s="183">
        <f t="shared" si="41"/>
        <v>-13.51</v>
      </c>
      <c r="L62" s="126">
        <f t="shared" si="42"/>
        <v>-1.1000000000000001</v>
      </c>
      <c r="M62" s="74"/>
    </row>
    <row r="63" spans="1:13" x14ac:dyDescent="0.35">
      <c r="A63" s="59" t="s">
        <v>122</v>
      </c>
      <c r="C63" s="226">
        <v>50.66</v>
      </c>
      <c r="D63" s="230">
        <v>3.0000000000001137E-2</v>
      </c>
      <c r="E63" s="53">
        <f t="shared" si="35"/>
        <v>-18.850000000000001</v>
      </c>
      <c r="F63" s="53">
        <f t="shared" si="36"/>
        <v>-23.28</v>
      </c>
      <c r="G63" s="126">
        <f t="shared" si="37"/>
        <v>-24.51</v>
      </c>
      <c r="H63" s="52">
        <f t="shared" si="38"/>
        <v>-28.56</v>
      </c>
      <c r="I63" s="141">
        <f t="shared" si="39"/>
        <v>-43.12</v>
      </c>
      <c r="J63" s="74">
        <f t="shared" si="40"/>
        <v>-60.78</v>
      </c>
      <c r="K63" s="183">
        <f t="shared" si="41"/>
        <v>-67.52</v>
      </c>
      <c r="L63" s="126">
        <f t="shared" si="42"/>
        <v>-67.16</v>
      </c>
      <c r="M63" s="74"/>
    </row>
    <row r="64" spans="1:13" ht="15" thickBot="1" x14ac:dyDescent="0.4">
      <c r="A64" s="59" t="s">
        <v>123</v>
      </c>
      <c r="C64" s="226">
        <v>-0.19000000000000006</v>
      </c>
      <c r="D64" s="230">
        <v>0</v>
      </c>
      <c r="E64" s="53">
        <f t="shared" si="35"/>
        <v>-1.4</v>
      </c>
      <c r="F64" s="53">
        <f t="shared" si="36"/>
        <v>-1.94</v>
      </c>
      <c r="G64" s="126">
        <f t="shared" si="37"/>
        <v>-2.39</v>
      </c>
      <c r="H64" s="52">
        <f t="shared" si="38"/>
        <v>-3.67</v>
      </c>
      <c r="I64" s="141">
        <f t="shared" si="39"/>
        <v>-7.88</v>
      </c>
      <c r="J64" s="74">
        <f t="shared" si="40"/>
        <v>-14.29</v>
      </c>
      <c r="K64" s="183">
        <f t="shared" si="41"/>
        <v>-19.059999999999999</v>
      </c>
      <c r="L64" s="126">
        <f t="shared" si="42"/>
        <v>-22.13</v>
      </c>
      <c r="M64" s="74">
        <f t="shared" ref="M64" si="43">ROUND((L56+L64+M49/2)*M$58,2)</f>
        <v>0</v>
      </c>
    </row>
    <row r="65" spans="1:13" ht="15.5" thickTop="1" thickBot="1" x14ac:dyDescent="0.4">
      <c r="A65" s="67" t="s">
        <v>24</v>
      </c>
      <c r="B65" s="67"/>
      <c r="C65" s="227">
        <v>0</v>
      </c>
      <c r="D65" s="233"/>
      <c r="E65" s="54">
        <f>SUM(E60:E64)+SUM(E52:E56)-E68</f>
        <v>0</v>
      </c>
      <c r="F65" s="54">
        <f t="shared" ref="F65:M65" si="44">SUM(F60:F64)+SUM(F52:F56)-F68</f>
        <v>0</v>
      </c>
      <c r="G65" s="63">
        <f t="shared" si="44"/>
        <v>0</v>
      </c>
      <c r="H65" s="64">
        <f t="shared" si="44"/>
        <v>0</v>
      </c>
      <c r="I65" s="54">
        <f t="shared" si="44"/>
        <v>0</v>
      </c>
      <c r="J65" s="75">
        <f t="shared" si="44"/>
        <v>0</v>
      </c>
      <c r="K65" s="184">
        <f t="shared" si="44"/>
        <v>0</v>
      </c>
      <c r="L65" s="63">
        <f t="shared" si="44"/>
        <v>0</v>
      </c>
      <c r="M65" s="75">
        <f t="shared" si="44"/>
        <v>0</v>
      </c>
    </row>
    <row r="66" spans="1:13" ht="15.5" thickTop="1" thickBot="1" x14ac:dyDescent="0.4">
      <c r="A66" s="67" t="s">
        <v>25</v>
      </c>
      <c r="B66" s="67"/>
      <c r="C66" s="227">
        <v>0</v>
      </c>
      <c r="D66" s="233"/>
      <c r="E66" s="54">
        <f>SUM(E60:E64)-E42</f>
        <v>0</v>
      </c>
      <c r="F66" s="54">
        <f t="shared" ref="F66:J66" si="45">SUM(F60:F64)-F42</f>
        <v>0</v>
      </c>
      <c r="G66" s="63">
        <f t="shared" ref="G66:I66" si="46">SUM(G60:G64)-G42</f>
        <v>0</v>
      </c>
      <c r="H66" s="64">
        <f t="shared" si="46"/>
        <v>0</v>
      </c>
      <c r="I66" s="54">
        <f t="shared" si="46"/>
        <v>0</v>
      </c>
      <c r="J66" s="75">
        <f t="shared" si="45"/>
        <v>0</v>
      </c>
      <c r="K66" s="185">
        <f t="shared" ref="K66:M66" si="47">SUM(K60:K64)-K42</f>
        <v>0</v>
      </c>
      <c r="L66" s="54">
        <f t="shared" si="47"/>
        <v>0</v>
      </c>
      <c r="M66" s="54">
        <f t="shared" si="47"/>
        <v>0</v>
      </c>
    </row>
    <row r="67" spans="1:13" ht="15.5" thickTop="1" thickBot="1" x14ac:dyDescent="0.4">
      <c r="C67" s="117"/>
      <c r="D67" s="221"/>
      <c r="E67" s="17"/>
      <c r="F67" s="17"/>
      <c r="G67" s="17"/>
      <c r="H67" s="10"/>
      <c r="I67" s="17"/>
      <c r="J67" s="11"/>
      <c r="K67" s="17"/>
      <c r="L67" s="17"/>
      <c r="M67" s="11"/>
    </row>
    <row r="68" spans="1:13" ht="15" thickBot="1" x14ac:dyDescent="0.4">
      <c r="A68" s="59" t="s">
        <v>38</v>
      </c>
      <c r="B68" s="137">
        <f>SUM(B52:B56)</f>
        <v>-71184.55</v>
      </c>
      <c r="C68" s="226">
        <f>(C19-SUM(C22:C26))+SUM(C60:C64)+B68</f>
        <v>148180.27000000008</v>
      </c>
      <c r="D68" s="230">
        <f>(D19-SUM(D22:D26))+SUM(D60:D64)+C68</f>
        <v>147976.21000000008</v>
      </c>
      <c r="E68" s="53">
        <f>(E19-SUM(E22:E26))+SUM(E60:E64)+D68</f>
        <v>141534.7600000001</v>
      </c>
      <c r="F68" s="53">
        <f t="shared" ref="F68:M68" si="48">(F19-SUM(F22:F26))+SUM(F60:F64)+E68</f>
        <v>151067.72000000009</v>
      </c>
      <c r="G68" s="126">
        <f t="shared" si="48"/>
        <v>183227.19000000012</v>
      </c>
      <c r="H68" s="52">
        <f t="shared" si="48"/>
        <v>208325.31000000017</v>
      </c>
      <c r="I68" s="53">
        <f t="shared" si="48"/>
        <v>242940.84000000014</v>
      </c>
      <c r="J68" s="74">
        <f t="shared" si="48"/>
        <v>241325.80000000016</v>
      </c>
      <c r="K68" s="183">
        <f t="shared" si="48"/>
        <v>271785.52411000011</v>
      </c>
      <c r="L68" s="126">
        <f t="shared" si="48"/>
        <v>252998.75852000009</v>
      </c>
      <c r="M68" s="74">
        <f t="shared" si="48"/>
        <v>-93302.011659999902</v>
      </c>
    </row>
    <row r="69" spans="1:13" x14ac:dyDescent="0.35">
      <c r="A69" s="59" t="s">
        <v>14</v>
      </c>
      <c r="C69" s="138"/>
      <c r="D69" s="234"/>
      <c r="E69" s="17"/>
      <c r="F69" s="17"/>
      <c r="G69" s="17"/>
      <c r="H69" s="10"/>
      <c r="I69" s="17"/>
      <c r="J69" s="11"/>
      <c r="K69" s="17"/>
      <c r="L69" s="17"/>
      <c r="M69" s="11"/>
    </row>
    <row r="70" spans="1:13" ht="15" thickBot="1" x14ac:dyDescent="0.4">
      <c r="A70" s="49"/>
      <c r="B70" s="49"/>
      <c r="C70" s="166"/>
      <c r="D70" s="235"/>
      <c r="E70" s="56"/>
      <c r="F70" s="56"/>
      <c r="G70" s="56"/>
      <c r="H70" s="55"/>
      <c r="I70" s="56"/>
      <c r="J70" s="57"/>
      <c r="K70" s="56"/>
      <c r="L70" s="56"/>
      <c r="M70" s="57"/>
    </row>
    <row r="72" spans="1:13" x14ac:dyDescent="0.35">
      <c r="A72" s="82" t="s">
        <v>13</v>
      </c>
      <c r="B72" s="82"/>
      <c r="C72" s="82"/>
      <c r="D72" s="82"/>
    </row>
    <row r="73" spans="1:13" ht="34.5" customHeight="1" x14ac:dyDescent="0.35">
      <c r="A73" s="302" t="s">
        <v>204</v>
      </c>
      <c r="B73" s="302"/>
      <c r="C73" s="302"/>
      <c r="D73" s="302"/>
      <c r="E73" s="302"/>
      <c r="F73" s="302"/>
      <c r="G73" s="302"/>
      <c r="H73" s="302"/>
      <c r="I73" s="302"/>
      <c r="J73" s="302"/>
      <c r="K73" s="259"/>
      <c r="L73" s="260"/>
      <c r="M73" s="260"/>
    </row>
    <row r="74" spans="1:13" ht="42.75" customHeight="1" x14ac:dyDescent="0.35">
      <c r="A74" s="302" t="s">
        <v>194</v>
      </c>
      <c r="B74" s="302"/>
      <c r="C74" s="302"/>
      <c r="D74" s="302"/>
      <c r="E74" s="302"/>
      <c r="F74" s="302"/>
      <c r="G74" s="302"/>
      <c r="H74" s="302"/>
      <c r="I74" s="302"/>
      <c r="J74" s="302"/>
      <c r="K74" s="302"/>
      <c r="L74" s="260"/>
      <c r="M74" s="260"/>
    </row>
    <row r="75" spans="1:13" ht="33.75" customHeight="1" x14ac:dyDescent="0.35">
      <c r="A75" s="302" t="s">
        <v>205</v>
      </c>
      <c r="B75" s="302"/>
      <c r="C75" s="302"/>
      <c r="D75" s="302"/>
      <c r="E75" s="302"/>
      <c r="F75" s="302"/>
      <c r="G75" s="302"/>
      <c r="H75" s="302"/>
      <c r="I75" s="302"/>
      <c r="J75" s="302"/>
      <c r="K75" s="259"/>
      <c r="L75" s="260"/>
      <c r="M75" s="260"/>
    </row>
    <row r="76" spans="1:13" x14ac:dyDescent="0.35">
      <c r="A76" s="3" t="s">
        <v>71</v>
      </c>
      <c r="B76" s="3"/>
      <c r="C76" s="3"/>
      <c r="D76" s="3"/>
    </row>
    <row r="77" spans="1:13" x14ac:dyDescent="0.35">
      <c r="A77" s="76" t="s">
        <v>195</v>
      </c>
      <c r="B77" s="3"/>
      <c r="C77" s="3"/>
      <c r="D77" s="3"/>
    </row>
    <row r="78" spans="1:13" x14ac:dyDescent="0.35">
      <c r="A78" s="3" t="s">
        <v>74</v>
      </c>
      <c r="B78" s="3"/>
      <c r="C78" s="3"/>
      <c r="D78" s="3"/>
    </row>
    <row r="79" spans="1:13" x14ac:dyDescent="0.35">
      <c r="A79" s="3"/>
      <c r="B79" s="3"/>
      <c r="C79" s="3"/>
      <c r="D79" s="3"/>
    </row>
    <row r="80" spans="1:13" x14ac:dyDescent="0.35">
      <c r="A80" s="3" t="s">
        <v>222</v>
      </c>
    </row>
  </sheetData>
  <mergeCells count="6">
    <mergeCell ref="A75:J75"/>
    <mergeCell ref="E17:G17"/>
    <mergeCell ref="H17:J17"/>
    <mergeCell ref="K17:M17"/>
    <mergeCell ref="A73:J73"/>
    <mergeCell ref="A74:K74"/>
  </mergeCells>
  <pageMargins left="0.2" right="0.2" top="0.75" bottom="0.25" header="0.3" footer="0.3"/>
  <pageSetup scale="39"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9"/>
  <sheetViews>
    <sheetView workbookViewId="0">
      <selection activeCell="I15" sqref="I15"/>
    </sheetView>
  </sheetViews>
  <sheetFormatPr defaultRowHeight="14.5" x14ac:dyDescent="0.35"/>
  <cols>
    <col min="1" max="1" width="22.453125" customWidth="1"/>
    <col min="2" max="2" width="15.26953125" bestFit="1" customWidth="1"/>
    <col min="3" max="3" width="14.26953125" style="59" customWidth="1"/>
    <col min="4" max="4" width="13.26953125" bestFit="1" customWidth="1"/>
    <col min="5" max="5" width="9.7265625" bestFit="1" customWidth="1"/>
    <col min="6" max="6" width="11.54296875" bestFit="1" customWidth="1"/>
    <col min="7" max="7" width="13.1796875" customWidth="1"/>
  </cols>
  <sheetData>
    <row r="1" spans="1:7" x14ac:dyDescent="0.35">
      <c r="A1" s="76" t="str">
        <f>+'PPC Cycle 2'!A1</f>
        <v>Evergy Metro, Inc. - DSIM Rider Update Filed 12/01/2020</v>
      </c>
      <c r="B1" s="59"/>
      <c r="D1" s="59"/>
      <c r="E1" s="59"/>
    </row>
    <row r="2" spans="1:7" x14ac:dyDescent="0.35">
      <c r="A2" s="9" t="str">
        <f>+'PPC Cycle 2'!A2</f>
        <v>Projections for Cycle 2 November 2020 - December 2021 DSIM</v>
      </c>
      <c r="B2" s="59"/>
      <c r="D2" s="59"/>
      <c r="E2" s="59"/>
    </row>
    <row r="3" spans="1:7" ht="45.75" customHeight="1" x14ac:dyDescent="0.35">
      <c r="A3" s="59"/>
      <c r="B3" s="293" t="s">
        <v>111</v>
      </c>
      <c r="C3" s="293"/>
      <c r="D3" s="293"/>
      <c r="E3" s="59"/>
    </row>
    <row r="4" spans="1:7" ht="87" x14ac:dyDescent="0.35">
      <c r="A4" s="59"/>
      <c r="B4" s="83" t="s">
        <v>113</v>
      </c>
      <c r="C4" s="83" t="s">
        <v>114</v>
      </c>
      <c r="D4" s="83" t="s">
        <v>117</v>
      </c>
      <c r="E4" s="83" t="s">
        <v>115</v>
      </c>
      <c r="F4" s="83" t="s">
        <v>112</v>
      </c>
      <c r="G4" s="83" t="s">
        <v>118</v>
      </c>
    </row>
    <row r="5" spans="1:7" s="59" customFormat="1" x14ac:dyDescent="0.35">
      <c r="B5" s="83"/>
      <c r="C5" s="83"/>
      <c r="D5" s="83"/>
      <c r="E5" s="83"/>
      <c r="F5" s="83"/>
      <c r="G5" s="83"/>
    </row>
    <row r="6" spans="1:7" s="59" customFormat="1" x14ac:dyDescent="0.35">
      <c r="A6" s="276" t="s">
        <v>206</v>
      </c>
      <c r="B6" s="83"/>
      <c r="C6" s="83"/>
      <c r="D6" s="173"/>
    </row>
    <row r="7" spans="1:7" s="59" customFormat="1" x14ac:dyDescent="0.35">
      <c r="A7" s="21" t="s">
        <v>26</v>
      </c>
      <c r="B7" s="247">
        <f>+B19+B31</f>
        <v>4794235.91</v>
      </c>
      <c r="C7" s="247">
        <f t="shared" ref="C7:E7" si="0">+C19+C31</f>
        <v>-1303112.55</v>
      </c>
      <c r="D7" s="247">
        <f t="shared" si="0"/>
        <v>-1236831.3500000001</v>
      </c>
      <c r="E7" s="247">
        <f t="shared" si="0"/>
        <v>-78126.36</v>
      </c>
      <c r="F7" s="247">
        <f>SUM(B7:E7)</f>
        <v>2176165.6500000004</v>
      </c>
      <c r="G7" s="247">
        <f t="shared" ref="G7:G8" si="1">+G19+G31</f>
        <v>1088082.83</v>
      </c>
    </row>
    <row r="8" spans="1:7" s="59" customFormat="1" x14ac:dyDescent="0.35">
      <c r="A8" s="21" t="s">
        <v>27</v>
      </c>
      <c r="B8" s="247">
        <f t="shared" ref="B8:E8" si="2">+B20+B32</f>
        <v>5972530.4700000007</v>
      </c>
      <c r="C8" s="247">
        <f t="shared" si="2"/>
        <v>940914.1</v>
      </c>
      <c r="D8" s="247">
        <f t="shared" si="2"/>
        <v>-407530.87</v>
      </c>
      <c r="E8" s="247">
        <f t="shared" si="2"/>
        <v>102118.91</v>
      </c>
      <c r="F8" s="247">
        <f>SUM(B8:E8)</f>
        <v>6608032.6100000003</v>
      </c>
      <c r="G8" s="247">
        <f t="shared" si="1"/>
        <v>3304016.31</v>
      </c>
    </row>
    <row r="9" spans="1:7" s="59" customFormat="1" x14ac:dyDescent="0.35">
      <c r="A9" s="21" t="s">
        <v>6</v>
      </c>
      <c r="B9" s="247">
        <f t="shared" ref="B9:G9" si="3">SUM(B7:B8)</f>
        <v>10766766.380000001</v>
      </c>
      <c r="C9" s="247">
        <f t="shared" si="3"/>
        <v>-362198.45000000007</v>
      </c>
      <c r="D9" s="247">
        <f t="shared" si="3"/>
        <v>-1644362.2200000002</v>
      </c>
      <c r="E9" s="247">
        <f t="shared" si="3"/>
        <v>23992.550000000003</v>
      </c>
      <c r="F9" s="247">
        <f t="shared" si="3"/>
        <v>8784198.2600000016</v>
      </c>
      <c r="G9" s="247">
        <f t="shared" si="3"/>
        <v>4392099.1400000006</v>
      </c>
    </row>
    <row r="10" spans="1:7" s="59" customFormat="1" x14ac:dyDescent="0.35"/>
    <row r="11" spans="1:7" s="59" customFormat="1" x14ac:dyDescent="0.35">
      <c r="A11" s="21" t="s">
        <v>120</v>
      </c>
      <c r="B11" s="247">
        <f t="shared" ref="B11:E11" si="4">+B23+B35</f>
        <v>798822.8899999999</v>
      </c>
      <c r="C11" s="247">
        <f t="shared" si="4"/>
        <v>-68962.97</v>
      </c>
      <c r="D11" s="247">
        <f t="shared" si="4"/>
        <v>-349875.88</v>
      </c>
      <c r="E11" s="247">
        <f t="shared" si="4"/>
        <v>-2110.4299999999994</v>
      </c>
      <c r="F11" s="247">
        <f t="shared" ref="F11:F14" si="5">SUM(B11:E11)</f>
        <v>377873.60999999993</v>
      </c>
      <c r="G11" s="247">
        <f t="shared" ref="G11:G14" si="6">+G23+G35</f>
        <v>188936.8</v>
      </c>
    </row>
    <row r="12" spans="1:7" s="59" customFormat="1" x14ac:dyDescent="0.35">
      <c r="A12" s="21" t="s">
        <v>121</v>
      </c>
      <c r="B12" s="247">
        <f t="shared" ref="B12:E12" si="7">+B24+B36</f>
        <v>2103656.44</v>
      </c>
      <c r="C12" s="247">
        <f t="shared" si="7"/>
        <v>365785.34</v>
      </c>
      <c r="D12" s="247">
        <f t="shared" si="7"/>
        <v>139403.23999999996</v>
      </c>
      <c r="E12" s="247">
        <f t="shared" si="7"/>
        <v>54995.69</v>
      </c>
      <c r="F12" s="247">
        <f t="shared" si="5"/>
        <v>2663840.7099999995</v>
      </c>
      <c r="G12" s="247">
        <f t="shared" si="6"/>
        <v>1331920.3600000001</v>
      </c>
    </row>
    <row r="13" spans="1:7" s="59" customFormat="1" x14ac:dyDescent="0.35">
      <c r="A13" s="21" t="s">
        <v>122</v>
      </c>
      <c r="B13" s="247">
        <f t="shared" ref="B13:E13" si="8">+B25+B37</f>
        <v>2570767.7999999998</v>
      </c>
      <c r="C13" s="247">
        <f t="shared" si="8"/>
        <v>274257.46000000002</v>
      </c>
      <c r="D13" s="247">
        <f t="shared" si="8"/>
        <v>-78320.629999999976</v>
      </c>
      <c r="E13" s="247">
        <f t="shared" si="8"/>
        <v>38531.159999999996</v>
      </c>
      <c r="F13" s="247">
        <f t="shared" si="5"/>
        <v>2805235.79</v>
      </c>
      <c r="G13" s="247">
        <f t="shared" si="6"/>
        <v>1402617.9</v>
      </c>
    </row>
    <row r="14" spans="1:7" s="59" customFormat="1" x14ac:dyDescent="0.35">
      <c r="A14" s="21" t="s">
        <v>123</v>
      </c>
      <c r="B14" s="247">
        <f t="shared" ref="B14:E14" si="9">+B26+B38</f>
        <v>499283.36</v>
      </c>
      <c r="C14" s="247">
        <f t="shared" si="9"/>
        <v>369834.27</v>
      </c>
      <c r="D14" s="247">
        <f t="shared" si="9"/>
        <v>-118737.60000000001</v>
      </c>
      <c r="E14" s="247">
        <f t="shared" si="9"/>
        <v>10702.49</v>
      </c>
      <c r="F14" s="247">
        <f t="shared" si="5"/>
        <v>761082.52</v>
      </c>
      <c r="G14" s="247">
        <f t="shared" si="6"/>
        <v>380541.27</v>
      </c>
    </row>
    <row r="15" spans="1:7" s="59" customFormat="1" x14ac:dyDescent="0.35">
      <c r="A15" s="42" t="s">
        <v>125</v>
      </c>
      <c r="B15" s="247">
        <f>SUM(B11:B14)</f>
        <v>5972530.4900000002</v>
      </c>
      <c r="C15" s="247">
        <f>SUM(C11:C14)</f>
        <v>940914.10000000009</v>
      </c>
      <c r="D15" s="247">
        <f t="shared" ref="D15:G15" si="10">SUM(D11:D14)</f>
        <v>-407530.87</v>
      </c>
      <c r="E15" s="247">
        <f t="shared" si="10"/>
        <v>102118.91</v>
      </c>
      <c r="F15" s="247">
        <f t="shared" si="10"/>
        <v>6608032.629999999</v>
      </c>
      <c r="G15" s="247">
        <f t="shared" si="10"/>
        <v>3304016.33</v>
      </c>
    </row>
    <row r="16" spans="1:7" s="59" customFormat="1" x14ac:dyDescent="0.35">
      <c r="E16" s="4"/>
    </row>
    <row r="17" spans="1:7" s="59" customFormat="1" x14ac:dyDescent="0.35">
      <c r="A17" s="21"/>
      <c r="B17" s="83"/>
      <c r="C17" s="83"/>
      <c r="D17" s="172"/>
    </row>
    <row r="18" spans="1:7" s="59" customFormat="1" x14ac:dyDescent="0.35">
      <c r="A18" s="276" t="s">
        <v>207</v>
      </c>
      <c r="B18" s="83"/>
      <c r="C18" s="83"/>
      <c r="D18" s="172"/>
    </row>
    <row r="19" spans="1:7" s="59" customFormat="1" x14ac:dyDescent="0.35">
      <c r="A19" s="21" t="s">
        <v>26</v>
      </c>
      <c r="B19" s="35">
        <f>ROUND(+'[14]EO Matrix @Meter'!$S$18,2)</f>
        <v>3528190.07</v>
      </c>
      <c r="C19" s="35">
        <f>ROUND(+'[15]TD EO Ex Post Gross Adj'!$AL$370,2)</f>
        <v>-1041427.6</v>
      </c>
      <c r="D19" s="35">
        <f>ROUND('[15]TD EO NTG Adj'!$AL$384,2)</f>
        <v>537465.77</v>
      </c>
      <c r="E19" s="35">
        <f>ROUND(+'[15]EO TD Carrying Costs'!$AL$63,2)</f>
        <v>11386.11</v>
      </c>
      <c r="F19" s="247">
        <f>SUM(B19:E19)</f>
        <v>3035614.3499999996</v>
      </c>
      <c r="G19" s="247">
        <f>ROUND(F19/24*12,2)</f>
        <v>1517807.18</v>
      </c>
    </row>
    <row r="20" spans="1:7" s="59" customFormat="1" x14ac:dyDescent="0.35">
      <c r="A20" s="21" t="s">
        <v>27</v>
      </c>
      <c r="B20" s="246">
        <f>ROUND(+'[14]EO Matrix @Meter'!$T$18,2)</f>
        <v>4826270.37</v>
      </c>
      <c r="C20" s="246">
        <f>ROUND(+'[15]TD EO Ex Post Gross Adj'!$AL$375,2)</f>
        <v>288583.98</v>
      </c>
      <c r="D20" s="246">
        <f>ROUND(+'[15]TD EO NTG Adj'!$AL$389,2)</f>
        <v>662688.41</v>
      </c>
      <c r="E20" s="246">
        <f>ROUND(+'[15]EO TD Carrying Costs'!$AL$68,2)</f>
        <v>41412.160000000003</v>
      </c>
      <c r="F20" s="247">
        <f>SUM(B20:E20)</f>
        <v>5818954.9199999999</v>
      </c>
      <c r="G20" s="247">
        <f>ROUND(F20/24*12,2)</f>
        <v>2909477.46</v>
      </c>
    </row>
    <row r="21" spans="1:7" s="59" customFormat="1" x14ac:dyDescent="0.35">
      <c r="A21" s="21" t="s">
        <v>6</v>
      </c>
      <c r="B21" s="247">
        <f t="shared" ref="B21:G21" si="11">SUM(B19:B20)</f>
        <v>8354460.4399999995</v>
      </c>
      <c r="C21" s="247">
        <f t="shared" si="11"/>
        <v>-752843.62</v>
      </c>
      <c r="D21" s="247">
        <f t="shared" si="11"/>
        <v>1200154.1800000002</v>
      </c>
      <c r="E21" s="247">
        <f t="shared" si="11"/>
        <v>52798.270000000004</v>
      </c>
      <c r="F21" s="247">
        <f t="shared" si="11"/>
        <v>8854569.2699999996</v>
      </c>
      <c r="G21" s="247">
        <f t="shared" si="11"/>
        <v>4427284.6399999997</v>
      </c>
    </row>
    <row r="22" spans="1:7" s="59" customFormat="1" x14ac:dyDescent="0.35">
      <c r="B22" s="244"/>
      <c r="C22" s="244"/>
      <c r="D22" s="245"/>
    </row>
    <row r="23" spans="1:7" x14ac:dyDescent="0.35">
      <c r="A23" s="21" t="s">
        <v>120</v>
      </c>
      <c r="B23" s="35">
        <f>ROUND(+'[14]EO Matrix @Meter'!$W$18,2)</f>
        <v>674006.21</v>
      </c>
      <c r="C23" s="35">
        <f>ROUND(+'[15]TD EO Ex Post Gross Adj'!AL371,2)</f>
        <v>-37272.29</v>
      </c>
      <c r="D23" s="35">
        <f>ROUND(+'[15]TD EO NTG Adj'!AL385,2)</f>
        <v>101225.02</v>
      </c>
      <c r="E23" s="246">
        <f>ROUND(+'[15]EO TD Carrying Costs'!AL64,2)</f>
        <v>4637.5600000000004</v>
      </c>
      <c r="F23" s="247">
        <f t="shared" ref="F23:F26" si="12">SUM(B23:E23)</f>
        <v>742596.5</v>
      </c>
      <c r="G23" s="247">
        <f>ROUND(F23/24*12,2)</f>
        <v>371298.25</v>
      </c>
    </row>
    <row r="24" spans="1:7" x14ac:dyDescent="0.35">
      <c r="A24" s="21" t="s">
        <v>121</v>
      </c>
      <c r="B24" s="246">
        <f>ROUND(+'[14]EO Matrix @Meter'!$X$18,2)</f>
        <v>1713084.19</v>
      </c>
      <c r="C24" s="246">
        <f>ROUND(+'[15]TD EO Ex Post Gross Adj'!AL372,2)</f>
        <v>122147.33</v>
      </c>
      <c r="D24" s="246">
        <f>ROUND(+'[15]TD EO NTG Adj'!AL386,2)</f>
        <v>340699.47</v>
      </c>
      <c r="E24" s="246">
        <f>ROUND(+'[15]EO TD Carrying Costs'!AL65,2)</f>
        <v>19663.03</v>
      </c>
      <c r="F24" s="247">
        <f t="shared" si="12"/>
        <v>2195594.02</v>
      </c>
      <c r="G24" s="247">
        <f t="shared" ref="G24:G26" si="13">ROUND(F24/24*12,2)</f>
        <v>1097797.01</v>
      </c>
    </row>
    <row r="25" spans="1:7" x14ac:dyDescent="0.35">
      <c r="A25" s="21" t="s">
        <v>122</v>
      </c>
      <c r="B25" s="35">
        <f>ROUND(+'[14]EO Matrix @Meter'!$Y$18,2)</f>
        <v>2024596.54</v>
      </c>
      <c r="C25" s="35">
        <f>ROUND(+'[15]TD EO Ex Post Gross Adj'!AL373,2)</f>
        <v>169641.44</v>
      </c>
      <c r="D25" s="35">
        <f>ROUND(+'[15]TD EO NTG Adj'!AL387,2)</f>
        <v>191871.42</v>
      </c>
      <c r="E25" s="35">
        <f>ROUND(+'[15]EO TD Carrying Costs'!AL66,2)</f>
        <v>15454.89</v>
      </c>
      <c r="F25" s="247">
        <f t="shared" si="12"/>
        <v>2401564.29</v>
      </c>
      <c r="G25" s="247">
        <f t="shared" si="13"/>
        <v>1200782.1499999999</v>
      </c>
    </row>
    <row r="26" spans="1:7" x14ac:dyDescent="0.35">
      <c r="A26" s="21" t="s">
        <v>123</v>
      </c>
      <c r="B26" s="246">
        <f>ROUND(+'[14]EO Matrix @Meter'!$Z$18,2)</f>
        <v>414583.45</v>
      </c>
      <c r="C26" s="246">
        <f>ROUND(+'[15]TD EO Ex Post Gross Adj'!AL374,2)</f>
        <v>34067.5</v>
      </c>
      <c r="D26" s="246">
        <f>ROUND(+'[15]TD EO NTG Adj'!AL388,2)</f>
        <v>28892.5</v>
      </c>
      <c r="E26" s="246">
        <f>ROUND(+'[15]EO TD Carrying Costs'!AL67,2)</f>
        <v>1656.68</v>
      </c>
      <c r="F26" s="247">
        <f t="shared" si="12"/>
        <v>479200.13</v>
      </c>
      <c r="G26" s="247">
        <f t="shared" si="13"/>
        <v>239600.07</v>
      </c>
    </row>
    <row r="27" spans="1:7" x14ac:dyDescent="0.35">
      <c r="A27" s="42" t="s">
        <v>125</v>
      </c>
      <c r="B27" s="247">
        <f>SUM(B23:B26)</f>
        <v>4826270.3899999997</v>
      </c>
      <c r="C27" s="247">
        <f>SUM(C23:C26)</f>
        <v>288583.98</v>
      </c>
      <c r="D27" s="247">
        <f t="shared" ref="D27:G27" si="14">SUM(D23:D26)</f>
        <v>662688.41</v>
      </c>
      <c r="E27" s="247">
        <f t="shared" si="14"/>
        <v>41412.159999999996</v>
      </c>
      <c r="F27" s="247">
        <f t="shared" si="14"/>
        <v>5818954.9400000004</v>
      </c>
      <c r="G27" s="247">
        <f t="shared" si="14"/>
        <v>2909477.48</v>
      </c>
    </row>
    <row r="28" spans="1:7" x14ac:dyDescent="0.35">
      <c r="A28" s="59"/>
      <c r="B28" s="59"/>
      <c r="D28" s="59"/>
      <c r="E28" s="4"/>
    </row>
    <row r="29" spans="1:7" s="59" customFormat="1" x14ac:dyDescent="0.35">
      <c r="E29" s="4"/>
    </row>
    <row r="30" spans="1:7" x14ac:dyDescent="0.35">
      <c r="A30" s="276" t="s">
        <v>218</v>
      </c>
      <c r="B30" s="59"/>
      <c r="D30" s="59"/>
      <c r="E30" s="59"/>
    </row>
    <row r="31" spans="1:7" s="59" customFormat="1" x14ac:dyDescent="0.35">
      <c r="A31" s="21" t="s">
        <v>26</v>
      </c>
      <c r="B31" s="35">
        <f>ROUND(+'[16]EO Matrix @Meter'!$S$18,2)</f>
        <v>1266045.8400000001</v>
      </c>
      <c r="C31" s="35">
        <f>ROUND(+'[15]TD EO Ex Post Gross Adj'!BE370+'[15]TD EO Ex Post Gross Adj'!BS370+'[17]TD EO Ex Post Gross Adj'!BE370+'[17]TD EO Ex Post Gross Adj'!BS370,2)</f>
        <v>-261684.95</v>
      </c>
      <c r="D31" s="35">
        <f>ROUND(+'[15]TD EO NTG Adj'!$BE$384++'[15]TD EO NTG Adj'!$BS$384+'[17]TD EO NTG Adj'!$BE$384+'[17]TD EO NTG Adj'!$BS$384,2)</f>
        <v>-1774297.12</v>
      </c>
      <c r="E31" s="35">
        <f>ROUND(+'[15]EO TD Carrying Costs'!$BE$63+'[17]EO TD Carrying Costs'!$BE$62,2)</f>
        <v>-89512.47</v>
      </c>
      <c r="F31" s="247">
        <f>SUM(B31:E31)</f>
        <v>-859448.7</v>
      </c>
      <c r="G31" s="247">
        <f>ROUND(F31/24*12,2)</f>
        <v>-429724.35</v>
      </c>
    </row>
    <row r="32" spans="1:7" s="59" customFormat="1" x14ac:dyDescent="0.35">
      <c r="A32" s="21" t="s">
        <v>27</v>
      </c>
      <c r="B32" s="246">
        <f>ROUND(SUM('[16]EO Matrix @Meter'!$W$18:$Z$18),2)</f>
        <v>1146260.1000000001</v>
      </c>
      <c r="C32" s="246">
        <f>ROUND(SUM('[15]TD EO Ex Post Gross Adj'!$BE$371:$BE$374)+SUM('[15]TD EO Ex Post Gross Adj'!$BS$371:$BS$374)+SUM('[17]TD EO Ex Post Gross Adj'!$BE$371:$BE$374)+SUM('[17]TD EO Ex Post Gross Adj'!$BS$371:$BS$374),2)</f>
        <v>652330.12</v>
      </c>
      <c r="D32" s="246">
        <f>ROUND(SUM('[15]TD EO NTG Adj'!$BE$385:$BE$388)+SUM('[15]TD EO NTG Adj'!$BS$385:$BS$388)+SUM('[17]TD EO NTG Adj'!$BE$385:$BE$388)+SUM('[17]TD EO NTG Adj'!$BS$385:$BS$388),2)</f>
        <v>-1070219.28</v>
      </c>
      <c r="E32" s="246">
        <f>ROUND(+'[15]EO TD Carrying Costs'!$BE$68+'[17]EO TD Carrying Costs'!$BE$67,2)</f>
        <v>60706.75</v>
      </c>
      <c r="F32" s="247">
        <f>SUM(B32:E32)</f>
        <v>789077.69000000018</v>
      </c>
      <c r="G32" s="247">
        <f>ROUND(F32/24*12,2)</f>
        <v>394538.85</v>
      </c>
    </row>
    <row r="33" spans="1:7" s="59" customFormat="1" x14ac:dyDescent="0.35">
      <c r="A33" s="21" t="s">
        <v>6</v>
      </c>
      <c r="B33" s="247">
        <f t="shared" ref="B33:G33" si="15">SUM(B31:B32)</f>
        <v>2412305.9400000004</v>
      </c>
      <c r="C33" s="247">
        <f t="shared" si="15"/>
        <v>390645.17</v>
      </c>
      <c r="D33" s="247">
        <f t="shared" si="15"/>
        <v>-2844516.4000000004</v>
      </c>
      <c r="E33" s="247">
        <f t="shared" si="15"/>
        <v>-28805.72</v>
      </c>
      <c r="F33" s="247">
        <f t="shared" si="15"/>
        <v>-70371.009999999776</v>
      </c>
      <c r="G33" s="247">
        <f t="shared" si="15"/>
        <v>-35185.5</v>
      </c>
    </row>
    <row r="34" spans="1:7" s="59" customFormat="1" x14ac:dyDescent="0.35">
      <c r="B34" s="244"/>
      <c r="C34" s="244"/>
      <c r="D34" s="245"/>
    </row>
    <row r="35" spans="1:7" s="59" customFormat="1" x14ac:dyDescent="0.35">
      <c r="A35" s="21" t="s">
        <v>120</v>
      </c>
      <c r="B35" s="35">
        <f>ROUND(+'[16]EO Matrix @Meter'!$W$18,2)</f>
        <v>124816.68</v>
      </c>
      <c r="C35" s="35">
        <f>ROUND(+'[15]TD EO Ex Post Gross Adj'!BE371+'[15]TD EO Ex Post Gross Adj'!BS371+'[17]TD EO Ex Post Gross Adj'!BE371+'[17]TD EO Ex Post Gross Adj'!BS371,2)</f>
        <v>-31690.68</v>
      </c>
      <c r="D35" s="35">
        <f>ROUND(+'[15]TD EO NTG Adj'!BE385+'[15]TD EO NTG Adj'!BS385+'[17]TD EO NTG Adj'!BE385+'[17]TD EO NTG Adj'!BS385,2)</f>
        <v>-451100.9</v>
      </c>
      <c r="E35" s="246">
        <f>ROUND(+'[15]EO TD Carrying Costs'!BE64+'[17]EO TD Carrying Costs'!BE63,2)</f>
        <v>-6747.99</v>
      </c>
      <c r="F35" s="247">
        <f t="shared" ref="F35:F38" si="16">SUM(B35:E35)</f>
        <v>-364722.89</v>
      </c>
      <c r="G35" s="247">
        <f>ROUND(F35/24*12,2)</f>
        <v>-182361.45</v>
      </c>
    </row>
    <row r="36" spans="1:7" s="59" customFormat="1" x14ac:dyDescent="0.35">
      <c r="A36" s="21" t="s">
        <v>121</v>
      </c>
      <c r="B36" s="246">
        <f>ROUND(+'[16]EO Matrix @Meter'!$X$18,2)</f>
        <v>390572.25</v>
      </c>
      <c r="C36" s="246">
        <f>ROUND(+'[15]TD EO Ex Post Gross Adj'!BE372+'[15]TD EO Ex Post Gross Adj'!BS372+'[17]TD EO Ex Post Gross Adj'!BE372+'[17]TD EO Ex Post Gross Adj'!BS372,2)</f>
        <v>243638.01</v>
      </c>
      <c r="D36" s="246">
        <f>ROUND(+'[15]TD EO NTG Adj'!BE386+'[15]TD EO NTG Adj'!BS386+'[17]TD EO NTG Adj'!BE386+'[17]TD EO NTG Adj'!BS386,2)</f>
        <v>-201296.23</v>
      </c>
      <c r="E36" s="246">
        <f>+'[15]EO TD Carrying Costs'!BE65+'[17]EO TD Carrying Costs'!BE64</f>
        <v>35332.660000000003</v>
      </c>
      <c r="F36" s="247">
        <f t="shared" si="16"/>
        <v>468246.69000000006</v>
      </c>
      <c r="G36" s="247">
        <f t="shared" ref="G36:G38" si="17">ROUND(F36/24*12,2)</f>
        <v>234123.35</v>
      </c>
    </row>
    <row r="37" spans="1:7" s="59" customFormat="1" x14ac:dyDescent="0.35">
      <c r="A37" s="21" t="s">
        <v>122</v>
      </c>
      <c r="B37" s="35">
        <f>ROUND(+'[16]EO Matrix @Meter'!$Y$18,2)</f>
        <v>546171.26</v>
      </c>
      <c r="C37" s="35">
        <f>ROUND(+'[15]TD EO Ex Post Gross Adj'!BE373+'[15]TD EO Ex Post Gross Adj'!BS373+'[17]TD EO Ex Post Gross Adj'!BE373+'[17]TD EO Ex Post Gross Adj'!BS373,2)</f>
        <v>104616.02</v>
      </c>
      <c r="D37" s="35">
        <f>ROUND(+'[15]TD EO NTG Adj'!BE387+'[15]TD EO NTG Adj'!BS387+'[17]TD EO NTG Adj'!BE387+'[17]TD EO NTG Adj'!BS387,2)</f>
        <v>-270192.05</v>
      </c>
      <c r="E37" s="35">
        <f>+'[15]EO TD Carrying Costs'!BE66+'[17]EO TD Carrying Costs'!BE65</f>
        <v>23076.269999999997</v>
      </c>
      <c r="F37" s="247">
        <f t="shared" si="16"/>
        <v>403671.50000000006</v>
      </c>
      <c r="G37" s="247">
        <f t="shared" si="17"/>
        <v>201835.75</v>
      </c>
    </row>
    <row r="38" spans="1:7" s="59" customFormat="1" x14ac:dyDescent="0.35">
      <c r="A38" s="21" t="s">
        <v>123</v>
      </c>
      <c r="B38" s="246">
        <f>ROUND(+'[16]EO Matrix @Meter'!$Z$18,2)</f>
        <v>84699.91</v>
      </c>
      <c r="C38" s="246">
        <f>ROUND(+'[15]TD EO Ex Post Gross Adj'!BE374+'[15]TD EO Ex Post Gross Adj'!BS374+'[17]TD EO Ex Post Gross Adj'!BE374+'[17]TD EO Ex Post Gross Adj'!BS374,2)</f>
        <v>335766.77</v>
      </c>
      <c r="D38" s="246">
        <f>ROUND(+'[15]TD EO NTG Adj'!BE388+'[15]TD EO NTG Adj'!BS388+'[17]TD EO NTG Adj'!BE388+'[17]TD EO NTG Adj'!BS388,2)</f>
        <v>-147630.1</v>
      </c>
      <c r="E38" s="246">
        <f>+'[15]EO TD Carrying Costs'!BE67+'[17]EO TD Carrying Costs'!BE66</f>
        <v>9045.81</v>
      </c>
      <c r="F38" s="247">
        <f t="shared" si="16"/>
        <v>281882.39000000007</v>
      </c>
      <c r="G38" s="247">
        <f t="shared" si="17"/>
        <v>140941.20000000001</v>
      </c>
    </row>
    <row r="39" spans="1:7" s="59" customFormat="1" x14ac:dyDescent="0.35">
      <c r="A39" s="42" t="s">
        <v>125</v>
      </c>
      <c r="B39" s="247">
        <f>SUM(B35:B38)</f>
        <v>1146260.0999999999</v>
      </c>
      <c r="C39" s="247">
        <f>SUM(C35:C38)</f>
        <v>652330.12000000011</v>
      </c>
      <c r="D39" s="247">
        <f t="shared" ref="D39:G39" si="18">SUM(D35:D38)</f>
        <v>-1070219.28</v>
      </c>
      <c r="E39" s="247">
        <f t="shared" si="18"/>
        <v>60706.75</v>
      </c>
      <c r="F39" s="247">
        <f t="shared" si="18"/>
        <v>789077.69000000018</v>
      </c>
      <c r="G39" s="247">
        <f t="shared" si="18"/>
        <v>394538.85</v>
      </c>
    </row>
    <row r="40" spans="1:7" s="59" customFormat="1" x14ac:dyDescent="0.35">
      <c r="E40" s="4"/>
    </row>
    <row r="41" spans="1:7" x14ac:dyDescent="0.35">
      <c r="A41" s="59"/>
      <c r="B41" s="59"/>
      <c r="D41" s="59"/>
      <c r="E41" s="59"/>
    </row>
    <row r="42" spans="1:7" x14ac:dyDescent="0.35">
      <c r="A42" s="59"/>
      <c r="B42" s="59"/>
      <c r="D42" s="59"/>
      <c r="E42" s="59"/>
    </row>
    <row r="43" spans="1:7" x14ac:dyDescent="0.35">
      <c r="A43" s="66" t="s">
        <v>13</v>
      </c>
      <c r="B43" s="59"/>
      <c r="D43" s="59"/>
      <c r="E43" s="59"/>
    </row>
    <row r="44" spans="1:7" x14ac:dyDescent="0.35">
      <c r="A44" s="3" t="s">
        <v>208</v>
      </c>
      <c r="B44" s="59"/>
      <c r="D44" s="59"/>
      <c r="E44" s="59"/>
    </row>
    <row r="45" spans="1:7" s="59" customFormat="1" x14ac:dyDescent="0.35">
      <c r="A45" s="3" t="s">
        <v>209</v>
      </c>
    </row>
    <row r="46" spans="1:7" s="59" customFormat="1" x14ac:dyDescent="0.35">
      <c r="A46" s="3" t="s">
        <v>210</v>
      </c>
    </row>
    <row r="47" spans="1:7" x14ac:dyDescent="0.35">
      <c r="A47" s="3" t="s">
        <v>211</v>
      </c>
      <c r="B47" s="59"/>
      <c r="D47" s="59"/>
      <c r="E47" s="59"/>
    </row>
    <row r="48" spans="1:7" s="59" customFormat="1" x14ac:dyDescent="0.35">
      <c r="A48" s="3" t="s">
        <v>212</v>
      </c>
    </row>
    <row r="49" spans="1:7" ht="28.5" customHeight="1" x14ac:dyDescent="0.35">
      <c r="A49" s="308" t="s">
        <v>213</v>
      </c>
      <c r="B49" s="308"/>
      <c r="C49" s="308"/>
      <c r="D49" s="308"/>
      <c r="E49" s="308"/>
      <c r="F49" s="308"/>
      <c r="G49" s="308"/>
    </row>
  </sheetData>
  <mergeCells count="2">
    <mergeCell ref="B3:D3"/>
    <mergeCell ref="A49:G49"/>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4"/>
  <sheetViews>
    <sheetView topLeftCell="E16" workbookViewId="0">
      <selection activeCell="O14" sqref="O14"/>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Metro, Inc. - DSIM Rider Update Filed 12/01/2020</v>
      </c>
      <c r="B1" s="3"/>
      <c r="C1" s="3"/>
    </row>
    <row r="2" spans="1:34" x14ac:dyDescent="0.35">
      <c r="D2" s="3" t="s">
        <v>90</v>
      </c>
    </row>
    <row r="3" spans="1:34" ht="29" x14ac:dyDescent="0.35">
      <c r="D3" s="61" t="s">
        <v>48</v>
      </c>
      <c r="E3" s="83" t="s">
        <v>60</v>
      </c>
      <c r="F3" s="61" t="s">
        <v>3</v>
      </c>
      <c r="G3" s="83" t="s">
        <v>57</v>
      </c>
      <c r="H3" s="61" t="s">
        <v>11</v>
      </c>
      <c r="I3" s="61" t="s">
        <v>61</v>
      </c>
      <c r="R3" s="61"/>
    </row>
    <row r="4" spans="1:34" x14ac:dyDescent="0.35">
      <c r="A4" s="21" t="s">
        <v>26</v>
      </c>
      <c r="B4" s="21"/>
      <c r="C4" s="21"/>
      <c r="D4" s="23">
        <f>SUM(C19:L19)</f>
        <v>0</v>
      </c>
      <c r="E4" s="23">
        <f>SUM(C23:K23)</f>
        <v>0</v>
      </c>
      <c r="F4" s="23">
        <f>E4-D4</f>
        <v>0</v>
      </c>
      <c r="G4" s="23">
        <f>+B33</f>
        <v>0</v>
      </c>
      <c r="H4" s="23">
        <f>SUM(C38:K38)</f>
        <v>0</v>
      </c>
      <c r="I4" s="35">
        <f>SUM(F4:H4)</f>
        <v>0</v>
      </c>
      <c r="J4" s="60">
        <f>+I4-L33</f>
        <v>0</v>
      </c>
      <c r="M4" s="60"/>
    </row>
    <row r="5" spans="1:34" ht="15" thickBot="1" x14ac:dyDescent="0.4">
      <c r="A5" s="21" t="s">
        <v>27</v>
      </c>
      <c r="B5" s="21"/>
      <c r="C5" s="21"/>
      <c r="D5" s="23">
        <f>SUM(C20:L20)</f>
        <v>0</v>
      </c>
      <c r="E5" s="23">
        <f>SUM(C24:K24)</f>
        <v>0</v>
      </c>
      <c r="F5" s="23">
        <f>E5-D5</f>
        <v>0</v>
      </c>
      <c r="G5" s="23">
        <f>+B34</f>
        <v>0</v>
      </c>
      <c r="H5" s="23">
        <f>SUM(C39:K39)</f>
        <v>0</v>
      </c>
      <c r="I5" s="35">
        <f>SUM(F5:H5)</f>
        <v>0</v>
      </c>
      <c r="J5" s="60">
        <f>+I5-L34</f>
        <v>0</v>
      </c>
      <c r="M5" s="60"/>
    </row>
    <row r="6" spans="1:34" ht="15.5" thickTop="1" thickBot="1" x14ac:dyDescent="0.4">
      <c r="D6" s="39">
        <f t="shared" ref="D6" si="0">SUM(D4:D5)</f>
        <v>0</v>
      </c>
      <c r="E6" s="39">
        <f>SUM(E4:E5)</f>
        <v>0</v>
      </c>
      <c r="F6" s="39">
        <f>SUM(F4:F5)</f>
        <v>0</v>
      </c>
      <c r="G6" s="39">
        <f>SUM(G4:G5)</f>
        <v>0</v>
      </c>
      <c r="H6" s="39">
        <f>SUM(H4:H5)</f>
        <v>0</v>
      </c>
      <c r="I6" s="39">
        <f>SUM(I4:I5)</f>
        <v>0</v>
      </c>
      <c r="S6" s="5"/>
    </row>
    <row r="7" spans="1:34" ht="44" thickTop="1" x14ac:dyDescent="0.35">
      <c r="I7" s="253"/>
      <c r="J7" s="252" t="s">
        <v>137</v>
      </c>
    </row>
    <row r="8" spans="1:34" ht="17.25" customHeight="1" x14ac:dyDescent="0.35">
      <c r="A8" s="21" t="s">
        <v>120</v>
      </c>
      <c r="I8" s="35">
        <f>ROUND($I$5*J8,2)</f>
        <v>0</v>
      </c>
      <c r="J8" s="250">
        <f>+'PPC Cycle 2'!D10</f>
        <v>0.13576441564001979</v>
      </c>
    </row>
    <row r="9" spans="1:34" ht="17.25" customHeight="1" x14ac:dyDescent="0.35">
      <c r="A9" s="21" t="s">
        <v>121</v>
      </c>
      <c r="I9" s="35">
        <f t="shared" ref="I9:I11" si="1">ROUND($I$5*J9,2)</f>
        <v>0</v>
      </c>
      <c r="J9" s="250">
        <f>+'PPC Cycle 2'!D11</f>
        <v>0.35611574316442379</v>
      </c>
    </row>
    <row r="10" spans="1:34" ht="17.25" customHeight="1" x14ac:dyDescent="0.35">
      <c r="A10" s="21" t="s">
        <v>122</v>
      </c>
      <c r="I10" s="35">
        <f t="shared" si="1"/>
        <v>0</v>
      </c>
      <c r="J10" s="250">
        <f>+'PPC Cycle 2'!D12</f>
        <v>0.4183185730547726</v>
      </c>
    </row>
    <row r="11" spans="1:34" ht="17.25" customHeight="1" thickBot="1" x14ac:dyDescent="0.4">
      <c r="A11" s="21" t="s">
        <v>123</v>
      </c>
      <c r="I11" s="35">
        <f t="shared" si="1"/>
        <v>0</v>
      </c>
      <c r="J11" s="250">
        <f>+'PPC Cycle 2'!D13</f>
        <v>8.9801268140783777E-2</v>
      </c>
    </row>
    <row r="12" spans="1:34" ht="17.25" customHeight="1" thickTop="1" thickBot="1" x14ac:dyDescent="0.4">
      <c r="A12" s="21" t="s">
        <v>125</v>
      </c>
      <c r="I12" s="39">
        <f>SUM(I8:I11)</f>
        <v>0</v>
      </c>
      <c r="J12" s="251">
        <f>SUM(J8:J11)</f>
        <v>1</v>
      </c>
    </row>
    <row r="13" spans="1:34" ht="15.5" thickTop="1" thickBot="1" x14ac:dyDescent="0.4">
      <c r="U13" s="4"/>
      <c r="V13" s="5"/>
    </row>
    <row r="14" spans="1:34" ht="102" thickBot="1" x14ac:dyDescent="0.4">
      <c r="B14" s="136" t="str">
        <f>+'PCR Cycle 2'!B14</f>
        <v>Cumulative Over/Under Carryover From 06/01/2020 Filing</v>
      </c>
      <c r="C14" s="171" t="str">
        <f>+'PCR Cycle 2'!C14</f>
        <v>Reverse May 2020 - July 2020  Forecast From 06/01/2020 Filing</v>
      </c>
      <c r="D14" s="303" t="s">
        <v>35</v>
      </c>
      <c r="E14" s="303"/>
      <c r="F14" s="304"/>
      <c r="G14" s="305" t="s">
        <v>35</v>
      </c>
      <c r="H14" s="306"/>
      <c r="I14" s="307"/>
      <c r="J14" s="299" t="s">
        <v>9</v>
      </c>
      <c r="K14" s="300"/>
      <c r="L14" s="301"/>
    </row>
    <row r="15" spans="1:34" x14ac:dyDescent="0.35">
      <c r="A15" s="59" t="s">
        <v>91</v>
      </c>
      <c r="C15" s="123"/>
      <c r="D15" s="19">
        <f>+'PCR Cycle 2'!D15</f>
        <v>43982</v>
      </c>
      <c r="E15" s="19">
        <f t="shared" ref="E15:L15" si="2">EOMONTH(D15,1)</f>
        <v>44012</v>
      </c>
      <c r="F15" s="19">
        <f t="shared" si="2"/>
        <v>44043</v>
      </c>
      <c r="G15" s="14">
        <f t="shared" si="2"/>
        <v>44074</v>
      </c>
      <c r="H15" s="19">
        <f t="shared" si="2"/>
        <v>44104</v>
      </c>
      <c r="I15" s="15">
        <f t="shared" si="2"/>
        <v>44135</v>
      </c>
      <c r="J15" s="19">
        <f t="shared" si="2"/>
        <v>44165</v>
      </c>
      <c r="K15" s="19">
        <f t="shared" si="2"/>
        <v>44196</v>
      </c>
      <c r="L15" s="15">
        <f t="shared" si="2"/>
        <v>44227</v>
      </c>
      <c r="Y15" s="1"/>
      <c r="Z15" s="1"/>
      <c r="AA15" s="1"/>
      <c r="AB15" s="1"/>
      <c r="AC15" s="1"/>
      <c r="AD15" s="1"/>
      <c r="AE15" s="1"/>
      <c r="AF15" s="1"/>
      <c r="AG15" s="1"/>
      <c r="AH15" s="1"/>
    </row>
    <row r="16" spans="1:34" x14ac:dyDescent="0.35">
      <c r="A16" s="59" t="s">
        <v>6</v>
      </c>
      <c r="C16" s="115">
        <v>0</v>
      </c>
      <c r="D16" s="127">
        <f t="shared" ref="D16:H16" si="3">SUM(D23:D24)</f>
        <v>0</v>
      </c>
      <c r="E16" s="127">
        <f t="shared" si="3"/>
        <v>0</v>
      </c>
      <c r="F16" s="128">
        <f t="shared" si="3"/>
        <v>0</v>
      </c>
      <c r="G16" s="16">
        <f t="shared" si="3"/>
        <v>0</v>
      </c>
      <c r="H16" s="68">
        <f t="shared" si="3"/>
        <v>0</v>
      </c>
      <c r="I16" s="186">
        <f>+I23+I24</f>
        <v>0</v>
      </c>
      <c r="J16" s="179">
        <f t="shared" ref="J16:K16" si="4">+J23+J24</f>
        <v>0</v>
      </c>
      <c r="K16" s="93">
        <f t="shared" si="4"/>
        <v>0</v>
      </c>
      <c r="L16" s="94"/>
    </row>
    <row r="17" spans="1:14" x14ac:dyDescent="0.35">
      <c r="C17" s="117"/>
      <c r="D17" s="17"/>
      <c r="E17" s="17"/>
      <c r="F17" s="17"/>
      <c r="G17" s="10"/>
      <c r="H17" s="17"/>
      <c r="I17" s="11"/>
      <c r="J17" s="43"/>
      <c r="K17" s="43"/>
      <c r="L17" s="41"/>
    </row>
    <row r="18" spans="1:14" x14ac:dyDescent="0.35">
      <c r="A18" s="59" t="s">
        <v>92</v>
      </c>
      <c r="C18" s="117"/>
      <c r="D18" s="18"/>
      <c r="E18" s="18"/>
      <c r="F18" s="18"/>
      <c r="G18" s="109"/>
      <c r="H18" s="18"/>
      <c r="I18" s="187"/>
      <c r="J18" s="43"/>
      <c r="K18" s="43"/>
      <c r="L18" s="41"/>
      <c r="M18" s="3" t="s">
        <v>52</v>
      </c>
      <c r="N18" s="51"/>
    </row>
    <row r="19" spans="1:14" x14ac:dyDescent="0.35">
      <c r="A19" s="59" t="s">
        <v>26</v>
      </c>
      <c r="C19" s="115">
        <v>0</v>
      </c>
      <c r="D19" s="154">
        <v>0</v>
      </c>
      <c r="E19" s="154">
        <v>0</v>
      </c>
      <c r="F19" s="154">
        <v>0</v>
      </c>
      <c r="G19" s="207">
        <v>0</v>
      </c>
      <c r="H19" s="139">
        <v>0</v>
      </c>
      <c r="I19" s="188">
        <v>0</v>
      </c>
      <c r="J19" s="141">
        <f>'PCR Cycle 2'!J27*$M19</f>
        <v>0</v>
      </c>
      <c r="K19" s="53">
        <f>'PCR Cycle 2'!K27*$M19</f>
        <v>0</v>
      </c>
      <c r="L19" s="74">
        <f>'PCR Cycle 2'!L27*$M19</f>
        <v>0</v>
      </c>
      <c r="M19" s="85">
        <v>0</v>
      </c>
      <c r="N19" s="4"/>
    </row>
    <row r="20" spans="1:14" x14ac:dyDescent="0.35">
      <c r="A20" s="59" t="s">
        <v>27</v>
      </c>
      <c r="C20" s="115">
        <v>0</v>
      </c>
      <c r="D20" s="154">
        <v>0</v>
      </c>
      <c r="E20" s="154">
        <v>0</v>
      </c>
      <c r="F20" s="154">
        <v>0</v>
      </c>
      <c r="G20" s="207">
        <v>0</v>
      </c>
      <c r="H20" s="139">
        <v>0</v>
      </c>
      <c r="I20" s="188">
        <v>0</v>
      </c>
      <c r="J20" s="141">
        <f>SUM('PCR Cycle 2'!J28:J31)*$M20</f>
        <v>0</v>
      </c>
      <c r="K20" s="53">
        <f>SUM('PCR Cycle 2'!K28:K31)*$M20</f>
        <v>0</v>
      </c>
      <c r="L20" s="74">
        <f>SUM('PCR Cycle 2'!L28:L31)*$M20</f>
        <v>0</v>
      </c>
      <c r="M20" s="85">
        <v>0</v>
      </c>
      <c r="N20" s="4"/>
    </row>
    <row r="21" spans="1:14" x14ac:dyDescent="0.35">
      <c r="C21" s="80"/>
      <c r="D21" s="81"/>
      <c r="E21" s="81"/>
      <c r="F21" s="81"/>
      <c r="G21" s="80"/>
      <c r="H21" s="81"/>
      <c r="I21" s="189"/>
      <c r="J21" s="69"/>
      <c r="K21" s="69"/>
      <c r="L21" s="13"/>
      <c r="N21" s="4"/>
    </row>
    <row r="22" spans="1:14" x14ac:dyDescent="0.35">
      <c r="A22" s="59" t="s">
        <v>94</v>
      </c>
      <c r="C22" s="48"/>
      <c r="D22" s="49"/>
      <c r="E22" s="49"/>
      <c r="F22" s="49"/>
      <c r="G22" s="48"/>
      <c r="H22" s="49"/>
      <c r="I22" s="192"/>
      <c r="J22" s="65"/>
      <c r="K22" s="65"/>
      <c r="L22" s="50"/>
    </row>
    <row r="23" spans="1:14" x14ac:dyDescent="0.35">
      <c r="A23" s="59" t="s">
        <v>26</v>
      </c>
      <c r="C23" s="115">
        <v>0</v>
      </c>
      <c r="D23" s="127">
        <v>0</v>
      </c>
      <c r="E23" s="127">
        <v>0</v>
      </c>
      <c r="F23" s="128">
        <v>0</v>
      </c>
      <c r="G23" s="16">
        <v>0</v>
      </c>
      <c r="H23" s="68">
        <v>0</v>
      </c>
      <c r="I23" s="186">
        <v>0</v>
      </c>
      <c r="J23" s="181">
        <v>0</v>
      </c>
      <c r="K23" s="161">
        <v>0</v>
      </c>
      <c r="L23" s="94"/>
    </row>
    <row r="24" spans="1:14" x14ac:dyDescent="0.35">
      <c r="A24" s="59" t="s">
        <v>27</v>
      </c>
      <c r="C24" s="115">
        <v>0</v>
      </c>
      <c r="D24" s="127">
        <v>0</v>
      </c>
      <c r="E24" s="127">
        <v>0</v>
      </c>
      <c r="F24" s="128">
        <v>0</v>
      </c>
      <c r="G24" s="16">
        <v>0</v>
      </c>
      <c r="H24" s="68">
        <v>0</v>
      </c>
      <c r="I24" s="186">
        <v>0</v>
      </c>
      <c r="J24" s="181">
        <v>0</v>
      </c>
      <c r="K24" s="161">
        <v>0</v>
      </c>
      <c r="L24" s="94"/>
      <c r="N24" s="60"/>
    </row>
    <row r="25" spans="1:14" x14ac:dyDescent="0.35">
      <c r="C25" s="117"/>
      <c r="D25" s="18"/>
      <c r="E25" s="18"/>
      <c r="F25" s="18"/>
      <c r="G25" s="109"/>
      <c r="H25" s="18"/>
      <c r="I25" s="187"/>
      <c r="J25" s="69"/>
      <c r="K25" s="69"/>
      <c r="L25" s="13"/>
    </row>
    <row r="26" spans="1:14" ht="15" thickBot="1" x14ac:dyDescent="0.4">
      <c r="A26" s="3" t="s">
        <v>16</v>
      </c>
      <c r="B26" s="3"/>
      <c r="C26" s="121"/>
      <c r="D26" s="154">
        <v>0</v>
      </c>
      <c r="E26" s="154">
        <v>0</v>
      </c>
      <c r="F26" s="155">
        <v>0</v>
      </c>
      <c r="G26" s="38">
        <v>0</v>
      </c>
      <c r="H26" s="140">
        <v>0</v>
      </c>
      <c r="I26" s="193">
        <v>0</v>
      </c>
      <c r="J26" s="182"/>
      <c r="K26" s="163"/>
      <c r="L26" s="97"/>
    </row>
    <row r="27" spans="1:14" x14ac:dyDescent="0.35">
      <c r="C27" s="77"/>
      <c r="D27" s="167"/>
      <c r="E27" s="167"/>
      <c r="F27" s="168"/>
      <c r="G27" s="77"/>
      <c r="H27" s="45"/>
      <c r="I27" s="194"/>
      <c r="J27" s="46"/>
      <c r="K27" s="46"/>
      <c r="L27" s="73"/>
    </row>
    <row r="28" spans="1:14" x14ac:dyDescent="0.35">
      <c r="A28" s="59" t="s">
        <v>54</v>
      </c>
      <c r="C28" s="78"/>
      <c r="D28" s="168"/>
      <c r="E28" s="168"/>
      <c r="F28" s="168"/>
      <c r="G28" s="78"/>
      <c r="H28" s="47"/>
      <c r="I28" s="195"/>
      <c r="J28" s="46"/>
      <c r="K28" s="46"/>
      <c r="L28" s="73"/>
    </row>
    <row r="29" spans="1:14" x14ac:dyDescent="0.35">
      <c r="A29" s="59" t="s">
        <v>26</v>
      </c>
      <c r="C29" s="118">
        <f t="shared" ref="C29:L29" si="5">C23-C19</f>
        <v>0</v>
      </c>
      <c r="D29" s="53">
        <f t="shared" si="5"/>
        <v>0</v>
      </c>
      <c r="E29" s="53">
        <f t="shared" si="5"/>
        <v>0</v>
      </c>
      <c r="F29" s="126">
        <f t="shared" si="5"/>
        <v>0</v>
      </c>
      <c r="G29" s="52">
        <f t="shared" si="5"/>
        <v>0</v>
      </c>
      <c r="H29" s="53">
        <f t="shared" si="5"/>
        <v>0</v>
      </c>
      <c r="I29" s="74">
        <f t="shared" si="5"/>
        <v>0</v>
      </c>
      <c r="J29" s="141">
        <f t="shared" si="5"/>
        <v>0</v>
      </c>
      <c r="K29" s="53">
        <f t="shared" si="5"/>
        <v>0</v>
      </c>
      <c r="L29" s="74">
        <f t="shared" si="5"/>
        <v>0</v>
      </c>
    </row>
    <row r="30" spans="1:14" x14ac:dyDescent="0.35">
      <c r="A30" s="59" t="s">
        <v>27</v>
      </c>
      <c r="C30" s="118">
        <f t="shared" ref="C30:L30" si="6">C24-C20</f>
        <v>0</v>
      </c>
      <c r="D30" s="53">
        <f t="shared" si="6"/>
        <v>0</v>
      </c>
      <c r="E30" s="53">
        <f t="shared" si="6"/>
        <v>0</v>
      </c>
      <c r="F30" s="126">
        <f t="shared" si="6"/>
        <v>0</v>
      </c>
      <c r="G30" s="52">
        <f t="shared" si="6"/>
        <v>0</v>
      </c>
      <c r="H30" s="53">
        <f t="shared" si="6"/>
        <v>0</v>
      </c>
      <c r="I30" s="74">
        <f t="shared" si="6"/>
        <v>0</v>
      </c>
      <c r="J30" s="141">
        <f t="shared" si="6"/>
        <v>0</v>
      </c>
      <c r="K30" s="53">
        <f t="shared" si="6"/>
        <v>0</v>
      </c>
      <c r="L30" s="74">
        <f t="shared" si="6"/>
        <v>0</v>
      </c>
    </row>
    <row r="31" spans="1:14" x14ac:dyDescent="0.35">
      <c r="C31" s="117"/>
      <c r="D31" s="17"/>
      <c r="E31" s="17"/>
      <c r="F31" s="17"/>
      <c r="G31" s="10"/>
      <c r="H31" s="17"/>
      <c r="I31" s="11"/>
      <c r="J31" s="17"/>
      <c r="K31" s="17"/>
      <c r="L31" s="11"/>
    </row>
    <row r="32" spans="1:14" ht="15" thickBot="1" x14ac:dyDescent="0.4">
      <c r="A32" s="59" t="s">
        <v>55</v>
      </c>
      <c r="C32" s="117"/>
      <c r="D32" s="17"/>
      <c r="E32" s="17"/>
      <c r="F32" s="17"/>
      <c r="G32" s="10"/>
      <c r="H32" s="17"/>
      <c r="I32" s="11"/>
      <c r="J32" s="17"/>
      <c r="K32" s="17"/>
      <c r="L32" s="11"/>
    </row>
    <row r="33" spans="1:12" x14ac:dyDescent="0.35">
      <c r="A33" s="59" t="s">
        <v>26</v>
      </c>
      <c r="B33" s="134">
        <v>0</v>
      </c>
      <c r="C33" s="118">
        <f>B33+C29+B38</f>
        <v>0</v>
      </c>
      <c r="D33" s="53">
        <f t="shared" ref="D33:L34" si="7">C33+D29+C38</f>
        <v>0</v>
      </c>
      <c r="E33" s="53">
        <f t="shared" si="7"/>
        <v>0</v>
      </c>
      <c r="F33" s="126">
        <f t="shared" si="7"/>
        <v>0</v>
      </c>
      <c r="G33" s="52">
        <f t="shared" si="7"/>
        <v>0</v>
      </c>
      <c r="H33" s="53">
        <f t="shared" si="7"/>
        <v>0</v>
      </c>
      <c r="I33" s="74">
        <f t="shared" si="7"/>
        <v>0</v>
      </c>
      <c r="J33" s="141">
        <f t="shared" si="7"/>
        <v>0</v>
      </c>
      <c r="K33" s="53">
        <f t="shared" si="7"/>
        <v>0</v>
      </c>
      <c r="L33" s="74">
        <f t="shared" si="7"/>
        <v>0</v>
      </c>
    </row>
    <row r="34" spans="1:12" ht="15" thickBot="1" x14ac:dyDescent="0.4">
      <c r="A34" s="59" t="s">
        <v>27</v>
      </c>
      <c r="B34" s="135">
        <v>0</v>
      </c>
      <c r="C34" s="118">
        <f>B34+C30+B39</f>
        <v>0</v>
      </c>
      <c r="D34" s="53">
        <f t="shared" si="7"/>
        <v>0</v>
      </c>
      <c r="E34" s="53">
        <f t="shared" si="7"/>
        <v>0</v>
      </c>
      <c r="F34" s="126">
        <f t="shared" si="7"/>
        <v>0</v>
      </c>
      <c r="G34" s="52">
        <f t="shared" si="7"/>
        <v>0</v>
      </c>
      <c r="H34" s="53">
        <f t="shared" si="7"/>
        <v>0</v>
      </c>
      <c r="I34" s="74">
        <f t="shared" si="7"/>
        <v>0</v>
      </c>
      <c r="J34" s="141">
        <f t="shared" si="7"/>
        <v>0</v>
      </c>
      <c r="K34" s="53">
        <f t="shared" si="7"/>
        <v>0</v>
      </c>
      <c r="L34" s="74">
        <f t="shared" si="7"/>
        <v>0</v>
      </c>
    </row>
    <row r="35" spans="1:12" x14ac:dyDescent="0.35">
      <c r="C35" s="117"/>
      <c r="D35" s="17"/>
      <c r="E35" s="17"/>
      <c r="F35" s="17"/>
      <c r="G35" s="10"/>
      <c r="H35" s="17"/>
      <c r="I35" s="11"/>
      <c r="J35" s="17"/>
      <c r="K35" s="17"/>
      <c r="L35" s="11"/>
    </row>
    <row r="36" spans="1:12" x14ac:dyDescent="0.35">
      <c r="A36" s="51" t="s">
        <v>93</v>
      </c>
      <c r="B36" s="51"/>
      <c r="C36" s="122"/>
      <c r="D36" s="98">
        <f>+'PCR Cycle 2'!D50</f>
        <v>1.20652E-3</v>
      </c>
      <c r="E36" s="98">
        <f>+'PCR Cycle 2'!E50</f>
        <v>1.1948200000000001E-3</v>
      </c>
      <c r="F36" s="98">
        <f>+'PCR Cycle 2'!F50</f>
        <v>1.1852799999999999E-3</v>
      </c>
      <c r="G36" s="99">
        <f>+'PCR Cycle 2'!G50</f>
        <v>1.17614E-3</v>
      </c>
      <c r="H36" s="98">
        <f>+'PCR Cycle 2'!H50</f>
        <v>1.1682400000000001E-3</v>
      </c>
      <c r="I36" s="110">
        <f>+'PCR Cycle 2'!I50</f>
        <v>1.1636999999999999E-3</v>
      </c>
      <c r="J36" s="98">
        <f>+'PCR Cycle 2'!J50</f>
        <v>1.1636999999999999E-3</v>
      </c>
      <c r="K36" s="98">
        <f>+'PCR Cycle 2'!K50</f>
        <v>1.1636999999999999E-3</v>
      </c>
      <c r="L36" s="100"/>
    </row>
    <row r="37" spans="1:12" x14ac:dyDescent="0.35">
      <c r="A37" s="51" t="s">
        <v>39</v>
      </c>
      <c r="B37" s="51"/>
      <c r="C37" s="124"/>
      <c r="D37" s="98"/>
      <c r="E37" s="98"/>
      <c r="F37" s="98"/>
      <c r="G37" s="99"/>
      <c r="H37" s="98"/>
      <c r="I37" s="100"/>
      <c r="J37" s="98"/>
      <c r="K37" s="98"/>
      <c r="L37" s="100"/>
    </row>
    <row r="38" spans="1:12" x14ac:dyDescent="0.35">
      <c r="A38" s="59" t="s">
        <v>26</v>
      </c>
      <c r="C38" s="118">
        <v>0</v>
      </c>
      <c r="D38" s="53">
        <f t="shared" ref="D38:E39" si="8">ROUND((C33+C38+D29/2)*D$36,2)</f>
        <v>0</v>
      </c>
      <c r="E38" s="53">
        <f t="shared" si="8"/>
        <v>0</v>
      </c>
      <c r="F38" s="126">
        <f>ROUND((E33+E38+F29/2)*F$36,2)*0</f>
        <v>0</v>
      </c>
      <c r="G38" s="52">
        <f t="shared" ref="G38:L38" si="9">ROUND((F33+F38+G29/2)*G$36,2)*0</f>
        <v>0</v>
      </c>
      <c r="H38" s="141">
        <f t="shared" si="9"/>
        <v>0</v>
      </c>
      <c r="I38" s="62">
        <f t="shared" si="9"/>
        <v>0</v>
      </c>
      <c r="J38" s="183">
        <f t="shared" si="9"/>
        <v>0</v>
      </c>
      <c r="K38" s="126">
        <f t="shared" si="9"/>
        <v>0</v>
      </c>
      <c r="L38" s="74">
        <f t="shared" si="9"/>
        <v>0</v>
      </c>
    </row>
    <row r="39" spans="1:12" ht="15" thickBot="1" x14ac:dyDescent="0.4">
      <c r="A39" s="59" t="s">
        <v>27</v>
      </c>
      <c r="C39" s="118">
        <v>0</v>
      </c>
      <c r="D39" s="53">
        <f t="shared" si="8"/>
        <v>0</v>
      </c>
      <c r="E39" s="53">
        <f t="shared" si="8"/>
        <v>0</v>
      </c>
      <c r="F39" s="126">
        <f>ROUND((E34+E39+F30/2)*F$36,2)*0</f>
        <v>0</v>
      </c>
      <c r="G39" s="52">
        <f t="shared" ref="G39:L39" si="10">ROUND((F34+F39+G30/2)*G$36,2)*0</f>
        <v>0</v>
      </c>
      <c r="H39" s="141">
        <f t="shared" si="10"/>
        <v>0</v>
      </c>
      <c r="I39" s="62">
        <f t="shared" si="10"/>
        <v>0</v>
      </c>
      <c r="J39" s="183">
        <f t="shared" si="10"/>
        <v>0</v>
      </c>
      <c r="K39" s="126">
        <f t="shared" si="10"/>
        <v>0</v>
      </c>
      <c r="L39" s="74">
        <f t="shared" si="10"/>
        <v>0</v>
      </c>
    </row>
    <row r="40" spans="1:12" ht="15.5" thickTop="1" thickBot="1" x14ac:dyDescent="0.4">
      <c r="A40" s="67" t="s">
        <v>24</v>
      </c>
      <c r="B40" s="67"/>
      <c r="C40" s="125">
        <v>0</v>
      </c>
      <c r="D40" s="54">
        <f t="shared" ref="D40:I40" si="11">SUM(D38:D39)+SUM(D33:D34)-D43</f>
        <v>0</v>
      </c>
      <c r="E40" s="54">
        <f t="shared" si="11"/>
        <v>0</v>
      </c>
      <c r="F40" s="63">
        <f t="shared" ref="F40:H40" si="12">SUM(F38:F39)+SUM(F33:F34)-F43</f>
        <v>0</v>
      </c>
      <c r="G40" s="165">
        <f t="shared" si="12"/>
        <v>0</v>
      </c>
      <c r="H40" s="63">
        <f t="shared" si="12"/>
        <v>0</v>
      </c>
      <c r="I40" s="75">
        <f t="shared" si="11"/>
        <v>0</v>
      </c>
      <c r="J40" s="184">
        <f t="shared" ref="J40:L40" si="13">SUM(J38:J39)+SUM(J33:J34)-J43</f>
        <v>0</v>
      </c>
      <c r="K40" s="63">
        <f t="shared" si="13"/>
        <v>0</v>
      </c>
      <c r="L40" s="75">
        <f t="shared" si="13"/>
        <v>0</v>
      </c>
    </row>
    <row r="41" spans="1:12" ht="15.5" thickTop="1" thickBot="1" x14ac:dyDescent="0.4">
      <c r="A41" s="67" t="s">
        <v>25</v>
      </c>
      <c r="B41" s="67"/>
      <c r="C41" s="125">
        <v>0</v>
      </c>
      <c r="D41" s="54">
        <f t="shared" ref="D41:I41" si="14">SUM(D38:D39)-D26</f>
        <v>0</v>
      </c>
      <c r="E41" s="54">
        <f t="shared" si="14"/>
        <v>0</v>
      </c>
      <c r="F41" s="63">
        <f t="shared" ref="F41:H41" si="15">SUM(F38:F39)-F26</f>
        <v>0</v>
      </c>
      <c r="G41" s="165">
        <f t="shared" si="15"/>
        <v>0</v>
      </c>
      <c r="H41" s="63">
        <f t="shared" si="15"/>
        <v>0</v>
      </c>
      <c r="I41" s="75">
        <f t="shared" si="14"/>
        <v>0</v>
      </c>
      <c r="J41" s="185">
        <f t="shared" ref="J41:L41" si="16">SUM(J38:J39)-J26</f>
        <v>0</v>
      </c>
      <c r="K41" s="54">
        <f t="shared" si="16"/>
        <v>0</v>
      </c>
      <c r="L41" s="54">
        <f t="shared" si="16"/>
        <v>0</v>
      </c>
    </row>
    <row r="42" spans="1:12" ht="15.5" thickTop="1" thickBot="1" x14ac:dyDescent="0.4">
      <c r="C42" s="117"/>
      <c r="D42" s="17"/>
      <c r="E42" s="17"/>
      <c r="F42" s="17"/>
      <c r="G42" s="10"/>
      <c r="H42" s="17"/>
      <c r="I42" s="11"/>
      <c r="J42" s="17"/>
      <c r="K42" s="17"/>
      <c r="L42" s="11"/>
    </row>
    <row r="43" spans="1:12" ht="15" thickBot="1" x14ac:dyDescent="0.4">
      <c r="A43" s="59" t="s">
        <v>38</v>
      </c>
      <c r="B43" s="137">
        <f>+B33+B34</f>
        <v>0</v>
      </c>
      <c r="C43" s="118">
        <f t="shared" ref="C43:L43" si="17">(C16-SUM(C19:C20))+SUM(C38:C39)+B43</f>
        <v>0</v>
      </c>
      <c r="D43" s="53">
        <f t="shared" si="17"/>
        <v>0</v>
      </c>
      <c r="E43" s="53">
        <f t="shared" si="17"/>
        <v>0</v>
      </c>
      <c r="F43" s="126">
        <f t="shared" si="17"/>
        <v>0</v>
      </c>
      <c r="G43" s="52">
        <f t="shared" si="17"/>
        <v>0</v>
      </c>
      <c r="H43" s="53">
        <f t="shared" si="17"/>
        <v>0</v>
      </c>
      <c r="I43" s="74">
        <f t="shared" si="17"/>
        <v>0</v>
      </c>
      <c r="J43" s="183">
        <f t="shared" si="17"/>
        <v>0</v>
      </c>
      <c r="K43" s="126">
        <f t="shared" si="17"/>
        <v>0</v>
      </c>
      <c r="L43" s="74">
        <f t="shared" si="17"/>
        <v>0</v>
      </c>
    </row>
    <row r="44" spans="1:12" x14ac:dyDescent="0.35">
      <c r="A44" s="59" t="s">
        <v>14</v>
      </c>
      <c r="C44" s="138"/>
      <c r="D44" s="17"/>
      <c r="E44" s="17"/>
      <c r="F44" s="17"/>
      <c r="G44" s="10"/>
      <c r="H44" s="17"/>
      <c r="I44" s="11"/>
      <c r="J44" s="17"/>
      <c r="K44" s="17"/>
      <c r="L44" s="11"/>
    </row>
    <row r="45" spans="1:12" ht="15" thickBot="1" x14ac:dyDescent="0.4">
      <c r="A45" s="49"/>
      <c r="B45" s="49"/>
      <c r="C45" s="166"/>
      <c r="D45" s="56"/>
      <c r="E45" s="56"/>
      <c r="F45" s="56"/>
      <c r="G45" s="55"/>
      <c r="H45" s="56"/>
      <c r="I45" s="57"/>
      <c r="J45" s="56"/>
      <c r="K45" s="56"/>
      <c r="L45" s="57"/>
    </row>
    <row r="47" spans="1:12" x14ac:dyDescent="0.35">
      <c r="A47" s="82" t="s">
        <v>13</v>
      </c>
      <c r="B47" s="82"/>
      <c r="C47" s="82"/>
    </row>
    <row r="48" spans="1:12" ht="31.5" customHeight="1" x14ac:dyDescent="0.35">
      <c r="A48" s="302" t="s">
        <v>104</v>
      </c>
      <c r="B48" s="302"/>
      <c r="C48" s="302"/>
      <c r="D48" s="302"/>
      <c r="E48" s="302"/>
      <c r="F48" s="302"/>
      <c r="G48" s="302"/>
      <c r="H48" s="302"/>
      <c r="I48" s="302"/>
      <c r="J48" s="202"/>
      <c r="K48" s="202"/>
      <c r="L48" s="202"/>
    </row>
    <row r="49" spans="1:12" ht="45" customHeight="1" x14ac:dyDescent="0.35">
      <c r="A49" s="302" t="s">
        <v>158</v>
      </c>
      <c r="B49" s="302"/>
      <c r="C49" s="302"/>
      <c r="D49" s="302"/>
      <c r="E49" s="302"/>
      <c r="F49" s="302"/>
      <c r="G49" s="302"/>
      <c r="H49" s="302"/>
      <c r="I49" s="302"/>
      <c r="J49" s="202"/>
      <c r="K49" s="202"/>
    </row>
    <row r="50" spans="1:12" ht="18.75" customHeight="1" x14ac:dyDescent="0.35">
      <c r="A50" s="302" t="s">
        <v>98</v>
      </c>
      <c r="B50" s="302"/>
      <c r="C50" s="302"/>
      <c r="D50" s="302"/>
      <c r="E50" s="302"/>
      <c r="F50" s="302"/>
      <c r="G50" s="302"/>
      <c r="H50" s="302"/>
      <c r="I50" s="302"/>
      <c r="J50" s="202"/>
      <c r="K50" s="202"/>
      <c r="L50" s="202"/>
    </row>
    <row r="51" spans="1:12" x14ac:dyDescent="0.35">
      <c r="A51" s="76" t="s">
        <v>33</v>
      </c>
      <c r="B51" s="76"/>
      <c r="C51" s="76"/>
      <c r="D51" s="51"/>
      <c r="E51" s="51"/>
      <c r="F51" s="51"/>
      <c r="G51" s="51"/>
      <c r="H51" s="51"/>
      <c r="I51" s="51"/>
    </row>
    <row r="52" spans="1:12" x14ac:dyDescent="0.35">
      <c r="A52" s="76" t="s">
        <v>188</v>
      </c>
      <c r="B52" s="76"/>
      <c r="C52" s="76"/>
      <c r="D52" s="51"/>
      <c r="E52" s="51"/>
      <c r="F52" s="51"/>
      <c r="G52" s="51"/>
      <c r="H52" s="51"/>
      <c r="I52" s="51"/>
    </row>
    <row r="53" spans="1:12" x14ac:dyDescent="0.35">
      <c r="A53" s="76" t="s">
        <v>105</v>
      </c>
      <c r="B53" s="76"/>
      <c r="C53" s="76"/>
      <c r="D53" s="51"/>
      <c r="E53" s="51"/>
      <c r="F53" s="51"/>
      <c r="G53" s="51"/>
      <c r="H53" s="51"/>
      <c r="I53" s="51"/>
    </row>
    <row r="54" spans="1:12" x14ac:dyDescent="0.35">
      <c r="A54" s="3" t="s">
        <v>155</v>
      </c>
      <c r="B54" s="3"/>
      <c r="C54" s="3"/>
    </row>
  </sheetData>
  <mergeCells count="6">
    <mergeCell ref="A50:I50"/>
    <mergeCell ref="A49:I49"/>
    <mergeCell ref="D14:F14"/>
    <mergeCell ref="G14:I14"/>
    <mergeCell ref="J14:L14"/>
    <mergeCell ref="A48:I4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9"/>
  <sheetViews>
    <sheetView topLeftCell="F1" workbookViewId="0">
      <selection activeCell="O1" sqref="O1:O1048576"/>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Metro, Inc. - DSIM Rider Update Filed 12/01/2020</v>
      </c>
      <c r="B1" s="3"/>
      <c r="C1" s="3"/>
    </row>
    <row r="2" spans="1:34" x14ac:dyDescent="0.35">
      <c r="D2" s="3" t="s">
        <v>157</v>
      </c>
    </row>
    <row r="3" spans="1:34" ht="29" x14ac:dyDescent="0.35">
      <c r="D3" s="61" t="s">
        <v>48</v>
      </c>
      <c r="E3" s="83" t="s">
        <v>60</v>
      </c>
      <c r="F3" s="61" t="s">
        <v>3</v>
      </c>
      <c r="G3" s="83" t="s">
        <v>57</v>
      </c>
      <c r="H3" s="61" t="s">
        <v>11</v>
      </c>
      <c r="I3" s="61" t="s">
        <v>61</v>
      </c>
      <c r="R3" s="61"/>
    </row>
    <row r="4" spans="1:34" x14ac:dyDescent="0.35">
      <c r="A4" s="21" t="s">
        <v>26</v>
      </c>
      <c r="B4" s="21"/>
      <c r="C4" s="21"/>
      <c r="D4" s="23">
        <f>SUM(C19:L19)</f>
        <v>854987.10699999996</v>
      </c>
      <c r="E4" s="23">
        <f>SUM(C26:K26)</f>
        <v>758903.57999999984</v>
      </c>
      <c r="F4" s="23">
        <f>E4-D4</f>
        <v>-96083.527000000118</v>
      </c>
      <c r="G4" s="23">
        <f>+B42</f>
        <v>2373.09</v>
      </c>
      <c r="H4" s="23">
        <f>SUM(C50:K50)</f>
        <v>316.69</v>
      </c>
      <c r="I4" s="35">
        <f>SUM(F4:H4)</f>
        <v>-93393.747000000119</v>
      </c>
      <c r="J4" s="60">
        <f>+I4-L42</f>
        <v>0</v>
      </c>
      <c r="M4" s="60"/>
    </row>
    <row r="5" spans="1:34" ht="15" thickBot="1" x14ac:dyDescent="0.4">
      <c r="A5" s="21" t="s">
        <v>27</v>
      </c>
      <c r="B5" s="21"/>
      <c r="C5" s="21"/>
      <c r="D5" s="23">
        <f>SUM(C20:L23)</f>
        <v>1308512.92444</v>
      </c>
      <c r="E5" s="23">
        <f>SUM(C27:K30)</f>
        <v>1454738.6999999988</v>
      </c>
      <c r="F5" s="23">
        <f>E5-D5</f>
        <v>146225.77555999882</v>
      </c>
      <c r="G5" s="23">
        <f>SUM(B43:B46)</f>
        <v>-42308.88</v>
      </c>
      <c r="H5" s="23">
        <f>SUM(C51:K54)</f>
        <v>1997.5300000000004</v>
      </c>
      <c r="I5" s="35">
        <f>SUM(F5:H5)</f>
        <v>105914.42555999881</v>
      </c>
      <c r="J5" s="60">
        <f>+I5-SUM(L43:L46)</f>
        <v>-1.0913936421275139E-9</v>
      </c>
      <c r="M5" s="60"/>
    </row>
    <row r="6" spans="1:34" ht="15.5" thickTop="1" thickBot="1" x14ac:dyDescent="0.4">
      <c r="D6" s="39">
        <f t="shared" ref="D6:I6" si="0">SUM(D4:D5)</f>
        <v>2163500.03144</v>
      </c>
      <c r="E6" s="39">
        <f t="shared" si="0"/>
        <v>2213642.2799999984</v>
      </c>
      <c r="F6" s="39">
        <f t="shared" si="0"/>
        <v>50142.248559998698</v>
      </c>
      <c r="G6" s="39">
        <f t="shared" si="0"/>
        <v>-39935.789999999994</v>
      </c>
      <c r="H6" s="39">
        <f t="shared" si="0"/>
        <v>2314.2200000000003</v>
      </c>
      <c r="I6" s="39">
        <f t="shared" si="0"/>
        <v>12520.678559998691</v>
      </c>
      <c r="S6" s="5"/>
    </row>
    <row r="7" spans="1:34" ht="44" thickTop="1" x14ac:dyDescent="0.35">
      <c r="I7" s="253"/>
      <c r="J7" s="252" t="s">
        <v>137</v>
      </c>
    </row>
    <row r="8" spans="1:34" ht="17.25" customHeight="1" x14ac:dyDescent="0.35">
      <c r="A8" s="21" t="s">
        <v>120</v>
      </c>
      <c r="I8" s="35">
        <f>ROUND($I$5*J8,2)</f>
        <v>14379.41</v>
      </c>
      <c r="J8" s="250">
        <f>+'PPC Cycle 2'!D10</f>
        <v>0.13576441564001979</v>
      </c>
    </row>
    <row r="9" spans="1:34" ht="17.25" customHeight="1" x14ac:dyDescent="0.35">
      <c r="A9" s="21" t="s">
        <v>121</v>
      </c>
      <c r="I9" s="35">
        <f t="shared" ref="I9:I11" si="1">ROUND($I$5*J9,2)</f>
        <v>37717.79</v>
      </c>
      <c r="J9" s="250">
        <f>+'PPC Cycle 2'!D11</f>
        <v>0.35611574316442379</v>
      </c>
    </row>
    <row r="10" spans="1:34" ht="17.25" customHeight="1" x14ac:dyDescent="0.35">
      <c r="A10" s="21" t="s">
        <v>122</v>
      </c>
      <c r="I10" s="35">
        <f t="shared" si="1"/>
        <v>44305.97</v>
      </c>
      <c r="J10" s="250">
        <f>+'PPC Cycle 2'!D12</f>
        <v>0.4183185730547726</v>
      </c>
    </row>
    <row r="11" spans="1:34" ht="17.25" customHeight="1" thickBot="1" x14ac:dyDescent="0.4">
      <c r="A11" s="21" t="s">
        <v>123</v>
      </c>
      <c r="I11" s="35">
        <f t="shared" si="1"/>
        <v>9511.25</v>
      </c>
      <c r="J11" s="250">
        <f>+'PPC Cycle 2'!D13</f>
        <v>8.9801268140783777E-2</v>
      </c>
    </row>
    <row r="12" spans="1:34" ht="17.25" customHeight="1" thickTop="1" thickBot="1" x14ac:dyDescent="0.4">
      <c r="A12" s="21" t="s">
        <v>125</v>
      </c>
      <c r="I12" s="39">
        <f>SUM(I8:I11)</f>
        <v>105914.42</v>
      </c>
      <c r="J12" s="251">
        <f>SUM(J8:J11)</f>
        <v>1</v>
      </c>
    </row>
    <row r="13" spans="1:34" ht="15.5" thickTop="1" thickBot="1" x14ac:dyDescent="0.4">
      <c r="U13" s="4"/>
      <c r="V13" s="5"/>
    </row>
    <row r="14" spans="1:34" ht="102" thickBot="1" x14ac:dyDescent="0.4">
      <c r="B14" s="136" t="str">
        <f>+'PCR Cycle 2'!B14</f>
        <v>Cumulative Over/Under Carryover From 06/01/2020 Filing</v>
      </c>
      <c r="C14" s="171" t="str">
        <f>+'PCR Cycle 2'!C14</f>
        <v>Reverse May 2020 - July 2020  Forecast From 06/01/2020 Filing</v>
      </c>
      <c r="D14" s="303" t="s">
        <v>35</v>
      </c>
      <c r="E14" s="303"/>
      <c r="F14" s="304"/>
      <c r="G14" s="305" t="s">
        <v>35</v>
      </c>
      <c r="H14" s="306"/>
      <c r="I14" s="307"/>
      <c r="J14" s="299" t="s">
        <v>9</v>
      </c>
      <c r="K14" s="300"/>
      <c r="L14" s="301"/>
    </row>
    <row r="15" spans="1:34" x14ac:dyDescent="0.35">
      <c r="A15" s="59" t="s">
        <v>91</v>
      </c>
      <c r="C15" s="123"/>
      <c r="D15" s="19">
        <f>+'PCR Cycle 2'!D15</f>
        <v>43982</v>
      </c>
      <c r="E15" s="19">
        <f t="shared" ref="E15:L15" si="2">EOMONTH(D15,1)</f>
        <v>44012</v>
      </c>
      <c r="F15" s="19">
        <f t="shared" si="2"/>
        <v>44043</v>
      </c>
      <c r="G15" s="14">
        <f t="shared" si="2"/>
        <v>44074</v>
      </c>
      <c r="H15" s="19">
        <f t="shared" si="2"/>
        <v>44104</v>
      </c>
      <c r="I15" s="15">
        <f t="shared" si="2"/>
        <v>44135</v>
      </c>
      <c r="J15" s="19">
        <f t="shared" si="2"/>
        <v>44165</v>
      </c>
      <c r="K15" s="19">
        <f t="shared" si="2"/>
        <v>44196</v>
      </c>
      <c r="L15" s="15">
        <f t="shared" si="2"/>
        <v>44227</v>
      </c>
      <c r="Y15" s="1"/>
      <c r="Z15" s="1"/>
      <c r="AA15" s="1"/>
      <c r="AB15" s="1"/>
      <c r="AC15" s="1"/>
      <c r="AD15" s="1"/>
      <c r="AE15" s="1"/>
      <c r="AF15" s="1"/>
      <c r="AG15" s="1"/>
      <c r="AH15" s="1"/>
    </row>
    <row r="16" spans="1:34" x14ac:dyDescent="0.35">
      <c r="A16" s="59" t="s">
        <v>6</v>
      </c>
      <c r="C16" s="115">
        <v>-737880.75999999989</v>
      </c>
      <c r="D16" s="127">
        <f t="shared" ref="D16:K16" si="3">SUM(D26:D30)</f>
        <v>368940.37999999995</v>
      </c>
      <c r="E16" s="127">
        <f t="shared" si="3"/>
        <v>368940.37999999995</v>
      </c>
      <c r="F16" s="128">
        <f t="shared" si="3"/>
        <v>368940.37999999995</v>
      </c>
      <c r="G16" s="16">
        <f t="shared" si="3"/>
        <v>368940.37999999995</v>
      </c>
      <c r="H16" s="68">
        <f t="shared" si="3"/>
        <v>368940.37999999995</v>
      </c>
      <c r="I16" s="186">
        <f t="shared" si="3"/>
        <v>368940.37999999995</v>
      </c>
      <c r="J16" s="179">
        <f t="shared" si="3"/>
        <v>368940.37999999995</v>
      </c>
      <c r="K16" s="93">
        <f t="shared" si="3"/>
        <v>368940.37999999995</v>
      </c>
      <c r="L16" s="94"/>
    </row>
    <row r="17" spans="1:14" x14ac:dyDescent="0.35">
      <c r="C17" s="117"/>
      <c r="D17" s="17"/>
      <c r="E17" s="17"/>
      <c r="F17" s="17"/>
      <c r="G17" s="10"/>
      <c r="H17" s="17"/>
      <c r="I17" s="11"/>
      <c r="J17" s="43"/>
      <c r="K17" s="43"/>
      <c r="L17" s="41"/>
    </row>
    <row r="18" spans="1:14" x14ac:dyDescent="0.35">
      <c r="A18" s="59" t="s">
        <v>92</v>
      </c>
      <c r="C18" s="117"/>
      <c r="D18" s="18"/>
      <c r="E18" s="18"/>
      <c r="F18" s="18"/>
      <c r="G18" s="109"/>
      <c r="H18" s="18"/>
      <c r="I18" s="187"/>
      <c r="J18" s="43"/>
      <c r="K18" s="43"/>
      <c r="L18" s="41"/>
      <c r="M18" s="3" t="s">
        <v>52</v>
      </c>
      <c r="N18" s="51"/>
    </row>
    <row r="19" spans="1:14" x14ac:dyDescent="0.35">
      <c r="A19" s="59" t="s">
        <v>26</v>
      </c>
      <c r="C19" s="115">
        <v>-364707.85</v>
      </c>
      <c r="D19" s="154">
        <f>ROUND('[5]May 2020'!$F70,2)</f>
        <v>87449.83</v>
      </c>
      <c r="E19" s="154">
        <f>ROUND('[5]June 2020'!$F70,2)</f>
        <v>128979.56</v>
      </c>
      <c r="F19" s="154">
        <f>ROUND('[5]July 2020'!$F70,2)</f>
        <v>185514.93</v>
      </c>
      <c r="G19" s="207">
        <f>ROUND('[5]Aug 2020'!$F70,2)</f>
        <v>170976.52</v>
      </c>
      <c r="H19" s="139">
        <f>ROUND('[5]Sept 2020'!$F70,2)</f>
        <v>154122.28</v>
      </c>
      <c r="I19" s="188">
        <f>ROUND('[5]Oct 2020'!$F70,2)</f>
        <v>101648.49</v>
      </c>
      <c r="J19" s="141">
        <f>'PCR Cycle 2'!J27*$M19</f>
        <v>94732.865399999995</v>
      </c>
      <c r="K19" s="53">
        <f>'PCR Cycle 2'!K27*$M19</f>
        <v>137966.9184</v>
      </c>
      <c r="L19" s="74">
        <f>'PCR Cycle 2'!L27*$M19</f>
        <v>158303.56319999998</v>
      </c>
      <c r="M19" s="85">
        <v>5.9999999999999995E-4</v>
      </c>
      <c r="N19" s="4"/>
    </row>
    <row r="20" spans="1:14" x14ac:dyDescent="0.35">
      <c r="A20" s="59" t="s">
        <v>149</v>
      </c>
      <c r="C20" s="115">
        <v>-92154.04</v>
      </c>
      <c r="D20" s="154">
        <f>ROUND('[5]May 2020'!$F71,2)</f>
        <v>24797.22</v>
      </c>
      <c r="E20" s="154">
        <f>ROUND('[5]June 2020'!$F71,2)</f>
        <v>33182.559999999998</v>
      </c>
      <c r="F20" s="154">
        <f>ROUND('[5]July 2020'!$F71,2)</f>
        <v>42804.41</v>
      </c>
      <c r="G20" s="207">
        <f>ROUND('[5]Aug 2020'!$F71,2)</f>
        <v>41480.9</v>
      </c>
      <c r="H20" s="139">
        <f>ROUND('[5]Sept 2020'!$F71,2)</f>
        <v>40538.94</v>
      </c>
      <c r="I20" s="188">
        <f>ROUND('[5]Oct 2020'!$F71,2)</f>
        <v>34040.639999999999</v>
      </c>
      <c r="J20" s="141">
        <f>'PCR Cycle 2'!J28*$M20</f>
        <v>26083.023119999998</v>
      </c>
      <c r="K20" s="53">
        <f>'PCR Cycle 2'!K28*$M20</f>
        <v>28452.521679999998</v>
      </c>
      <c r="L20" s="74">
        <f>'PCR Cycle 2'!L28*$M20</f>
        <v>30110.336079999997</v>
      </c>
      <c r="M20" s="85">
        <v>8.7999999999999992E-4</v>
      </c>
      <c r="N20" s="4"/>
    </row>
    <row r="21" spans="1:14" x14ac:dyDescent="0.35">
      <c r="A21" s="59" t="s">
        <v>150</v>
      </c>
      <c r="C21" s="115">
        <v>-274380.15999999997</v>
      </c>
      <c r="D21" s="154">
        <f>ROUND('[5]May 2020'!$F72,2)</f>
        <v>60441.77</v>
      </c>
      <c r="E21" s="154">
        <f>ROUND('[5]June 2020'!$F72,2)</f>
        <v>76121.75</v>
      </c>
      <c r="F21" s="154">
        <f>ROUND('[5]July 2020'!$F72,2)</f>
        <v>96050.880000000005</v>
      </c>
      <c r="G21" s="207">
        <f>ROUND('[5]Aug 2020'!$F72,2)</f>
        <v>93335.06</v>
      </c>
      <c r="H21" s="139">
        <f>ROUND('[5]Sept 2020'!$F72,2)</f>
        <v>91024.81</v>
      </c>
      <c r="I21" s="188">
        <f>ROUND('[5]Oct 2020'!$F72,2)</f>
        <v>78139.3</v>
      </c>
      <c r="J21" s="141">
        <f>'PCR Cycle 2'!J29*$M21</f>
        <v>77659.795320000005</v>
      </c>
      <c r="K21" s="53">
        <f>'PCR Cycle 2'!K29*$M21</f>
        <v>84714.7592</v>
      </c>
      <c r="L21" s="74">
        <f>'PCR Cycle 2'!L29*$M21</f>
        <v>89650.749640000009</v>
      </c>
      <c r="M21" s="85">
        <v>9.2000000000000003E-4</v>
      </c>
      <c r="N21" s="4"/>
    </row>
    <row r="22" spans="1:14" x14ac:dyDescent="0.35">
      <c r="A22" s="59" t="s">
        <v>151</v>
      </c>
      <c r="C22" s="115">
        <v>-291339</v>
      </c>
      <c r="D22" s="154">
        <f>ROUND('[5]May 2020'!$F73,2)</f>
        <v>70110.960000000006</v>
      </c>
      <c r="E22" s="154">
        <f>ROUND('[5]June 2020'!$F73,2)</f>
        <v>81333.740000000005</v>
      </c>
      <c r="F22" s="154">
        <f>ROUND('[5]July 2020'!$F73,2)</f>
        <v>95293.39</v>
      </c>
      <c r="G22" s="207">
        <f>ROUND('[5]Aug 2020'!$F73,2)</f>
        <v>97371.45</v>
      </c>
      <c r="H22" s="139">
        <f>ROUND('[5]Sept 2020'!$F73,2)</f>
        <v>99649.54</v>
      </c>
      <c r="I22" s="188">
        <f>ROUND('[5]Oct 2020'!$F73,2)</f>
        <v>91509.09</v>
      </c>
      <c r="J22" s="141">
        <f>'PCR Cycle 2'!J30*$M22</f>
        <v>85077.549700000003</v>
      </c>
      <c r="K22" s="53">
        <f>'PCR Cycle 2'!K30*$M22</f>
        <v>92806.375350000002</v>
      </c>
      <c r="L22" s="74">
        <f>'PCR Cycle 2'!L30*$M22</f>
        <v>98213.831949999993</v>
      </c>
      <c r="M22" s="85">
        <v>6.4999999999999997E-4</v>
      </c>
      <c r="N22" s="4"/>
    </row>
    <row r="23" spans="1:14" x14ac:dyDescent="0.35">
      <c r="A23" s="59" t="s">
        <v>152</v>
      </c>
      <c r="C23" s="115">
        <v>-48962.29</v>
      </c>
      <c r="D23" s="154">
        <f>ROUND('[5]May 2020'!$F74,2)</f>
        <v>11545.49</v>
      </c>
      <c r="E23" s="154">
        <f>ROUND('[5]June 2020'!$F74,2)</f>
        <v>11869.84</v>
      </c>
      <c r="F23" s="154">
        <f>ROUND('[5]July 2020'!$F74,2)</f>
        <v>17693.47</v>
      </c>
      <c r="G23" s="207">
        <f>ROUND('[5]Aug 2020'!$F74,2)</f>
        <v>17949.22</v>
      </c>
      <c r="H23" s="139">
        <f>ROUND('[5]Sept 2020'!$F74,2)</f>
        <v>20602.28</v>
      </c>
      <c r="I23" s="188">
        <f>ROUND('[5]Oct 2020'!$F74,2)</f>
        <v>20440.05</v>
      </c>
      <c r="J23" s="141">
        <f>'PCR Cycle 2'!J31*$M23</f>
        <v>17025.728309999999</v>
      </c>
      <c r="K23" s="53">
        <f>'PCR Cycle 2'!K31*$M23</f>
        <v>18572.421539999999</v>
      </c>
      <c r="L23" s="74">
        <f>'PCR Cycle 2'!L31*$M23</f>
        <v>19654.562549999999</v>
      </c>
      <c r="M23" s="85">
        <v>4.2999999999999999E-4</v>
      </c>
      <c r="N23" s="4"/>
    </row>
    <row r="24" spans="1:14" x14ac:dyDescent="0.35">
      <c r="C24" s="80"/>
      <c r="D24" s="81"/>
      <c r="E24" s="81"/>
      <c r="F24" s="81"/>
      <c r="G24" s="80"/>
      <c r="H24" s="81"/>
      <c r="I24" s="189"/>
      <c r="J24" s="69"/>
      <c r="K24" s="69"/>
      <c r="L24" s="13"/>
      <c r="N24" s="4"/>
    </row>
    <row r="25" spans="1:14" x14ac:dyDescent="0.35">
      <c r="A25" s="59" t="s">
        <v>94</v>
      </c>
      <c r="C25" s="48"/>
      <c r="D25" s="49"/>
      <c r="E25" s="49"/>
      <c r="F25" s="49"/>
      <c r="G25" s="48"/>
      <c r="H25" s="49"/>
      <c r="I25" s="192"/>
      <c r="J25" s="65"/>
      <c r="K25" s="65"/>
      <c r="L25" s="50"/>
    </row>
    <row r="26" spans="1:14" x14ac:dyDescent="0.35">
      <c r="A26" s="59" t="s">
        <v>26</v>
      </c>
      <c r="C26" s="115">
        <v>-252967.86</v>
      </c>
      <c r="D26" s="127">
        <f>ROUND('EO Cycle 2'!$G$19/12,2)</f>
        <v>126483.93</v>
      </c>
      <c r="E26" s="127">
        <f>ROUND('EO Cycle 2'!$G$19/12,2)</f>
        <v>126483.93</v>
      </c>
      <c r="F26" s="128">
        <f>ROUND('EO Cycle 2'!$G$19/12,2)</f>
        <v>126483.93</v>
      </c>
      <c r="G26" s="16">
        <f>ROUND('EO Cycle 2'!$G$19/12,2)</f>
        <v>126483.93</v>
      </c>
      <c r="H26" s="68">
        <f>ROUND('EO Cycle 2'!$G$19/12,2)</f>
        <v>126483.93</v>
      </c>
      <c r="I26" s="186">
        <f>ROUND('EO Cycle 2'!$G$19/12,2)</f>
        <v>126483.93</v>
      </c>
      <c r="J26" s="181">
        <f>ROUND('EO Cycle 2'!$G$19/12,2)</f>
        <v>126483.93</v>
      </c>
      <c r="K26" s="161">
        <f>ROUND('EO Cycle 2'!$G$19/12,2)</f>
        <v>126483.93</v>
      </c>
      <c r="L26" s="94"/>
    </row>
    <row r="27" spans="1:14" x14ac:dyDescent="0.35">
      <c r="A27" s="59" t="s">
        <v>149</v>
      </c>
      <c r="C27" s="115">
        <v>-61883.040000000001</v>
      </c>
      <c r="D27" s="127">
        <f>ROUND('EO Cycle 2'!$G$23/12,2)</f>
        <v>30941.52</v>
      </c>
      <c r="E27" s="127">
        <f>ROUND('EO Cycle 2'!$G$23/12,2)</f>
        <v>30941.52</v>
      </c>
      <c r="F27" s="128">
        <f>ROUND('EO Cycle 2'!$G$23/12,2)</f>
        <v>30941.52</v>
      </c>
      <c r="G27" s="16">
        <f>ROUND('EO Cycle 2'!$G$23/12,2)</f>
        <v>30941.52</v>
      </c>
      <c r="H27" s="68">
        <f>ROUND('EO Cycle 2'!$G$23/12,2)</f>
        <v>30941.52</v>
      </c>
      <c r="I27" s="186">
        <f>ROUND('EO Cycle 2'!$G$23/12,2)</f>
        <v>30941.52</v>
      </c>
      <c r="J27" s="181">
        <f>ROUND('EO Cycle 2'!$G$23/12,2)</f>
        <v>30941.52</v>
      </c>
      <c r="K27" s="161">
        <f>ROUND('EO Cycle 2'!$G$23/12,2)</f>
        <v>30941.52</v>
      </c>
      <c r="L27" s="94"/>
    </row>
    <row r="28" spans="1:14" x14ac:dyDescent="0.35">
      <c r="A28" s="59" t="s">
        <v>150</v>
      </c>
      <c r="C28" s="115">
        <v>-182966.16</v>
      </c>
      <c r="D28" s="127">
        <f>ROUND('EO Cycle 2'!$G$24/12,2)</f>
        <v>91483.08</v>
      </c>
      <c r="E28" s="127">
        <f>ROUND('EO Cycle 2'!$G$24/12,2)</f>
        <v>91483.08</v>
      </c>
      <c r="F28" s="128">
        <f>ROUND('EO Cycle 2'!$G$24/12,2)</f>
        <v>91483.08</v>
      </c>
      <c r="G28" s="16">
        <f>ROUND('EO Cycle 2'!$G$24/12,2)</f>
        <v>91483.08</v>
      </c>
      <c r="H28" s="68">
        <f>ROUND('EO Cycle 2'!$G$24/12,2)</f>
        <v>91483.08</v>
      </c>
      <c r="I28" s="186">
        <f>ROUND('EO Cycle 2'!$G$24/12,2)</f>
        <v>91483.08</v>
      </c>
      <c r="J28" s="181">
        <f>ROUND('EO Cycle 2'!$G$24/12,2)</f>
        <v>91483.08</v>
      </c>
      <c r="K28" s="161">
        <f>ROUND('EO Cycle 2'!$G$24/12,2)</f>
        <v>91483.08</v>
      </c>
      <c r="L28" s="94"/>
    </row>
    <row r="29" spans="1:14" x14ac:dyDescent="0.35">
      <c r="A29" s="59" t="s">
        <v>151</v>
      </c>
      <c r="C29" s="115">
        <v>-200130.36</v>
      </c>
      <c r="D29" s="127">
        <f>ROUND('EO Cycle 2'!$G$25/12,2)</f>
        <v>100065.18</v>
      </c>
      <c r="E29" s="127">
        <f>ROUND('EO Cycle 2'!$G$25/12,2)</f>
        <v>100065.18</v>
      </c>
      <c r="F29" s="128">
        <f>ROUND('EO Cycle 2'!$G$25/12,2)</f>
        <v>100065.18</v>
      </c>
      <c r="G29" s="16">
        <f>ROUND('EO Cycle 2'!$G$25/12,2)</f>
        <v>100065.18</v>
      </c>
      <c r="H29" s="68">
        <f>ROUND('EO Cycle 2'!$G$25/12,2)</f>
        <v>100065.18</v>
      </c>
      <c r="I29" s="186">
        <f>ROUND('EO Cycle 2'!$G$25/12,2)</f>
        <v>100065.18</v>
      </c>
      <c r="J29" s="181">
        <f>ROUND('EO Cycle 2'!$G$25/12,2)</f>
        <v>100065.18</v>
      </c>
      <c r="K29" s="161">
        <f>ROUND('EO Cycle 2'!$G$25/12,2)</f>
        <v>100065.18</v>
      </c>
      <c r="L29" s="94"/>
    </row>
    <row r="30" spans="1:14" x14ac:dyDescent="0.35">
      <c r="A30" s="59" t="s">
        <v>152</v>
      </c>
      <c r="C30" s="115">
        <v>-39933.339999999997</v>
      </c>
      <c r="D30" s="127">
        <f>ROUND('EO Cycle 2'!$G$26/12,2)</f>
        <v>19966.669999999998</v>
      </c>
      <c r="E30" s="127">
        <f>ROUND('EO Cycle 2'!$G$26/12,2)</f>
        <v>19966.669999999998</v>
      </c>
      <c r="F30" s="128">
        <f>ROUND('EO Cycle 2'!$G$26/12,2)</f>
        <v>19966.669999999998</v>
      </c>
      <c r="G30" s="16">
        <f>ROUND('EO Cycle 2'!$G$26/12,2)</f>
        <v>19966.669999999998</v>
      </c>
      <c r="H30" s="68">
        <f>ROUND('EO Cycle 2'!$G$26/12,2)</f>
        <v>19966.669999999998</v>
      </c>
      <c r="I30" s="186">
        <f>ROUND('EO Cycle 2'!$G$26/12,2)</f>
        <v>19966.669999999998</v>
      </c>
      <c r="J30" s="181">
        <f>ROUND('EO Cycle 2'!$G$26/12,2)</f>
        <v>19966.669999999998</v>
      </c>
      <c r="K30" s="161">
        <f>ROUND('EO Cycle 2'!$G$26/12,2)</f>
        <v>19966.669999999998</v>
      </c>
      <c r="L30" s="94"/>
      <c r="N30" s="60"/>
    </row>
    <row r="31" spans="1:14" x14ac:dyDescent="0.35">
      <c r="C31" s="117"/>
      <c r="D31" s="18"/>
      <c r="E31" s="18"/>
      <c r="F31" s="18"/>
      <c r="G31" s="109"/>
      <c r="H31" s="18"/>
      <c r="I31" s="187"/>
      <c r="J31" s="69"/>
      <c r="K31" s="69"/>
      <c r="L31" s="13"/>
    </row>
    <row r="32" spans="1:14" ht="15" thickBot="1" x14ac:dyDescent="0.4">
      <c r="A32" s="3" t="s">
        <v>16</v>
      </c>
      <c r="B32" s="3"/>
      <c r="C32" s="121">
        <v>-1137.23</v>
      </c>
      <c r="D32" s="154">
        <v>422.14</v>
      </c>
      <c r="E32" s="154">
        <v>509.39</v>
      </c>
      <c r="F32" s="155">
        <v>487.58000000000004</v>
      </c>
      <c r="G32" s="38">
        <v>413.48</v>
      </c>
      <c r="H32" s="140">
        <v>359.09999999999997</v>
      </c>
      <c r="I32" s="193">
        <v>361.70000000000005</v>
      </c>
      <c r="J32" s="182">
        <v>421.77000000000004</v>
      </c>
      <c r="K32" s="163">
        <v>452.12000000000006</v>
      </c>
      <c r="L32" s="97"/>
    </row>
    <row r="33" spans="1:12" x14ac:dyDescent="0.35">
      <c r="C33" s="77"/>
      <c r="D33" s="167"/>
      <c r="E33" s="167"/>
      <c r="F33" s="168"/>
      <c r="G33" s="77"/>
      <c r="H33" s="45"/>
      <c r="I33" s="194"/>
      <c r="J33" s="46"/>
      <c r="K33" s="46"/>
      <c r="L33" s="73"/>
    </row>
    <row r="34" spans="1:12" x14ac:dyDescent="0.35">
      <c r="A34" s="59" t="s">
        <v>54</v>
      </c>
      <c r="C34" s="78"/>
      <c r="D34" s="168"/>
      <c r="E34" s="168"/>
      <c r="F34" s="168"/>
      <c r="G34" s="78"/>
      <c r="H34" s="47"/>
      <c r="I34" s="195"/>
      <c r="J34" s="46"/>
      <c r="K34" s="46"/>
      <c r="L34" s="73"/>
    </row>
    <row r="35" spans="1:12" x14ac:dyDescent="0.35">
      <c r="A35" s="59" t="s">
        <v>26</v>
      </c>
      <c r="C35" s="118">
        <f t="shared" ref="C35:L35" si="4">C26-C19</f>
        <v>111739.98999999999</v>
      </c>
      <c r="D35" s="53">
        <f t="shared" si="4"/>
        <v>39034.099999999991</v>
      </c>
      <c r="E35" s="53">
        <f t="shared" si="4"/>
        <v>-2495.6300000000047</v>
      </c>
      <c r="F35" s="126">
        <f t="shared" si="4"/>
        <v>-59031</v>
      </c>
      <c r="G35" s="52">
        <f t="shared" si="4"/>
        <v>-44492.59</v>
      </c>
      <c r="H35" s="53">
        <f t="shared" si="4"/>
        <v>-27638.350000000006</v>
      </c>
      <c r="I35" s="74">
        <f t="shared" si="4"/>
        <v>24835.439999999988</v>
      </c>
      <c r="J35" s="141">
        <f t="shared" si="4"/>
        <v>31751.064599999998</v>
      </c>
      <c r="K35" s="53">
        <f t="shared" si="4"/>
        <v>-11482.988400000002</v>
      </c>
      <c r="L35" s="74">
        <f t="shared" si="4"/>
        <v>-158303.56319999998</v>
      </c>
    </row>
    <row r="36" spans="1:12" x14ac:dyDescent="0.35">
      <c r="A36" s="59" t="s">
        <v>149</v>
      </c>
      <c r="C36" s="118">
        <f t="shared" ref="C36:L36" si="5">C27-C20</f>
        <v>30270.999999999993</v>
      </c>
      <c r="D36" s="53">
        <f t="shared" si="5"/>
        <v>6144.2999999999993</v>
      </c>
      <c r="E36" s="53">
        <f t="shared" si="5"/>
        <v>-2241.0399999999972</v>
      </c>
      <c r="F36" s="126">
        <f t="shared" si="5"/>
        <v>-11862.890000000003</v>
      </c>
      <c r="G36" s="52">
        <f t="shared" si="5"/>
        <v>-10539.380000000001</v>
      </c>
      <c r="H36" s="53">
        <f t="shared" si="5"/>
        <v>-9597.4200000000019</v>
      </c>
      <c r="I36" s="74">
        <f t="shared" si="5"/>
        <v>-3099.119999999999</v>
      </c>
      <c r="J36" s="141">
        <f t="shared" si="5"/>
        <v>4858.4968800000024</v>
      </c>
      <c r="K36" s="53">
        <f t="shared" si="5"/>
        <v>2488.9983200000024</v>
      </c>
      <c r="L36" s="74">
        <f t="shared" si="5"/>
        <v>-30110.336079999997</v>
      </c>
    </row>
    <row r="37" spans="1:12" x14ac:dyDescent="0.35">
      <c r="A37" s="59" t="s">
        <v>150</v>
      </c>
      <c r="C37" s="118">
        <f t="shared" ref="C37:L37" si="6">C28-C21</f>
        <v>91413.999999999971</v>
      </c>
      <c r="D37" s="53">
        <f t="shared" si="6"/>
        <v>31041.310000000005</v>
      </c>
      <c r="E37" s="53">
        <f t="shared" si="6"/>
        <v>15361.330000000002</v>
      </c>
      <c r="F37" s="126">
        <f t="shared" si="6"/>
        <v>-4567.8000000000029</v>
      </c>
      <c r="G37" s="52">
        <f t="shared" si="6"/>
        <v>-1851.9799999999959</v>
      </c>
      <c r="H37" s="53">
        <f t="shared" si="6"/>
        <v>458.27000000000407</v>
      </c>
      <c r="I37" s="74">
        <f t="shared" si="6"/>
        <v>13343.779999999999</v>
      </c>
      <c r="J37" s="141">
        <f t="shared" si="6"/>
        <v>13823.284679999997</v>
      </c>
      <c r="K37" s="53">
        <f t="shared" si="6"/>
        <v>6768.3208000000013</v>
      </c>
      <c r="L37" s="74">
        <f t="shared" si="6"/>
        <v>-89650.749640000009</v>
      </c>
    </row>
    <row r="38" spans="1:12" x14ac:dyDescent="0.35">
      <c r="A38" s="59" t="s">
        <v>151</v>
      </c>
      <c r="C38" s="118">
        <f t="shared" ref="C38:L38" si="7">C29-C22</f>
        <v>91208.640000000014</v>
      </c>
      <c r="D38" s="53">
        <f t="shared" si="7"/>
        <v>29954.219999999987</v>
      </c>
      <c r="E38" s="53">
        <f t="shared" si="7"/>
        <v>18731.439999999988</v>
      </c>
      <c r="F38" s="126">
        <f t="shared" si="7"/>
        <v>4771.7899999999936</v>
      </c>
      <c r="G38" s="52">
        <f t="shared" si="7"/>
        <v>2693.7299999999959</v>
      </c>
      <c r="H38" s="53">
        <f t="shared" si="7"/>
        <v>415.63999999999942</v>
      </c>
      <c r="I38" s="74">
        <f t="shared" si="7"/>
        <v>8556.0899999999965</v>
      </c>
      <c r="J38" s="141">
        <f t="shared" si="7"/>
        <v>14987.63029999999</v>
      </c>
      <c r="K38" s="53">
        <f t="shared" si="7"/>
        <v>7258.8046499999909</v>
      </c>
      <c r="L38" s="74">
        <f t="shared" si="7"/>
        <v>-98213.831949999993</v>
      </c>
    </row>
    <row r="39" spans="1:12" x14ac:dyDescent="0.35">
      <c r="A39" s="59" t="s">
        <v>152</v>
      </c>
      <c r="C39" s="118">
        <f t="shared" ref="C39:L39" si="8">C30-C23</f>
        <v>9028.9500000000044</v>
      </c>
      <c r="D39" s="53">
        <f t="shared" si="8"/>
        <v>8421.1799999999985</v>
      </c>
      <c r="E39" s="53">
        <f t="shared" si="8"/>
        <v>8096.8299999999981</v>
      </c>
      <c r="F39" s="126">
        <f t="shared" si="8"/>
        <v>2273.1999999999971</v>
      </c>
      <c r="G39" s="52">
        <f t="shared" si="8"/>
        <v>2017.4499999999971</v>
      </c>
      <c r="H39" s="53">
        <f t="shared" si="8"/>
        <v>-635.61000000000058</v>
      </c>
      <c r="I39" s="74">
        <f t="shared" si="8"/>
        <v>-473.38000000000102</v>
      </c>
      <c r="J39" s="141">
        <f t="shared" si="8"/>
        <v>2940.9416899999997</v>
      </c>
      <c r="K39" s="53">
        <f t="shared" si="8"/>
        <v>1394.2484599999989</v>
      </c>
      <c r="L39" s="74">
        <f t="shared" si="8"/>
        <v>-19654.562549999999</v>
      </c>
    </row>
    <row r="40" spans="1:12" x14ac:dyDescent="0.35">
      <c r="C40" s="117"/>
      <c r="D40" s="17"/>
      <c r="E40" s="17"/>
      <c r="F40" s="17"/>
      <c r="G40" s="10"/>
      <c r="H40" s="17"/>
      <c r="I40" s="11"/>
      <c r="J40" s="17"/>
      <c r="K40" s="17"/>
      <c r="L40" s="11"/>
    </row>
    <row r="41" spans="1:12" x14ac:dyDescent="0.35">
      <c r="A41" s="59" t="s">
        <v>55</v>
      </c>
      <c r="C41" s="117"/>
      <c r="D41" s="17"/>
      <c r="E41" s="17"/>
      <c r="F41" s="17"/>
      <c r="G41" s="10"/>
      <c r="H41" s="17"/>
      <c r="I41" s="11"/>
      <c r="J41" s="17"/>
      <c r="K41" s="17"/>
      <c r="L41" s="11"/>
    </row>
    <row r="42" spans="1:12" x14ac:dyDescent="0.35">
      <c r="A42" s="59" t="s">
        <v>26</v>
      </c>
      <c r="B42" s="74">
        <v>2373.09</v>
      </c>
      <c r="C42" s="118">
        <f t="shared" ref="C42:L42" si="9">B42+C35+B50</f>
        <v>114113.07999999999</v>
      </c>
      <c r="D42" s="53">
        <f t="shared" si="9"/>
        <v>152668.41999999998</v>
      </c>
      <c r="E42" s="53">
        <f t="shared" si="9"/>
        <v>150333.43999999997</v>
      </c>
      <c r="F42" s="126">
        <f t="shared" si="9"/>
        <v>91483.549999999974</v>
      </c>
      <c r="G42" s="52">
        <f t="shared" si="9"/>
        <v>47134.379999999976</v>
      </c>
      <c r="H42" s="53">
        <f t="shared" si="9"/>
        <v>19577.629999999968</v>
      </c>
      <c r="I42" s="74">
        <f t="shared" si="9"/>
        <v>44452.089999999953</v>
      </c>
      <c r="J42" s="141">
        <f t="shared" si="9"/>
        <v>76240.43459999995</v>
      </c>
      <c r="K42" s="53">
        <f t="shared" si="9"/>
        <v>64827.696199999948</v>
      </c>
      <c r="L42" s="74">
        <f t="shared" si="9"/>
        <v>-93393.747000000032</v>
      </c>
    </row>
    <row r="43" spans="1:12" x14ac:dyDescent="0.35">
      <c r="A43" s="59" t="s">
        <v>149</v>
      </c>
      <c r="B43" s="74">
        <v>-14823.37</v>
      </c>
      <c r="C43" s="118">
        <f t="shared" ref="C43:L43" si="10">B43+C36+B51</f>
        <v>15447.629999999992</v>
      </c>
      <c r="D43" s="53">
        <f t="shared" si="10"/>
        <v>21534.149999999994</v>
      </c>
      <c r="E43" s="53">
        <f t="shared" si="10"/>
        <v>19315.379999999997</v>
      </c>
      <c r="F43" s="126">
        <f t="shared" si="10"/>
        <v>7476.9099999999944</v>
      </c>
      <c r="G43" s="52">
        <f t="shared" si="10"/>
        <v>-3046.5800000000067</v>
      </c>
      <c r="H43" s="53">
        <f t="shared" si="10"/>
        <v>-12641.390000000009</v>
      </c>
      <c r="I43" s="74">
        <f t="shared" si="10"/>
        <v>-15749.670000000007</v>
      </c>
      <c r="J43" s="141">
        <f t="shared" si="10"/>
        <v>-10907.693120000005</v>
      </c>
      <c r="K43" s="53">
        <f t="shared" si="10"/>
        <v>-8434.2148000000034</v>
      </c>
      <c r="L43" s="74">
        <f t="shared" si="10"/>
        <v>-38555.810880000005</v>
      </c>
    </row>
    <row r="44" spans="1:12" x14ac:dyDescent="0.35">
      <c r="A44" s="59" t="s">
        <v>150</v>
      </c>
      <c r="B44" s="74">
        <v>-17119.240000000002</v>
      </c>
      <c r="C44" s="118">
        <f t="shared" ref="C44:L44" si="11">B44+C37+B52</f>
        <v>74294.759999999966</v>
      </c>
      <c r="D44" s="53">
        <f t="shared" si="11"/>
        <v>105074.15999999997</v>
      </c>
      <c r="E44" s="53">
        <f t="shared" si="11"/>
        <v>120543.53999999998</v>
      </c>
      <c r="F44" s="126">
        <f t="shared" si="11"/>
        <v>116110.58999999998</v>
      </c>
      <c r="G44" s="52">
        <f t="shared" si="11"/>
        <v>114398.93999999999</v>
      </c>
      <c r="H44" s="53">
        <f t="shared" si="11"/>
        <v>114992.84999999999</v>
      </c>
      <c r="I44" s="74">
        <f t="shared" si="11"/>
        <v>128470.7</v>
      </c>
      <c r="J44" s="141">
        <f t="shared" si="11"/>
        <v>142435.72467999998</v>
      </c>
      <c r="K44" s="53">
        <f t="shared" si="11"/>
        <v>149361.75547999996</v>
      </c>
      <c r="L44" s="74">
        <f t="shared" si="11"/>
        <v>59880.875839999957</v>
      </c>
    </row>
    <row r="45" spans="1:12" x14ac:dyDescent="0.35">
      <c r="A45" s="59" t="s">
        <v>151</v>
      </c>
      <c r="B45" s="74">
        <v>-20942.03</v>
      </c>
      <c r="C45" s="118">
        <f t="shared" ref="C45:L45" si="12">B45+C38+B53</f>
        <v>70266.610000000015</v>
      </c>
      <c r="D45" s="53">
        <f t="shared" si="12"/>
        <v>99961.24</v>
      </c>
      <c r="E45" s="53">
        <f t="shared" si="12"/>
        <v>118795.21999999999</v>
      </c>
      <c r="F45" s="126">
        <f t="shared" si="12"/>
        <v>123697.75999999998</v>
      </c>
      <c r="G45" s="52">
        <f t="shared" si="12"/>
        <v>126535.27999999997</v>
      </c>
      <c r="H45" s="53">
        <f t="shared" si="12"/>
        <v>127098.15999999997</v>
      </c>
      <c r="I45" s="74">
        <f t="shared" si="12"/>
        <v>135802.48999999996</v>
      </c>
      <c r="J45" s="141">
        <f t="shared" si="12"/>
        <v>150943.17029999994</v>
      </c>
      <c r="K45" s="53">
        <f t="shared" si="12"/>
        <v>158368.90494999994</v>
      </c>
      <c r="L45" s="74">
        <f t="shared" si="12"/>
        <v>60335.142999999945</v>
      </c>
    </row>
    <row r="46" spans="1:12" x14ac:dyDescent="0.35">
      <c r="A46" s="59" t="s">
        <v>152</v>
      </c>
      <c r="B46" s="74">
        <v>10575.76</v>
      </c>
      <c r="C46" s="118">
        <f>B46+C39+B54</f>
        <v>19604.710000000006</v>
      </c>
      <c r="D46" s="53">
        <f t="shared" ref="D46:L46" si="13">C46+D39+C54</f>
        <v>27946.700000000008</v>
      </c>
      <c r="E46" s="53">
        <f t="shared" si="13"/>
        <v>36072.170000000006</v>
      </c>
      <c r="F46" s="126">
        <f t="shared" si="13"/>
        <v>38383.630000000005</v>
      </c>
      <c r="G46" s="52">
        <f t="shared" si="13"/>
        <v>40445.230000000003</v>
      </c>
      <c r="H46" s="53">
        <f t="shared" si="13"/>
        <v>39856</v>
      </c>
      <c r="I46" s="74">
        <f t="shared" si="13"/>
        <v>39429.549999999996</v>
      </c>
      <c r="J46" s="141">
        <f t="shared" si="13"/>
        <v>42416.651689999999</v>
      </c>
      <c r="K46" s="53">
        <f t="shared" si="13"/>
        <v>43858.550150000003</v>
      </c>
      <c r="L46" s="74">
        <f t="shared" si="13"/>
        <v>24254.217600000004</v>
      </c>
    </row>
    <row r="47" spans="1:12" x14ac:dyDescent="0.35">
      <c r="C47" s="117"/>
      <c r="D47" s="17"/>
      <c r="E47" s="17"/>
      <c r="F47" s="17"/>
      <c r="G47" s="10"/>
      <c r="H47" s="17"/>
      <c r="I47" s="11"/>
      <c r="J47" s="17"/>
      <c r="K47" s="17"/>
      <c r="L47" s="11"/>
    </row>
    <row r="48" spans="1:12" x14ac:dyDescent="0.35">
      <c r="A48" s="51" t="s">
        <v>93</v>
      </c>
      <c r="B48" s="51"/>
      <c r="C48" s="122"/>
      <c r="D48" s="98">
        <f>+'PCR Cycle 2'!D50</f>
        <v>1.20652E-3</v>
      </c>
      <c r="E48" s="98">
        <f>+'PCR Cycle 2'!E50</f>
        <v>1.1948200000000001E-3</v>
      </c>
      <c r="F48" s="98">
        <f>+'PCR Cycle 2'!F50</f>
        <v>1.1852799999999999E-3</v>
      </c>
      <c r="G48" s="99">
        <f>+'PCR Cycle 2'!G50</f>
        <v>1.17614E-3</v>
      </c>
      <c r="H48" s="98">
        <f>+'PCR Cycle 2'!H50</f>
        <v>1.1682400000000001E-3</v>
      </c>
      <c r="I48" s="110">
        <f>+'PCR Cycle 2'!I50</f>
        <v>1.1636999999999999E-3</v>
      </c>
      <c r="J48" s="98">
        <f>+'PCR Cycle 2'!J50</f>
        <v>1.1636999999999999E-3</v>
      </c>
      <c r="K48" s="98">
        <f>+'PCR Cycle 2'!K50</f>
        <v>1.1636999999999999E-3</v>
      </c>
      <c r="L48" s="100"/>
    </row>
    <row r="49" spans="1:12" x14ac:dyDescent="0.35">
      <c r="A49" s="51" t="s">
        <v>39</v>
      </c>
      <c r="B49" s="51"/>
      <c r="C49" s="124"/>
      <c r="D49" s="98"/>
      <c r="E49" s="98"/>
      <c r="F49" s="98"/>
      <c r="G49" s="99"/>
      <c r="H49" s="98"/>
      <c r="I49" s="100"/>
      <c r="J49" s="98"/>
      <c r="K49" s="98"/>
      <c r="L49" s="100"/>
    </row>
    <row r="50" spans="1:12" x14ac:dyDescent="0.35">
      <c r="A50" s="59" t="s">
        <v>26</v>
      </c>
      <c r="C50" s="118">
        <v>-478.76</v>
      </c>
      <c r="D50" s="53">
        <f t="shared" ref="D50:L50" si="14">ROUND((C42+C50+D35/2)*D$48,2)</f>
        <v>160.65</v>
      </c>
      <c r="E50" s="53">
        <f t="shared" si="14"/>
        <v>181.11</v>
      </c>
      <c r="F50" s="126">
        <f t="shared" si="14"/>
        <v>143.41999999999999</v>
      </c>
      <c r="G50" s="52">
        <f t="shared" si="14"/>
        <v>81.599999999999994</v>
      </c>
      <c r="H50" s="141">
        <f t="shared" si="14"/>
        <v>39.020000000000003</v>
      </c>
      <c r="I50" s="62">
        <f t="shared" si="14"/>
        <v>37.28</v>
      </c>
      <c r="J50" s="183">
        <f t="shared" si="14"/>
        <v>70.25</v>
      </c>
      <c r="K50" s="126">
        <f t="shared" si="14"/>
        <v>82.12</v>
      </c>
      <c r="L50" s="74">
        <f t="shared" si="14"/>
        <v>0</v>
      </c>
    </row>
    <row r="51" spans="1:12" x14ac:dyDescent="0.35">
      <c r="A51" s="59" t="s">
        <v>149</v>
      </c>
      <c r="C51" s="118">
        <v>-57.78</v>
      </c>
      <c r="D51" s="53">
        <f t="shared" ref="D51:L51" si="15">ROUND((C43+C51+D36/2)*D$48,2)</f>
        <v>22.27</v>
      </c>
      <c r="E51" s="53">
        <f t="shared" si="15"/>
        <v>24.42</v>
      </c>
      <c r="F51" s="126">
        <f t="shared" si="15"/>
        <v>15.89</v>
      </c>
      <c r="G51" s="52">
        <f t="shared" si="15"/>
        <v>2.61</v>
      </c>
      <c r="H51" s="141">
        <f t="shared" si="15"/>
        <v>-9.16</v>
      </c>
      <c r="I51" s="62">
        <f t="shared" si="15"/>
        <v>-16.52</v>
      </c>
      <c r="J51" s="183">
        <f t="shared" si="15"/>
        <v>-15.52</v>
      </c>
      <c r="K51" s="126">
        <f t="shared" si="15"/>
        <v>-11.26</v>
      </c>
      <c r="L51" s="74">
        <f t="shared" si="15"/>
        <v>0</v>
      </c>
    </row>
    <row r="52" spans="1:12" x14ac:dyDescent="0.35">
      <c r="A52" s="59" t="s">
        <v>150</v>
      </c>
      <c r="C52" s="118">
        <v>-261.90999999999997</v>
      </c>
      <c r="D52" s="53">
        <f t="shared" ref="D52:L52" si="16">ROUND((C44+C52+D37/2)*D$48,2)</f>
        <v>108.05</v>
      </c>
      <c r="E52" s="53">
        <f t="shared" si="16"/>
        <v>134.85</v>
      </c>
      <c r="F52" s="126">
        <f t="shared" si="16"/>
        <v>140.33000000000001</v>
      </c>
      <c r="G52" s="52">
        <f t="shared" si="16"/>
        <v>135.63999999999999</v>
      </c>
      <c r="H52" s="141">
        <f t="shared" si="16"/>
        <v>134.07</v>
      </c>
      <c r="I52" s="62">
        <f t="shared" si="16"/>
        <v>141.74</v>
      </c>
      <c r="J52" s="183">
        <f t="shared" si="16"/>
        <v>157.71</v>
      </c>
      <c r="K52" s="126">
        <f t="shared" si="16"/>
        <v>169.87</v>
      </c>
      <c r="L52" s="74">
        <f t="shared" si="16"/>
        <v>0</v>
      </c>
    </row>
    <row r="53" spans="1:12" x14ac:dyDescent="0.35">
      <c r="A53" s="59" t="s">
        <v>151</v>
      </c>
      <c r="C53" s="118">
        <v>-259.58999999999997</v>
      </c>
      <c r="D53" s="53">
        <f t="shared" ref="D53:L53" si="17">ROUND((C45+C53+D38/2)*D$48,2)</f>
        <v>102.54</v>
      </c>
      <c r="E53" s="53">
        <f t="shared" si="17"/>
        <v>130.75</v>
      </c>
      <c r="F53" s="126">
        <f t="shared" si="17"/>
        <v>143.79</v>
      </c>
      <c r="G53" s="52">
        <f t="shared" si="17"/>
        <v>147.24</v>
      </c>
      <c r="H53" s="141">
        <f t="shared" si="17"/>
        <v>148.24</v>
      </c>
      <c r="I53" s="62">
        <f t="shared" si="17"/>
        <v>153.05000000000001</v>
      </c>
      <c r="J53" s="183">
        <f t="shared" si="17"/>
        <v>166.93</v>
      </c>
      <c r="K53" s="126">
        <f t="shared" si="17"/>
        <v>180.07</v>
      </c>
      <c r="L53" s="74">
        <f t="shared" si="17"/>
        <v>0</v>
      </c>
    </row>
    <row r="54" spans="1:12" ht="15" thickBot="1" x14ac:dyDescent="0.4">
      <c r="A54" s="59" t="s">
        <v>152</v>
      </c>
      <c r="C54" s="118">
        <v>-79.19</v>
      </c>
      <c r="D54" s="53">
        <f t="shared" ref="D54:L54" si="18">ROUND((C46+C54+D39/2)*D$48,2)</f>
        <v>28.64</v>
      </c>
      <c r="E54" s="53">
        <f t="shared" si="18"/>
        <v>38.26</v>
      </c>
      <c r="F54" s="126">
        <f t="shared" si="18"/>
        <v>44.15</v>
      </c>
      <c r="G54" s="52">
        <f t="shared" si="18"/>
        <v>46.38</v>
      </c>
      <c r="H54" s="141">
        <f t="shared" si="18"/>
        <v>46.93</v>
      </c>
      <c r="I54" s="62">
        <f t="shared" si="18"/>
        <v>46.16</v>
      </c>
      <c r="J54" s="183">
        <f t="shared" si="18"/>
        <v>47.65</v>
      </c>
      <c r="K54" s="126">
        <f t="shared" si="18"/>
        <v>50.23</v>
      </c>
      <c r="L54" s="74">
        <f t="shared" si="18"/>
        <v>0</v>
      </c>
    </row>
    <row r="55" spans="1:12" ht="15.5" thickTop="1" thickBot="1" x14ac:dyDescent="0.4">
      <c r="A55" s="67" t="s">
        <v>24</v>
      </c>
      <c r="B55" s="67"/>
      <c r="C55" s="125">
        <v>0</v>
      </c>
      <c r="D55" s="54">
        <f t="shared" ref="D55:I55" si="19">SUM(D50:D54)+SUM(D42:D46)-D58</f>
        <v>0</v>
      </c>
      <c r="E55" s="54">
        <f t="shared" si="19"/>
        <v>0</v>
      </c>
      <c r="F55" s="63">
        <f t="shared" ref="F55:H55" si="20">SUM(F50:F54)+SUM(F42:F46)-F58</f>
        <v>0</v>
      </c>
      <c r="G55" s="165">
        <f t="shared" si="20"/>
        <v>0</v>
      </c>
      <c r="H55" s="63">
        <f t="shared" si="20"/>
        <v>0</v>
      </c>
      <c r="I55" s="75">
        <f t="shared" si="19"/>
        <v>0</v>
      </c>
      <c r="J55" s="184">
        <f t="shared" ref="J55:L55" si="21">SUM(J50:J54)+SUM(J42:J46)-J58</f>
        <v>0</v>
      </c>
      <c r="K55" s="63">
        <f t="shared" si="21"/>
        <v>0</v>
      </c>
      <c r="L55" s="75">
        <f t="shared" si="21"/>
        <v>1.3824319466948509E-10</v>
      </c>
    </row>
    <row r="56" spans="1:12" ht="15.5" thickTop="1" thickBot="1" x14ac:dyDescent="0.4">
      <c r="A56" s="67" t="s">
        <v>25</v>
      </c>
      <c r="B56" s="67"/>
      <c r="C56" s="125">
        <v>0</v>
      </c>
      <c r="D56" s="54">
        <f t="shared" ref="D56:I56" si="22">SUM(D50:D54)-D32</f>
        <v>1.0000000000047748E-2</v>
      </c>
      <c r="E56" s="54">
        <f t="shared" si="22"/>
        <v>0</v>
      </c>
      <c r="F56" s="63">
        <f t="shared" ref="F56:H56" si="23">SUM(F50:F54)-F32</f>
        <v>0</v>
      </c>
      <c r="G56" s="165">
        <f t="shared" si="23"/>
        <v>-1.0000000000047748E-2</v>
      </c>
      <c r="H56" s="63">
        <f t="shared" si="23"/>
        <v>0</v>
      </c>
      <c r="I56" s="75">
        <f t="shared" si="22"/>
        <v>9.9999999999909051E-3</v>
      </c>
      <c r="J56" s="185">
        <f t="shared" ref="J56:L56" si="24">SUM(J50:J54)-J32</f>
        <v>5.2499999999999432</v>
      </c>
      <c r="K56" s="54">
        <f t="shared" si="24"/>
        <v>18.909999999999968</v>
      </c>
      <c r="L56" s="54">
        <f t="shared" si="24"/>
        <v>0</v>
      </c>
    </row>
    <row r="57" spans="1:12" ht="15.5" thickTop="1" thickBot="1" x14ac:dyDescent="0.4">
      <c r="C57" s="117"/>
      <c r="D57" s="17"/>
      <c r="E57" s="17"/>
      <c r="F57" s="17"/>
      <c r="G57" s="10"/>
      <c r="H57" s="17"/>
      <c r="I57" s="11"/>
      <c r="J57" s="17"/>
      <c r="K57" s="17"/>
      <c r="L57" s="11"/>
    </row>
    <row r="58" spans="1:12" ht="15" thickBot="1" x14ac:dyDescent="0.4">
      <c r="A58" s="59" t="s">
        <v>38</v>
      </c>
      <c r="B58" s="137">
        <f>SUM(B42:B46)</f>
        <v>-39935.79</v>
      </c>
      <c r="C58" s="118">
        <f t="shared" ref="C58:L58" si="25">(C16-SUM(C19:C23))+SUM(C50:C54)+B58</f>
        <v>292589.56</v>
      </c>
      <c r="D58" s="53">
        <f t="shared" si="25"/>
        <v>407606.81999999995</v>
      </c>
      <c r="E58" s="53">
        <f t="shared" si="25"/>
        <v>445569.1399999999</v>
      </c>
      <c r="F58" s="126">
        <f t="shared" si="25"/>
        <v>377640.0199999999</v>
      </c>
      <c r="G58" s="52">
        <f t="shared" si="25"/>
        <v>325880.71999999986</v>
      </c>
      <c r="H58" s="53">
        <f t="shared" si="25"/>
        <v>289242.3499999998</v>
      </c>
      <c r="I58" s="74">
        <f t="shared" si="25"/>
        <v>332766.86999999976</v>
      </c>
      <c r="J58" s="183">
        <f t="shared" si="25"/>
        <v>401555.30814999971</v>
      </c>
      <c r="K58" s="126">
        <f t="shared" si="25"/>
        <v>408453.72197999968</v>
      </c>
      <c r="L58" s="74">
        <f t="shared" si="25"/>
        <v>12520.678559999738</v>
      </c>
    </row>
    <row r="59" spans="1:12" x14ac:dyDescent="0.35">
      <c r="A59" s="59" t="s">
        <v>14</v>
      </c>
      <c r="C59" s="138"/>
      <c r="D59" s="17"/>
      <c r="E59" s="17"/>
      <c r="F59" s="17"/>
      <c r="G59" s="10"/>
      <c r="H59" s="17"/>
      <c r="I59" s="11"/>
      <c r="J59" s="17"/>
      <c r="K59" s="17"/>
      <c r="L59" s="11"/>
    </row>
    <row r="60" spans="1:12" ht="15" thickBot="1" x14ac:dyDescent="0.4">
      <c r="A60" s="49"/>
      <c r="B60" s="49"/>
      <c r="C60" s="166"/>
      <c r="D60" s="56"/>
      <c r="E60" s="56"/>
      <c r="F60" s="56"/>
      <c r="G60" s="55"/>
      <c r="H60" s="56"/>
      <c r="I60" s="57"/>
      <c r="J60" s="56"/>
      <c r="K60" s="56"/>
      <c r="L60" s="57"/>
    </row>
    <row r="62" spans="1:12" x14ac:dyDescent="0.35">
      <c r="A62" s="82" t="s">
        <v>13</v>
      </c>
      <c r="B62" s="82"/>
      <c r="C62" s="82"/>
    </row>
    <row r="63" spans="1:12" ht="31.5" customHeight="1" x14ac:dyDescent="0.35">
      <c r="A63" s="302" t="s">
        <v>159</v>
      </c>
      <c r="B63" s="302"/>
      <c r="C63" s="302"/>
      <c r="D63" s="302"/>
      <c r="E63" s="302"/>
      <c r="F63" s="302"/>
      <c r="G63" s="302"/>
      <c r="H63" s="302"/>
      <c r="I63" s="302"/>
      <c r="J63" s="260"/>
      <c r="K63" s="260"/>
      <c r="L63" s="260"/>
    </row>
    <row r="64" spans="1:12" ht="45" customHeight="1" x14ac:dyDescent="0.35">
      <c r="A64" s="302" t="s">
        <v>199</v>
      </c>
      <c r="B64" s="302"/>
      <c r="C64" s="302"/>
      <c r="D64" s="302"/>
      <c r="E64" s="302"/>
      <c r="F64" s="302"/>
      <c r="G64" s="302"/>
      <c r="H64" s="302"/>
      <c r="I64" s="302"/>
      <c r="J64" s="260"/>
      <c r="K64" s="260"/>
    </row>
    <row r="65" spans="1:12" ht="18.75" customHeight="1" x14ac:dyDescent="0.35">
      <c r="A65" s="302" t="s">
        <v>180</v>
      </c>
      <c r="B65" s="302"/>
      <c r="C65" s="302"/>
      <c r="D65" s="302"/>
      <c r="E65" s="302"/>
      <c r="F65" s="302"/>
      <c r="G65" s="302"/>
      <c r="H65" s="302"/>
      <c r="I65" s="302"/>
      <c r="J65" s="260"/>
      <c r="K65" s="260"/>
      <c r="L65" s="260"/>
    </row>
    <row r="66" spans="1:12" x14ac:dyDescent="0.35">
      <c r="A66" s="76" t="s">
        <v>33</v>
      </c>
      <c r="B66" s="76"/>
      <c r="C66" s="76"/>
      <c r="D66" s="51"/>
      <c r="E66" s="51"/>
      <c r="F66" s="51"/>
      <c r="G66" s="51"/>
      <c r="H66" s="51"/>
      <c r="I66" s="51"/>
    </row>
    <row r="67" spans="1:12" x14ac:dyDescent="0.35">
      <c r="A67" s="76" t="s">
        <v>188</v>
      </c>
      <c r="B67" s="76"/>
      <c r="C67" s="76"/>
      <c r="D67" s="51"/>
      <c r="E67" s="51"/>
      <c r="F67" s="51"/>
      <c r="G67" s="51"/>
      <c r="H67" s="51"/>
      <c r="I67" s="51"/>
    </row>
    <row r="68" spans="1:12" x14ac:dyDescent="0.35">
      <c r="A68" s="76" t="s">
        <v>105</v>
      </c>
      <c r="B68" s="76"/>
      <c r="C68" s="76"/>
      <c r="D68" s="51"/>
      <c r="E68" s="51"/>
      <c r="F68" s="51"/>
      <c r="G68" s="51"/>
      <c r="H68" s="51"/>
      <c r="I68" s="51"/>
    </row>
    <row r="69" spans="1:12" x14ac:dyDescent="0.35">
      <c r="A69" s="3"/>
      <c r="B69" s="3"/>
      <c r="C69" s="3"/>
    </row>
  </sheetData>
  <mergeCells count="6">
    <mergeCell ref="A65:I65"/>
    <mergeCell ref="D14:F14"/>
    <mergeCell ref="G14:I14"/>
    <mergeCell ref="J14:L14"/>
    <mergeCell ref="A63:I63"/>
    <mergeCell ref="A64:I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4"/>
  <sheetViews>
    <sheetView workbookViewId="0">
      <selection activeCell="E14" sqref="E14"/>
    </sheetView>
  </sheetViews>
  <sheetFormatPr defaultColWidth="9.1796875" defaultRowHeight="14.5" x14ac:dyDescent="0.35"/>
  <cols>
    <col min="1" max="1" width="43.1796875" style="59" customWidth="1"/>
    <col min="2" max="2" width="14.26953125" style="59" bestFit="1" customWidth="1"/>
    <col min="3" max="3" width="14.26953125" style="59" customWidth="1"/>
    <col min="4" max="4" width="13.26953125" style="59" bestFit="1" customWidth="1"/>
    <col min="5" max="16384" width="9.1796875" style="59"/>
  </cols>
  <sheetData>
    <row r="1" spans="1:5" x14ac:dyDescent="0.35">
      <c r="A1" s="76" t="str">
        <f>+'PPC Cycle 2'!A1</f>
        <v>Evergy Metro, Inc. - DSIM Rider Update Filed 12/01/2020</v>
      </c>
    </row>
    <row r="2" spans="1:5" x14ac:dyDescent="0.35">
      <c r="A2" s="9" t="str">
        <f>+'PPC Cycle 2'!A2</f>
        <v>Projections for Cycle 2 November 2020 - December 2021 DSIM</v>
      </c>
    </row>
    <row r="3" spans="1:5" ht="45.75" customHeight="1" x14ac:dyDescent="0.35">
      <c r="B3" s="293" t="s">
        <v>107</v>
      </c>
      <c r="C3" s="293"/>
      <c r="D3" s="293"/>
    </row>
    <row r="4" spans="1:5" x14ac:dyDescent="0.35">
      <c r="B4" s="83"/>
      <c r="C4" s="83"/>
      <c r="D4" s="61" t="s">
        <v>19</v>
      </c>
    </row>
    <row r="5" spans="1:5" x14ac:dyDescent="0.35">
      <c r="A5" s="21" t="s">
        <v>88</v>
      </c>
      <c r="B5" s="83"/>
      <c r="C5" s="83"/>
      <c r="D5" s="212">
        <f>+D24</f>
        <v>0</v>
      </c>
    </row>
    <row r="6" spans="1:5" x14ac:dyDescent="0.35">
      <c r="A6" s="21" t="s">
        <v>89</v>
      </c>
      <c r="B6" s="83"/>
      <c r="C6" s="83"/>
      <c r="D6" s="212">
        <f>+D34</f>
        <v>0</v>
      </c>
    </row>
    <row r="7" spans="1:5" ht="29" x14ac:dyDescent="0.35">
      <c r="A7" s="21"/>
      <c r="B7" s="83"/>
      <c r="C7" s="83" t="s">
        <v>99</v>
      </c>
      <c r="D7" s="172"/>
    </row>
    <row r="8" spans="1:5" x14ac:dyDescent="0.35">
      <c r="A8" s="21" t="s">
        <v>26</v>
      </c>
      <c r="B8" s="83"/>
      <c r="C8" s="211">
        <v>0.5</v>
      </c>
      <c r="D8" s="241">
        <f>ROUND(SUM(D5:D6)*C8,2)</f>
        <v>0</v>
      </c>
      <c r="E8" s="4"/>
    </row>
    <row r="9" spans="1:5" x14ac:dyDescent="0.35">
      <c r="A9" s="21" t="s">
        <v>27</v>
      </c>
      <c r="B9" s="83"/>
      <c r="C9" s="211">
        <v>0.5</v>
      </c>
      <c r="D9" s="241">
        <f>ROUND(SUM(D5:D6)*C9,2)</f>
        <v>0</v>
      </c>
      <c r="E9" s="4"/>
    </row>
    <row r="10" spans="1:5" ht="15" thickBot="1" x14ac:dyDescent="0.4">
      <c r="A10" s="21" t="s">
        <v>6</v>
      </c>
      <c r="B10" s="83"/>
      <c r="C10" s="211">
        <f>SUM(C8:C9)</f>
        <v>1</v>
      </c>
      <c r="D10" s="242">
        <f>SUM(D8:D9)</f>
        <v>0</v>
      </c>
      <c r="E10" s="4"/>
    </row>
    <row r="11" spans="1:5" ht="15.5" thickTop="1" thickBot="1" x14ac:dyDescent="0.4">
      <c r="B11" s="32"/>
      <c r="C11" s="32"/>
      <c r="D11" s="243">
        <f>ROUND(D5+D6,2)-D10</f>
        <v>0</v>
      </c>
      <c r="E11" s="2"/>
    </row>
    <row r="12" spans="1:5" ht="58.5" thickTop="1" x14ac:dyDescent="0.35">
      <c r="D12" s="253"/>
      <c r="E12" s="252" t="s">
        <v>124</v>
      </c>
    </row>
    <row r="13" spans="1:5" x14ac:dyDescent="0.35">
      <c r="A13" s="21" t="s">
        <v>120</v>
      </c>
      <c r="D13" s="35">
        <f>ROUND($D$9*E13,2)</f>
        <v>0</v>
      </c>
      <c r="E13" s="250">
        <f>+'PPC Cycle 2'!D10</f>
        <v>0.13576441564001979</v>
      </c>
    </row>
    <row r="14" spans="1:5" x14ac:dyDescent="0.35">
      <c r="A14" s="21" t="s">
        <v>121</v>
      </c>
      <c r="D14" s="35">
        <f t="shared" ref="D14:D16" si="0">ROUND($D$9*E14,2)</f>
        <v>0</v>
      </c>
      <c r="E14" s="250">
        <f>+'PPC Cycle 2'!D11</f>
        <v>0.35611574316442379</v>
      </c>
    </row>
    <row r="15" spans="1:5" x14ac:dyDescent="0.35">
      <c r="A15" s="21" t="s">
        <v>122</v>
      </c>
      <c r="D15" s="35">
        <f t="shared" si="0"/>
        <v>0</v>
      </c>
      <c r="E15" s="250">
        <f>+'PPC Cycle 2'!D12</f>
        <v>0.4183185730547726</v>
      </c>
    </row>
    <row r="16" spans="1:5" ht="15" thickBot="1" x14ac:dyDescent="0.4">
      <c r="A16" s="21" t="s">
        <v>123</v>
      </c>
      <c r="D16" s="35">
        <f t="shared" si="0"/>
        <v>0</v>
      </c>
      <c r="E16" s="250">
        <f>+'PPC Cycle 2'!D13</f>
        <v>8.9801268140783777E-2</v>
      </c>
    </row>
    <row r="17" spans="1:5" ht="15.5" thickTop="1" thickBot="1" x14ac:dyDescent="0.4">
      <c r="A17" s="21" t="s">
        <v>125</v>
      </c>
      <c r="D17" s="39">
        <f>SUM(D13:D16)</f>
        <v>0</v>
      </c>
      <c r="E17" s="251">
        <f>SUM(E13:E16)</f>
        <v>1</v>
      </c>
    </row>
    <row r="18" spans="1:5" ht="15" thickTop="1" x14ac:dyDescent="0.35"/>
    <row r="19" spans="1:5" x14ac:dyDescent="0.35">
      <c r="A19" s="66" t="s">
        <v>13</v>
      </c>
    </row>
    <row r="20" spans="1:5" s="51" customFormat="1" x14ac:dyDescent="0.35">
      <c r="A20" s="3" t="s">
        <v>109</v>
      </c>
      <c r="B20" s="59"/>
      <c r="C20" s="59"/>
      <c r="D20" s="59"/>
    </row>
    <row r="21" spans="1:5" s="51" customFormat="1" x14ac:dyDescent="0.35">
      <c r="A21" s="3" t="s">
        <v>100</v>
      </c>
      <c r="B21" s="59"/>
      <c r="C21" s="59"/>
      <c r="D21" s="59"/>
    </row>
    <row r="22" spans="1:5" s="51" customFormat="1" x14ac:dyDescent="0.35">
      <c r="A22" s="3" t="s">
        <v>110</v>
      </c>
      <c r="B22" s="59"/>
      <c r="C22" s="59"/>
      <c r="D22" s="59"/>
    </row>
    <row r="24" spans="1:5" x14ac:dyDescent="0.35">
      <c r="A24" s="3" t="s">
        <v>108</v>
      </c>
      <c r="D24" s="213">
        <v>0</v>
      </c>
    </row>
    <row r="25" spans="1:5" x14ac:dyDescent="0.35">
      <c r="D25" s="213"/>
    </row>
    <row r="26" spans="1:5" ht="43.5" x14ac:dyDescent="0.35">
      <c r="B26" s="83" t="s">
        <v>101</v>
      </c>
      <c r="D26" s="213"/>
    </row>
    <row r="27" spans="1:5" x14ac:dyDescent="0.35">
      <c r="A27" s="238"/>
      <c r="B27" s="239"/>
      <c r="D27" s="213">
        <f>ROUND(SUM(D$24:D26)*B27,2)</f>
        <v>0</v>
      </c>
    </row>
    <row r="28" spans="1:5" x14ac:dyDescent="0.35">
      <c r="A28" s="238"/>
      <c r="B28" s="239"/>
      <c r="D28" s="213">
        <f>ROUND(SUM(D$24:D27)*B28,2)</f>
        <v>0</v>
      </c>
    </row>
    <row r="29" spans="1:5" x14ac:dyDescent="0.35">
      <c r="A29" s="238"/>
      <c r="B29" s="239"/>
      <c r="D29" s="213">
        <f>ROUND(SUM(D$24:D28)*B29,2)</f>
        <v>0</v>
      </c>
    </row>
    <row r="30" spans="1:5" x14ac:dyDescent="0.35">
      <c r="A30" s="238"/>
      <c r="B30" s="239"/>
      <c r="D30" s="213">
        <f>ROUND(SUM(D$24:D29)*B30,2)</f>
        <v>0</v>
      </c>
    </row>
    <row r="31" spans="1:5" x14ac:dyDescent="0.35">
      <c r="A31" s="238"/>
      <c r="B31" s="214"/>
      <c r="D31" s="213">
        <f>ROUND(SUM(D$24:D30)*B31,2)</f>
        <v>0</v>
      </c>
    </row>
    <row r="32" spans="1:5" x14ac:dyDescent="0.35">
      <c r="A32" s="238"/>
      <c r="B32" s="214"/>
      <c r="D32" s="213">
        <f>ROUND(SUM(D$24:D31)*B32,2)</f>
        <v>0</v>
      </c>
    </row>
    <row r="33" spans="1:4" ht="16" x14ac:dyDescent="0.5">
      <c r="A33" s="238"/>
      <c r="B33" s="214"/>
      <c r="D33" s="240">
        <f>ROUND(SUM(D$24:D32)*B33,2)</f>
        <v>0</v>
      </c>
    </row>
    <row r="34" spans="1:4" x14ac:dyDescent="0.35">
      <c r="A34" s="238"/>
      <c r="D34" s="213">
        <f>SUM(D27:D33)</f>
        <v>0</v>
      </c>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topLeftCell="A19" workbookViewId="0">
      <selection activeCell="F9" sqref="F9"/>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453125" style="59" customWidth="1"/>
    <col min="11" max="11" width="12.81640625" style="59" customWidth="1"/>
    <col min="12" max="12" width="16" style="59" customWidth="1"/>
    <col min="13" max="13" width="15" style="59" bestFit="1" customWidth="1"/>
    <col min="14" max="14" width="16" style="59" bestFit="1" customWidth="1"/>
    <col min="15" max="15" width="17.81640625" style="59"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Metro, Inc. - DSIM Rider Update Filed 12/01/2020</v>
      </c>
      <c r="B1" s="3"/>
      <c r="C1" s="3"/>
    </row>
    <row r="2" spans="1:35" x14ac:dyDescent="0.35">
      <c r="D2" s="3" t="s">
        <v>106</v>
      </c>
    </row>
    <row r="3" spans="1:35" ht="29" x14ac:dyDescent="0.35">
      <c r="D3" s="61" t="s">
        <v>48</v>
      </c>
      <c r="E3" s="83" t="s">
        <v>19</v>
      </c>
      <c r="F3" s="61" t="s">
        <v>3</v>
      </c>
      <c r="G3" s="83" t="s">
        <v>57</v>
      </c>
      <c r="H3" s="61" t="s">
        <v>11</v>
      </c>
      <c r="I3" s="61" t="s">
        <v>20</v>
      </c>
      <c r="S3" s="61"/>
    </row>
    <row r="4" spans="1:35" x14ac:dyDescent="0.35">
      <c r="A4" s="21" t="s">
        <v>26</v>
      </c>
      <c r="B4" s="21"/>
      <c r="C4" s="21"/>
      <c r="D4" s="23">
        <f>SUM(C19:L19)</f>
        <v>0</v>
      </c>
      <c r="E4" s="23">
        <f>SUM(C23:K23)</f>
        <v>0</v>
      </c>
      <c r="F4" s="23">
        <f>E4-D4</f>
        <v>0</v>
      </c>
      <c r="G4" s="23">
        <f>+B33</f>
        <v>0</v>
      </c>
      <c r="H4" s="23">
        <f>SUM(C38:K38)</f>
        <v>0</v>
      </c>
      <c r="I4" s="35">
        <f>SUM(F4:H4)</f>
        <v>0</v>
      </c>
      <c r="J4" s="60">
        <f>+I4-L33</f>
        <v>0</v>
      </c>
      <c r="M4" s="60"/>
    </row>
    <row r="5" spans="1:35" ht="15" thickBot="1" x14ac:dyDescent="0.4">
      <c r="A5" s="21" t="s">
        <v>27</v>
      </c>
      <c r="B5" s="21"/>
      <c r="C5" s="21"/>
      <c r="D5" s="23">
        <f>SUM(C20:L20)</f>
        <v>0</v>
      </c>
      <c r="E5" s="23">
        <f>SUM(C24:K24)</f>
        <v>0</v>
      </c>
      <c r="F5" s="23">
        <f>E5-D5</f>
        <v>0</v>
      </c>
      <c r="G5" s="23">
        <f>+B34</f>
        <v>0</v>
      </c>
      <c r="H5" s="23">
        <f>SUM(C39:K39)</f>
        <v>0</v>
      </c>
      <c r="I5" s="35">
        <f>SUM(F5:H5)</f>
        <v>0</v>
      </c>
      <c r="J5" s="60">
        <f>+I5-L34</f>
        <v>0</v>
      </c>
      <c r="M5" s="60"/>
    </row>
    <row r="6" spans="1:35" ht="15.5" thickTop="1" thickBot="1" x14ac:dyDescent="0.4">
      <c r="D6" s="39">
        <f t="shared" ref="D6" si="0">SUM(D4:D5)</f>
        <v>0</v>
      </c>
      <c r="E6" s="39">
        <f>SUM(E4:E5)</f>
        <v>0</v>
      </c>
      <c r="F6" s="39">
        <f>SUM(F4:F5)</f>
        <v>0</v>
      </c>
      <c r="G6" s="39">
        <f>SUM(G4:G5)</f>
        <v>0</v>
      </c>
      <c r="H6" s="39">
        <f>SUM(H4:H5)</f>
        <v>0</v>
      </c>
      <c r="I6" s="39">
        <f>SUM(I4:I5)</f>
        <v>0</v>
      </c>
      <c r="T6" s="5"/>
    </row>
    <row r="7" spans="1:35" ht="44" thickTop="1" x14ac:dyDescent="0.35">
      <c r="I7" s="253"/>
      <c r="J7" s="252" t="s">
        <v>137</v>
      </c>
    </row>
    <row r="8" spans="1:35" x14ac:dyDescent="0.35">
      <c r="A8" s="21" t="s">
        <v>120</v>
      </c>
      <c r="I8" s="35">
        <f>ROUND($I$5*J8,2)</f>
        <v>0</v>
      </c>
      <c r="J8" s="250">
        <v>0</v>
      </c>
    </row>
    <row r="9" spans="1:35" x14ac:dyDescent="0.35">
      <c r="A9" s="21" t="s">
        <v>121</v>
      </c>
      <c r="I9" s="35">
        <f t="shared" ref="I9:I11" si="1">ROUND($I$5*J9,2)</f>
        <v>0</v>
      </c>
      <c r="J9" s="250">
        <v>0</v>
      </c>
    </row>
    <row r="10" spans="1:35" x14ac:dyDescent="0.35">
      <c r="A10" s="21" t="s">
        <v>122</v>
      </c>
      <c r="I10" s="35">
        <f t="shared" si="1"/>
        <v>0</v>
      </c>
      <c r="J10" s="250">
        <v>0</v>
      </c>
    </row>
    <row r="11" spans="1:35" ht="15" thickBot="1" x14ac:dyDescent="0.4">
      <c r="A11" s="21" t="s">
        <v>123</v>
      </c>
      <c r="I11" s="35">
        <f t="shared" si="1"/>
        <v>0</v>
      </c>
      <c r="J11" s="250">
        <v>0</v>
      </c>
    </row>
    <row r="12" spans="1:35" ht="15.5" thickTop="1" thickBot="1" x14ac:dyDescent="0.4">
      <c r="A12" s="21" t="s">
        <v>125</v>
      </c>
      <c r="I12" s="39">
        <f>SUM(I8:I11)</f>
        <v>0</v>
      </c>
      <c r="J12" s="251">
        <f>SUM(J8:J11)</f>
        <v>0</v>
      </c>
      <c r="V12" s="4"/>
    </row>
    <row r="13" spans="1:35" ht="15.5" thickTop="1" thickBot="1" x14ac:dyDescent="0.4">
      <c r="V13" s="4"/>
      <c r="W13" s="5"/>
    </row>
    <row r="14" spans="1:35" ht="102" thickBot="1" x14ac:dyDescent="0.4">
      <c r="B14" s="136" t="str">
        <f>+'PCR Cycle 2'!B14</f>
        <v>Cumulative Over/Under Carryover From 06/01/2020 Filing</v>
      </c>
      <c r="C14" s="171" t="str">
        <f>+'PCR Cycle 2'!C14</f>
        <v>Reverse May 2020 - July 2020  Forecast From 06/01/2020 Filing</v>
      </c>
      <c r="D14" s="303" t="s">
        <v>35</v>
      </c>
      <c r="E14" s="303"/>
      <c r="F14" s="304"/>
      <c r="G14" s="305" t="s">
        <v>35</v>
      </c>
      <c r="H14" s="306"/>
      <c r="I14" s="307"/>
      <c r="J14" s="299" t="s">
        <v>9</v>
      </c>
      <c r="K14" s="300"/>
      <c r="L14" s="301"/>
    </row>
    <row r="15" spans="1:35" x14ac:dyDescent="0.35">
      <c r="A15" s="59" t="s">
        <v>96</v>
      </c>
      <c r="C15" s="123"/>
      <c r="D15" s="19">
        <f>+'PCR Cycle 2'!D15</f>
        <v>43982</v>
      </c>
      <c r="E15" s="19">
        <f t="shared" ref="E15:L15" si="2">EOMONTH(D15,1)</f>
        <v>44012</v>
      </c>
      <c r="F15" s="19">
        <f t="shared" si="2"/>
        <v>44043</v>
      </c>
      <c r="G15" s="14">
        <f t="shared" si="2"/>
        <v>44074</v>
      </c>
      <c r="H15" s="19">
        <f t="shared" si="2"/>
        <v>44104</v>
      </c>
      <c r="I15" s="15">
        <f t="shared" si="2"/>
        <v>44135</v>
      </c>
      <c r="J15" s="19">
        <f t="shared" si="2"/>
        <v>44165</v>
      </c>
      <c r="K15" s="19">
        <f t="shared" si="2"/>
        <v>44196</v>
      </c>
      <c r="L15" s="15">
        <f t="shared" si="2"/>
        <v>44227</v>
      </c>
      <c r="Z15" s="1"/>
      <c r="AA15" s="1"/>
      <c r="AB15" s="1"/>
      <c r="AC15" s="1"/>
      <c r="AD15" s="1"/>
      <c r="AE15" s="1"/>
      <c r="AF15" s="1"/>
      <c r="AG15" s="1"/>
      <c r="AH15" s="1"/>
      <c r="AI15" s="1"/>
    </row>
    <row r="16" spans="1:35" x14ac:dyDescent="0.35">
      <c r="A16" s="59" t="s">
        <v>6</v>
      </c>
      <c r="C16" s="115">
        <v>0</v>
      </c>
      <c r="D16" s="127">
        <f>SUM(D23:D24)</f>
        <v>0</v>
      </c>
      <c r="E16" s="127">
        <f t="shared" ref="E16:H16" si="3">SUM(E23:E24)</f>
        <v>0</v>
      </c>
      <c r="F16" s="128">
        <f t="shared" si="3"/>
        <v>0</v>
      </c>
      <c r="G16" s="16">
        <f t="shared" si="3"/>
        <v>0</v>
      </c>
      <c r="H16" s="68">
        <f t="shared" si="3"/>
        <v>0</v>
      </c>
      <c r="I16" s="186">
        <f>+I23+I24</f>
        <v>0</v>
      </c>
      <c r="J16" s="179">
        <f t="shared" ref="J16:K16" si="4">+J23+J24</f>
        <v>0</v>
      </c>
      <c r="K16" s="93">
        <f t="shared" si="4"/>
        <v>0</v>
      </c>
      <c r="L16" s="94"/>
    </row>
    <row r="17" spans="1:14" x14ac:dyDescent="0.35">
      <c r="C17" s="117"/>
      <c r="D17" s="17"/>
      <c r="E17" s="17"/>
      <c r="F17" s="17"/>
      <c r="G17" s="10"/>
      <c r="H17" s="17"/>
      <c r="I17" s="11"/>
      <c r="J17" s="43"/>
      <c r="K17" s="43"/>
      <c r="L17" s="41"/>
    </row>
    <row r="18" spans="1:14" x14ac:dyDescent="0.35">
      <c r="A18" s="59" t="s">
        <v>95</v>
      </c>
      <c r="C18" s="117"/>
      <c r="D18" s="18"/>
      <c r="E18" s="18"/>
      <c r="F18" s="18"/>
      <c r="G18" s="109"/>
      <c r="H18" s="18"/>
      <c r="I18" s="187"/>
      <c r="J18" s="43"/>
      <c r="K18" s="43"/>
      <c r="L18" s="41"/>
      <c r="M18" s="3" t="s">
        <v>52</v>
      </c>
      <c r="N18" s="51"/>
    </row>
    <row r="19" spans="1:14" x14ac:dyDescent="0.35">
      <c r="A19" s="59" t="s">
        <v>26</v>
      </c>
      <c r="C19" s="115">
        <v>0</v>
      </c>
      <c r="D19" s="154">
        <v>0</v>
      </c>
      <c r="E19" s="154">
        <v>0</v>
      </c>
      <c r="F19" s="208">
        <v>0</v>
      </c>
      <c r="G19" s="16">
        <v>0</v>
      </c>
      <c r="H19" s="139">
        <v>0</v>
      </c>
      <c r="I19" s="188">
        <v>0</v>
      </c>
      <c r="J19" s="141">
        <f>'PCR Cycle 2'!J27*$M19</f>
        <v>0</v>
      </c>
      <c r="K19" s="53">
        <f>'PCR Cycle 2'!K27*$M19</f>
        <v>0</v>
      </c>
      <c r="L19" s="74">
        <f>'PCR Cycle 2'!L27*$M19</f>
        <v>0</v>
      </c>
      <c r="M19" s="85">
        <v>0</v>
      </c>
      <c r="N19" s="4"/>
    </row>
    <row r="20" spans="1:14" x14ac:dyDescent="0.35">
      <c r="A20" s="59" t="s">
        <v>27</v>
      </c>
      <c r="C20" s="115">
        <v>0</v>
      </c>
      <c r="D20" s="154">
        <v>0</v>
      </c>
      <c r="E20" s="154">
        <v>0</v>
      </c>
      <c r="F20" s="208">
        <v>0</v>
      </c>
      <c r="G20" s="16">
        <v>0</v>
      </c>
      <c r="H20" s="139">
        <v>0</v>
      </c>
      <c r="I20" s="188">
        <v>0</v>
      </c>
      <c r="J20" s="141">
        <f>SUM('PCR Cycle 2'!J28:J31)*$M20</f>
        <v>0</v>
      </c>
      <c r="K20" s="53">
        <f>SUM('PCR Cycle 2'!K28:K31)*$M20</f>
        <v>0</v>
      </c>
      <c r="L20" s="74">
        <f>SUM('PCR Cycle 2'!L28:L31)*$M20</f>
        <v>0</v>
      </c>
      <c r="M20" s="85">
        <v>0</v>
      </c>
      <c r="N20" s="4"/>
    </row>
    <row r="21" spans="1:14" x14ac:dyDescent="0.35">
      <c r="C21" s="80"/>
      <c r="D21" s="81"/>
      <c r="E21" s="81"/>
      <c r="F21" s="81"/>
      <c r="G21" s="116"/>
      <c r="H21" s="81"/>
      <c r="I21" s="189"/>
      <c r="J21" s="69"/>
      <c r="K21" s="69"/>
      <c r="L21" s="13"/>
      <c r="N21" s="4"/>
    </row>
    <row r="22" spans="1:14" x14ac:dyDescent="0.35">
      <c r="A22" s="59" t="s">
        <v>97</v>
      </c>
      <c r="C22" s="48"/>
      <c r="D22" s="49"/>
      <c r="E22" s="49"/>
      <c r="F22" s="49"/>
      <c r="G22" s="48"/>
      <c r="H22" s="49"/>
      <c r="I22" s="192"/>
      <c r="J22" s="65"/>
      <c r="K22" s="65"/>
      <c r="L22" s="50"/>
    </row>
    <row r="23" spans="1:14" x14ac:dyDescent="0.35">
      <c r="A23" s="59" t="s">
        <v>26</v>
      </c>
      <c r="C23" s="115">
        <v>0</v>
      </c>
      <c r="D23" s="127">
        <v>0</v>
      </c>
      <c r="E23" s="127">
        <v>0</v>
      </c>
      <c r="F23" s="128">
        <v>0</v>
      </c>
      <c r="G23" s="16">
        <v>0</v>
      </c>
      <c r="H23" s="68">
        <v>0</v>
      </c>
      <c r="I23" s="186">
        <v>0</v>
      </c>
      <c r="J23" s="181">
        <v>0</v>
      </c>
      <c r="K23" s="161">
        <v>0</v>
      </c>
      <c r="L23" s="94"/>
    </row>
    <row r="24" spans="1:14" x14ac:dyDescent="0.35">
      <c r="A24" s="59" t="s">
        <v>27</v>
      </c>
      <c r="C24" s="115">
        <v>0</v>
      </c>
      <c r="D24" s="127">
        <v>0</v>
      </c>
      <c r="E24" s="127">
        <v>0</v>
      </c>
      <c r="F24" s="128">
        <v>0</v>
      </c>
      <c r="G24" s="16">
        <v>0</v>
      </c>
      <c r="H24" s="68">
        <v>0</v>
      </c>
      <c r="I24" s="186">
        <v>0</v>
      </c>
      <c r="J24" s="181">
        <v>0</v>
      </c>
      <c r="K24" s="161">
        <v>0</v>
      </c>
      <c r="L24" s="94"/>
      <c r="N24" s="60"/>
    </row>
    <row r="25" spans="1:14" x14ac:dyDescent="0.35">
      <c r="C25" s="117"/>
      <c r="D25" s="18"/>
      <c r="E25" s="18"/>
      <c r="F25" s="18"/>
      <c r="G25" s="109"/>
      <c r="H25" s="18"/>
      <c r="I25" s="187"/>
      <c r="J25" s="69"/>
      <c r="K25" s="69"/>
      <c r="L25" s="13"/>
    </row>
    <row r="26" spans="1:14" ht="15" thickBot="1" x14ac:dyDescent="0.4">
      <c r="A26" s="3" t="s">
        <v>16</v>
      </c>
      <c r="B26" s="3"/>
      <c r="C26" s="121">
        <v>0</v>
      </c>
      <c r="D26" s="154">
        <v>0</v>
      </c>
      <c r="E26" s="154">
        <v>0</v>
      </c>
      <c r="F26" s="155">
        <v>0</v>
      </c>
      <c r="G26" s="38">
        <v>0</v>
      </c>
      <c r="H26" s="140">
        <v>0</v>
      </c>
      <c r="I26" s="193">
        <v>0</v>
      </c>
      <c r="J26" s="182"/>
      <c r="K26" s="163"/>
      <c r="L26" s="97"/>
    </row>
    <row r="27" spans="1:14" x14ac:dyDescent="0.35">
      <c r="C27" s="77"/>
      <c r="D27" s="167"/>
      <c r="E27" s="167"/>
      <c r="F27" s="168"/>
      <c r="G27" s="77"/>
      <c r="H27" s="45"/>
      <c r="I27" s="194"/>
      <c r="J27" s="46"/>
      <c r="K27" s="46"/>
      <c r="L27" s="73"/>
    </row>
    <row r="28" spans="1:14" x14ac:dyDescent="0.35">
      <c r="A28" s="59" t="s">
        <v>54</v>
      </c>
      <c r="C28" s="78"/>
      <c r="D28" s="168"/>
      <c r="E28" s="168"/>
      <c r="F28" s="168"/>
      <c r="G28" s="78"/>
      <c r="H28" s="47"/>
      <c r="I28" s="195"/>
      <c r="J28" s="46"/>
      <c r="K28" s="46"/>
      <c r="L28" s="73"/>
    </row>
    <row r="29" spans="1:14" x14ac:dyDescent="0.35">
      <c r="A29" s="59" t="s">
        <v>26</v>
      </c>
      <c r="C29" s="118">
        <f t="shared" ref="C29:L29" si="5">C23-C19</f>
        <v>0</v>
      </c>
      <c r="D29" s="53">
        <f t="shared" si="5"/>
        <v>0</v>
      </c>
      <c r="E29" s="53">
        <f t="shared" si="5"/>
        <v>0</v>
      </c>
      <c r="F29" s="126">
        <f t="shared" si="5"/>
        <v>0</v>
      </c>
      <c r="G29" s="52">
        <f t="shared" si="5"/>
        <v>0</v>
      </c>
      <c r="H29" s="53">
        <f t="shared" si="5"/>
        <v>0</v>
      </c>
      <c r="I29" s="74">
        <f t="shared" si="5"/>
        <v>0</v>
      </c>
      <c r="J29" s="141">
        <f t="shared" si="5"/>
        <v>0</v>
      </c>
      <c r="K29" s="53">
        <f t="shared" si="5"/>
        <v>0</v>
      </c>
      <c r="L29" s="74">
        <f t="shared" si="5"/>
        <v>0</v>
      </c>
    </row>
    <row r="30" spans="1:14" x14ac:dyDescent="0.35">
      <c r="A30" s="59" t="s">
        <v>27</v>
      </c>
      <c r="C30" s="118">
        <f t="shared" ref="C30:L30" si="6">C24-C20</f>
        <v>0</v>
      </c>
      <c r="D30" s="53">
        <f t="shared" si="6"/>
        <v>0</v>
      </c>
      <c r="E30" s="53">
        <f t="shared" si="6"/>
        <v>0</v>
      </c>
      <c r="F30" s="126">
        <f t="shared" si="6"/>
        <v>0</v>
      </c>
      <c r="G30" s="52">
        <f t="shared" si="6"/>
        <v>0</v>
      </c>
      <c r="H30" s="53">
        <f t="shared" si="6"/>
        <v>0</v>
      </c>
      <c r="I30" s="74">
        <f t="shared" si="6"/>
        <v>0</v>
      </c>
      <c r="J30" s="141">
        <f t="shared" si="6"/>
        <v>0</v>
      </c>
      <c r="K30" s="53">
        <f t="shared" si="6"/>
        <v>0</v>
      </c>
      <c r="L30" s="74">
        <f t="shared" si="6"/>
        <v>0</v>
      </c>
    </row>
    <row r="31" spans="1:14" x14ac:dyDescent="0.35">
      <c r="C31" s="117"/>
      <c r="D31" s="17"/>
      <c r="E31" s="17"/>
      <c r="F31" s="17"/>
      <c r="G31" s="10"/>
      <c r="H31" s="17"/>
      <c r="I31" s="11"/>
      <c r="J31" s="17"/>
      <c r="K31" s="17"/>
      <c r="L31" s="11"/>
    </row>
    <row r="32" spans="1:14" ht="15" thickBot="1" x14ac:dyDescent="0.4">
      <c r="A32" s="59" t="s">
        <v>55</v>
      </c>
      <c r="C32" s="117"/>
      <c r="D32" s="17"/>
      <c r="E32" s="17"/>
      <c r="F32" s="17"/>
      <c r="G32" s="10"/>
      <c r="H32" s="17"/>
      <c r="I32" s="11"/>
      <c r="J32" s="17"/>
      <c r="K32" s="17"/>
      <c r="L32" s="11"/>
    </row>
    <row r="33" spans="1:12" x14ac:dyDescent="0.35">
      <c r="A33" s="59" t="s">
        <v>26</v>
      </c>
      <c r="B33" s="134">
        <v>0</v>
      </c>
      <c r="C33" s="118">
        <f>B33+C29+B38</f>
        <v>0</v>
      </c>
      <c r="D33" s="53">
        <f t="shared" ref="D33:L34" si="7">C33+D29+C38</f>
        <v>0</v>
      </c>
      <c r="E33" s="53">
        <f t="shared" si="7"/>
        <v>0</v>
      </c>
      <c r="F33" s="126">
        <f t="shared" si="7"/>
        <v>0</v>
      </c>
      <c r="G33" s="52">
        <f t="shared" si="7"/>
        <v>0</v>
      </c>
      <c r="H33" s="53">
        <f t="shared" si="7"/>
        <v>0</v>
      </c>
      <c r="I33" s="74">
        <f t="shared" si="7"/>
        <v>0</v>
      </c>
      <c r="J33" s="141">
        <f t="shared" si="7"/>
        <v>0</v>
      </c>
      <c r="K33" s="53">
        <f t="shared" si="7"/>
        <v>0</v>
      </c>
      <c r="L33" s="74">
        <f t="shared" si="7"/>
        <v>0</v>
      </c>
    </row>
    <row r="34" spans="1:12" ht="15" thickBot="1" x14ac:dyDescent="0.4">
      <c r="A34" s="59" t="s">
        <v>27</v>
      </c>
      <c r="B34" s="135">
        <v>0</v>
      </c>
      <c r="C34" s="118">
        <f>B34+C30+B39</f>
        <v>0</v>
      </c>
      <c r="D34" s="53">
        <f t="shared" si="7"/>
        <v>0</v>
      </c>
      <c r="E34" s="53">
        <f t="shared" si="7"/>
        <v>0</v>
      </c>
      <c r="F34" s="126">
        <f t="shared" si="7"/>
        <v>0</v>
      </c>
      <c r="G34" s="52">
        <f t="shared" si="7"/>
        <v>0</v>
      </c>
      <c r="H34" s="53">
        <f t="shared" si="7"/>
        <v>0</v>
      </c>
      <c r="I34" s="74">
        <f t="shared" si="7"/>
        <v>0</v>
      </c>
      <c r="J34" s="141">
        <f t="shared" si="7"/>
        <v>0</v>
      </c>
      <c r="K34" s="53">
        <f t="shared" si="7"/>
        <v>0</v>
      </c>
      <c r="L34" s="74">
        <f t="shared" si="7"/>
        <v>0</v>
      </c>
    </row>
    <row r="35" spans="1:12" x14ac:dyDescent="0.35">
      <c r="C35" s="117"/>
      <c r="D35" s="17"/>
      <c r="E35" s="17"/>
      <c r="F35" s="17"/>
      <c r="G35" s="10"/>
      <c r="H35" s="17"/>
      <c r="I35" s="11"/>
      <c r="J35" s="17"/>
      <c r="K35" s="17"/>
      <c r="L35" s="11"/>
    </row>
    <row r="36" spans="1:12" x14ac:dyDescent="0.35">
      <c r="A36" s="51" t="s">
        <v>93</v>
      </c>
      <c r="B36" s="51"/>
      <c r="C36" s="122"/>
      <c r="D36" s="98">
        <f>+'PCR Cycle 2'!D50</f>
        <v>1.20652E-3</v>
      </c>
      <c r="E36" s="98">
        <f>+'PCR Cycle 2'!E50</f>
        <v>1.1948200000000001E-3</v>
      </c>
      <c r="F36" s="98">
        <f>+'PCR Cycle 2'!F50</f>
        <v>1.1852799999999999E-3</v>
      </c>
      <c r="G36" s="99">
        <f>+'PCR Cycle 2'!G50</f>
        <v>1.17614E-3</v>
      </c>
      <c r="H36" s="98">
        <f>+'PCR Cycle 2'!H50</f>
        <v>1.1682400000000001E-3</v>
      </c>
      <c r="I36" s="110">
        <f>+'PCR Cycle 2'!I50</f>
        <v>1.1636999999999999E-3</v>
      </c>
      <c r="J36" s="98">
        <f>+'PCR Cycle 2'!J50</f>
        <v>1.1636999999999999E-3</v>
      </c>
      <c r="K36" s="98">
        <f>+'PCR Cycle 2'!K50</f>
        <v>1.1636999999999999E-3</v>
      </c>
      <c r="L36" s="100"/>
    </row>
    <row r="37" spans="1:12" x14ac:dyDescent="0.35">
      <c r="A37" s="51" t="s">
        <v>39</v>
      </c>
      <c r="B37" s="51"/>
      <c r="C37" s="124"/>
      <c r="D37" s="98"/>
      <c r="E37" s="98"/>
      <c r="F37" s="98"/>
      <c r="G37" s="99"/>
      <c r="H37" s="98"/>
      <c r="I37" s="100"/>
      <c r="J37" s="98"/>
      <c r="K37" s="98"/>
      <c r="L37" s="100"/>
    </row>
    <row r="38" spans="1:12" x14ac:dyDescent="0.35">
      <c r="A38" s="59" t="s">
        <v>26</v>
      </c>
      <c r="C38" s="118">
        <v>0</v>
      </c>
      <c r="D38" s="53">
        <f t="shared" ref="D38:L39" si="8">ROUND((C33+C38+D29/2)*D$36,2)</f>
        <v>0</v>
      </c>
      <c r="E38" s="53">
        <f t="shared" si="8"/>
        <v>0</v>
      </c>
      <c r="F38" s="126">
        <f t="shared" si="8"/>
        <v>0</v>
      </c>
      <c r="G38" s="52">
        <f t="shared" si="8"/>
        <v>0</v>
      </c>
      <c r="H38" s="141">
        <f t="shared" si="8"/>
        <v>0</v>
      </c>
      <c r="I38" s="62">
        <f t="shared" si="8"/>
        <v>0</v>
      </c>
      <c r="J38" s="183">
        <f t="shared" si="8"/>
        <v>0</v>
      </c>
      <c r="K38" s="126">
        <f t="shared" si="8"/>
        <v>0</v>
      </c>
      <c r="L38" s="74">
        <f t="shared" si="8"/>
        <v>0</v>
      </c>
    </row>
    <row r="39" spans="1:12" ht="15" thickBot="1" x14ac:dyDescent="0.4">
      <c r="A39" s="59" t="s">
        <v>27</v>
      </c>
      <c r="C39" s="118">
        <v>0</v>
      </c>
      <c r="D39" s="53">
        <f t="shared" si="8"/>
        <v>0</v>
      </c>
      <c r="E39" s="53">
        <f t="shared" si="8"/>
        <v>0</v>
      </c>
      <c r="F39" s="126">
        <f t="shared" si="8"/>
        <v>0</v>
      </c>
      <c r="G39" s="52">
        <f t="shared" si="8"/>
        <v>0</v>
      </c>
      <c r="H39" s="141">
        <f t="shared" si="8"/>
        <v>0</v>
      </c>
      <c r="I39" s="62">
        <f t="shared" si="8"/>
        <v>0</v>
      </c>
      <c r="J39" s="183">
        <f t="shared" si="8"/>
        <v>0</v>
      </c>
      <c r="K39" s="126">
        <f t="shared" si="8"/>
        <v>0</v>
      </c>
      <c r="L39" s="74">
        <f t="shared" si="8"/>
        <v>0</v>
      </c>
    </row>
    <row r="40" spans="1:12" ht="15.5" thickTop="1" thickBot="1" x14ac:dyDescent="0.4">
      <c r="A40" s="67" t="s">
        <v>24</v>
      </c>
      <c r="B40" s="67"/>
      <c r="C40" s="125">
        <v>0</v>
      </c>
      <c r="D40" s="54">
        <f t="shared" ref="D40:I40" si="9">SUM(D38:D39)+SUM(D33:D34)-D43</f>
        <v>0</v>
      </c>
      <c r="E40" s="54">
        <f t="shared" si="9"/>
        <v>0</v>
      </c>
      <c r="F40" s="63">
        <f t="shared" ref="F40:H40" si="10">SUM(F38:F39)+SUM(F33:F34)-F43</f>
        <v>0</v>
      </c>
      <c r="G40" s="165">
        <f t="shared" si="10"/>
        <v>0</v>
      </c>
      <c r="H40" s="63">
        <f t="shared" si="10"/>
        <v>0</v>
      </c>
      <c r="I40" s="75">
        <f t="shared" si="9"/>
        <v>0</v>
      </c>
      <c r="J40" s="184">
        <f t="shared" ref="J40:L40" si="11">SUM(J38:J39)+SUM(J33:J34)-J43</f>
        <v>0</v>
      </c>
      <c r="K40" s="63">
        <f t="shared" si="11"/>
        <v>0</v>
      </c>
      <c r="L40" s="75">
        <f t="shared" si="11"/>
        <v>0</v>
      </c>
    </row>
    <row r="41" spans="1:12" ht="15.5" thickTop="1" thickBot="1" x14ac:dyDescent="0.4">
      <c r="A41" s="67" t="s">
        <v>25</v>
      </c>
      <c r="B41" s="67"/>
      <c r="C41" s="125">
        <v>0</v>
      </c>
      <c r="D41" s="54">
        <f t="shared" ref="D41:I41" si="12">SUM(D38:D39)-D26</f>
        <v>0</v>
      </c>
      <c r="E41" s="54">
        <f t="shared" si="12"/>
        <v>0</v>
      </c>
      <c r="F41" s="63">
        <f t="shared" ref="F41:H41" si="13">SUM(F38:F39)-F26</f>
        <v>0</v>
      </c>
      <c r="G41" s="165">
        <f t="shared" si="13"/>
        <v>0</v>
      </c>
      <c r="H41" s="63">
        <f t="shared" si="13"/>
        <v>0</v>
      </c>
      <c r="I41" s="75">
        <f t="shared" si="12"/>
        <v>0</v>
      </c>
      <c r="J41" s="185">
        <f t="shared" ref="J41:L41" si="14">SUM(J38:J39)-J26</f>
        <v>0</v>
      </c>
      <c r="K41" s="54">
        <f t="shared" si="14"/>
        <v>0</v>
      </c>
      <c r="L41" s="54">
        <f t="shared" si="14"/>
        <v>0</v>
      </c>
    </row>
    <row r="42" spans="1:12" ht="15.5" thickTop="1" thickBot="1" x14ac:dyDescent="0.4">
      <c r="C42" s="117"/>
      <c r="D42" s="17"/>
      <c r="E42" s="17"/>
      <c r="F42" s="17"/>
      <c r="G42" s="10"/>
      <c r="H42" s="17"/>
      <c r="I42" s="11"/>
      <c r="J42" s="17"/>
      <c r="K42" s="17"/>
      <c r="L42" s="11"/>
    </row>
    <row r="43" spans="1:12" ht="15" thickBot="1" x14ac:dyDescent="0.4">
      <c r="A43" s="59" t="s">
        <v>38</v>
      </c>
      <c r="B43" s="137">
        <v>0</v>
      </c>
      <c r="C43" s="118">
        <f t="shared" ref="C43:L43" si="15">(C16-SUM(C19:C20))+SUM(C38:C39)+B43</f>
        <v>0</v>
      </c>
      <c r="D43" s="53">
        <f t="shared" si="15"/>
        <v>0</v>
      </c>
      <c r="E43" s="53">
        <f t="shared" si="15"/>
        <v>0</v>
      </c>
      <c r="F43" s="126">
        <f t="shared" si="15"/>
        <v>0</v>
      </c>
      <c r="G43" s="52">
        <f t="shared" si="15"/>
        <v>0</v>
      </c>
      <c r="H43" s="53">
        <f t="shared" si="15"/>
        <v>0</v>
      </c>
      <c r="I43" s="74">
        <f t="shared" si="15"/>
        <v>0</v>
      </c>
      <c r="J43" s="183">
        <f t="shared" si="15"/>
        <v>0</v>
      </c>
      <c r="K43" s="126">
        <f t="shared" si="15"/>
        <v>0</v>
      </c>
      <c r="L43" s="74">
        <f t="shared" si="15"/>
        <v>0</v>
      </c>
    </row>
    <row r="44" spans="1:12" x14ac:dyDescent="0.35">
      <c r="A44" s="59" t="s">
        <v>14</v>
      </c>
      <c r="C44" s="138"/>
      <c r="D44" s="17"/>
      <c r="E44" s="17"/>
      <c r="F44" s="17"/>
      <c r="G44" s="10"/>
      <c r="H44" s="17"/>
      <c r="I44" s="11"/>
      <c r="J44" s="17"/>
      <c r="K44" s="17"/>
      <c r="L44" s="11"/>
    </row>
    <row r="45" spans="1:12" ht="15" thickBot="1" x14ac:dyDescent="0.4">
      <c r="A45" s="49"/>
      <c r="B45" s="49"/>
      <c r="C45" s="166"/>
      <c r="D45" s="56"/>
      <c r="E45" s="56"/>
      <c r="F45" s="56"/>
      <c r="G45" s="55"/>
      <c r="H45" s="56"/>
      <c r="I45" s="57"/>
      <c r="J45" s="56"/>
      <c r="K45" s="56"/>
      <c r="L45" s="57"/>
    </row>
    <row r="47" spans="1:12" x14ac:dyDescent="0.35">
      <c r="A47" s="82" t="s">
        <v>13</v>
      </c>
      <c r="B47" s="82"/>
      <c r="C47" s="82"/>
    </row>
    <row r="48" spans="1:12" x14ac:dyDescent="0.35">
      <c r="A48" s="309" t="s">
        <v>175</v>
      </c>
      <c r="B48" s="309"/>
      <c r="C48" s="309"/>
      <c r="D48" s="309"/>
      <c r="E48" s="309"/>
      <c r="F48" s="309"/>
      <c r="G48" s="309"/>
      <c r="H48" s="309"/>
      <c r="I48" s="309"/>
      <c r="J48" s="202"/>
      <c r="K48" s="202"/>
      <c r="L48" s="202"/>
    </row>
    <row r="49" spans="1:12" ht="32.25" customHeight="1" x14ac:dyDescent="0.35">
      <c r="A49" s="309" t="s">
        <v>176</v>
      </c>
      <c r="B49" s="309"/>
      <c r="C49" s="309"/>
      <c r="D49" s="309"/>
      <c r="E49" s="309"/>
      <c r="F49" s="309"/>
      <c r="G49" s="309"/>
      <c r="H49" s="309"/>
      <c r="I49" s="309"/>
      <c r="J49" s="202"/>
      <c r="K49" s="202"/>
    </row>
    <row r="50" spans="1:12" ht="18.75" customHeight="1" x14ac:dyDescent="0.35">
      <c r="A50" s="3" t="s">
        <v>33</v>
      </c>
      <c r="B50" s="3"/>
      <c r="C50" s="3"/>
      <c r="I50" s="4"/>
      <c r="J50" s="202"/>
      <c r="K50" s="202"/>
      <c r="L50" s="202"/>
    </row>
    <row r="51" spans="1:12" x14ac:dyDescent="0.35">
      <c r="A51" s="3" t="s">
        <v>177</v>
      </c>
      <c r="B51" s="3"/>
      <c r="C51" s="3"/>
      <c r="I51" s="4"/>
    </row>
    <row r="52" spans="1:12" x14ac:dyDescent="0.35">
      <c r="A52" s="3" t="s">
        <v>140</v>
      </c>
      <c r="B52" s="3"/>
      <c r="C52" s="3"/>
      <c r="I52" s="4"/>
    </row>
    <row r="53" spans="1:12" x14ac:dyDescent="0.35">
      <c r="A53" s="3" t="s">
        <v>178</v>
      </c>
      <c r="B53" s="76"/>
      <c r="C53" s="76"/>
      <c r="D53" s="51"/>
      <c r="E53" s="51"/>
      <c r="F53" s="51"/>
      <c r="G53" s="51"/>
      <c r="H53" s="51"/>
      <c r="I53" s="51"/>
    </row>
    <row r="54" spans="1:12" x14ac:dyDescent="0.3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9C7B-72FB-40E9-AA5D-7F12F870EB34}">
  <dimension ref="A1:G10"/>
  <sheetViews>
    <sheetView workbookViewId="0">
      <selection activeCell="G9" sqref="G9"/>
    </sheetView>
  </sheetViews>
  <sheetFormatPr defaultColWidth="9.1796875" defaultRowHeight="14.5" x14ac:dyDescent="0.35"/>
  <cols>
    <col min="1" max="1" width="24.7265625" style="59" customWidth="1"/>
    <col min="2" max="2" width="13.54296875" style="59" customWidth="1"/>
    <col min="3" max="3" width="14" style="59" customWidth="1"/>
    <col min="4" max="4" width="13.54296875" style="59" customWidth="1"/>
    <col min="5" max="5" width="12.453125" style="59" bestFit="1" customWidth="1"/>
    <col min="6" max="16384" width="9.1796875" style="59"/>
  </cols>
  <sheetData>
    <row r="1" spans="1:7" x14ac:dyDescent="0.35">
      <c r="A1" s="3" t="str">
        <f>+'PPC Cycle 2'!A1</f>
        <v>Evergy Metro, Inc. - DSIM Rider Update Filed 12/01/2020</v>
      </c>
    </row>
    <row r="3" spans="1:7" ht="15" thickBot="1" x14ac:dyDescent="0.4"/>
    <row r="4" spans="1:7" ht="15" thickBot="1" x14ac:dyDescent="0.4">
      <c r="B4" s="278" t="s">
        <v>214</v>
      </c>
      <c r="C4" s="148" t="s">
        <v>215</v>
      </c>
      <c r="D4" s="148" t="s">
        <v>216</v>
      </c>
    </row>
    <row r="5" spans="1:7" ht="54.5" thickBot="1" x14ac:dyDescent="0.4">
      <c r="A5" s="105" t="s">
        <v>8</v>
      </c>
      <c r="B5" s="148" t="s">
        <v>30</v>
      </c>
      <c r="C5" s="148" t="s">
        <v>30</v>
      </c>
      <c r="D5" s="148" t="s">
        <v>30</v>
      </c>
      <c r="E5" s="148" t="s">
        <v>217</v>
      </c>
    </row>
    <row r="6" spans="1:7" ht="15" thickBot="1" x14ac:dyDescent="0.4">
      <c r="A6" s="108" t="s">
        <v>26</v>
      </c>
      <c r="B6" s="279">
        <f>+'tariff tables'!H4</f>
        <v>6.0000000000000001E-3</v>
      </c>
      <c r="C6" s="279">
        <v>6.4000000000000003E-3</v>
      </c>
      <c r="D6" s="279">
        <f>+B6-C6</f>
        <v>-4.0000000000000018E-4</v>
      </c>
      <c r="E6" s="280">
        <f>+D6*1000</f>
        <v>-0.40000000000000019</v>
      </c>
      <c r="G6" s="290"/>
    </row>
    <row r="7" spans="1:7" ht="15" thickBot="1" x14ac:dyDescent="0.4">
      <c r="A7" s="108" t="s">
        <v>120</v>
      </c>
      <c r="B7" s="279">
        <f>+'tariff tables'!H5</f>
        <v>4.5700000000000003E-3</v>
      </c>
      <c r="C7" s="279">
        <v>5.2500000000000003E-3</v>
      </c>
      <c r="D7" s="279">
        <f t="shared" ref="D7:D10" si="0">+B7-C7</f>
        <v>-6.8000000000000005E-4</v>
      </c>
      <c r="E7" s="280">
        <f t="shared" ref="E7:E10" si="1">+D7*1000</f>
        <v>-0.68</v>
      </c>
      <c r="G7" s="290"/>
    </row>
    <row r="8" spans="1:7" ht="15" thickBot="1" x14ac:dyDescent="0.4">
      <c r="A8" s="108" t="s">
        <v>121</v>
      </c>
      <c r="B8" s="279">
        <f>+'tariff tables'!H6</f>
        <v>5.3499999999999997E-3</v>
      </c>
      <c r="C8" s="279">
        <v>3.7000000000000002E-3</v>
      </c>
      <c r="D8" s="279">
        <f t="shared" ref="D8" si="2">+B8-C8</f>
        <v>1.6499999999999996E-3</v>
      </c>
      <c r="E8" s="280">
        <f t="shared" si="1"/>
        <v>1.6499999999999995</v>
      </c>
      <c r="G8" s="290"/>
    </row>
    <row r="9" spans="1:7" ht="15" thickBot="1" x14ac:dyDescent="0.4">
      <c r="A9" s="108" t="s">
        <v>122</v>
      </c>
      <c r="B9" s="279">
        <f>+'tariff tables'!H7</f>
        <v>3.82E-3</v>
      </c>
      <c r="C9" s="279">
        <v>3.0899999999999999E-3</v>
      </c>
      <c r="D9" s="279">
        <f t="shared" si="0"/>
        <v>7.3000000000000018E-4</v>
      </c>
      <c r="E9" s="280">
        <f t="shared" si="1"/>
        <v>0.7300000000000002</v>
      </c>
      <c r="G9" s="290"/>
    </row>
    <row r="10" spans="1:7" ht="15" thickBot="1" x14ac:dyDescent="0.4">
      <c r="A10" s="108" t="s">
        <v>123</v>
      </c>
      <c r="B10" s="279">
        <f>+'tariff tables'!H8</f>
        <v>2.82E-3</v>
      </c>
      <c r="C10" s="279">
        <v>2.82E-3</v>
      </c>
      <c r="D10" s="279">
        <f t="shared" si="0"/>
        <v>0</v>
      </c>
      <c r="E10" s="280">
        <f t="shared" si="1"/>
        <v>0</v>
      </c>
      <c r="G10" s="290"/>
    </row>
  </sheetData>
  <pageMargins left="0.7" right="0.7" top="0.75" bottom="0.75" header="0.3" footer="0.3"/>
  <pageSetup orientation="portrait" r:id="rId1"/>
  <headerFooter>
    <oddHeader>&amp;R&amp;"Calibri"&amp;10&amp;KA80000Internal Use Only&amp;1#</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election activeCell="I26" sqref="I26"/>
    </sheetView>
  </sheetViews>
  <sheetFormatPr defaultRowHeight="14.5" x14ac:dyDescent="0.35"/>
  <cols>
    <col min="1" max="1" width="24.1796875" customWidth="1"/>
    <col min="2" max="2" width="11.26953125" bestFit="1" customWidth="1"/>
    <col min="3" max="5" width="10.1796875" bestFit="1" customWidth="1"/>
    <col min="6" max="6" width="11.7265625" customWidth="1"/>
  </cols>
  <sheetData>
    <row r="3" spans="1:6" ht="15" thickBot="1" x14ac:dyDescent="0.4">
      <c r="A3" s="3" t="s">
        <v>141</v>
      </c>
    </row>
    <row r="4" spans="1:6" ht="27.5" thickBot="1" x14ac:dyDescent="0.4">
      <c r="A4" s="105" t="s">
        <v>148</v>
      </c>
      <c r="B4" s="148" t="s">
        <v>147</v>
      </c>
      <c r="C4" s="148" t="s">
        <v>146</v>
      </c>
      <c r="D4" s="148" t="s">
        <v>145</v>
      </c>
      <c r="E4" s="148" t="s">
        <v>144</v>
      </c>
      <c r="F4" s="107" t="s">
        <v>179</v>
      </c>
    </row>
    <row r="5" spans="1:6" ht="15" thickBot="1" x14ac:dyDescent="0.4">
      <c r="A5" s="108" t="s">
        <v>26</v>
      </c>
      <c r="B5" s="262">
        <f>+'tariff tables'!S13+'tariff tables'!S22</f>
        <v>1E-4</v>
      </c>
      <c r="C5" s="263">
        <f>+'tariff tables'!T13+'tariff tables'!T22</f>
        <v>1.2600000000000001E-3</v>
      </c>
      <c r="D5" s="263">
        <f>+'tariff tables'!U13+'tariff tables'!U22</f>
        <v>3.8999999999999999E-4</v>
      </c>
      <c r="E5" s="263">
        <f>+'tariff tables'!V13+'tariff tables'!V22</f>
        <v>0</v>
      </c>
      <c r="F5" s="261">
        <f>SUM(B5:E5)</f>
        <v>1.75E-3</v>
      </c>
    </row>
    <row r="6" spans="1:6" ht="15" thickBot="1" x14ac:dyDescent="0.4">
      <c r="A6" s="108" t="s">
        <v>120</v>
      </c>
      <c r="B6" s="262">
        <f>+'tariff tables'!S14+'tariff tables'!S23</f>
        <v>-1.9000000000000001E-4</v>
      </c>
      <c r="C6" s="263">
        <f>+'tariff tables'!T14+'tariff tables'!T23</f>
        <v>1.2999999999999999E-3</v>
      </c>
      <c r="D6" s="263">
        <f>+'tariff tables'!U14+'tariff tables'!U23</f>
        <v>5.0000000000000001E-4</v>
      </c>
      <c r="E6" s="263">
        <f>+'tariff tables'!V14+'tariff tables'!V23</f>
        <v>0</v>
      </c>
      <c r="F6" s="261">
        <f t="shared" ref="F6:F9" si="0">SUM(B6:E6)</f>
        <v>1.6099999999999999E-3</v>
      </c>
    </row>
    <row r="7" spans="1:6" ht="15" thickBot="1" x14ac:dyDescent="0.4">
      <c r="A7" s="108" t="s">
        <v>121</v>
      </c>
      <c r="B7" s="262">
        <f>+'tariff tables'!S15+'tariff tables'!S24</f>
        <v>-1.6000000000000001E-4</v>
      </c>
      <c r="C7" s="263">
        <f>+'tariff tables'!T15+'tariff tables'!T24</f>
        <v>1.07E-3</v>
      </c>
      <c r="D7" s="263">
        <f>+'tariff tables'!U15+'tariff tables'!U24</f>
        <v>1.17E-3</v>
      </c>
      <c r="E7" s="263">
        <f>+'tariff tables'!V15+'tariff tables'!V24</f>
        <v>0</v>
      </c>
      <c r="F7" s="261">
        <f t="shared" si="0"/>
        <v>2.0800000000000003E-3</v>
      </c>
    </row>
    <row r="8" spans="1:6" ht="15" thickBot="1" x14ac:dyDescent="0.4">
      <c r="A8" s="108" t="s">
        <v>122</v>
      </c>
      <c r="B8" s="262">
        <f>+'tariff tables'!S16+'tariff tables'!S25</f>
        <v>-1.2999999999999999E-4</v>
      </c>
      <c r="C8" s="263">
        <f>+'tariff tables'!T16+'tariff tables'!T25</f>
        <v>6.6E-4</v>
      </c>
      <c r="D8" s="263">
        <f>+'tariff tables'!U16+'tariff tables'!U25</f>
        <v>7.9999999999999993E-4</v>
      </c>
      <c r="E8" s="263">
        <f>+'tariff tables'!V16+'tariff tables'!V25</f>
        <v>0</v>
      </c>
      <c r="F8" s="261">
        <f t="shared" si="0"/>
        <v>1.33E-3</v>
      </c>
    </row>
    <row r="9" spans="1:6" ht="15" thickBot="1" x14ac:dyDescent="0.4">
      <c r="A9" s="108" t="s">
        <v>123</v>
      </c>
      <c r="B9" s="262">
        <f>+'tariff tables'!S17+'tariff tables'!S26</f>
        <v>-9.0000000000000006E-5</v>
      </c>
      <c r="C9" s="263">
        <f>+'tariff tables'!T17+'tariff tables'!T26</f>
        <v>2.5000000000000001E-4</v>
      </c>
      <c r="D9" s="263">
        <f>+'tariff tables'!U17+'tariff tables'!U26</f>
        <v>7.1000000000000002E-4</v>
      </c>
      <c r="E9" s="263">
        <f>+'tariff tables'!V17+'tariff tables'!V26</f>
        <v>0</v>
      </c>
      <c r="F9" s="261">
        <f t="shared" si="0"/>
        <v>8.7000000000000001E-4</v>
      </c>
    </row>
    <row r="12" spans="1:6" ht="15" thickBot="1" x14ac:dyDescent="0.4">
      <c r="A12" s="3" t="s">
        <v>142</v>
      </c>
      <c r="B12" s="59"/>
      <c r="C12" s="59"/>
      <c r="D12" s="59"/>
      <c r="E12" s="59"/>
      <c r="F12" s="59"/>
    </row>
    <row r="13" spans="1:6" ht="27.5" thickBot="1" x14ac:dyDescent="0.4">
      <c r="A13" s="105" t="s">
        <v>148</v>
      </c>
      <c r="B13" s="148" t="s">
        <v>147</v>
      </c>
      <c r="C13" s="148" t="s">
        <v>146</v>
      </c>
      <c r="D13" s="148" t="s">
        <v>145</v>
      </c>
      <c r="E13" s="148" t="s">
        <v>144</v>
      </c>
      <c r="F13" s="107" t="s">
        <v>179</v>
      </c>
    </row>
    <row r="14" spans="1:6" ht="15" thickBot="1" x14ac:dyDescent="0.4">
      <c r="A14" s="108" t="s">
        <v>26</v>
      </c>
      <c r="B14" s="262">
        <f>+'tariff tables'!X13+'tariff tables'!X22</f>
        <v>2.81E-3</v>
      </c>
      <c r="C14" s="263">
        <f>+'tariff tables'!Y13+'tariff tables'!Y22</f>
        <v>1.4400000000000001E-3</v>
      </c>
      <c r="D14" s="263">
        <f>+'tariff tables'!Z13+'tariff tables'!Z22</f>
        <v>0</v>
      </c>
      <c r="E14" s="263">
        <f>+'tariff tables'!AA13+'tariff tables'!AA22</f>
        <v>0</v>
      </c>
      <c r="F14" s="261">
        <f>SUM(B14:E14)</f>
        <v>4.2500000000000003E-3</v>
      </c>
    </row>
    <row r="15" spans="1:6" ht="15" thickBot="1" x14ac:dyDescent="0.4">
      <c r="A15" s="108" t="s">
        <v>120</v>
      </c>
      <c r="B15" s="262">
        <f>+'tariff tables'!X14+'tariff tables'!X23</f>
        <v>2.0999999999999999E-3</v>
      </c>
      <c r="C15" s="263">
        <f>+'tariff tables'!Y14+'tariff tables'!Y23</f>
        <v>8.5999999999999987E-4</v>
      </c>
      <c r="D15" s="263">
        <f>+'tariff tables'!Z14+'tariff tables'!Z23</f>
        <v>0</v>
      </c>
      <c r="E15" s="263">
        <f>+'tariff tables'!AA14+'tariff tables'!AA23</f>
        <v>0</v>
      </c>
      <c r="F15" s="261">
        <f t="shared" ref="F15:F18" si="1">SUM(B15:E15)</f>
        <v>2.96E-3</v>
      </c>
    </row>
    <row r="16" spans="1:6" ht="15" thickBot="1" x14ac:dyDescent="0.4">
      <c r="A16" s="108" t="s">
        <v>121</v>
      </c>
      <c r="B16" s="262">
        <f>+'tariff tables'!X15+'tariff tables'!X24</f>
        <v>2.5799999999999998E-3</v>
      </c>
      <c r="C16" s="263">
        <f>+'tariff tables'!Y15+'tariff tables'!Y24</f>
        <v>6.8999999999999997E-4</v>
      </c>
      <c r="D16" s="263">
        <f>+'tariff tables'!Z15+'tariff tables'!Z24</f>
        <v>0</v>
      </c>
      <c r="E16" s="263">
        <f>+'tariff tables'!AA15+'tariff tables'!AA24</f>
        <v>0</v>
      </c>
      <c r="F16" s="261">
        <f t="shared" si="1"/>
        <v>3.2699999999999999E-3</v>
      </c>
    </row>
    <row r="17" spans="1:7" ht="15" thickBot="1" x14ac:dyDescent="0.4">
      <c r="A17" s="108" t="s">
        <v>122</v>
      </c>
      <c r="B17" s="262">
        <f>+'tariff tables'!X16+'tariff tables'!X25</f>
        <v>2.1299999999999999E-3</v>
      </c>
      <c r="C17" s="263">
        <f>+'tariff tables'!Y16+'tariff tables'!Y25</f>
        <v>3.5999999999999997E-4</v>
      </c>
      <c r="D17" s="263">
        <f>+'tariff tables'!Z16+'tariff tables'!Z25</f>
        <v>0</v>
      </c>
      <c r="E17" s="263">
        <f>+'tariff tables'!AA16+'tariff tables'!AA25</f>
        <v>0</v>
      </c>
      <c r="F17" s="261">
        <f t="shared" si="1"/>
        <v>2.49E-3</v>
      </c>
    </row>
    <row r="18" spans="1:7" ht="15" thickBot="1" x14ac:dyDescent="0.4">
      <c r="A18" s="108" t="s">
        <v>123</v>
      </c>
      <c r="B18" s="262">
        <f>+'tariff tables'!X17+'tariff tables'!X26</f>
        <v>1.8499999999999999E-3</v>
      </c>
      <c r="C18" s="263">
        <f>+'tariff tables'!Y17+'tariff tables'!Y26</f>
        <v>9.9999999999999991E-5</v>
      </c>
      <c r="D18" s="263">
        <f>+'tariff tables'!Z17+'tariff tables'!Z26</f>
        <v>0</v>
      </c>
      <c r="E18" s="263">
        <f>+'tariff tables'!AA17+'tariff tables'!AA26</f>
        <v>0</v>
      </c>
      <c r="F18" s="261">
        <f t="shared" si="1"/>
        <v>1.9499999999999999E-3</v>
      </c>
    </row>
    <row r="21" spans="1:7" ht="15" thickBot="1" x14ac:dyDescent="0.4">
      <c r="A21" s="3" t="s">
        <v>143</v>
      </c>
      <c r="B21" s="59"/>
      <c r="C21" s="59"/>
      <c r="D21" s="59"/>
      <c r="E21" s="59"/>
      <c r="F21" s="59"/>
    </row>
    <row r="22" spans="1:7" ht="27.5" thickBot="1" x14ac:dyDescent="0.4">
      <c r="A22" s="105" t="s">
        <v>148</v>
      </c>
      <c r="B22" s="148" t="s">
        <v>147</v>
      </c>
      <c r="C22" s="148" t="s">
        <v>146</v>
      </c>
      <c r="D22" s="148" t="s">
        <v>145</v>
      </c>
      <c r="E22" s="148" t="s">
        <v>144</v>
      </c>
      <c r="F22" s="107" t="s">
        <v>179</v>
      </c>
    </row>
    <row r="23" spans="1:7" ht="15" thickBot="1" x14ac:dyDescent="0.4">
      <c r="A23" s="108" t="s">
        <v>26</v>
      </c>
      <c r="B23" s="262">
        <f>+B5+B14</f>
        <v>2.9099999999999998E-3</v>
      </c>
      <c r="C23" s="263">
        <f t="shared" ref="C23:E23" si="2">+C5+C14</f>
        <v>2.7000000000000001E-3</v>
      </c>
      <c r="D23" s="263">
        <f t="shared" si="2"/>
        <v>3.8999999999999999E-4</v>
      </c>
      <c r="E23" s="263">
        <f t="shared" si="2"/>
        <v>0</v>
      </c>
      <c r="F23" s="261">
        <f>SUM(B23:E23)</f>
        <v>6.0000000000000001E-3</v>
      </c>
      <c r="G23" s="264">
        <f>+F23-'tariff tables'!H4</f>
        <v>0</v>
      </c>
    </row>
    <row r="24" spans="1:7" ht="15" thickBot="1" x14ac:dyDescent="0.4">
      <c r="A24" s="108" t="s">
        <v>120</v>
      </c>
      <c r="B24" s="262">
        <f t="shared" ref="B24:E24" si="3">+B6+B15</f>
        <v>1.9099999999999998E-3</v>
      </c>
      <c r="C24" s="263">
        <f t="shared" si="3"/>
        <v>2.1599999999999996E-3</v>
      </c>
      <c r="D24" s="263">
        <f t="shared" si="3"/>
        <v>5.0000000000000001E-4</v>
      </c>
      <c r="E24" s="263">
        <f t="shared" si="3"/>
        <v>0</v>
      </c>
      <c r="F24" s="261">
        <f t="shared" ref="F24:F27" si="4">SUM(B24:E24)</f>
        <v>4.5699999999999994E-3</v>
      </c>
      <c r="G24" s="264">
        <f>+F24-'tariff tables'!H5</f>
        <v>0</v>
      </c>
    </row>
    <row r="25" spans="1:7" ht="15" thickBot="1" x14ac:dyDescent="0.4">
      <c r="A25" s="108" t="s">
        <v>121</v>
      </c>
      <c r="B25" s="262">
        <f t="shared" ref="B25:E25" si="5">+B7+B16</f>
        <v>2.4199999999999998E-3</v>
      </c>
      <c r="C25" s="263">
        <f t="shared" si="5"/>
        <v>1.7599999999999998E-3</v>
      </c>
      <c r="D25" s="263">
        <f t="shared" si="5"/>
        <v>1.17E-3</v>
      </c>
      <c r="E25" s="263">
        <f t="shared" si="5"/>
        <v>0</v>
      </c>
      <c r="F25" s="261">
        <f t="shared" si="4"/>
        <v>5.3499999999999997E-3</v>
      </c>
      <c r="G25" s="264">
        <f>+F25-'tariff tables'!H6</f>
        <v>0</v>
      </c>
    </row>
    <row r="26" spans="1:7" ht="15" thickBot="1" x14ac:dyDescent="0.4">
      <c r="A26" s="108" t="s">
        <v>122</v>
      </c>
      <c r="B26" s="262">
        <f t="shared" ref="B26:E26" si="6">+B8+B17</f>
        <v>2E-3</v>
      </c>
      <c r="C26" s="263">
        <f t="shared" si="6"/>
        <v>1.0200000000000001E-3</v>
      </c>
      <c r="D26" s="263">
        <f t="shared" si="6"/>
        <v>7.9999999999999993E-4</v>
      </c>
      <c r="E26" s="263">
        <f t="shared" si="6"/>
        <v>0</v>
      </c>
      <c r="F26" s="261">
        <f t="shared" si="4"/>
        <v>3.82E-3</v>
      </c>
      <c r="G26" s="264">
        <f>+F26-'tariff tables'!H7</f>
        <v>0</v>
      </c>
    </row>
    <row r="27" spans="1:7" ht="15" thickBot="1" x14ac:dyDescent="0.4">
      <c r="A27" s="108" t="s">
        <v>123</v>
      </c>
      <c r="B27" s="262">
        <f t="shared" ref="B27:E27" si="7">+B9+B18</f>
        <v>1.7599999999999998E-3</v>
      </c>
      <c r="C27" s="263">
        <f t="shared" si="7"/>
        <v>3.5E-4</v>
      </c>
      <c r="D27" s="263">
        <f t="shared" si="7"/>
        <v>7.1000000000000002E-4</v>
      </c>
      <c r="E27" s="263">
        <f t="shared" si="7"/>
        <v>0</v>
      </c>
      <c r="F27" s="261">
        <f t="shared" si="4"/>
        <v>2.82E-3</v>
      </c>
      <c r="G27" s="264">
        <f>+F27-'tariff tables'!H8</f>
        <v>0</v>
      </c>
    </row>
    <row r="29" spans="1:7" x14ac:dyDescent="0.35">
      <c r="B29" s="264">
        <f>+B23-'tariff tables'!J4</f>
        <v>0</v>
      </c>
      <c r="C29" s="264">
        <f>+C23-'tariff tables'!K4</f>
        <v>0</v>
      </c>
      <c r="D29" s="264">
        <f>+D23-'tariff tables'!L4</f>
        <v>0</v>
      </c>
      <c r="E29" s="264">
        <f>+E23-'tariff tables'!M4</f>
        <v>0</v>
      </c>
      <c r="F29" s="264"/>
    </row>
    <row r="30" spans="1:7" x14ac:dyDescent="0.35">
      <c r="B30" s="264">
        <f>+B24-'tariff tables'!J5</f>
        <v>0</v>
      </c>
      <c r="C30" s="264">
        <f>+C24-'tariff tables'!K5</f>
        <v>0</v>
      </c>
      <c r="D30" s="264">
        <f>+D24-'tariff tables'!L5</f>
        <v>0</v>
      </c>
      <c r="E30" s="264">
        <f>+E24-'tariff tables'!M5</f>
        <v>0</v>
      </c>
      <c r="F30" s="264"/>
    </row>
    <row r="31" spans="1:7" x14ac:dyDescent="0.35">
      <c r="B31" s="264">
        <f>+B25-'tariff tables'!J6</f>
        <v>0</v>
      </c>
      <c r="C31" s="264">
        <f>+C25-'tariff tables'!K6</f>
        <v>0</v>
      </c>
      <c r="D31" s="264">
        <f>+D25-'tariff tables'!L6</f>
        <v>0</v>
      </c>
      <c r="E31" s="264">
        <f>+E25-'tariff tables'!M6</f>
        <v>0</v>
      </c>
      <c r="F31" s="264"/>
    </row>
    <row r="32" spans="1:7" x14ac:dyDescent="0.35">
      <c r="B32" s="264">
        <f>+B26-'tariff tables'!J7</f>
        <v>0</v>
      </c>
      <c r="C32" s="264">
        <f>+C26-'tariff tables'!K7</f>
        <v>0</v>
      </c>
      <c r="D32" s="264">
        <f>+D26-'tariff tables'!L7</f>
        <v>0</v>
      </c>
      <c r="E32" s="264">
        <f>+E26-'tariff tables'!M7</f>
        <v>0</v>
      </c>
      <c r="F32" s="264"/>
    </row>
    <row r="33" spans="2:6" x14ac:dyDescent="0.35">
      <c r="B33" s="264">
        <f>+B27-'tariff tables'!J8</f>
        <v>0</v>
      </c>
      <c r="C33" s="264">
        <f>+C27-'tariff tables'!K8</f>
        <v>0</v>
      </c>
      <c r="D33" s="264">
        <f>+D27-'tariff tables'!L8</f>
        <v>0</v>
      </c>
      <c r="E33" s="264">
        <f>+E27-'tariff tables'!M8</f>
        <v>0</v>
      </c>
      <c r="F33" s="264"/>
    </row>
  </sheetData>
  <pageMargins left="0.7" right="0.7" top="0.75" bottom="0.75" header="0.3" footer="0.3"/>
  <pageSetup orientation="portrait" r:id="rId1"/>
  <headerFooter>
    <oddHeader>&amp;R&amp;"Calibri"&amp;10&amp;KA80000Internal Use Only&amp;1#</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4"/>
  <sheetViews>
    <sheetView workbookViewId="0">
      <selection activeCell="D10" sqref="D10"/>
    </sheetView>
  </sheetViews>
  <sheetFormatPr defaultRowHeight="14.5" x14ac:dyDescent="0.35"/>
  <cols>
    <col min="1" max="1" width="20.81640625" customWidth="1"/>
    <col min="2" max="2" width="22" customWidth="1"/>
    <col min="3" max="3" width="17.26953125" customWidth="1"/>
    <col min="4" max="4" width="16.26953125" customWidth="1"/>
    <col min="5" max="5" width="15.54296875" bestFit="1" customWidth="1"/>
    <col min="6" max="9" width="17.7265625" customWidth="1"/>
    <col min="12" max="12" width="11.26953125" bestFit="1" customWidth="1"/>
  </cols>
  <sheetData>
    <row r="1" spans="1:32" s="59" customFormat="1" x14ac:dyDescent="0.35">
      <c r="A1" s="76" t="s">
        <v>181</v>
      </c>
    </row>
    <row r="2" spans="1:32" ht="15" thickBot="1" x14ac:dyDescent="0.4">
      <c r="A2" s="9" t="s">
        <v>182</v>
      </c>
    </row>
    <row r="3" spans="1:32" ht="35.25" customHeight="1" thickBot="1" x14ac:dyDescent="0.4">
      <c r="B3" s="293" t="s">
        <v>67</v>
      </c>
      <c r="C3" s="293"/>
      <c r="E3" s="294" t="s">
        <v>5</v>
      </c>
      <c r="F3" s="295"/>
      <c r="G3" s="295"/>
      <c r="H3" s="295"/>
      <c r="I3" s="296"/>
    </row>
    <row r="4" spans="1:32" ht="43.5" x14ac:dyDescent="0.35">
      <c r="B4" s="83" t="s">
        <v>46</v>
      </c>
      <c r="C4" s="6" t="s">
        <v>28</v>
      </c>
      <c r="E4" s="10"/>
      <c r="F4" s="87" t="s">
        <v>26</v>
      </c>
      <c r="G4" s="87" t="s">
        <v>27</v>
      </c>
      <c r="H4" s="87" t="s">
        <v>62</v>
      </c>
      <c r="I4" s="88" t="s">
        <v>1</v>
      </c>
    </row>
    <row r="5" spans="1:32" x14ac:dyDescent="0.35">
      <c r="A5" s="21" t="s">
        <v>26</v>
      </c>
      <c r="B5" s="90">
        <f>SUM('[1]Billed kWh Sales'!$G$36:$H$36)</f>
        <v>2612273653</v>
      </c>
      <c r="C5" s="35">
        <f>SUM(F9:I9)</f>
        <v>0</v>
      </c>
      <c r="D5" s="4"/>
      <c r="E5" s="24"/>
      <c r="F5" s="26">
        <v>1</v>
      </c>
      <c r="G5" s="26">
        <v>0</v>
      </c>
      <c r="H5" s="26">
        <v>0.5</v>
      </c>
      <c r="I5" s="27">
        <v>0.5</v>
      </c>
    </row>
    <row r="6" spans="1:32" ht="15" thickBot="1" x14ac:dyDescent="0.4">
      <c r="A6" s="21" t="s">
        <v>27</v>
      </c>
      <c r="B6" s="90">
        <f>SUM('[1]Billed kWh Sales'!$G$37:$H$40)</f>
        <v>3934957403</v>
      </c>
      <c r="C6" s="35">
        <f>SUM(F10:I10)</f>
        <v>0</v>
      </c>
      <c r="D6" s="4"/>
      <c r="E6" s="24"/>
      <c r="F6" s="26">
        <v>0</v>
      </c>
      <c r="G6" s="26">
        <v>1</v>
      </c>
      <c r="H6" s="26">
        <v>0.5</v>
      </c>
      <c r="I6" s="27">
        <v>0.5</v>
      </c>
    </row>
    <row r="7" spans="1:32" ht="15.5" thickTop="1" thickBot="1" x14ac:dyDescent="0.4">
      <c r="A7" s="21" t="s">
        <v>6</v>
      </c>
      <c r="B7" s="34">
        <f>SUM(B5:B6)</f>
        <v>6547231056</v>
      </c>
      <c r="C7" s="23">
        <f>SUM(C5:C6)</f>
        <v>0</v>
      </c>
      <c r="D7" s="4"/>
      <c r="E7" s="30" t="s">
        <v>12</v>
      </c>
      <c r="F7" s="20">
        <f>1-SUM(F5:F6)</f>
        <v>0</v>
      </c>
      <c r="G7" s="20">
        <f>1-SUM(G5:G6)</f>
        <v>0</v>
      </c>
      <c r="H7" s="20">
        <f>1-SUM(H5:H6)</f>
        <v>0</v>
      </c>
      <c r="I7" s="20">
        <f>1-SUM(I5:I6)</f>
        <v>0</v>
      </c>
    </row>
    <row r="8" spans="1:32" ht="15.5" thickTop="1" thickBot="1" x14ac:dyDescent="0.4">
      <c r="B8" s="32" t="s">
        <v>12</v>
      </c>
      <c r="C8" s="20">
        <f>SUM(F8:I8)-C7</f>
        <v>0</v>
      </c>
      <c r="D8" s="2"/>
      <c r="E8" s="31" t="s">
        <v>6</v>
      </c>
      <c r="F8" s="36">
        <v>0</v>
      </c>
      <c r="G8" s="36">
        <v>0</v>
      </c>
      <c r="H8" s="36">
        <v>0</v>
      </c>
      <c r="I8" s="37">
        <v>0</v>
      </c>
    </row>
    <row r="9" spans="1:32" ht="29.5" thickTop="1" x14ac:dyDescent="0.35">
      <c r="D9" s="252" t="s">
        <v>128</v>
      </c>
      <c r="E9" s="102" t="s">
        <v>26</v>
      </c>
      <c r="F9" s="103">
        <f t="shared" ref="F9:I10" si="0">F5*F$8</f>
        <v>0</v>
      </c>
      <c r="G9" s="103">
        <f t="shared" si="0"/>
        <v>0</v>
      </c>
      <c r="H9" s="103">
        <f t="shared" si="0"/>
        <v>0</v>
      </c>
      <c r="I9" s="104">
        <f t="shared" si="0"/>
        <v>0</v>
      </c>
    </row>
    <row r="10" spans="1:32" ht="15" thickBot="1" x14ac:dyDescent="0.4">
      <c r="A10" s="21" t="s">
        <v>120</v>
      </c>
      <c r="B10" s="90">
        <f>SUM('[1]Billed kWh Sales'!$G37:$H37)</f>
        <v>409900318</v>
      </c>
      <c r="C10" s="35">
        <f>ROUND($C$6*D10,2)</f>
        <v>0</v>
      </c>
      <c r="D10" s="250">
        <f>+'[2]Monthly TD Calc'!$CY$44</f>
        <v>0.13576441564001979</v>
      </c>
      <c r="E10" s="25" t="s">
        <v>27</v>
      </c>
      <c r="F10" s="28">
        <f t="shared" si="0"/>
        <v>0</v>
      </c>
      <c r="G10" s="28">
        <f t="shared" si="0"/>
        <v>0</v>
      </c>
      <c r="H10" s="28">
        <f t="shared" si="0"/>
        <v>0</v>
      </c>
      <c r="I10" s="29">
        <f t="shared" si="0"/>
        <v>0</v>
      </c>
    </row>
    <row r="11" spans="1:32" x14ac:dyDescent="0.35">
      <c r="A11" s="21" t="s">
        <v>121</v>
      </c>
      <c r="B11" s="90">
        <f>SUM('[1]Billed kWh Sales'!$G38:$H38)</f>
        <v>1167377772</v>
      </c>
      <c r="C11" s="35">
        <f>ROUND($C$6*D11,2)</f>
        <v>0</v>
      </c>
      <c r="D11" s="250">
        <f>+'[2]Monthly TD Calc'!$CZ$44</f>
        <v>0.35611574316442379</v>
      </c>
    </row>
    <row r="12" spans="1:32" x14ac:dyDescent="0.35">
      <c r="A12" s="21" t="s">
        <v>122</v>
      </c>
      <c r="B12" s="90">
        <f>SUM('[1]Billed kWh Sales'!$G39:$H39)</f>
        <v>1810108556</v>
      </c>
      <c r="C12" s="35">
        <f>ROUND($C$6*D12,2)</f>
        <v>0</v>
      </c>
      <c r="D12" s="250">
        <f>+'[2]Monthly TD Calc'!$DA$44</f>
        <v>0.4183185730547726</v>
      </c>
    </row>
    <row r="13" spans="1:32" x14ac:dyDescent="0.35">
      <c r="A13" s="21" t="s">
        <v>123</v>
      </c>
      <c r="B13" s="90">
        <f>SUM('[1]Billed kWh Sales'!$G40:$H40)</f>
        <v>547570757</v>
      </c>
      <c r="C13" s="35">
        <f>ROUND($C$6*D13,2)</f>
        <v>0</v>
      </c>
      <c r="D13" s="250">
        <f>+'[2]Monthly TD Calc'!$DB$44</f>
        <v>8.9801268140783777E-2</v>
      </c>
      <c r="L13" s="213"/>
      <c r="W13" s="1"/>
      <c r="X13" s="1"/>
      <c r="Y13" s="1"/>
      <c r="Z13" s="1"/>
      <c r="AA13" s="1"/>
      <c r="AB13" s="1"/>
      <c r="AC13" s="1"/>
      <c r="AD13" s="1"/>
      <c r="AE13" s="1"/>
      <c r="AF13" s="1"/>
    </row>
    <row r="14" spans="1:32" s="59" customFormat="1" x14ac:dyDescent="0.35">
      <c r="A14" s="42" t="s">
        <v>125</v>
      </c>
      <c r="B14" s="34">
        <f>SUM(B10:B13)</f>
        <v>3934957403</v>
      </c>
      <c r="C14" s="23">
        <f>SUM(C10:C13)</f>
        <v>0</v>
      </c>
      <c r="D14" s="251">
        <f>SUM(D10:D13)</f>
        <v>1</v>
      </c>
      <c r="L14" s="213"/>
      <c r="W14" s="1"/>
      <c r="X14" s="1"/>
      <c r="Y14" s="1"/>
      <c r="Z14" s="1"/>
      <c r="AA14" s="1"/>
      <c r="AB14" s="1"/>
      <c r="AC14" s="1"/>
      <c r="AD14" s="1"/>
      <c r="AE14" s="1"/>
      <c r="AF14" s="1"/>
    </row>
    <row r="15" spans="1:32" x14ac:dyDescent="0.35">
      <c r="F15" s="58"/>
      <c r="G15" s="58"/>
      <c r="H15" s="58"/>
      <c r="I15" s="169"/>
      <c r="J15" s="58"/>
      <c r="L15" s="213"/>
    </row>
    <row r="16" spans="1:32" s="59" customFormat="1" x14ac:dyDescent="0.35">
      <c r="A16" s="66" t="s">
        <v>13</v>
      </c>
      <c r="I16" s="169"/>
      <c r="L16" s="213"/>
    </row>
    <row r="17" spans="1:12" x14ac:dyDescent="0.35">
      <c r="A17" s="297" t="s">
        <v>219</v>
      </c>
      <c r="B17" s="297"/>
      <c r="C17" s="297"/>
      <c r="D17" s="297"/>
      <c r="E17" s="297"/>
      <c r="F17" s="297"/>
      <c r="G17" s="297"/>
      <c r="H17" s="297"/>
      <c r="I17" s="297"/>
      <c r="L17" s="213"/>
    </row>
    <row r="18" spans="1:12" x14ac:dyDescent="0.35">
      <c r="A18" s="297" t="s">
        <v>191</v>
      </c>
      <c r="B18" s="297"/>
      <c r="C18" s="297"/>
      <c r="D18" s="297"/>
      <c r="E18" s="297"/>
      <c r="F18" s="297"/>
      <c r="G18" s="297"/>
      <c r="H18" s="297"/>
      <c r="I18" s="297"/>
      <c r="L18" s="213"/>
    </row>
    <row r="19" spans="1:12" x14ac:dyDescent="0.35">
      <c r="A19" s="3" t="s">
        <v>189</v>
      </c>
      <c r="I19" s="169"/>
    </row>
    <row r="20" spans="1:12" x14ac:dyDescent="0.35">
      <c r="I20" s="169"/>
    </row>
    <row r="21" spans="1:12" x14ac:dyDescent="0.35">
      <c r="I21" s="169"/>
    </row>
    <row r="28" spans="1:12" x14ac:dyDescent="0.35">
      <c r="C28" s="2"/>
    </row>
    <row r="30" spans="1:12" x14ac:dyDescent="0.35">
      <c r="A30" s="59"/>
      <c r="B30" s="59"/>
      <c r="C30" s="59"/>
      <c r="D30" s="59"/>
      <c r="E30" s="59"/>
      <c r="F30" s="59"/>
      <c r="G30" s="59"/>
      <c r="H30" s="59"/>
      <c r="I30" s="59"/>
      <c r="J30" s="59"/>
    </row>
    <row r="31" spans="1:12" x14ac:dyDescent="0.35">
      <c r="A31" s="59"/>
      <c r="B31" s="59"/>
      <c r="C31" s="59"/>
      <c r="E31" s="59"/>
      <c r="F31" s="59"/>
      <c r="G31" s="59"/>
      <c r="H31" s="59"/>
      <c r="I31" s="59"/>
      <c r="J31" s="59"/>
    </row>
    <row r="32" spans="1:12" x14ac:dyDescent="0.35">
      <c r="A32" s="59"/>
      <c r="B32" s="59"/>
      <c r="C32" s="59"/>
      <c r="D32" s="59"/>
      <c r="E32" s="59"/>
      <c r="F32" s="59"/>
      <c r="G32" s="59"/>
      <c r="H32" s="59"/>
      <c r="I32" s="59"/>
      <c r="J32" s="59"/>
    </row>
    <row r="33" spans="1:10" x14ac:dyDescent="0.35">
      <c r="A33" s="59"/>
      <c r="B33" s="59"/>
      <c r="C33" s="59"/>
      <c r="D33" s="59"/>
      <c r="E33" s="59"/>
      <c r="F33" s="59"/>
      <c r="G33" s="59"/>
      <c r="H33" s="59"/>
      <c r="I33" s="59"/>
      <c r="J33" s="59"/>
    </row>
    <row r="34" spans="1:10" x14ac:dyDescent="0.35">
      <c r="A34" s="59"/>
      <c r="B34" s="59"/>
      <c r="C34" s="59"/>
      <c r="D34" s="59"/>
      <c r="E34" s="59"/>
      <c r="F34" s="59"/>
      <c r="G34" s="59"/>
      <c r="H34" s="59"/>
      <c r="I34" s="59"/>
      <c r="J34" s="59"/>
    </row>
    <row r="35" spans="1:10" x14ac:dyDescent="0.35">
      <c r="A35" s="59"/>
      <c r="B35" s="59"/>
      <c r="C35" s="59"/>
      <c r="D35" s="59"/>
      <c r="E35" s="59"/>
      <c r="F35" s="59"/>
      <c r="G35" s="59"/>
      <c r="H35" s="59"/>
      <c r="I35" s="59"/>
      <c r="J35" s="59"/>
    </row>
    <row r="36" spans="1:10" x14ac:dyDescent="0.35">
      <c r="A36" s="59"/>
      <c r="B36" s="59"/>
      <c r="C36" s="59"/>
      <c r="D36" s="59"/>
      <c r="E36" s="59"/>
      <c r="F36" s="59"/>
      <c r="G36" s="59"/>
      <c r="H36" s="59"/>
      <c r="I36" s="59"/>
      <c r="J36" s="59"/>
    </row>
    <row r="37" spans="1:10" x14ac:dyDescent="0.35">
      <c r="A37" s="59"/>
      <c r="B37" s="59"/>
      <c r="C37" s="59"/>
      <c r="D37" s="59"/>
      <c r="E37" s="59"/>
      <c r="F37" s="59"/>
      <c r="G37" s="59"/>
      <c r="H37" s="59"/>
      <c r="I37" s="59"/>
      <c r="J37" s="59"/>
    </row>
    <row r="38" spans="1:10" x14ac:dyDescent="0.35">
      <c r="A38" s="59"/>
      <c r="B38" s="59"/>
      <c r="C38" s="59"/>
      <c r="D38" s="59"/>
      <c r="E38" s="59"/>
      <c r="F38" s="59"/>
      <c r="G38" s="59"/>
      <c r="H38" s="59"/>
      <c r="I38" s="59"/>
      <c r="J38" s="59"/>
    </row>
    <row r="39" spans="1:10" x14ac:dyDescent="0.35">
      <c r="A39" s="59"/>
      <c r="B39" s="59"/>
      <c r="C39" s="59"/>
      <c r="D39" s="59"/>
      <c r="E39" s="59"/>
      <c r="F39" s="59"/>
      <c r="G39" s="59"/>
      <c r="H39" s="59"/>
      <c r="I39" s="59"/>
      <c r="J39" s="59"/>
    </row>
    <row r="40" spans="1:10" x14ac:dyDescent="0.35">
      <c r="A40" s="59"/>
      <c r="B40" s="59"/>
      <c r="C40" s="59"/>
      <c r="D40" s="59"/>
      <c r="E40" s="59"/>
      <c r="F40" s="59"/>
      <c r="G40" s="59"/>
      <c r="H40" s="59"/>
      <c r="I40" s="59"/>
      <c r="J40" s="59"/>
    </row>
    <row r="41" spans="1:10" x14ac:dyDescent="0.35">
      <c r="A41" s="59"/>
      <c r="B41" s="59"/>
      <c r="C41" s="59"/>
      <c r="D41" s="59"/>
      <c r="E41" s="59"/>
      <c r="F41" s="59"/>
      <c r="G41" s="59"/>
      <c r="H41" s="59"/>
      <c r="I41" s="59"/>
      <c r="J41" s="59"/>
    </row>
    <row r="42" spans="1:10" x14ac:dyDescent="0.35">
      <c r="A42" s="59"/>
      <c r="B42" s="59"/>
      <c r="C42" s="59"/>
      <c r="D42" s="59"/>
      <c r="E42" s="59"/>
      <c r="F42" s="59"/>
      <c r="G42" s="59"/>
      <c r="H42" s="59"/>
      <c r="I42" s="59"/>
      <c r="J42" s="59"/>
    </row>
    <row r="43" spans="1:10" x14ac:dyDescent="0.35">
      <c r="A43" s="59"/>
      <c r="B43" s="59"/>
      <c r="C43" s="59"/>
      <c r="D43" s="59"/>
      <c r="E43" s="59"/>
      <c r="F43" s="59"/>
      <c r="G43" s="59"/>
      <c r="H43" s="59"/>
      <c r="I43" s="59"/>
      <c r="J43" s="59"/>
    </row>
    <row r="44" spans="1:10" x14ac:dyDescent="0.35">
      <c r="A44" s="59"/>
      <c r="B44" s="59"/>
      <c r="C44" s="59"/>
      <c r="D44" s="59"/>
      <c r="E44" s="59"/>
      <c r="F44" s="59"/>
      <c r="G44" s="59"/>
      <c r="H44" s="59"/>
      <c r="I44" s="59"/>
      <c r="J44" s="59"/>
    </row>
    <row r="50" spans="2:4" x14ac:dyDescent="0.35">
      <c r="B50" s="8"/>
      <c r="C50" s="8"/>
      <c r="D50" s="8"/>
    </row>
    <row r="54" spans="2:4" x14ac:dyDescent="0.35">
      <c r="B54" s="8"/>
      <c r="C54" s="8"/>
      <c r="D54" s="8"/>
    </row>
  </sheetData>
  <mergeCells count="4">
    <mergeCell ref="B3:C3"/>
    <mergeCell ref="E3:I3"/>
    <mergeCell ref="A17:I17"/>
    <mergeCell ref="A18:I18"/>
  </mergeCells>
  <pageMargins left="0.2" right="0.2" top="0.75" bottom="0.25" header="0.3" footer="0.3"/>
  <pageSetup scale="83"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D13" sqref="D13:F13"/>
    </sheetView>
  </sheetViews>
  <sheetFormatPr defaultColWidth="9.1796875" defaultRowHeight="14.5" x14ac:dyDescent="0.35"/>
  <cols>
    <col min="1" max="1" width="20.81640625" style="59" customWidth="1"/>
    <col min="2" max="2" width="22" style="59" customWidth="1"/>
    <col min="3" max="3" width="17.26953125" style="59" customWidth="1"/>
    <col min="4" max="16384" width="9.1796875" style="59"/>
  </cols>
  <sheetData>
    <row r="1" spans="1:25" x14ac:dyDescent="0.35">
      <c r="A1" s="76" t="str">
        <f>+'PPC Cycle 2'!A1</f>
        <v>Evergy Metro, Inc. - DSIM Rider Update Filed 12/01/2020</v>
      </c>
    </row>
    <row r="2" spans="1:25" x14ac:dyDescent="0.35">
      <c r="A2" s="9" t="s">
        <v>183</v>
      </c>
    </row>
    <row r="3" spans="1:25" ht="35.25" customHeight="1" x14ac:dyDescent="0.35">
      <c r="B3" s="293" t="s">
        <v>126</v>
      </c>
      <c r="C3" s="293"/>
    </row>
    <row r="4" spans="1:25" ht="43.5" x14ac:dyDescent="0.35">
      <c r="B4" s="83" t="s">
        <v>46</v>
      </c>
      <c r="C4" s="258" t="s">
        <v>28</v>
      </c>
    </row>
    <row r="5" spans="1:25" x14ac:dyDescent="0.35">
      <c r="A5" s="21" t="s">
        <v>26</v>
      </c>
      <c r="B5" s="90">
        <f>SUM('[1]Billed kWh Sales'!$G36:$H36)</f>
        <v>2612273653</v>
      </c>
      <c r="C5" s="256">
        <f>ROUND(SUM('[3]Monthly Program Costs'!T277:AE277),2)</f>
        <v>7181273.4299999997</v>
      </c>
    </row>
    <row r="6" spans="1:25" x14ac:dyDescent="0.35">
      <c r="A6" s="21" t="s">
        <v>120</v>
      </c>
      <c r="B6" s="90">
        <f>SUM('[1]Billed kWh Sales'!$G37:$H37)</f>
        <v>409900318</v>
      </c>
      <c r="C6" s="256">
        <f>ROUND(SUM('[3]Monthly Program Costs'!T278:AE278),2)</f>
        <v>863248.56</v>
      </c>
    </row>
    <row r="7" spans="1:25" x14ac:dyDescent="0.35">
      <c r="A7" s="21" t="s">
        <v>121</v>
      </c>
      <c r="B7" s="90">
        <f>SUM('[1]Billed kWh Sales'!$G38:$H38)</f>
        <v>1167377772</v>
      </c>
      <c r="C7" s="256">
        <f>ROUND(SUM('[3]Monthly Program Costs'!T279:AE279),2)</f>
        <v>2179647.65</v>
      </c>
    </row>
    <row r="8" spans="1:25" x14ac:dyDescent="0.35">
      <c r="A8" s="21" t="s">
        <v>122</v>
      </c>
      <c r="B8" s="90">
        <f>SUM('[1]Billed kWh Sales'!$G39:$H39)</f>
        <v>1810108556</v>
      </c>
      <c r="C8" s="256">
        <f>ROUND(SUM('[3]Monthly Program Costs'!T280:AE280),2)</f>
        <v>3537080.81</v>
      </c>
    </row>
    <row r="9" spans="1:25" x14ac:dyDescent="0.35">
      <c r="A9" s="21" t="s">
        <v>123</v>
      </c>
      <c r="B9" s="90">
        <f>SUM('[1]Billed kWh Sales'!$G40:$H40)</f>
        <v>547570757</v>
      </c>
      <c r="C9" s="256">
        <f>ROUND(SUM('[3]Monthly Program Costs'!T281:AE281),2)</f>
        <v>1254343.6100000001</v>
      </c>
      <c r="P9" s="1"/>
      <c r="Q9" s="1"/>
      <c r="R9" s="1"/>
      <c r="S9" s="1"/>
      <c r="T9" s="1"/>
      <c r="U9" s="1"/>
      <c r="V9" s="1"/>
      <c r="W9" s="1"/>
      <c r="X9" s="1"/>
      <c r="Y9" s="1"/>
    </row>
    <row r="10" spans="1:25" x14ac:dyDescent="0.35">
      <c r="A10" s="42" t="s">
        <v>125</v>
      </c>
      <c r="B10" s="275">
        <f>SUM(B5:B9)</f>
        <v>6547231056</v>
      </c>
      <c r="C10" s="257">
        <f>SUM(C5:C9)</f>
        <v>15015594.060000001</v>
      </c>
      <c r="P10" s="1"/>
      <c r="Q10" s="1"/>
      <c r="R10" s="1"/>
      <c r="S10" s="1"/>
      <c r="T10" s="1"/>
      <c r="U10" s="1"/>
      <c r="V10" s="1"/>
      <c r="W10" s="1"/>
      <c r="X10" s="1"/>
      <c r="Y10" s="1"/>
    </row>
    <row r="12" spans="1:25" x14ac:dyDescent="0.35">
      <c r="A12" s="66" t="s">
        <v>13</v>
      </c>
    </row>
    <row r="13" spans="1:25" ht="30" customHeight="1" x14ac:dyDescent="0.35">
      <c r="A13" s="298" t="s">
        <v>219</v>
      </c>
      <c r="B13" s="298"/>
      <c r="C13" s="298"/>
      <c r="D13" s="297"/>
      <c r="E13" s="297"/>
      <c r="F13" s="297"/>
      <c r="G13" s="297"/>
      <c r="H13" s="297"/>
      <c r="I13" s="297"/>
    </row>
    <row r="14" spans="1:25" ht="33.75" customHeight="1" x14ac:dyDescent="0.35">
      <c r="A14" s="298" t="s">
        <v>200</v>
      </c>
      <c r="B14" s="298"/>
      <c r="C14" s="298"/>
    </row>
    <row r="15" spans="1:25" x14ac:dyDescent="0.35">
      <c r="A15" s="3"/>
    </row>
    <row r="24" spans="3:3" x14ac:dyDescent="0.35">
      <c r="C24" s="2"/>
    </row>
    <row r="46" spans="2:3" x14ac:dyDescent="0.35">
      <c r="B46" s="8"/>
      <c r="C46" s="8"/>
    </row>
    <row r="50" spans="2:3" x14ac:dyDescent="0.35">
      <c r="B50" s="8"/>
      <c r="C50" s="8"/>
    </row>
  </sheetData>
  <mergeCells count="5">
    <mergeCell ref="B3:C3"/>
    <mergeCell ref="A14:C14"/>
    <mergeCell ref="A13:C13"/>
    <mergeCell ref="D13:F13"/>
    <mergeCell ref="G13:I13"/>
  </mergeCells>
  <pageMargins left="0.2" right="0.2" top="0.75" bottom="0.25" header="0.3" footer="0.3"/>
  <pageSetup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7"/>
  <sheetViews>
    <sheetView topLeftCell="J7" workbookViewId="0">
      <selection activeCell="O7" sqref="O1:O1048576"/>
    </sheetView>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6.1796875" style="59" customWidth="1"/>
    <col min="16" max="16" width="17.26953125" style="59" bestFit="1" customWidth="1"/>
    <col min="17" max="17" width="17.453125" style="59" customWidth="1"/>
    <col min="18" max="18" width="15.54296875" style="59" customWidth="1"/>
    <col min="19" max="19" width="13" style="59" customWidth="1"/>
    <col min="20" max="20" width="9.1796875" style="59"/>
    <col min="21" max="21" width="14.26953125" style="59" bestFit="1" customWidth="1"/>
    <col min="22" max="16384" width="9.1796875" style="59"/>
  </cols>
  <sheetData>
    <row r="1" spans="1:34" x14ac:dyDescent="0.35">
      <c r="A1" s="3" t="str">
        <f>+'PPC Cycle 2'!A1</f>
        <v>Evergy Metro, Inc. - DSIM Rider Update Filed 12/01/2020</v>
      </c>
      <c r="B1" s="3"/>
      <c r="C1" s="3"/>
    </row>
    <row r="2" spans="1:34" x14ac:dyDescent="0.35">
      <c r="D2" s="3" t="s">
        <v>63</v>
      </c>
    </row>
    <row r="3" spans="1:34" ht="29" x14ac:dyDescent="0.35">
      <c r="D3" s="61" t="s">
        <v>48</v>
      </c>
      <c r="E3" s="61" t="s">
        <v>47</v>
      </c>
      <c r="F3" s="83" t="s">
        <v>2</v>
      </c>
      <c r="G3" s="61" t="s">
        <v>3</v>
      </c>
      <c r="H3" s="83" t="s">
        <v>57</v>
      </c>
      <c r="I3" s="61" t="s">
        <v>11</v>
      </c>
      <c r="J3" s="61" t="s">
        <v>4</v>
      </c>
    </row>
    <row r="4" spans="1:34" x14ac:dyDescent="0.35">
      <c r="A4" s="21" t="s">
        <v>26</v>
      </c>
      <c r="D4" s="23">
        <f>SUM(C34:L34)</f>
        <v>619642.9800000001</v>
      </c>
      <c r="E4" s="156">
        <f>SUM(C27:L27)</f>
        <v>1424977812.0840001</v>
      </c>
      <c r="F4" s="23">
        <f>SUM(C23:K23)</f>
        <v>6038.7950000000055</v>
      </c>
      <c r="G4" s="23">
        <f>F4-D4</f>
        <v>-613604.18500000006</v>
      </c>
      <c r="H4" s="23">
        <f>+B47</f>
        <v>861408.84</v>
      </c>
      <c r="I4" s="23">
        <f>SUM(C52:K52)</f>
        <v>3203.1500000000005</v>
      </c>
      <c r="J4" s="35">
        <f>SUM(G4:I4)</f>
        <v>251007.80499999991</v>
      </c>
      <c r="K4" s="60">
        <f>+J4-L47</f>
        <v>2.3283064365386963E-10</v>
      </c>
    </row>
    <row r="5" spans="1:34" ht="15" thickBot="1" x14ac:dyDescent="0.4">
      <c r="A5" s="21" t="s">
        <v>27</v>
      </c>
      <c r="D5" s="23">
        <f>SUM(C35:L38)</f>
        <v>-266646.96000000002</v>
      </c>
      <c r="E5" s="156">
        <f>SUM(C28:L31)</f>
        <v>1802934246.1385</v>
      </c>
      <c r="F5" s="23">
        <f>SUM(C24:K24)</f>
        <v>8240.7350000000006</v>
      </c>
      <c r="G5" s="23">
        <f>F5-D5</f>
        <v>274887.69500000001</v>
      </c>
      <c r="H5" s="23">
        <f>+B48</f>
        <v>-827727.28</v>
      </c>
      <c r="I5" s="23">
        <f>SUM(C53:K53)</f>
        <v>-4664.47</v>
      </c>
      <c r="J5" s="35">
        <f>SUM(G5:I5)</f>
        <v>-557504.05499999993</v>
      </c>
      <c r="K5" s="60">
        <f>+J5-L48</f>
        <v>0</v>
      </c>
    </row>
    <row r="6" spans="1:34" ht="15.5" thickTop="1" thickBot="1" x14ac:dyDescent="0.4">
      <c r="D6" s="39">
        <f t="shared" ref="D6" si="0">SUM(D4:D5)</f>
        <v>352996.02000000008</v>
      </c>
      <c r="E6" s="39">
        <f t="shared" ref="E6:H6" si="1">SUM(E4:E5)</f>
        <v>3227912058.2224998</v>
      </c>
      <c r="F6" s="39">
        <f t="shared" si="1"/>
        <v>14279.530000000006</v>
      </c>
      <c r="G6" s="39">
        <f t="shared" si="1"/>
        <v>-338716.49000000005</v>
      </c>
      <c r="H6" s="39">
        <f t="shared" si="1"/>
        <v>33681.559999999939</v>
      </c>
      <c r="I6" s="39">
        <f>SUM(I4:I5)</f>
        <v>-1461.3199999999997</v>
      </c>
      <c r="J6" s="39">
        <f>SUM(J4:J5)</f>
        <v>-306496.25</v>
      </c>
    </row>
    <row r="7" spans="1:34" ht="44" thickTop="1" x14ac:dyDescent="0.35">
      <c r="D7" s="254"/>
      <c r="E7" s="255"/>
      <c r="F7" s="254"/>
      <c r="G7" s="254"/>
      <c r="H7" s="254"/>
      <c r="I7" s="253"/>
      <c r="J7" s="253"/>
      <c r="K7" s="252" t="s">
        <v>137</v>
      </c>
    </row>
    <row r="8" spans="1:34" x14ac:dyDescent="0.35">
      <c r="A8" s="21" t="s">
        <v>120</v>
      </c>
      <c r="D8" s="254"/>
      <c r="E8" s="255"/>
      <c r="F8" s="254"/>
      <c r="G8" s="254"/>
      <c r="H8" s="254"/>
      <c r="I8" s="253"/>
      <c r="J8" s="35">
        <f>ROUND($J$5*K8,2)</f>
        <v>-75689.210000000006</v>
      </c>
      <c r="K8" s="250">
        <f>+'PPC Cycle 2'!D10</f>
        <v>0.13576441564001979</v>
      </c>
    </row>
    <row r="9" spans="1:34" x14ac:dyDescent="0.35">
      <c r="A9" s="21" t="s">
        <v>121</v>
      </c>
      <c r="D9" s="254"/>
      <c r="E9" s="255"/>
      <c r="F9" s="254"/>
      <c r="G9" s="254"/>
      <c r="H9" s="254"/>
      <c r="I9" s="253"/>
      <c r="J9" s="35">
        <f t="shared" ref="J9:J11" si="2">ROUND($J$5*K9,2)</f>
        <v>-198535.97</v>
      </c>
      <c r="K9" s="250">
        <f>+'PPC Cycle 2'!D11</f>
        <v>0.35611574316442379</v>
      </c>
    </row>
    <row r="10" spans="1:34" x14ac:dyDescent="0.35">
      <c r="A10" s="21" t="s">
        <v>122</v>
      </c>
      <c r="D10" s="254"/>
      <c r="E10" s="255"/>
      <c r="F10" s="254"/>
      <c r="G10" s="254"/>
      <c r="H10" s="254"/>
      <c r="I10" s="253"/>
      <c r="J10" s="35">
        <f t="shared" si="2"/>
        <v>-233214.3</v>
      </c>
      <c r="K10" s="250">
        <f>+'PPC Cycle 2'!D12</f>
        <v>0.4183185730547726</v>
      </c>
    </row>
    <row r="11" spans="1:34" ht="15" thickBot="1" x14ac:dyDescent="0.4">
      <c r="A11" s="21" t="s">
        <v>123</v>
      </c>
      <c r="D11" s="254"/>
      <c r="E11" s="255"/>
      <c r="F11" s="254"/>
      <c r="G11" s="254"/>
      <c r="H11" s="254"/>
      <c r="I11" s="253"/>
      <c r="J11" s="35">
        <f t="shared" si="2"/>
        <v>-50064.57</v>
      </c>
      <c r="K11" s="250">
        <f>+'PPC Cycle 2'!D13</f>
        <v>8.9801268140783777E-2</v>
      </c>
    </row>
    <row r="12" spans="1:34" ht="15.5" thickTop="1" thickBot="1" x14ac:dyDescent="0.4">
      <c r="A12" s="21" t="s">
        <v>125</v>
      </c>
      <c r="D12" s="254"/>
      <c r="E12" s="255"/>
      <c r="F12" s="254"/>
      <c r="G12" s="254"/>
      <c r="H12" s="254"/>
      <c r="I12" s="253"/>
      <c r="J12" s="39">
        <f>SUM(J8:J11)</f>
        <v>-557504.04999999993</v>
      </c>
      <c r="K12" s="251">
        <f>SUM(K8:K11)</f>
        <v>1</v>
      </c>
    </row>
    <row r="13" spans="1:34" ht="15.5" thickTop="1" thickBot="1" x14ac:dyDescent="0.4"/>
    <row r="14" spans="1:34" ht="73" thickBot="1" x14ac:dyDescent="0.4">
      <c r="B14" s="136" t="s">
        <v>184</v>
      </c>
      <c r="C14" s="171" t="s">
        <v>185</v>
      </c>
      <c r="D14" s="303" t="s">
        <v>35</v>
      </c>
      <c r="E14" s="303"/>
      <c r="F14" s="304"/>
      <c r="G14" s="294" t="s">
        <v>35</v>
      </c>
      <c r="H14" s="295"/>
      <c r="I14" s="296"/>
      <c r="J14" s="299" t="s">
        <v>9</v>
      </c>
      <c r="K14" s="300"/>
      <c r="L14" s="301"/>
    </row>
    <row r="15" spans="1:34" x14ac:dyDescent="0.35">
      <c r="A15" s="59" t="s">
        <v>34</v>
      </c>
      <c r="C15" s="14"/>
      <c r="D15" s="19">
        <v>43982</v>
      </c>
      <c r="E15" s="19">
        <f>EOMONTH(D15,1)</f>
        <v>44012</v>
      </c>
      <c r="F15" s="19">
        <f t="shared" ref="F15:L15" si="3">EOMONTH(E15,1)</f>
        <v>44043</v>
      </c>
      <c r="G15" s="14">
        <f t="shared" si="3"/>
        <v>44074</v>
      </c>
      <c r="H15" s="19">
        <f t="shared" si="3"/>
        <v>44104</v>
      </c>
      <c r="I15" s="15">
        <f t="shared" si="3"/>
        <v>44135</v>
      </c>
      <c r="J15" s="19">
        <f t="shared" si="3"/>
        <v>44165</v>
      </c>
      <c r="K15" s="19">
        <f t="shared" si="3"/>
        <v>44196</v>
      </c>
      <c r="L15" s="113">
        <f t="shared" si="3"/>
        <v>44227</v>
      </c>
      <c r="Y15" s="1"/>
      <c r="Z15" s="1"/>
      <c r="AA15" s="1"/>
      <c r="AB15" s="1"/>
      <c r="AC15" s="1"/>
      <c r="AD15" s="1"/>
      <c r="AE15" s="1"/>
      <c r="AF15" s="1"/>
      <c r="AG15" s="1"/>
      <c r="AH15" s="1"/>
    </row>
    <row r="16" spans="1:34" x14ac:dyDescent="0.35">
      <c r="A16" s="59" t="s">
        <v>26</v>
      </c>
      <c r="C16" s="115">
        <v>-14797.4</v>
      </c>
      <c r="D16" s="127">
        <f>ROUND('[4]Metro Cycle 2'!C22,2)</f>
        <v>-248.1</v>
      </c>
      <c r="E16" s="127">
        <f>ROUND('[4]Metro Cycle 2'!D22,2)</f>
        <v>0</v>
      </c>
      <c r="F16" s="128">
        <f>ROUND('[4]Metro Cycle 2'!E22,2)</f>
        <v>0</v>
      </c>
      <c r="G16" s="16">
        <f>ROUND('[4]Metro Cycle 2'!F22,2)</f>
        <v>50611.66</v>
      </c>
      <c r="H16" s="68">
        <f>ROUND('[4]Metro Cycle 2'!G22,2)</f>
        <v>-6219.48</v>
      </c>
      <c r="I16" s="186">
        <f>ROUND('[4]Metro Cycle 2'!H22,2)</f>
        <v>-24109.87</v>
      </c>
      <c r="J16" s="196">
        <v>0</v>
      </c>
      <c r="K16" s="158">
        <v>0</v>
      </c>
      <c r="L16" s="91"/>
    </row>
    <row r="17" spans="1:13" x14ac:dyDescent="0.35">
      <c r="A17" s="59" t="s">
        <v>27</v>
      </c>
      <c r="C17" s="115">
        <v>-20068.46</v>
      </c>
      <c r="D17" s="127">
        <f>ROUND('[4]Metro Cycle 2'!C23,2)</f>
        <v>0</v>
      </c>
      <c r="E17" s="127">
        <f>ROUND('[4]Metro Cycle 2'!D23,2)</f>
        <v>0</v>
      </c>
      <c r="F17" s="128">
        <f>ROUND('[4]Metro Cycle 2'!E23,2)</f>
        <v>0</v>
      </c>
      <c r="G17" s="16">
        <f>ROUND('[4]Metro Cycle 2'!F23,2)</f>
        <v>68640.350000000006</v>
      </c>
      <c r="H17" s="68">
        <f>ROUND('[4]Metro Cycle 2'!G23,2)</f>
        <v>-8434.9500000000007</v>
      </c>
      <c r="I17" s="186">
        <f>ROUND('[4]Metro Cycle 2'!H23,2)</f>
        <v>-32698.19</v>
      </c>
      <c r="J17" s="196">
        <v>0</v>
      </c>
      <c r="K17" s="158">
        <v>0</v>
      </c>
      <c r="L17" s="91"/>
      <c r="M17" s="76" t="s">
        <v>29</v>
      </c>
    </row>
    <row r="18" spans="1:13" x14ac:dyDescent="0.35">
      <c r="A18" s="59" t="s">
        <v>0</v>
      </c>
      <c r="C18" s="115">
        <v>-4327.24</v>
      </c>
      <c r="D18" s="127">
        <f>ROUND('[4]Metro Cycle 2'!C24,2)</f>
        <v>0</v>
      </c>
      <c r="E18" s="127">
        <f>ROUND('[4]Metro Cycle 2'!D24,2)</f>
        <v>0</v>
      </c>
      <c r="F18" s="128">
        <f>ROUND('[4]Metro Cycle 2'!E24,2)</f>
        <v>0</v>
      </c>
      <c r="G18" s="16">
        <f>ROUND('[4]Metro Cycle 2'!F24,2)</f>
        <v>14800.49</v>
      </c>
      <c r="H18" s="68">
        <f>ROUND('[4]Metro Cycle 2'!G24,2)</f>
        <v>-1818.77</v>
      </c>
      <c r="I18" s="186">
        <f>ROUND('[4]Metro Cycle 2'!H24,2)</f>
        <v>-7050.51</v>
      </c>
      <c r="J18" s="196">
        <v>0</v>
      </c>
      <c r="K18" s="158">
        <v>0</v>
      </c>
      <c r="L18" s="91"/>
      <c r="M18" s="86">
        <v>0.5</v>
      </c>
    </row>
    <row r="19" spans="1:13" x14ac:dyDescent="0.35">
      <c r="A19" s="59" t="s">
        <v>1</v>
      </c>
      <c r="C19" s="115">
        <v>0</v>
      </c>
      <c r="D19" s="127">
        <f>ROUND('[4]Metro Cycle 2'!C25,2)</f>
        <v>0</v>
      </c>
      <c r="E19" s="127">
        <f>ROUND('[4]Metro Cycle 2'!D25,2)</f>
        <v>0</v>
      </c>
      <c r="F19" s="128">
        <f>ROUND('[4]Metro Cycle 2'!E25,2)</f>
        <v>0</v>
      </c>
      <c r="G19" s="16">
        <f>ROUND('[4]Metro Cycle 2'!F25,2)</f>
        <v>0</v>
      </c>
      <c r="H19" s="68">
        <f>ROUND('[4]Metro Cycle 2'!G25,2)</f>
        <v>0</v>
      </c>
      <c r="I19" s="186">
        <f>ROUND('[4]Metro Cycle 2'!H25,2)</f>
        <v>0</v>
      </c>
      <c r="J19" s="196">
        <v>0</v>
      </c>
      <c r="K19" s="158">
        <v>0</v>
      </c>
      <c r="L19" s="91"/>
      <c r="M19" s="76"/>
    </row>
    <row r="20" spans="1:13" x14ac:dyDescent="0.35">
      <c r="C20" s="116"/>
      <c r="D20" s="43"/>
      <c r="E20" s="43"/>
      <c r="F20" s="43"/>
      <c r="G20" s="40"/>
      <c r="H20" s="43"/>
      <c r="I20" s="11"/>
      <c r="J20" s="43"/>
      <c r="K20" s="43"/>
      <c r="L20" s="41"/>
    </row>
    <row r="21" spans="1:13" x14ac:dyDescent="0.35">
      <c r="C21" s="116"/>
      <c r="D21" s="43"/>
      <c r="E21" s="43"/>
      <c r="F21" s="43"/>
      <c r="G21" s="40"/>
      <c r="H21" s="43"/>
      <c r="I21" s="11"/>
      <c r="J21" s="43"/>
      <c r="K21" s="43"/>
      <c r="L21" s="41"/>
    </row>
    <row r="22" spans="1:13" x14ac:dyDescent="0.35">
      <c r="A22" s="59" t="s">
        <v>37</v>
      </c>
      <c r="C22" s="117"/>
      <c r="D22" s="43"/>
      <c r="E22" s="43"/>
      <c r="F22" s="43"/>
      <c r="G22" s="40"/>
      <c r="H22" s="43"/>
      <c r="I22" s="187"/>
      <c r="J22" s="17"/>
      <c r="K22" s="17"/>
      <c r="L22" s="11"/>
    </row>
    <row r="23" spans="1:13" x14ac:dyDescent="0.35">
      <c r="A23" s="59" t="s">
        <v>26</v>
      </c>
      <c r="C23" s="52">
        <f t="shared" ref="C23:K23" si="4">C16+($M$18*C$18)+($M$18*C$19)</f>
        <v>-16961.02</v>
      </c>
      <c r="D23" s="53">
        <f t="shared" si="4"/>
        <v>-248.1</v>
      </c>
      <c r="E23" s="53">
        <f t="shared" si="4"/>
        <v>0</v>
      </c>
      <c r="F23" s="126">
        <f t="shared" si="4"/>
        <v>0</v>
      </c>
      <c r="G23" s="52">
        <f t="shared" si="4"/>
        <v>58011.905000000006</v>
      </c>
      <c r="H23" s="53">
        <f t="shared" si="4"/>
        <v>-7128.8649999999998</v>
      </c>
      <c r="I23" s="74">
        <f t="shared" si="4"/>
        <v>-27635.125</v>
      </c>
      <c r="J23" s="141">
        <f t="shared" si="4"/>
        <v>0</v>
      </c>
      <c r="K23" s="53">
        <f t="shared" si="4"/>
        <v>0</v>
      </c>
      <c r="L23" s="74">
        <f t="shared" ref="L23" si="5">L16+($M$18*L$18)+($M$18*L$19)+L$20*(1-$M$20)</f>
        <v>0</v>
      </c>
    </row>
    <row r="24" spans="1:13" x14ac:dyDescent="0.35">
      <c r="A24" s="59" t="s">
        <v>27</v>
      </c>
      <c r="C24" s="52">
        <f t="shared" ref="C24:K24" si="6">(C$17+$M$18*C$18)+C$19*$M$18</f>
        <v>-22232.079999999998</v>
      </c>
      <c r="D24" s="53">
        <f t="shared" si="6"/>
        <v>0</v>
      </c>
      <c r="E24" s="53">
        <f t="shared" si="6"/>
        <v>0</v>
      </c>
      <c r="F24" s="126">
        <f t="shared" si="6"/>
        <v>0</v>
      </c>
      <c r="G24" s="52">
        <f t="shared" si="6"/>
        <v>76040.595000000001</v>
      </c>
      <c r="H24" s="53">
        <f t="shared" si="6"/>
        <v>-9344.3350000000009</v>
      </c>
      <c r="I24" s="74">
        <f t="shared" si="6"/>
        <v>-36223.445</v>
      </c>
      <c r="J24" s="141">
        <f t="shared" si="6"/>
        <v>0</v>
      </c>
      <c r="K24" s="53">
        <f t="shared" si="6"/>
        <v>0</v>
      </c>
      <c r="L24" s="74">
        <f t="shared" ref="L24" si="7">(L$17+$M$18*L$18+L$20*$M$20)+L$19*$M$18</f>
        <v>0</v>
      </c>
    </row>
    <row r="25" spans="1:13" x14ac:dyDescent="0.35">
      <c r="C25" s="117"/>
      <c r="D25" s="43"/>
      <c r="E25" s="43"/>
      <c r="F25" s="43"/>
      <c r="G25" s="40"/>
      <c r="H25" s="43"/>
      <c r="I25" s="11"/>
      <c r="J25" s="17"/>
      <c r="K25" s="17"/>
      <c r="L25" s="11"/>
    </row>
    <row r="26" spans="1:13" x14ac:dyDescent="0.35">
      <c r="A26" s="51" t="s">
        <v>49</v>
      </c>
      <c r="B26" s="51"/>
      <c r="C26" s="119"/>
      <c r="D26" s="43"/>
      <c r="E26" s="43"/>
      <c r="F26" s="43"/>
      <c r="G26" s="40"/>
      <c r="H26" s="43"/>
      <c r="I26" s="11"/>
      <c r="J26" s="17"/>
      <c r="K26" s="17"/>
      <c r="L26" s="11"/>
    </row>
    <row r="27" spans="1:13" x14ac:dyDescent="0.35">
      <c r="A27" s="59" t="s">
        <v>26</v>
      </c>
      <c r="C27" s="120">
        <v>-607846424</v>
      </c>
      <c r="D27" s="129">
        <f>+'[5]May 2020'!$C123</f>
        <v>145753767.77759999</v>
      </c>
      <c r="E27" s="129">
        <f>+'[5]June 2020'!$C123</f>
        <v>214973143.329</v>
      </c>
      <c r="F27" s="129">
        <f>+'[5]July 2020'!$C123</f>
        <v>309178453.01440001</v>
      </c>
      <c r="G27" s="206">
        <f>+'[5]Aug 2020'!$C123</f>
        <v>284962522.04360002</v>
      </c>
      <c r="H27" s="209">
        <f>+'[5]Sept 2020'!$C123</f>
        <v>256870301.28760001</v>
      </c>
      <c r="I27" s="201">
        <f>+'[5]Oct 2020'!$C123</f>
        <v>169413803.6318</v>
      </c>
      <c r="J27" s="197">
        <f>+'[1]Billed kWh Sales'!M24</f>
        <v>157888109</v>
      </c>
      <c r="K27" s="159">
        <f>+'[1]Billed kWh Sales'!N24</f>
        <v>229944864</v>
      </c>
      <c r="L27" s="92">
        <f>+'[1]Billed kWh Sales'!O24</f>
        <v>263839272</v>
      </c>
    </row>
    <row r="28" spans="1:13" x14ac:dyDescent="0.35">
      <c r="A28" s="59" t="s">
        <v>120</v>
      </c>
      <c r="C28" s="120">
        <v>-104720501</v>
      </c>
      <c r="D28" s="129">
        <f>+'[5]May 2020'!$C124</f>
        <v>28178533.837200001</v>
      </c>
      <c r="E28" s="129">
        <f>+'[5]June 2020'!$C124</f>
        <v>37707440.393700004</v>
      </c>
      <c r="F28" s="129">
        <f>+'[5]July 2020'!$C124</f>
        <v>48641370.017499998</v>
      </c>
      <c r="G28" s="206">
        <f>+'[5]Aug 2020'!$C124</f>
        <v>47137386.677199997</v>
      </c>
      <c r="H28" s="209">
        <f>+'[5]Sept 2020'!$C124</f>
        <v>46068093.666499995</v>
      </c>
      <c r="I28" s="201">
        <f>+'[5]Oct 2020'!$C124</f>
        <v>38682517.839799985</v>
      </c>
      <c r="J28" s="197">
        <f>+'[1]Billed kWh Sales'!M25</f>
        <v>29639799</v>
      </c>
      <c r="K28" s="159">
        <f>+'[1]Billed kWh Sales'!N25</f>
        <v>32332411</v>
      </c>
      <c r="L28" s="92">
        <f>+'[1]Billed kWh Sales'!O25</f>
        <v>34216291</v>
      </c>
    </row>
    <row r="29" spans="1:13" x14ac:dyDescent="0.35">
      <c r="A29" s="59" t="s">
        <v>121</v>
      </c>
      <c r="C29" s="120">
        <v>-298239301</v>
      </c>
      <c r="D29" s="129">
        <f>+'[5]May 2020'!$C125</f>
        <v>65697274.287299998</v>
      </c>
      <c r="E29" s="129">
        <f>+'[5]June 2020'!$C125</f>
        <v>82741020.593200013</v>
      </c>
      <c r="F29" s="129">
        <f>+'[5]July 2020'!$C125</f>
        <v>104403148.91419999</v>
      </c>
      <c r="G29" s="206">
        <f>+'[5]Aug 2020'!$C125</f>
        <v>101451174.6153</v>
      </c>
      <c r="H29" s="209">
        <f>+'[5]Sept 2020'!$C125</f>
        <v>98942401.979499996</v>
      </c>
      <c r="I29" s="201">
        <f>+'[5]Oct 2020'!$C125</f>
        <v>84933958.859400004</v>
      </c>
      <c r="J29" s="197">
        <f>+'[1]Billed kWh Sales'!M26</f>
        <v>84412821</v>
      </c>
      <c r="K29" s="159">
        <f>+'[1]Billed kWh Sales'!N26</f>
        <v>92081260</v>
      </c>
      <c r="L29" s="92">
        <f>+'[1]Billed kWh Sales'!O26</f>
        <v>97446467</v>
      </c>
    </row>
    <row r="30" spans="1:13" x14ac:dyDescent="0.35">
      <c r="A30" s="59" t="s">
        <v>122</v>
      </c>
      <c r="C30" s="120">
        <v>-462442855</v>
      </c>
      <c r="D30" s="129">
        <f>+'[5]May 2020'!$C126</f>
        <v>111286727.01079999</v>
      </c>
      <c r="E30" s="129">
        <f>+'[5]June 2020'!$C126</f>
        <v>129101137.96530001</v>
      </c>
      <c r="F30" s="129">
        <f>+'[5]July 2020'!$C126</f>
        <v>151257548.8066</v>
      </c>
      <c r="G30" s="206">
        <f>+'[5]Aug 2020'!$C126</f>
        <v>152841359.00889999</v>
      </c>
      <c r="H30" s="209">
        <f>+'[5]Sept 2020'!$C126</f>
        <v>153367735.80899999</v>
      </c>
      <c r="I30" s="201">
        <f>+'[5]Oct 2020'!$C126</f>
        <v>140783105.8946</v>
      </c>
      <c r="J30" s="197">
        <f>+'[1]Billed kWh Sales'!M27</f>
        <v>130888538</v>
      </c>
      <c r="K30" s="159">
        <f>+'[1]Billed kWh Sales'!N27</f>
        <v>142779039</v>
      </c>
      <c r="L30" s="92">
        <f>+'[1]Billed kWh Sales'!O27</f>
        <v>151098203</v>
      </c>
    </row>
    <row r="31" spans="1:13" x14ac:dyDescent="0.35">
      <c r="A31" s="59" t="s">
        <v>123</v>
      </c>
      <c r="C31" s="120">
        <v>-139892264</v>
      </c>
      <c r="D31" s="129">
        <f>+'[5]May 2020'!$C127</f>
        <v>32986971.454</v>
      </c>
      <c r="E31" s="129">
        <f>+'[5]June 2020'!$C127</f>
        <v>33913837.439499997</v>
      </c>
      <c r="F31" s="129">
        <f>+'[5]July 2020'!$C127</f>
        <v>50552768.167100005</v>
      </c>
      <c r="G31" s="206">
        <f>+'[5]Aug 2020'!$C127</f>
        <v>48591351.737900004</v>
      </c>
      <c r="H31" s="209">
        <f>+'[5]Sept 2020'!$C127</f>
        <v>48037818.487199999</v>
      </c>
      <c r="I31" s="201">
        <f>+'[5]Oct 2020'!$C127</f>
        <v>47534974.676800005</v>
      </c>
      <c r="J31" s="197">
        <f>+'[1]Billed kWh Sales'!M28</f>
        <v>39594717</v>
      </c>
      <c r="K31" s="159">
        <f>+'[1]Billed kWh Sales'!N28</f>
        <v>43191678</v>
      </c>
      <c r="L31" s="92">
        <f>+'[1]Billed kWh Sales'!O28</f>
        <v>45708285</v>
      </c>
    </row>
    <row r="32" spans="1:13" x14ac:dyDescent="0.35">
      <c r="C32" s="117"/>
      <c r="D32" s="43"/>
      <c r="E32" s="43"/>
      <c r="F32" s="43"/>
      <c r="G32" s="40"/>
      <c r="H32" s="43"/>
      <c r="I32" s="11"/>
      <c r="J32" s="17"/>
      <c r="K32" s="17"/>
      <c r="L32" s="11"/>
    </row>
    <row r="33" spans="1:14" x14ac:dyDescent="0.35">
      <c r="A33" s="59" t="s">
        <v>36</v>
      </c>
      <c r="C33" s="117"/>
      <c r="D33" s="18"/>
      <c r="E33" s="18"/>
      <c r="F33" s="18"/>
      <c r="G33" s="109"/>
      <c r="H33" s="18"/>
      <c r="I33" s="11"/>
      <c r="J33" s="70"/>
      <c r="K33" s="70"/>
      <c r="L33" s="71"/>
      <c r="M33" s="76" t="s">
        <v>52</v>
      </c>
      <c r="N33" s="51"/>
    </row>
    <row r="34" spans="1:14" x14ac:dyDescent="0.35">
      <c r="A34" s="59" t="s">
        <v>26</v>
      </c>
      <c r="C34" s="115">
        <v>-474120.20999999996</v>
      </c>
      <c r="D34" s="127">
        <f>ROUND('[5]May 2020'!$F43+'[5]May 2020'!$F52,2)</f>
        <v>114132.08</v>
      </c>
      <c r="E34" s="127">
        <f>ROUND('[5]June 2020'!$F43+'[5]June 2020'!$F52,2)</f>
        <v>168021.67</v>
      </c>
      <c r="F34" s="129">
        <f>ROUND('[5]July 2020'!$F43+'[5]July 2020'!$F52,2)</f>
        <v>241564.66</v>
      </c>
      <c r="G34" s="207">
        <f>ROUND('[5]Aug 2020'!$F43+'[5]Aug 2020'!$F52,2)</f>
        <v>181206.3</v>
      </c>
      <c r="H34" s="68">
        <f>ROUND('[5]Sept 2020'!$F43+'[5]Sept 2020'!$F52,2)</f>
        <v>93100.54</v>
      </c>
      <c r="I34" s="199">
        <f>ROUND('[5]Oct 2020'!$F43+'[5]Oct 2020'!$F52,2)</f>
        <v>61135.93</v>
      </c>
      <c r="J34" s="141">
        <f>ROUND(J27*$M34,2)</f>
        <v>56839.72</v>
      </c>
      <c r="K34" s="53">
        <f t="shared" ref="K34:L34" si="8">ROUND(K27*$M34,2)</f>
        <v>82780.149999999994</v>
      </c>
      <c r="L34" s="74">
        <f t="shared" si="8"/>
        <v>94982.14</v>
      </c>
      <c r="M34" s="85">
        <v>3.6000000000000008E-4</v>
      </c>
    </row>
    <row r="35" spans="1:14" x14ac:dyDescent="0.35">
      <c r="A35" s="59" t="s">
        <v>120</v>
      </c>
      <c r="C35" s="115">
        <v>-80634.78</v>
      </c>
      <c r="D35" s="127">
        <f>ROUND('[5]May 2020'!$F44+'[5]May 2020'!$F53,2)</f>
        <v>22125.42</v>
      </c>
      <c r="E35" s="127">
        <f>ROUND('[5]June 2020'!$F44+'[5]June 2020'!$F53,2)</f>
        <v>29233.64</v>
      </c>
      <c r="F35" s="129">
        <f>ROUND('[5]July 2020'!$F44+'[5]July 2020'!$F53,2)</f>
        <v>37714.53</v>
      </c>
      <c r="G35" s="207">
        <f>ROUND('[5]Aug 2020'!$F44+'[5]Aug 2020'!$F53,2)</f>
        <v>19835.66</v>
      </c>
      <c r="H35" s="68">
        <f>ROUND('[5]Sept 2020'!$F44+'[5]Sept 2020'!$F53,2)</f>
        <v>-11214.56</v>
      </c>
      <c r="I35" s="199">
        <f>ROUND('[5]Oct 2020'!$F44+'[5]Oct 2020'!$F53,2)</f>
        <v>-10442.549999999999</v>
      </c>
      <c r="J35" s="141">
        <f t="shared" ref="J35:L35" si="9">ROUND(J28*$M35,2)</f>
        <v>-7409.95</v>
      </c>
      <c r="K35" s="53">
        <f t="shared" si="9"/>
        <v>-8083.1</v>
      </c>
      <c r="L35" s="74">
        <f t="shared" si="9"/>
        <v>-8554.07</v>
      </c>
      <c r="M35" s="85">
        <v>-2.4999999999999995E-4</v>
      </c>
    </row>
    <row r="36" spans="1:14" x14ac:dyDescent="0.35">
      <c r="A36" s="59" t="s">
        <v>121</v>
      </c>
      <c r="C36" s="115">
        <v>-205785.12</v>
      </c>
      <c r="D36" s="127">
        <f>ROUND('[5]May 2020'!$F45+'[5]May 2020'!$F54,2)</f>
        <v>46075.32</v>
      </c>
      <c r="E36" s="127">
        <f>ROUND('[5]June 2020'!$F45+'[5]June 2020'!$F54,2)</f>
        <v>57116.22</v>
      </c>
      <c r="F36" s="129">
        <f>ROUND('[5]July 2020'!$F45+'[5]July 2020'!$F54,2)</f>
        <v>73383.75</v>
      </c>
      <c r="G36" s="207">
        <f>ROUND('[5]Aug 2020'!$F45+'[5]Aug 2020'!$F54,2)</f>
        <v>39371.67</v>
      </c>
      <c r="H36" s="68">
        <f>ROUND('[5]Sept 2020'!$F45+'[5]Sept 2020'!$F54,2)</f>
        <v>-23816.75</v>
      </c>
      <c r="I36" s="199">
        <f>ROUND('[5]Oct 2020'!$F45+'[5]Oct 2020'!$F54,2)</f>
        <v>-21660.81</v>
      </c>
      <c r="J36" s="141">
        <f t="shared" ref="J36:L36" si="10">ROUND(J29*$M36,2)</f>
        <v>-20259.080000000002</v>
      </c>
      <c r="K36" s="53">
        <f t="shared" si="10"/>
        <v>-22099.5</v>
      </c>
      <c r="L36" s="74">
        <f t="shared" si="10"/>
        <v>-23387.15</v>
      </c>
      <c r="M36" s="85">
        <v>-2.4000000000000001E-4</v>
      </c>
    </row>
    <row r="37" spans="1:14" x14ac:dyDescent="0.35">
      <c r="A37" s="59" t="s">
        <v>122</v>
      </c>
      <c r="C37" s="115">
        <v>-221972.58000000002</v>
      </c>
      <c r="D37" s="127">
        <f>ROUND('[5]May 2020'!$F46+'[5]May 2020'!$F55,2)</f>
        <v>53171.63</v>
      </c>
      <c r="E37" s="127">
        <f>ROUND('[5]June 2020'!$F46+'[5]June 2020'!$F55,2)</f>
        <v>63729.66</v>
      </c>
      <c r="F37" s="129">
        <f>ROUND('[5]July 2020'!$F46+'[5]July 2020'!$F55,2)</f>
        <v>72959.92</v>
      </c>
      <c r="G37" s="207">
        <f>ROUND('[5]Aug 2020'!$F46+'[5]Aug 2020'!$F55,2)</f>
        <v>38409.620000000003</v>
      </c>
      <c r="H37" s="68">
        <f>ROUND('[5]Sept 2020'!$F46+'[5]Sept 2020'!$F55,2)</f>
        <v>-23571.08</v>
      </c>
      <c r="I37" s="199">
        <f>ROUND('[5]Oct 2020'!$F46+'[5]Oct 2020'!$F55,2)</f>
        <v>-26077.16</v>
      </c>
      <c r="J37" s="141">
        <f t="shared" ref="J37:L37" si="11">ROUND(J30*$M37,2)</f>
        <v>-22251.05</v>
      </c>
      <c r="K37" s="53">
        <f t="shared" si="11"/>
        <v>-24272.44</v>
      </c>
      <c r="L37" s="74">
        <f t="shared" si="11"/>
        <v>-25686.69</v>
      </c>
      <c r="M37" s="85">
        <v>-1.7000000000000001E-4</v>
      </c>
    </row>
    <row r="38" spans="1:14" x14ac:dyDescent="0.35">
      <c r="A38" s="59" t="s">
        <v>123</v>
      </c>
      <c r="C38" s="115">
        <v>-44765.52</v>
      </c>
      <c r="D38" s="127">
        <f>ROUND('[5]May 2020'!$F47+'[5]May 2020'!$F56,2)</f>
        <v>6574.26</v>
      </c>
      <c r="E38" s="127">
        <f>ROUND('[5]June 2020'!$F47+'[5]June 2020'!$F56,2)</f>
        <v>9012.67</v>
      </c>
      <c r="F38" s="129">
        <f>ROUND('[5]July 2020'!$F47+'[5]July 2020'!$F56,2)</f>
        <v>14509.51</v>
      </c>
      <c r="G38" s="207">
        <f>ROUND('[5]Aug 2020'!$F47+'[5]Aug 2020'!$F56,2)</f>
        <v>10069.69</v>
      </c>
      <c r="H38" s="68">
        <f>ROUND('[5]Sept 2020'!$F47+'[5]Sept 2020'!$F56,2)</f>
        <v>-5607.12</v>
      </c>
      <c r="I38" s="199">
        <f>ROUND('[5]Oct 2020'!$F47+'[5]Oct 2020'!$F56,2)</f>
        <v>-6969.71</v>
      </c>
      <c r="J38" s="141">
        <f>ROUND(J31*$M38,2)</f>
        <v>-4751.37</v>
      </c>
      <c r="K38" s="53">
        <f t="shared" ref="K38:L38" si="12">ROUND(K31*$M38,2)</f>
        <v>-5183</v>
      </c>
      <c r="L38" s="74">
        <f t="shared" si="12"/>
        <v>-5484.99</v>
      </c>
      <c r="M38" s="85">
        <v>-1.1999999999999999E-4</v>
      </c>
    </row>
    <row r="39" spans="1:14" x14ac:dyDescent="0.35">
      <c r="C39" s="80"/>
      <c r="D39" s="18"/>
      <c r="E39" s="18"/>
      <c r="F39" s="18"/>
      <c r="G39" s="109"/>
      <c r="H39" s="18"/>
      <c r="I39" s="11"/>
      <c r="J39" s="69"/>
      <c r="K39" s="69"/>
      <c r="L39" s="13"/>
      <c r="M39" s="4"/>
    </row>
    <row r="40" spans="1:14" ht="15" thickBot="1" x14ac:dyDescent="0.4">
      <c r="A40" s="59" t="s">
        <v>16</v>
      </c>
      <c r="C40" s="121">
        <v>-2432.2799999999997</v>
      </c>
      <c r="D40" s="130">
        <v>1083.6599999999999</v>
      </c>
      <c r="E40" s="130">
        <v>734.25999999999988</v>
      </c>
      <c r="F40" s="131">
        <v>274.57000000000005</v>
      </c>
      <c r="G40" s="38">
        <v>-77.12</v>
      </c>
      <c r="H40" s="140">
        <v>-193.63</v>
      </c>
      <c r="I40" s="200">
        <v>-254.31999999999994</v>
      </c>
      <c r="J40" s="198">
        <v>-290.70000000000005</v>
      </c>
      <c r="K40" s="160">
        <v>-305.76</v>
      </c>
      <c r="L40" s="96"/>
    </row>
    <row r="41" spans="1:14" x14ac:dyDescent="0.35">
      <c r="C41" s="117"/>
      <c r="D41" s="43"/>
      <c r="E41" s="43"/>
      <c r="F41" s="43"/>
      <c r="G41" s="40"/>
      <c r="H41" s="43"/>
      <c r="I41" s="11"/>
      <c r="J41" s="17"/>
      <c r="K41" s="17"/>
      <c r="L41" s="11"/>
    </row>
    <row r="42" spans="1:14" x14ac:dyDescent="0.35">
      <c r="A42" s="59" t="s">
        <v>54</v>
      </c>
      <c r="C42" s="117"/>
      <c r="D42" s="43"/>
      <c r="E42" s="43"/>
      <c r="F42" s="43"/>
      <c r="G42" s="40"/>
      <c r="H42" s="43"/>
      <c r="I42" s="11"/>
      <c r="J42" s="17"/>
      <c r="K42" s="17"/>
      <c r="L42" s="11"/>
    </row>
    <row r="43" spans="1:14" x14ac:dyDescent="0.35">
      <c r="A43" s="59" t="s">
        <v>26</v>
      </c>
      <c r="C43" s="52">
        <f t="shared" ref="C43:L43" si="13">C23-C34</f>
        <v>457159.18999999994</v>
      </c>
      <c r="D43" s="53">
        <f t="shared" si="13"/>
        <v>-114380.18000000001</v>
      </c>
      <c r="E43" s="53">
        <f t="shared" si="13"/>
        <v>-168021.67</v>
      </c>
      <c r="F43" s="126">
        <f t="shared" si="13"/>
        <v>-241564.66</v>
      </c>
      <c r="G43" s="52">
        <f t="shared" si="13"/>
        <v>-123194.39499999999</v>
      </c>
      <c r="H43" s="53">
        <f t="shared" si="13"/>
        <v>-100229.405</v>
      </c>
      <c r="I43" s="74">
        <f t="shared" si="13"/>
        <v>-88771.054999999993</v>
      </c>
      <c r="J43" s="141">
        <f t="shared" si="13"/>
        <v>-56839.72</v>
      </c>
      <c r="K43" s="53">
        <f t="shared" si="13"/>
        <v>-82780.149999999994</v>
      </c>
      <c r="L43" s="62">
        <f t="shared" si="13"/>
        <v>-94982.14</v>
      </c>
    </row>
    <row r="44" spans="1:14" x14ac:dyDescent="0.35">
      <c r="A44" s="59" t="s">
        <v>27</v>
      </c>
      <c r="C44" s="52">
        <f>C24-SUM(C35:C38)</f>
        <v>530925.92000000004</v>
      </c>
      <c r="D44" s="53">
        <f>D24-SUM(D35:D38)</f>
        <v>-127946.62999999999</v>
      </c>
      <c r="E44" s="53">
        <f t="shared" ref="E44:L44" si="14">E24-SUM(E35:E38)</f>
        <v>-159092.19000000003</v>
      </c>
      <c r="F44" s="126">
        <f t="shared" si="14"/>
        <v>-198567.71000000002</v>
      </c>
      <c r="G44" s="52">
        <f t="shared" si="14"/>
        <v>-31646.045000000013</v>
      </c>
      <c r="H44" s="53">
        <f t="shared" si="14"/>
        <v>54865.175000000003</v>
      </c>
      <c r="I44" s="74">
        <f t="shared" si="14"/>
        <v>28926.785000000003</v>
      </c>
      <c r="J44" s="141">
        <f t="shared" si="14"/>
        <v>54671.450000000004</v>
      </c>
      <c r="K44" s="53">
        <f t="shared" si="14"/>
        <v>59638.039999999994</v>
      </c>
      <c r="L44" s="62">
        <f t="shared" si="14"/>
        <v>63112.9</v>
      </c>
    </row>
    <row r="45" spans="1:14" x14ac:dyDescent="0.35">
      <c r="C45" s="117"/>
      <c r="D45" s="43"/>
      <c r="E45" s="43"/>
      <c r="F45" s="43"/>
      <c r="G45" s="40"/>
      <c r="H45" s="43"/>
      <c r="I45" s="11"/>
      <c r="J45" s="17"/>
      <c r="K45" s="17"/>
      <c r="L45" s="11"/>
    </row>
    <row r="46" spans="1:14" ht="15" thickBot="1" x14ac:dyDescent="0.4">
      <c r="A46" s="59" t="s">
        <v>55</v>
      </c>
      <c r="C46" s="122"/>
      <c r="D46" s="43"/>
      <c r="E46" s="43"/>
      <c r="F46" s="43"/>
      <c r="G46" s="40"/>
      <c r="H46" s="43"/>
      <c r="I46" s="11"/>
      <c r="J46" s="17"/>
      <c r="K46" s="17"/>
      <c r="L46" s="11"/>
    </row>
    <row r="47" spans="1:14" x14ac:dyDescent="0.35">
      <c r="A47" s="59" t="s">
        <v>26</v>
      </c>
      <c r="B47" s="134">
        <v>861408.84</v>
      </c>
      <c r="C47" s="53">
        <f>B47+C43+B52</f>
        <v>1318568.0299999998</v>
      </c>
      <c r="D47" s="53">
        <f t="shared" ref="D47:L47" si="15">C47+D43+C52</f>
        <v>1200269.5399999998</v>
      </c>
      <c r="E47" s="53">
        <f t="shared" si="15"/>
        <v>1033765.0199999998</v>
      </c>
      <c r="F47" s="126">
        <f t="shared" si="15"/>
        <v>793535.89999999979</v>
      </c>
      <c r="G47" s="52">
        <f t="shared" si="15"/>
        <v>671425.22499999974</v>
      </c>
      <c r="H47" s="53">
        <f t="shared" si="15"/>
        <v>572057.95999999973</v>
      </c>
      <c r="I47" s="74">
        <f t="shared" si="15"/>
        <v>484013.75499999971</v>
      </c>
      <c r="J47" s="141">
        <f t="shared" si="15"/>
        <v>427788.93499999971</v>
      </c>
      <c r="K47" s="53">
        <f t="shared" si="15"/>
        <v>345539.6749999997</v>
      </c>
      <c r="L47" s="62">
        <f t="shared" si="15"/>
        <v>251007.80499999967</v>
      </c>
    </row>
    <row r="48" spans="1:14" ht="15" thickBot="1" x14ac:dyDescent="0.4">
      <c r="A48" s="59" t="s">
        <v>27</v>
      </c>
      <c r="B48" s="135">
        <v>-827727.28</v>
      </c>
      <c r="C48" s="53">
        <f>B48+C44+B53</f>
        <v>-296801.36</v>
      </c>
      <c r="D48" s="53">
        <f t="shared" ref="D48:L48" si="16">C48+D44+C53</f>
        <v>-423261.95999999996</v>
      </c>
      <c r="E48" s="53">
        <f t="shared" si="16"/>
        <v>-582787.64</v>
      </c>
      <c r="F48" s="126">
        <f t="shared" si="16"/>
        <v>-781956.63000000012</v>
      </c>
      <c r="G48" s="52">
        <f t="shared" si="16"/>
        <v>-814411.8350000002</v>
      </c>
      <c r="H48" s="53">
        <f t="shared" si="16"/>
        <v>-760485.91000000015</v>
      </c>
      <c r="I48" s="74">
        <f t="shared" si="16"/>
        <v>-732479.6050000001</v>
      </c>
      <c r="J48" s="141">
        <f t="shared" si="16"/>
        <v>-678677.37500000012</v>
      </c>
      <c r="K48" s="53">
        <f t="shared" si="16"/>
        <v>-619860.92500000005</v>
      </c>
      <c r="L48" s="62">
        <f t="shared" si="16"/>
        <v>-557504.05500000005</v>
      </c>
    </row>
    <row r="49" spans="1:13" x14ac:dyDescent="0.35">
      <c r="C49" s="117"/>
      <c r="D49" s="43"/>
      <c r="E49" s="43"/>
      <c r="F49" s="43"/>
      <c r="G49" s="40"/>
      <c r="H49" s="43"/>
      <c r="I49" s="11"/>
      <c r="J49" s="17"/>
      <c r="K49" s="17"/>
      <c r="L49" s="11"/>
    </row>
    <row r="50" spans="1:13" x14ac:dyDescent="0.35">
      <c r="A50" s="51" t="s">
        <v>51</v>
      </c>
      <c r="B50" s="51"/>
      <c r="C50" s="122"/>
      <c r="D50" s="98">
        <f>+'[6]May 2020'!$F$51</f>
        <v>1.20652E-3</v>
      </c>
      <c r="E50" s="98">
        <f>+'[6]June 2020'!$F$51</f>
        <v>1.1948200000000001E-3</v>
      </c>
      <c r="F50" s="98">
        <f>+'[6]July 2020'!$F$51</f>
        <v>1.1852799999999999E-3</v>
      </c>
      <c r="G50" s="99">
        <f>+'[6]Aug 2020'!$F$51</f>
        <v>1.17614E-3</v>
      </c>
      <c r="H50" s="98">
        <f>+'[6]Sept 2020'!$F$51</f>
        <v>1.1682400000000001E-3</v>
      </c>
      <c r="I50" s="110">
        <f>+'[6]Oct 2020'!$F$51</f>
        <v>1.1636999999999999E-3</v>
      </c>
      <c r="J50" s="98">
        <f>+I50</f>
        <v>1.1636999999999999E-3</v>
      </c>
      <c r="K50" s="98">
        <f>+J50</f>
        <v>1.1636999999999999E-3</v>
      </c>
      <c r="L50" s="110"/>
    </row>
    <row r="51" spans="1:13" x14ac:dyDescent="0.35">
      <c r="A51" s="51" t="s">
        <v>39</v>
      </c>
      <c r="B51" s="51"/>
      <c r="C51" s="117"/>
      <c r="D51" s="43"/>
      <c r="E51" s="43"/>
      <c r="F51" s="43"/>
      <c r="G51" s="40"/>
      <c r="H51" s="43"/>
      <c r="I51" s="11"/>
      <c r="J51" s="17"/>
      <c r="K51" s="17"/>
      <c r="L51" s="11"/>
      <c r="M51" s="84"/>
    </row>
    <row r="52" spans="1:13" x14ac:dyDescent="0.35">
      <c r="A52" s="59" t="s">
        <v>26</v>
      </c>
      <c r="C52" s="52">
        <v>-3918.3099999999995</v>
      </c>
      <c r="D52" s="53">
        <f t="shared" ref="D52" si="17">ROUND((C47+C52+D43/2)*D$50,2)</f>
        <v>1517.15</v>
      </c>
      <c r="E52" s="53">
        <f t="shared" ref="E52:E53" si="18">ROUND((D47+D52+E43/2)*E$50,2)</f>
        <v>1335.54</v>
      </c>
      <c r="F52" s="126">
        <f t="shared" ref="F52:F53" si="19">ROUND((E47+E52+F43/2)*F$50,2)</f>
        <v>1083.72</v>
      </c>
      <c r="G52" s="52">
        <f t="shared" ref="G52:G53" si="20">ROUND((F47+F52+G43/2)*G$50,2)</f>
        <v>862.14</v>
      </c>
      <c r="H52" s="141">
        <f t="shared" ref="H52:I53" si="21">ROUND((G47+G52+H43/2)*H$50,2)</f>
        <v>726.85</v>
      </c>
      <c r="I52" s="74">
        <f t="shared" si="21"/>
        <v>614.9</v>
      </c>
      <c r="J52" s="141">
        <f t="shared" ref="J52:J53" si="22">ROUND((I47+I52+J43/2)*J$50,2)</f>
        <v>530.89</v>
      </c>
      <c r="K52" s="141">
        <f t="shared" ref="K52:K53" si="23">ROUND((J47+J52+K43/2)*K$50,2)</f>
        <v>450.27</v>
      </c>
      <c r="L52" s="62"/>
    </row>
    <row r="53" spans="1:13" ht="15" thickBot="1" x14ac:dyDescent="0.4">
      <c r="A53" s="59" t="s">
        <v>27</v>
      </c>
      <c r="C53" s="132">
        <v>1486.03</v>
      </c>
      <c r="D53" s="53">
        <f>ROUND((C48+C53+D44/2)*D$50,2)</f>
        <v>-433.49</v>
      </c>
      <c r="E53" s="53">
        <f t="shared" si="18"/>
        <v>-601.28</v>
      </c>
      <c r="F53" s="126">
        <f t="shared" si="19"/>
        <v>-809.16</v>
      </c>
      <c r="G53" s="52">
        <f t="shared" si="20"/>
        <v>-939.25</v>
      </c>
      <c r="H53" s="141">
        <f t="shared" si="21"/>
        <v>-920.48</v>
      </c>
      <c r="I53" s="74">
        <f t="shared" si="21"/>
        <v>-869.22</v>
      </c>
      <c r="J53" s="141">
        <f t="shared" si="22"/>
        <v>-821.59</v>
      </c>
      <c r="K53" s="141">
        <f t="shared" si="23"/>
        <v>-756.03</v>
      </c>
      <c r="L53" s="62"/>
    </row>
    <row r="54" spans="1:13" ht="15.5" thickTop="1" thickBot="1" x14ac:dyDescent="0.4">
      <c r="A54" s="67" t="s">
        <v>24</v>
      </c>
      <c r="B54" s="67"/>
      <c r="C54" s="133">
        <v>0</v>
      </c>
      <c r="D54" s="44">
        <f t="shared" ref="D54:L54" si="24">SUM(D52:D53)+SUM(D47:D48)-D57</f>
        <v>0</v>
      </c>
      <c r="E54" s="44">
        <f t="shared" si="24"/>
        <v>0</v>
      </c>
      <c r="F54" s="63">
        <f t="shared" si="24"/>
        <v>-2.3101165425032377E-10</v>
      </c>
      <c r="G54" s="142">
        <f t="shared" si="24"/>
        <v>-3.4924596548080444E-10</v>
      </c>
      <c r="H54" s="44">
        <f t="shared" si="24"/>
        <v>-3.4924596548080444E-10</v>
      </c>
      <c r="I54" s="75">
        <f t="shared" si="24"/>
        <v>-3.2014213502407074E-10</v>
      </c>
      <c r="J54" s="185">
        <f t="shared" si="24"/>
        <v>-3.4924596548080444E-10</v>
      </c>
      <c r="K54" s="44">
        <f t="shared" si="24"/>
        <v>0</v>
      </c>
      <c r="L54" s="114">
        <f t="shared" si="24"/>
        <v>0</v>
      </c>
    </row>
    <row r="55" spans="1:13" ht="15.5" thickTop="1" thickBot="1" x14ac:dyDescent="0.4">
      <c r="A55" s="67" t="s">
        <v>25</v>
      </c>
      <c r="B55" s="67"/>
      <c r="C55" s="125">
        <v>0</v>
      </c>
      <c r="D55" s="44">
        <f t="shared" ref="D55:L55" si="25">SUM(D52:D53)-D40</f>
        <v>0</v>
      </c>
      <c r="E55" s="44">
        <f t="shared" si="25"/>
        <v>0</v>
      </c>
      <c r="F55" s="63">
        <f t="shared" si="25"/>
        <v>-9.9999999999909051E-3</v>
      </c>
      <c r="G55" s="64">
        <f t="shared" si="25"/>
        <v>9.9999999999909051E-3</v>
      </c>
      <c r="H55" s="44">
        <f t="shared" si="25"/>
        <v>0</v>
      </c>
      <c r="I55" s="75">
        <f t="shared" si="25"/>
        <v>0</v>
      </c>
      <c r="J55" s="185">
        <f t="shared" si="25"/>
        <v>0</v>
      </c>
      <c r="K55" s="44">
        <f t="shared" si="25"/>
        <v>0</v>
      </c>
      <c r="L55" s="114">
        <f t="shared" si="25"/>
        <v>0</v>
      </c>
    </row>
    <row r="56" spans="1:13" ht="15.5" thickTop="1" thickBot="1" x14ac:dyDescent="0.4">
      <c r="C56" s="117"/>
      <c r="D56" s="17"/>
      <c r="E56" s="17"/>
      <c r="F56" s="17"/>
      <c r="G56" s="10"/>
      <c r="H56" s="17"/>
      <c r="I56" s="11"/>
      <c r="J56" s="17"/>
      <c r="K56" s="17"/>
      <c r="L56" s="11"/>
    </row>
    <row r="57" spans="1:13" ht="15" thickBot="1" x14ac:dyDescent="0.4">
      <c r="A57" s="59" t="s">
        <v>38</v>
      </c>
      <c r="B57" s="137">
        <f>+B47+B48</f>
        <v>33681.559999999939</v>
      </c>
      <c r="C57" s="52">
        <f t="shared" ref="C57:L57" si="26">(SUM(C16:C20)-SUM(C34:C38))+SUM(C52:C53)+B57</f>
        <v>1019334.3899999999</v>
      </c>
      <c r="D57" s="53">
        <f t="shared" si="26"/>
        <v>778091.23999999987</v>
      </c>
      <c r="E57" s="53">
        <f t="shared" si="26"/>
        <v>451711.6399999999</v>
      </c>
      <c r="F57" s="126">
        <f t="shared" si="26"/>
        <v>11853.8299999999</v>
      </c>
      <c r="G57" s="52">
        <f t="shared" si="26"/>
        <v>-143063.72000000009</v>
      </c>
      <c r="H57" s="53">
        <f t="shared" si="26"/>
        <v>-188621.58000000007</v>
      </c>
      <c r="I57" s="74">
        <f t="shared" si="26"/>
        <v>-248720.17000000007</v>
      </c>
      <c r="J57" s="141">
        <f t="shared" si="26"/>
        <v>-251179.14000000007</v>
      </c>
      <c r="K57" s="53">
        <f t="shared" si="26"/>
        <v>-274627.01000000007</v>
      </c>
      <c r="L57" s="74">
        <f t="shared" si="26"/>
        <v>-306496.25000000006</v>
      </c>
    </row>
    <row r="58" spans="1:13" x14ac:dyDescent="0.35">
      <c r="A58" s="59" t="s">
        <v>14</v>
      </c>
      <c r="C58" s="138"/>
      <c r="D58" s="69"/>
      <c r="E58" s="69"/>
      <c r="F58" s="69"/>
      <c r="G58" s="12"/>
      <c r="H58" s="69"/>
      <c r="I58" s="11"/>
      <c r="J58" s="17"/>
      <c r="K58" s="17"/>
      <c r="L58" s="11"/>
    </row>
    <row r="59" spans="1:13" ht="15" thickBot="1" x14ac:dyDescent="0.4">
      <c r="B59" s="17"/>
      <c r="C59" s="55"/>
      <c r="D59" s="56"/>
      <c r="E59" s="56"/>
      <c r="F59" s="56"/>
      <c r="G59" s="55"/>
      <c r="H59" s="56"/>
      <c r="I59" s="57"/>
      <c r="J59" s="56"/>
      <c r="K59" s="56"/>
      <c r="L59" s="57"/>
    </row>
    <row r="61" spans="1:13" x14ac:dyDescent="0.35">
      <c r="A61" s="82" t="s">
        <v>13</v>
      </c>
      <c r="B61" s="82"/>
      <c r="C61" s="82"/>
    </row>
    <row r="62" spans="1:13" ht="42.75" customHeight="1" x14ac:dyDescent="0.35">
      <c r="A62" s="302" t="s">
        <v>186</v>
      </c>
      <c r="B62" s="302"/>
      <c r="C62" s="302"/>
      <c r="D62" s="302"/>
      <c r="E62" s="302"/>
      <c r="F62" s="302"/>
      <c r="G62" s="302"/>
      <c r="H62" s="302"/>
      <c r="I62" s="302"/>
      <c r="J62" s="164"/>
      <c r="K62" s="164"/>
      <c r="L62" s="164"/>
    </row>
    <row r="63" spans="1:13" ht="33.75" customHeight="1" x14ac:dyDescent="0.35">
      <c r="A63" s="302" t="s">
        <v>220</v>
      </c>
      <c r="B63" s="302"/>
      <c r="C63" s="302"/>
      <c r="D63" s="302"/>
      <c r="E63" s="302"/>
      <c r="F63" s="302"/>
      <c r="G63" s="302"/>
      <c r="H63" s="302"/>
      <c r="I63" s="302"/>
      <c r="J63" s="164"/>
      <c r="K63" s="164"/>
      <c r="L63" s="164"/>
    </row>
    <row r="64" spans="1:13" ht="33.75" customHeight="1" x14ac:dyDescent="0.35">
      <c r="A64" s="302" t="s">
        <v>187</v>
      </c>
      <c r="B64" s="302"/>
      <c r="C64" s="302"/>
      <c r="D64" s="302"/>
      <c r="E64" s="302"/>
      <c r="F64" s="302"/>
      <c r="G64" s="302"/>
      <c r="H64" s="302"/>
      <c r="I64" s="302"/>
      <c r="J64" s="164"/>
      <c r="K64" s="164"/>
      <c r="L64" s="164"/>
    </row>
    <row r="65" spans="1:13" x14ac:dyDescent="0.35">
      <c r="A65" s="3" t="s">
        <v>33</v>
      </c>
      <c r="B65" s="3"/>
      <c r="C65" s="3"/>
      <c r="I65" s="4"/>
    </row>
    <row r="66" spans="1:13" x14ac:dyDescent="0.35">
      <c r="A66" s="76" t="s">
        <v>188</v>
      </c>
      <c r="B66" s="3"/>
      <c r="C66" s="3"/>
      <c r="I66" s="4"/>
    </row>
    <row r="67" spans="1:13" x14ac:dyDescent="0.35">
      <c r="A67" s="3" t="s">
        <v>53</v>
      </c>
      <c r="B67" s="3"/>
      <c r="C67" s="3"/>
      <c r="I67" s="4"/>
    </row>
    <row r="68" spans="1:13" x14ac:dyDescent="0.35">
      <c r="A68" s="3" t="s">
        <v>190</v>
      </c>
    </row>
    <row r="77" spans="1:13" x14ac:dyDescent="0.35">
      <c r="M77" s="8"/>
    </row>
  </sheetData>
  <mergeCells count="6">
    <mergeCell ref="J14:L14"/>
    <mergeCell ref="A64:I64"/>
    <mergeCell ref="D14:F14"/>
    <mergeCell ref="A62:I62"/>
    <mergeCell ref="A63:I63"/>
    <mergeCell ref="G14:I14"/>
  </mergeCells>
  <pageMargins left="0.2" right="0.2" top="0.75" bottom="0.25" header="0.3" footer="0.3"/>
  <pageSetup scale="46"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G81"/>
  <sheetViews>
    <sheetView topLeftCell="K10" workbookViewId="0">
      <selection activeCell="O10" sqref="O1:P1048576"/>
    </sheetView>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7.26953125" style="59" bestFit="1" customWidth="1"/>
    <col min="16" max="16" width="17.453125" style="59" customWidth="1"/>
    <col min="17" max="17" width="15.54296875" style="59" customWidth="1"/>
    <col min="18" max="18" width="13" style="59" customWidth="1"/>
    <col min="19" max="19" width="9.1796875" style="59"/>
    <col min="20" max="20" width="14.26953125" style="59" bestFit="1" customWidth="1"/>
    <col min="21" max="16384" width="9.1796875" style="59"/>
  </cols>
  <sheetData>
    <row r="1" spans="1:33" x14ac:dyDescent="0.35">
      <c r="A1" s="3" t="str">
        <f>+'PPC Cycle 2'!A1</f>
        <v>Evergy Metro, Inc. - DSIM Rider Update Filed 12/01/2020</v>
      </c>
      <c r="B1" s="3"/>
      <c r="C1" s="3"/>
    </row>
    <row r="2" spans="1:33" x14ac:dyDescent="0.35">
      <c r="D2" s="3" t="s">
        <v>153</v>
      </c>
    </row>
    <row r="3" spans="1:33" ht="29" x14ac:dyDescent="0.35">
      <c r="D3" s="61" t="s">
        <v>48</v>
      </c>
      <c r="E3" s="61" t="s">
        <v>47</v>
      </c>
      <c r="F3" s="83" t="s">
        <v>2</v>
      </c>
      <c r="G3" s="61" t="s">
        <v>3</v>
      </c>
      <c r="H3" s="83" t="s">
        <v>57</v>
      </c>
      <c r="I3" s="61" t="s">
        <v>11</v>
      </c>
      <c r="J3" s="61" t="s">
        <v>4</v>
      </c>
    </row>
    <row r="4" spans="1:33" x14ac:dyDescent="0.35">
      <c r="A4" s="21" t="s">
        <v>26</v>
      </c>
      <c r="D4" s="23">
        <f>SUM(C29:L29)</f>
        <v>4106242.3499999996</v>
      </c>
      <c r="E4" s="156">
        <f>SUM(C22:L22)</f>
        <v>1424977812.0840001</v>
      </c>
      <c r="F4" s="23">
        <f>SUM(C15:K15)</f>
        <v>3305657.8</v>
      </c>
      <c r="G4" s="23">
        <f>F4-D4</f>
        <v>-800584.54999999981</v>
      </c>
      <c r="H4" s="23">
        <f>+B45</f>
        <v>975868.44999999984</v>
      </c>
      <c r="I4" s="23">
        <f>SUM(C53:K53)</f>
        <v>5882.68</v>
      </c>
      <c r="J4" s="35">
        <f>SUM(G4:I4)</f>
        <v>181166.58000000002</v>
      </c>
      <c r="K4" s="60">
        <f>+J4-L45</f>
        <v>2.3283064365386963E-10</v>
      </c>
    </row>
    <row r="5" spans="1:33" x14ac:dyDescent="0.35">
      <c r="A5" s="21" t="s">
        <v>120</v>
      </c>
      <c r="D5" s="23">
        <f>SUM(C30:L30)</f>
        <v>563491.62999999989</v>
      </c>
      <c r="E5" s="156">
        <f>SUM(C23:L23)</f>
        <v>237883342.43189996</v>
      </c>
      <c r="F5" s="23">
        <f>SUM(C16:K16)</f>
        <v>311971.12</v>
      </c>
      <c r="G5" s="23">
        <f>F5-D5</f>
        <v>-251520.50999999989</v>
      </c>
      <c r="H5" s="23">
        <f>+B46</f>
        <v>248029.16</v>
      </c>
      <c r="I5" s="23">
        <f>SUM(C54:K54)</f>
        <v>844.84000000000015</v>
      </c>
      <c r="J5" s="35">
        <f>SUM(G5:I5)</f>
        <v>-2646.5099999998893</v>
      </c>
      <c r="K5" s="60">
        <f t="shared" ref="K5:K7" si="0">+J5-L46</f>
        <v>1.1141310096718371E-10</v>
      </c>
    </row>
    <row r="6" spans="1:33" x14ac:dyDescent="0.35">
      <c r="A6" s="21" t="s">
        <v>121</v>
      </c>
      <c r="D6" s="23">
        <f>SUM(C31:L31)</f>
        <v>870747.03000000014</v>
      </c>
      <c r="E6" s="156">
        <f>SUM(C24:L24)</f>
        <v>513870226.24890006</v>
      </c>
      <c r="F6" s="23">
        <f>SUM(C17:K17)</f>
        <v>1615033.05</v>
      </c>
      <c r="G6" s="23">
        <f>F6-D6</f>
        <v>744286.0199999999</v>
      </c>
      <c r="H6" s="23">
        <f>+B47</f>
        <v>80366.969999999987</v>
      </c>
      <c r="I6" s="23">
        <f>SUM(C55:K55)</f>
        <v>4778.6000000000004</v>
      </c>
      <c r="J6" s="35">
        <f>SUM(G6:I6)</f>
        <v>829431.58999999985</v>
      </c>
      <c r="K6" s="60">
        <f t="shared" si="0"/>
        <v>0</v>
      </c>
    </row>
    <row r="7" spans="1:33" x14ac:dyDescent="0.35">
      <c r="A7" s="21" t="s">
        <v>122</v>
      </c>
      <c r="D7" s="23">
        <f>SUM(C32:L32)</f>
        <v>1424164.69</v>
      </c>
      <c r="E7" s="156">
        <f>SUM(C25:L25)</f>
        <v>800960539.49520004</v>
      </c>
      <c r="F7" s="23">
        <f>SUM(C18:K18)</f>
        <v>1609616.74</v>
      </c>
      <c r="G7" s="23">
        <f>F7-D7</f>
        <v>185452.05000000005</v>
      </c>
      <c r="H7" s="23">
        <f>+B48</f>
        <v>134644.57999999993</v>
      </c>
      <c r="I7" s="23">
        <f>SUM(C56:K56)</f>
        <v>1969.5500000000002</v>
      </c>
      <c r="J7" s="35">
        <f>SUM(G7:I7)</f>
        <v>322066.18</v>
      </c>
      <c r="K7" s="60">
        <f t="shared" si="0"/>
        <v>0</v>
      </c>
    </row>
    <row r="8" spans="1:33" ht="15" thickBot="1" x14ac:dyDescent="0.4">
      <c r="A8" s="21" t="s">
        <v>123</v>
      </c>
      <c r="D8" s="23">
        <f>SUM(C33:L33)</f>
        <v>528385.84</v>
      </c>
      <c r="E8" s="156">
        <f>SUM(C26:L26)</f>
        <v>250220137.96250001</v>
      </c>
      <c r="F8" s="23">
        <f>SUM(C19:K19)</f>
        <v>206749.06999999998</v>
      </c>
      <c r="G8" s="23">
        <f>F8-D8</f>
        <v>-321636.77</v>
      </c>
      <c r="H8" s="23">
        <f>+B49</f>
        <v>79954.040000000008</v>
      </c>
      <c r="I8" s="23">
        <f>SUM(C57:K57)</f>
        <v>-895.62</v>
      </c>
      <c r="J8" s="35">
        <f>SUM(G8:I8)</f>
        <v>-242578.35</v>
      </c>
      <c r="K8" s="60">
        <f>+J8-L49</f>
        <v>0</v>
      </c>
    </row>
    <row r="9" spans="1:33" ht="15.5" thickTop="1" thickBot="1" x14ac:dyDescent="0.4">
      <c r="D9" s="39">
        <f t="shared" ref="D9:H9" si="1">SUM(D4:D8)</f>
        <v>7493031.5399999991</v>
      </c>
      <c r="E9" s="39">
        <f t="shared" si="1"/>
        <v>3227912058.2225003</v>
      </c>
      <c r="F9" s="39">
        <f t="shared" si="1"/>
        <v>7049027.7800000003</v>
      </c>
      <c r="G9" s="39">
        <f t="shared" si="1"/>
        <v>-444003.75999999966</v>
      </c>
      <c r="H9" s="39">
        <f t="shared" si="1"/>
        <v>1518863.1999999997</v>
      </c>
      <c r="I9" s="39">
        <f>SUM(I4:I8)</f>
        <v>12580.050000000001</v>
      </c>
      <c r="J9" s="39">
        <f>SUM(J4:J8)</f>
        <v>1087439.4899999998</v>
      </c>
    </row>
    <row r="10" spans="1:33" ht="15.5" thickTop="1" thickBot="1" x14ac:dyDescent="0.4"/>
    <row r="11" spans="1:33" ht="73" thickBot="1" x14ac:dyDescent="0.4">
      <c r="B11" s="136" t="str">
        <f>+'PCR Cycle 2'!B14</f>
        <v>Cumulative Over/Under Carryover From 06/01/2020 Filing</v>
      </c>
      <c r="C11" s="171" t="str">
        <f>+'PCR Cycle 2'!C14</f>
        <v>Reverse May 2020 - July 2020  Forecast From 06/01/2020 Filing</v>
      </c>
      <c r="D11" s="303" t="s">
        <v>35</v>
      </c>
      <c r="E11" s="303"/>
      <c r="F11" s="304"/>
      <c r="G11" s="294" t="s">
        <v>35</v>
      </c>
      <c r="H11" s="295"/>
      <c r="I11" s="296"/>
      <c r="J11" s="299" t="s">
        <v>9</v>
      </c>
      <c r="K11" s="300"/>
      <c r="L11" s="301"/>
    </row>
    <row r="12" spans="1:33" x14ac:dyDescent="0.35">
      <c r="C12" s="14"/>
      <c r="D12" s="19">
        <f>+'PCR Cycle 2'!D15</f>
        <v>43982</v>
      </c>
      <c r="E12" s="19">
        <f>+'PCR Cycle 2'!E15</f>
        <v>44012</v>
      </c>
      <c r="F12" s="19">
        <f>+'PCR Cycle 2'!F15</f>
        <v>44043</v>
      </c>
      <c r="G12" s="14">
        <f>+'PCR Cycle 2'!G15</f>
        <v>44074</v>
      </c>
      <c r="H12" s="19">
        <f>+'PCR Cycle 2'!H15</f>
        <v>44104</v>
      </c>
      <c r="I12" s="15">
        <f>+'PCR Cycle 2'!I15</f>
        <v>44135</v>
      </c>
      <c r="J12" s="19">
        <f>+'PCR Cycle 2'!J15</f>
        <v>44165</v>
      </c>
      <c r="K12" s="19">
        <f>+'PCR Cycle 2'!K15</f>
        <v>44196</v>
      </c>
      <c r="L12" s="113">
        <f>+'PCR Cycle 2'!L15</f>
        <v>44227</v>
      </c>
      <c r="X12" s="1"/>
      <c r="Y12" s="1"/>
      <c r="Z12" s="1"/>
      <c r="AA12" s="1"/>
      <c r="AB12" s="1"/>
      <c r="AC12" s="1"/>
      <c r="AD12" s="1"/>
      <c r="AE12" s="1"/>
      <c r="AF12" s="1"/>
      <c r="AG12" s="1"/>
    </row>
    <row r="13" spans="1:33" x14ac:dyDescent="0.35">
      <c r="C13" s="116"/>
      <c r="D13" s="43"/>
      <c r="E13" s="43"/>
      <c r="F13" s="43"/>
      <c r="G13" s="40"/>
      <c r="H13" s="43"/>
      <c r="I13" s="11"/>
      <c r="J13" s="43"/>
      <c r="K13" s="43"/>
      <c r="L13" s="41"/>
    </row>
    <row r="14" spans="1:33" x14ac:dyDescent="0.35">
      <c r="A14" s="59" t="s">
        <v>154</v>
      </c>
      <c r="C14" s="117"/>
      <c r="D14" s="43"/>
      <c r="E14" s="43"/>
      <c r="F14" s="43"/>
      <c r="G14" s="40"/>
      <c r="H14" s="43"/>
      <c r="I14" s="187"/>
      <c r="J14" s="17"/>
      <c r="K14" s="17"/>
      <c r="L14" s="11"/>
    </row>
    <row r="15" spans="1:33" x14ac:dyDescent="0.35">
      <c r="A15" s="59" t="s">
        <v>26</v>
      </c>
      <c r="C15" s="115">
        <v>-1552124.33</v>
      </c>
      <c r="D15" s="127">
        <f>ROUND([7]Pivot!$R$28,2)</f>
        <v>864300.97</v>
      </c>
      <c r="E15" s="127">
        <f>ROUND([8]Pivot!$R$28,2)</f>
        <v>504648.73</v>
      </c>
      <c r="F15" s="128">
        <f>ROUND([9]Pivot!$R$28,2)</f>
        <v>503504.38</v>
      </c>
      <c r="G15" s="16">
        <f>ROUND([10]Pivot!$R$28,2)</f>
        <v>556837.92000000004</v>
      </c>
      <c r="H15" s="68">
        <f>ROUND([11]Pivot!$N$28,2)</f>
        <v>504671.18</v>
      </c>
      <c r="I15" s="186">
        <f>ROUND([12]Pivot!$N$28,2)</f>
        <v>1028319.53</v>
      </c>
      <c r="J15" s="196">
        <f>ROUND('[3]Monthly Program Costs'!R277,2)</f>
        <v>340124.35</v>
      </c>
      <c r="K15" s="158">
        <f>ROUND('[3]Monthly Program Costs'!S277,2)</f>
        <v>555375.06999999995</v>
      </c>
      <c r="L15" s="91"/>
    </row>
    <row r="16" spans="1:33" x14ac:dyDescent="0.35">
      <c r="A16" s="59" t="s">
        <v>120</v>
      </c>
      <c r="C16" s="115">
        <v>-125408.23</v>
      </c>
      <c r="D16" s="127">
        <f>ROUND([7]Pivot!$N$28,2)</f>
        <v>20615.990000000002</v>
      </c>
      <c r="E16" s="127">
        <f>ROUND([8]Pivot!$N$28,2)</f>
        <v>87148.57</v>
      </c>
      <c r="F16" s="128">
        <f>ROUND([9]Pivot!$N$28,2)</f>
        <v>40230.57</v>
      </c>
      <c r="G16" s="16">
        <f>ROUND([10]Pivot!$N$28,2)</f>
        <v>38650.35</v>
      </c>
      <c r="H16" s="68">
        <f>ROUND([11]Pivot!$O$28,2)</f>
        <v>58821.39</v>
      </c>
      <c r="I16" s="186">
        <f>ROUND([12]Pivot!$O$28,2)</f>
        <v>33354.78</v>
      </c>
      <c r="J16" s="196">
        <f>ROUND('[3]Monthly Program Costs'!R278,2)</f>
        <v>74104.09</v>
      </c>
      <c r="K16" s="158">
        <f>ROUND('[3]Monthly Program Costs'!S278,2)</f>
        <v>84453.61</v>
      </c>
      <c r="L16" s="91"/>
    </row>
    <row r="17" spans="1:14" x14ac:dyDescent="0.35">
      <c r="A17" s="59" t="s">
        <v>121</v>
      </c>
      <c r="C17" s="115">
        <v>-305424.38</v>
      </c>
      <c r="D17" s="127">
        <f>ROUND([7]Pivot!$O$28,2)</f>
        <v>128188.82</v>
      </c>
      <c r="E17" s="127">
        <f>ROUND([8]Pivot!$O$28,2)</f>
        <v>95902.36</v>
      </c>
      <c r="F17" s="128">
        <f>ROUND([9]Pivot!$O$28,2)</f>
        <v>369341.01</v>
      </c>
      <c r="G17" s="16">
        <f>ROUND([10]Pivot!$O$28,2)</f>
        <v>236804.42</v>
      </c>
      <c r="H17" s="68">
        <f>ROUND([11]Pivot!$P$28,2)</f>
        <v>536729.32999999996</v>
      </c>
      <c r="I17" s="186">
        <f>ROUND([12]Pivot!$P$28,2)</f>
        <v>126318.39</v>
      </c>
      <c r="J17" s="196">
        <f>ROUND('[3]Monthly Program Costs'!R279,2)</f>
        <v>209375.84</v>
      </c>
      <c r="K17" s="158">
        <f>ROUND('[3]Monthly Program Costs'!S279,2)</f>
        <v>217797.26</v>
      </c>
      <c r="L17" s="91"/>
    </row>
    <row r="18" spans="1:14" x14ac:dyDescent="0.35">
      <c r="A18" s="59" t="s">
        <v>122</v>
      </c>
      <c r="C18" s="115">
        <v>-493013.86</v>
      </c>
      <c r="D18" s="127">
        <f>ROUND([7]Pivot!$P$28,2)</f>
        <v>171411.19</v>
      </c>
      <c r="E18" s="127">
        <f>ROUND([8]Pivot!$P$28,2)</f>
        <v>273736.23</v>
      </c>
      <c r="F18" s="128">
        <f>ROUND([9]Pivot!$P$28,2)</f>
        <v>113676.72</v>
      </c>
      <c r="G18" s="16">
        <f>ROUND([10]Pivot!$P$28,2)</f>
        <v>118157.03</v>
      </c>
      <c r="H18" s="68">
        <f>ROUND([11]Pivot!$Q$28,2)</f>
        <v>166471.79999999999</v>
      </c>
      <c r="I18" s="186">
        <f>ROUND([12]Pivot!$Q$28,2)</f>
        <v>562174.85</v>
      </c>
      <c r="J18" s="196">
        <f>ROUND('[3]Monthly Program Costs'!R280,2)</f>
        <v>341715.27</v>
      </c>
      <c r="K18" s="158">
        <f>ROUND('[3]Monthly Program Costs'!S280,2)</f>
        <v>355287.51</v>
      </c>
      <c r="L18" s="91"/>
    </row>
    <row r="19" spans="1:14" x14ac:dyDescent="0.35">
      <c r="A19" s="59" t="s">
        <v>123</v>
      </c>
      <c r="C19" s="115">
        <v>-174957.52000000002</v>
      </c>
      <c r="D19" s="127">
        <f>ROUND([7]Pivot!$Q$28,2)</f>
        <v>26272.68</v>
      </c>
      <c r="E19" s="127">
        <f>ROUND([8]Pivot!$Q$28,2)</f>
        <v>21630.18</v>
      </c>
      <c r="F19" s="128">
        <f>ROUND([9]Pivot!$Q$28,2)</f>
        <v>22298.58</v>
      </c>
      <c r="G19" s="16">
        <f>ROUND([10]Pivot!$Q$28,2)</f>
        <v>28580.9</v>
      </c>
      <c r="H19" s="68">
        <f>ROUND([11]Pivot!$R$28,2)</f>
        <v>27878.55</v>
      </c>
      <c r="I19" s="186">
        <f>ROUND([12]Pivot!$R$28,2)</f>
        <v>8045.92</v>
      </c>
      <c r="J19" s="196">
        <f>ROUND('[3]Monthly Program Costs'!R281,2)</f>
        <v>121091.18</v>
      </c>
      <c r="K19" s="158">
        <f>ROUND('[3]Monthly Program Costs'!S281,2)</f>
        <v>125908.6</v>
      </c>
      <c r="L19" s="91"/>
    </row>
    <row r="20" spans="1:14" x14ac:dyDescent="0.35">
      <c r="C20" s="117"/>
      <c r="D20" s="43"/>
      <c r="E20" s="43"/>
      <c r="F20" s="43"/>
      <c r="G20" s="40"/>
      <c r="H20" s="43"/>
      <c r="I20" s="43"/>
      <c r="J20" s="40"/>
      <c r="K20" s="17"/>
      <c r="L20" s="11"/>
    </row>
    <row r="21" spans="1:14" x14ac:dyDescent="0.35">
      <c r="A21" s="51" t="s">
        <v>49</v>
      </c>
      <c r="B21" s="51"/>
      <c r="C21" s="119"/>
      <c r="D21" s="43"/>
      <c r="E21" s="43"/>
      <c r="F21" s="43"/>
      <c r="G21" s="40"/>
      <c r="H21" s="43"/>
      <c r="I21" s="11"/>
      <c r="J21" s="17"/>
      <c r="K21" s="17"/>
      <c r="L21" s="11"/>
    </row>
    <row r="22" spans="1:14" x14ac:dyDescent="0.35">
      <c r="A22" s="59" t="s">
        <v>26</v>
      </c>
      <c r="C22" s="120">
        <v>-607846424</v>
      </c>
      <c r="D22" s="129">
        <f>+'[5]May 2020'!$C123</f>
        <v>145753767.77759999</v>
      </c>
      <c r="E22" s="129">
        <f>+'[5]June 2020'!$C123</f>
        <v>214973143.329</v>
      </c>
      <c r="F22" s="129">
        <f>+'[5]July 2020'!$C123</f>
        <v>309178453.01440001</v>
      </c>
      <c r="G22" s="206">
        <f>+'[5]Aug 2020'!$C123</f>
        <v>284962522.04360002</v>
      </c>
      <c r="H22" s="209">
        <f>+'[5]Sept 2020'!$C123</f>
        <v>256870301.28760001</v>
      </c>
      <c r="I22" s="201">
        <f>+'[5]Oct 2020'!$C123</f>
        <v>169413803.6318</v>
      </c>
      <c r="J22" s="197">
        <f>+'PCR Cycle 2'!J27</f>
        <v>157888109</v>
      </c>
      <c r="K22" s="159">
        <f>+'PCR Cycle 2'!K27</f>
        <v>229944864</v>
      </c>
      <c r="L22" s="92">
        <f>+'PCR Cycle 2'!L27</f>
        <v>263839272</v>
      </c>
    </row>
    <row r="23" spans="1:14" x14ac:dyDescent="0.35">
      <c r="A23" s="59" t="s">
        <v>120</v>
      </c>
      <c r="C23" s="120">
        <v>-104720501</v>
      </c>
      <c r="D23" s="129">
        <f>+'[5]May 2020'!$C124</f>
        <v>28178533.837200001</v>
      </c>
      <c r="E23" s="129">
        <f>+'[5]June 2020'!$C124</f>
        <v>37707440.393700004</v>
      </c>
      <c r="F23" s="129">
        <f>+'[5]July 2020'!$C124</f>
        <v>48641370.017499998</v>
      </c>
      <c r="G23" s="206">
        <f>+'[5]Aug 2020'!$C124</f>
        <v>47137386.677199997</v>
      </c>
      <c r="H23" s="209">
        <f>+'[5]Sept 2020'!$C124</f>
        <v>46068093.666499995</v>
      </c>
      <c r="I23" s="201">
        <f>+'[5]Oct 2020'!$C124</f>
        <v>38682517.839799985</v>
      </c>
      <c r="J23" s="197">
        <f>+'PCR Cycle 2'!J28</f>
        <v>29639799</v>
      </c>
      <c r="K23" s="159">
        <f>+'PCR Cycle 2'!K28</f>
        <v>32332411</v>
      </c>
      <c r="L23" s="92">
        <f>+'PCR Cycle 2'!L28</f>
        <v>34216291</v>
      </c>
    </row>
    <row r="24" spans="1:14" x14ac:dyDescent="0.35">
      <c r="A24" s="59" t="s">
        <v>121</v>
      </c>
      <c r="C24" s="120">
        <v>-298239301</v>
      </c>
      <c r="D24" s="129">
        <f>+'[5]May 2020'!$C125</f>
        <v>65697274.287299998</v>
      </c>
      <c r="E24" s="129">
        <f>+'[5]June 2020'!$C125</f>
        <v>82741020.593200013</v>
      </c>
      <c r="F24" s="129">
        <f>+'[5]July 2020'!$C125</f>
        <v>104403148.91419999</v>
      </c>
      <c r="G24" s="206">
        <f>+'[5]Aug 2020'!$C125</f>
        <v>101451174.6153</v>
      </c>
      <c r="H24" s="209">
        <f>+'[5]Sept 2020'!$C125</f>
        <v>98942401.979499996</v>
      </c>
      <c r="I24" s="201">
        <f>+'[5]Oct 2020'!$C125</f>
        <v>84933958.859400004</v>
      </c>
      <c r="J24" s="197">
        <f>+'PCR Cycle 2'!J29</f>
        <v>84412821</v>
      </c>
      <c r="K24" s="159">
        <f>+'PCR Cycle 2'!K29</f>
        <v>92081260</v>
      </c>
      <c r="L24" s="92">
        <f>+'PCR Cycle 2'!L29</f>
        <v>97446467</v>
      </c>
    </row>
    <row r="25" spans="1:14" x14ac:dyDescent="0.35">
      <c r="A25" s="59" t="s">
        <v>122</v>
      </c>
      <c r="C25" s="120">
        <v>-462442855</v>
      </c>
      <c r="D25" s="129">
        <f>+'[5]May 2020'!$C126</f>
        <v>111286727.01079999</v>
      </c>
      <c r="E25" s="129">
        <f>+'[5]June 2020'!$C126</f>
        <v>129101137.96530001</v>
      </c>
      <c r="F25" s="129">
        <f>+'[5]July 2020'!$C126</f>
        <v>151257548.8066</v>
      </c>
      <c r="G25" s="206">
        <f>+'[5]Aug 2020'!$C126</f>
        <v>152841359.00889999</v>
      </c>
      <c r="H25" s="209">
        <f>+'[5]Sept 2020'!$C126</f>
        <v>153367735.80899999</v>
      </c>
      <c r="I25" s="201">
        <f>+'[5]Oct 2020'!$C126</f>
        <v>140783105.8946</v>
      </c>
      <c r="J25" s="197">
        <f>+'PCR Cycle 2'!J30</f>
        <v>130888538</v>
      </c>
      <c r="K25" s="159">
        <f>+'PCR Cycle 2'!K30</f>
        <v>142779039</v>
      </c>
      <c r="L25" s="92">
        <f>+'PCR Cycle 2'!L30</f>
        <v>151098203</v>
      </c>
    </row>
    <row r="26" spans="1:14" x14ac:dyDescent="0.35">
      <c r="A26" s="59" t="s">
        <v>123</v>
      </c>
      <c r="C26" s="120">
        <v>-139892264</v>
      </c>
      <c r="D26" s="129">
        <f>+'[5]May 2020'!$C127</f>
        <v>32986971.454</v>
      </c>
      <c r="E26" s="129">
        <f>+'[5]June 2020'!$C127</f>
        <v>33913837.439499997</v>
      </c>
      <c r="F26" s="129">
        <f>+'[5]July 2020'!$C127</f>
        <v>50552768.167100005</v>
      </c>
      <c r="G26" s="206">
        <f>+'[5]Aug 2020'!$C127</f>
        <v>48591351.737900004</v>
      </c>
      <c r="H26" s="209">
        <f>+'[5]Sept 2020'!$C127</f>
        <v>48037818.487199999</v>
      </c>
      <c r="I26" s="201">
        <f>+'[5]Oct 2020'!$C127</f>
        <v>47534974.676800005</v>
      </c>
      <c r="J26" s="197">
        <f>+'PCR Cycle 2'!J31</f>
        <v>39594717</v>
      </c>
      <c r="K26" s="159">
        <f>+'PCR Cycle 2'!K31</f>
        <v>43191678</v>
      </c>
      <c r="L26" s="92">
        <f>+'PCR Cycle 2'!L31</f>
        <v>45708285</v>
      </c>
    </row>
    <row r="27" spans="1:14" x14ac:dyDescent="0.35">
      <c r="C27" s="117"/>
      <c r="D27" s="43"/>
      <c r="E27" s="43"/>
      <c r="F27" s="43"/>
      <c r="G27" s="40"/>
      <c r="H27" s="43"/>
      <c r="I27" s="11"/>
      <c r="J27" s="17"/>
      <c r="K27" s="17"/>
      <c r="L27" s="11"/>
    </row>
    <row r="28" spans="1:14" x14ac:dyDescent="0.35">
      <c r="A28" s="59" t="s">
        <v>36</v>
      </c>
      <c r="C28" s="117"/>
      <c r="D28" s="18"/>
      <c r="E28" s="18"/>
      <c r="F28" s="18"/>
      <c r="G28" s="109"/>
      <c r="H28" s="18"/>
      <c r="I28" s="11"/>
      <c r="J28" s="70"/>
      <c r="K28" s="70"/>
      <c r="L28" s="71"/>
      <c r="M28" s="76" t="s">
        <v>52</v>
      </c>
      <c r="N28" s="51"/>
    </row>
    <row r="29" spans="1:14" x14ac:dyDescent="0.35">
      <c r="A29" s="59" t="s">
        <v>26</v>
      </c>
      <c r="C29" s="115">
        <v>-1470988.35</v>
      </c>
      <c r="D29" s="127">
        <f>ROUND('[5]May 2020'!$F79+'[5]May 2020'!$F87,2)</f>
        <v>352724.12</v>
      </c>
      <c r="E29" s="127">
        <f>ROUND('[5]June 2020'!$F79+'[5]June 2020'!$F87,2)</f>
        <v>520235.01</v>
      </c>
      <c r="F29" s="127">
        <f>ROUND('[5]July 2020'!$F79+'[5]July 2020'!$F87,2)</f>
        <v>748211.85</v>
      </c>
      <c r="G29" s="207">
        <f>ROUND('[5]Aug 2020'!$F79+'[5]Aug 2020'!$F87,2)</f>
        <v>744552.12</v>
      </c>
      <c r="H29" s="68">
        <f>ROUND('[5]Sept 2020'!$F79+'[5]Sept 2020'!$F87,2)</f>
        <v>764690.28</v>
      </c>
      <c r="I29" s="199">
        <f>ROUND('[5]Oct 2020'!$F79+'[5]Oct 2020'!$F87,2)</f>
        <v>504834.04</v>
      </c>
      <c r="J29" s="141">
        <f>ROUND(J22*$M29,2)</f>
        <v>470506.56</v>
      </c>
      <c r="K29" s="53">
        <f t="shared" ref="K29:L29" si="2">ROUND(K22*$M29,2)</f>
        <v>685235.69</v>
      </c>
      <c r="L29" s="74">
        <f t="shared" si="2"/>
        <v>786241.03</v>
      </c>
      <c r="M29" s="85">
        <v>2.98E-3</v>
      </c>
    </row>
    <row r="30" spans="1:14" x14ac:dyDescent="0.35">
      <c r="A30" s="59" t="s">
        <v>120</v>
      </c>
      <c r="C30" s="115">
        <v>-146608.70000000001</v>
      </c>
      <c r="D30" s="127">
        <f>ROUND('[5]May 2020'!$F80+'[5]May 2020'!$F88,2)</f>
        <v>39449.949999999997</v>
      </c>
      <c r="E30" s="127">
        <f>ROUND('[5]June 2020'!$F80+'[5]June 2020'!$F88,2)</f>
        <v>52790.42</v>
      </c>
      <c r="F30" s="127">
        <f>ROUND('[5]July 2020'!$F80+'[5]July 2020'!$F88,2)</f>
        <v>68097.919999999998</v>
      </c>
      <c r="G30" s="207">
        <f>ROUND('[5]Aug 2020'!$F80+'[5]Aug 2020'!$F88,2)</f>
        <v>84996.03</v>
      </c>
      <c r="H30" s="68">
        <f>ROUND('[5]Sept 2020'!$F80+'[5]Sept 2020'!$F88,2)</f>
        <v>118149.47</v>
      </c>
      <c r="I30" s="199">
        <f>ROUND('[5]Oct 2020'!$F80+'[5]Oct 2020'!$F88,2)</f>
        <v>99412.09</v>
      </c>
      <c r="J30" s="141">
        <f t="shared" ref="J30:L30" si="3">ROUND(J23*$M30,2)</f>
        <v>76174.28</v>
      </c>
      <c r="K30" s="53">
        <f t="shared" si="3"/>
        <v>83094.3</v>
      </c>
      <c r="L30" s="74">
        <f t="shared" si="3"/>
        <v>87935.87</v>
      </c>
      <c r="M30" s="85">
        <v>2.5699999999999998E-3</v>
      </c>
    </row>
    <row r="31" spans="1:14" x14ac:dyDescent="0.35">
      <c r="A31" s="59" t="s">
        <v>121</v>
      </c>
      <c r="C31" s="115">
        <v>-339992.8</v>
      </c>
      <c r="D31" s="127">
        <f>ROUND('[5]May 2020'!$F81+'[5]May 2020'!$F89,2)</f>
        <v>74894.89</v>
      </c>
      <c r="E31" s="127">
        <f>ROUND('[5]June 2020'!$F81+'[5]June 2020'!$F89,2)</f>
        <v>94324.76</v>
      </c>
      <c r="F31" s="127">
        <f>ROUND('[5]July 2020'!$F81+'[5]July 2020'!$F89,2)</f>
        <v>119019.59</v>
      </c>
      <c r="G31" s="207">
        <f>ROUND('[5]Aug 2020'!$F81+'[5]Aug 2020'!$F89,2)</f>
        <v>134861.88</v>
      </c>
      <c r="H31" s="68">
        <f>ROUND('[5]Sept 2020'!$F81+'[5]Sept 2020'!$F89,2)</f>
        <v>170374.55</v>
      </c>
      <c r="I31" s="199">
        <f>ROUND('[5]Oct 2020'!$F81+'[5]Oct 2020'!$F89,2)</f>
        <v>146086.42000000001</v>
      </c>
      <c r="J31" s="141">
        <f t="shared" ref="J31:L31" si="4">ROUND(J24*$M31,2)</f>
        <v>145190.04999999999</v>
      </c>
      <c r="K31" s="53">
        <f t="shared" si="4"/>
        <v>158379.76999999999</v>
      </c>
      <c r="L31" s="74">
        <f t="shared" si="4"/>
        <v>167607.92000000001</v>
      </c>
      <c r="M31" s="85">
        <v>1.72E-3</v>
      </c>
    </row>
    <row r="32" spans="1:14" x14ac:dyDescent="0.35">
      <c r="A32" s="59" t="s">
        <v>122</v>
      </c>
      <c r="C32" s="115">
        <v>-559555.8600000001</v>
      </c>
      <c r="D32" s="127">
        <f>ROUND('[5]May 2020'!$F82+'[5]May 2020'!$F90,2)</f>
        <v>134656.94</v>
      </c>
      <c r="E32" s="127">
        <f>ROUND('[5]June 2020'!$F82+'[5]June 2020'!$F90,2)</f>
        <v>156212.38</v>
      </c>
      <c r="F32" s="127">
        <f>ROUND('[5]July 2020'!$F82+'[5]July 2020'!$F90,2)</f>
        <v>183055.37</v>
      </c>
      <c r="G32" s="207">
        <f>ROUND('[5]Aug 2020'!$F82+'[5]Aug 2020'!$F90,2)</f>
        <v>216839.54</v>
      </c>
      <c r="H32" s="68">
        <f>ROUND('[5]Sept 2020'!$F82+'[5]Sept 2020'!$F90,2)</f>
        <v>274968.33</v>
      </c>
      <c r="I32" s="199">
        <f>ROUND('[5]Oct 2020'!$F82+'[5]Oct 2020'!$F90,2)</f>
        <v>253409.58</v>
      </c>
      <c r="J32" s="141">
        <f t="shared" ref="J32:L32" si="5">ROUND(J25*$M32,2)</f>
        <v>235599.37</v>
      </c>
      <c r="K32" s="53">
        <f t="shared" si="5"/>
        <v>257002.27</v>
      </c>
      <c r="L32" s="74">
        <f t="shared" si="5"/>
        <v>271976.77</v>
      </c>
      <c r="M32" s="85">
        <v>1.8E-3</v>
      </c>
    </row>
    <row r="33" spans="1:13" x14ac:dyDescent="0.35">
      <c r="A33" s="59" t="s">
        <v>123</v>
      </c>
      <c r="C33" s="115">
        <v>-167870.72</v>
      </c>
      <c r="D33" s="127">
        <f>ROUND('[5]May 2020'!$F83+'[5]May 2020'!$F91,2)</f>
        <v>39584.370000000003</v>
      </c>
      <c r="E33" s="127">
        <f>ROUND('[5]June 2020'!$F83+'[5]June 2020'!$F91,2)</f>
        <v>40696.6</v>
      </c>
      <c r="F33" s="127">
        <f>ROUND('[5]July 2020'!$F83+'[5]July 2020'!$F91,2)</f>
        <v>60663.32</v>
      </c>
      <c r="G33" s="207">
        <f>ROUND('[5]Aug 2020'!$F83+'[5]Aug 2020'!$F91,2)</f>
        <v>69734.37</v>
      </c>
      <c r="H33" s="68">
        <f>ROUND('[5]Sept 2020'!$F83+'[5]Sept 2020'!$F91,2)</f>
        <v>103593.54</v>
      </c>
      <c r="I33" s="199">
        <f>ROUND('[5]Oct 2020'!$F83+'[5]Oct 2020'!$F91,2)</f>
        <v>103150.9</v>
      </c>
      <c r="J33" s="141">
        <f>ROUND(J26*$M33,2)</f>
        <v>85920.54</v>
      </c>
      <c r="K33" s="53">
        <f>ROUND(K26*$M33,2)</f>
        <v>93725.94</v>
      </c>
      <c r="L33" s="74">
        <f>ROUND(L26*$M33,2)</f>
        <v>99186.98</v>
      </c>
      <c r="M33" s="85">
        <v>2.1700000000000001E-3</v>
      </c>
    </row>
    <row r="34" spans="1:13" x14ac:dyDescent="0.35">
      <c r="C34" s="80"/>
      <c r="D34" s="18"/>
      <c r="E34" s="18"/>
      <c r="F34" s="18"/>
      <c r="G34" s="109"/>
      <c r="H34" s="18"/>
      <c r="I34" s="11"/>
      <c r="J34" s="69"/>
      <c r="K34" s="69"/>
      <c r="L34" s="13"/>
      <c r="M34" s="4"/>
    </row>
    <row r="35" spans="1:13" ht="15" thickBot="1" x14ac:dyDescent="0.4">
      <c r="A35" s="59" t="s">
        <v>16</v>
      </c>
      <c r="C35" s="121">
        <v>-7225.65</v>
      </c>
      <c r="D35" s="130">
        <v>2208.4800000000005</v>
      </c>
      <c r="E35" s="130">
        <v>2600.92</v>
      </c>
      <c r="F35" s="131">
        <v>2576.6000000000004</v>
      </c>
      <c r="G35" s="38">
        <v>2323.37</v>
      </c>
      <c r="H35" s="140">
        <v>2071.5</v>
      </c>
      <c r="I35" s="200">
        <v>2364.9899999999998</v>
      </c>
      <c r="J35" s="198">
        <v>2789.1899999999996</v>
      </c>
      <c r="K35" s="160">
        <v>2870.65</v>
      </c>
      <c r="L35" s="96"/>
    </row>
    <row r="36" spans="1:13" x14ac:dyDescent="0.35">
      <c r="C36" s="117"/>
      <c r="D36" s="43"/>
      <c r="E36" s="43"/>
      <c r="F36" s="43"/>
      <c r="G36" s="40"/>
      <c r="H36" s="43"/>
      <c r="I36" s="11"/>
      <c r="J36" s="17"/>
      <c r="K36" s="17"/>
      <c r="L36" s="11"/>
    </row>
    <row r="37" spans="1:13" x14ac:dyDescent="0.35">
      <c r="A37" s="59" t="s">
        <v>54</v>
      </c>
      <c r="C37" s="117"/>
      <c r="D37" s="43"/>
      <c r="E37" s="43"/>
      <c r="F37" s="43"/>
      <c r="G37" s="40"/>
      <c r="H37" s="43"/>
      <c r="I37" s="11"/>
      <c r="J37" s="17"/>
      <c r="K37" s="17"/>
      <c r="L37" s="11"/>
    </row>
    <row r="38" spans="1:13" x14ac:dyDescent="0.35">
      <c r="A38" s="59" t="s">
        <v>26</v>
      </c>
      <c r="C38" s="52">
        <f t="shared" ref="C38:L38" si="6">C15-C29</f>
        <v>-81135.979999999981</v>
      </c>
      <c r="D38" s="53">
        <f t="shared" si="6"/>
        <v>511576.85</v>
      </c>
      <c r="E38" s="53">
        <f t="shared" si="6"/>
        <v>-15586.280000000028</v>
      </c>
      <c r="F38" s="126">
        <f t="shared" si="6"/>
        <v>-244707.46999999997</v>
      </c>
      <c r="G38" s="52">
        <f t="shared" si="6"/>
        <v>-187714.19999999995</v>
      </c>
      <c r="H38" s="53">
        <f t="shared" si="6"/>
        <v>-260019.10000000003</v>
      </c>
      <c r="I38" s="74">
        <f t="shared" si="6"/>
        <v>523485.49000000005</v>
      </c>
      <c r="J38" s="141">
        <f t="shared" si="6"/>
        <v>-130382.21000000002</v>
      </c>
      <c r="K38" s="53">
        <f t="shared" si="6"/>
        <v>-129860.62</v>
      </c>
      <c r="L38" s="62">
        <f t="shared" si="6"/>
        <v>-786241.03</v>
      </c>
    </row>
    <row r="39" spans="1:13" x14ac:dyDescent="0.35">
      <c r="A39" s="59" t="s">
        <v>120</v>
      </c>
      <c r="C39" s="52">
        <f t="shared" ref="C39:L39" si="7">C16-C30</f>
        <v>21200.470000000016</v>
      </c>
      <c r="D39" s="53">
        <f t="shared" si="7"/>
        <v>-18833.959999999995</v>
      </c>
      <c r="E39" s="53">
        <f t="shared" si="7"/>
        <v>34358.150000000009</v>
      </c>
      <c r="F39" s="126">
        <f t="shared" si="7"/>
        <v>-27867.35</v>
      </c>
      <c r="G39" s="52">
        <f t="shared" si="7"/>
        <v>-46345.68</v>
      </c>
      <c r="H39" s="53">
        <f t="shared" si="7"/>
        <v>-59328.08</v>
      </c>
      <c r="I39" s="74">
        <f t="shared" si="7"/>
        <v>-66057.31</v>
      </c>
      <c r="J39" s="141">
        <f t="shared" si="7"/>
        <v>-2070.1900000000023</v>
      </c>
      <c r="K39" s="53">
        <f t="shared" si="7"/>
        <v>1359.3099999999977</v>
      </c>
      <c r="L39" s="62">
        <f t="shared" si="7"/>
        <v>-87935.87</v>
      </c>
    </row>
    <row r="40" spans="1:13" x14ac:dyDescent="0.35">
      <c r="A40" s="59" t="s">
        <v>121</v>
      </c>
      <c r="C40" s="52">
        <f t="shared" ref="C40:L40" si="8">C17-C31</f>
        <v>34568.419999999984</v>
      </c>
      <c r="D40" s="53">
        <f t="shared" si="8"/>
        <v>53293.930000000008</v>
      </c>
      <c r="E40" s="53">
        <f t="shared" si="8"/>
        <v>1577.6000000000058</v>
      </c>
      <c r="F40" s="126">
        <f t="shared" si="8"/>
        <v>250321.42</v>
      </c>
      <c r="G40" s="52">
        <f t="shared" si="8"/>
        <v>101942.54000000001</v>
      </c>
      <c r="H40" s="53">
        <f t="shared" si="8"/>
        <v>366354.77999999997</v>
      </c>
      <c r="I40" s="74">
        <f t="shared" si="8"/>
        <v>-19768.030000000013</v>
      </c>
      <c r="J40" s="141">
        <f t="shared" si="8"/>
        <v>64185.790000000008</v>
      </c>
      <c r="K40" s="53">
        <f t="shared" si="8"/>
        <v>59417.49000000002</v>
      </c>
      <c r="L40" s="62">
        <f t="shared" si="8"/>
        <v>-167607.92000000001</v>
      </c>
    </row>
    <row r="41" spans="1:13" x14ac:dyDescent="0.35">
      <c r="A41" s="59" t="s">
        <v>122</v>
      </c>
      <c r="C41" s="52">
        <f t="shared" ref="C41:L41" si="9">C18-C32</f>
        <v>66542.000000000116</v>
      </c>
      <c r="D41" s="53">
        <f t="shared" si="9"/>
        <v>36754.25</v>
      </c>
      <c r="E41" s="53">
        <f t="shared" si="9"/>
        <v>117523.84999999998</v>
      </c>
      <c r="F41" s="126">
        <f t="shared" si="9"/>
        <v>-69378.649999999994</v>
      </c>
      <c r="G41" s="52">
        <f t="shared" si="9"/>
        <v>-98682.510000000009</v>
      </c>
      <c r="H41" s="53">
        <f t="shared" si="9"/>
        <v>-108496.53000000003</v>
      </c>
      <c r="I41" s="74">
        <f t="shared" si="9"/>
        <v>308765.27</v>
      </c>
      <c r="J41" s="141">
        <f t="shared" si="9"/>
        <v>106115.90000000002</v>
      </c>
      <c r="K41" s="53">
        <f t="shared" si="9"/>
        <v>98285.24000000002</v>
      </c>
      <c r="L41" s="62">
        <f t="shared" si="9"/>
        <v>-271976.77</v>
      </c>
    </row>
    <row r="42" spans="1:13" x14ac:dyDescent="0.35">
      <c r="A42" s="59" t="s">
        <v>123</v>
      </c>
      <c r="C42" s="52">
        <f t="shared" ref="C42:L42" si="10">C19-C33</f>
        <v>-7086.8000000000175</v>
      </c>
      <c r="D42" s="53">
        <f t="shared" si="10"/>
        <v>-13311.690000000002</v>
      </c>
      <c r="E42" s="53">
        <f t="shared" si="10"/>
        <v>-19066.419999999998</v>
      </c>
      <c r="F42" s="126">
        <f t="shared" si="10"/>
        <v>-38364.74</v>
      </c>
      <c r="G42" s="52">
        <f t="shared" si="10"/>
        <v>-41153.469999999994</v>
      </c>
      <c r="H42" s="53">
        <f t="shared" si="10"/>
        <v>-75714.989999999991</v>
      </c>
      <c r="I42" s="74">
        <f t="shared" si="10"/>
        <v>-95104.98</v>
      </c>
      <c r="J42" s="141">
        <f t="shared" si="10"/>
        <v>35170.639999999999</v>
      </c>
      <c r="K42" s="53">
        <f t="shared" si="10"/>
        <v>32182.660000000003</v>
      </c>
      <c r="L42" s="62">
        <f t="shared" si="10"/>
        <v>-99186.98</v>
      </c>
    </row>
    <row r="43" spans="1:13" x14ac:dyDescent="0.35">
      <c r="C43" s="117"/>
      <c r="D43" s="43"/>
      <c r="E43" s="43"/>
      <c r="F43" s="43"/>
      <c r="G43" s="40"/>
      <c r="H43" s="43"/>
      <c r="I43" s="11"/>
      <c r="J43" s="17"/>
      <c r="K43" s="17"/>
      <c r="L43" s="11"/>
    </row>
    <row r="44" spans="1:13" ht="15" thickBot="1" x14ac:dyDescent="0.4">
      <c r="A44" s="59" t="s">
        <v>55</v>
      </c>
      <c r="C44" s="122"/>
      <c r="D44" s="43"/>
      <c r="E44" s="43"/>
      <c r="F44" s="43"/>
      <c r="G44" s="40"/>
      <c r="H44" s="43"/>
      <c r="I44" s="11"/>
      <c r="J44" s="17"/>
      <c r="K44" s="17"/>
      <c r="L44" s="11"/>
    </row>
    <row r="45" spans="1:13" x14ac:dyDescent="0.35">
      <c r="A45" s="59" t="s">
        <v>26</v>
      </c>
      <c r="B45" s="134">
        <v>975868.44999999984</v>
      </c>
      <c r="C45" s="53">
        <f t="shared" ref="C45:L45" si="11">B45+C38+B53</f>
        <v>894732.46999999986</v>
      </c>
      <c r="D45" s="53">
        <f t="shared" si="11"/>
        <v>1401764.4799999997</v>
      </c>
      <c r="E45" s="53">
        <f t="shared" si="11"/>
        <v>1387560.8399999996</v>
      </c>
      <c r="F45" s="126">
        <f t="shared" si="11"/>
        <v>1144520.5699999996</v>
      </c>
      <c r="G45" s="52">
        <f t="shared" si="11"/>
        <v>958307.96999999962</v>
      </c>
      <c r="H45" s="53">
        <f t="shared" si="11"/>
        <v>699526.35999999964</v>
      </c>
      <c r="I45" s="74">
        <f t="shared" si="11"/>
        <v>1223980.9499999997</v>
      </c>
      <c r="J45" s="141">
        <f t="shared" si="11"/>
        <v>1094718.4999999998</v>
      </c>
      <c r="K45" s="53">
        <f t="shared" si="11"/>
        <v>966207.66999999981</v>
      </c>
      <c r="L45" s="62">
        <f t="shared" si="11"/>
        <v>181166.57999999978</v>
      </c>
    </row>
    <row r="46" spans="1:13" x14ac:dyDescent="0.35">
      <c r="A46" s="59" t="s">
        <v>120</v>
      </c>
      <c r="B46" s="271">
        <v>248029.16</v>
      </c>
      <c r="C46" s="53">
        <f t="shared" ref="C46:L46" si="12">B46+C39+B54</f>
        <v>269229.63</v>
      </c>
      <c r="D46" s="53">
        <f t="shared" si="12"/>
        <v>249466.86000000002</v>
      </c>
      <c r="E46" s="53">
        <f t="shared" si="12"/>
        <v>284137.36</v>
      </c>
      <c r="F46" s="126">
        <f t="shared" si="12"/>
        <v>256588.97999999998</v>
      </c>
      <c r="G46" s="52">
        <f t="shared" si="12"/>
        <v>210563.94999999998</v>
      </c>
      <c r="H46" s="53">
        <f t="shared" si="12"/>
        <v>151510.78</v>
      </c>
      <c r="I46" s="74">
        <f t="shared" si="12"/>
        <v>85665.13</v>
      </c>
      <c r="J46" s="141">
        <f t="shared" si="12"/>
        <v>83733.06</v>
      </c>
      <c r="K46" s="53">
        <f t="shared" si="12"/>
        <v>85191.01</v>
      </c>
      <c r="L46" s="62">
        <f t="shared" si="12"/>
        <v>-2646.5100000000007</v>
      </c>
    </row>
    <row r="47" spans="1:13" x14ac:dyDescent="0.35">
      <c r="A47" s="59" t="s">
        <v>121</v>
      </c>
      <c r="B47" s="271">
        <v>80366.969999999987</v>
      </c>
      <c r="C47" s="53">
        <f t="shared" ref="C47:L47" si="13">B47+C40+B55</f>
        <v>114935.38999999997</v>
      </c>
      <c r="D47" s="53">
        <f t="shared" si="13"/>
        <v>167707.86999999997</v>
      </c>
      <c r="E47" s="53">
        <f t="shared" si="13"/>
        <v>169455.65999999997</v>
      </c>
      <c r="F47" s="126">
        <f t="shared" si="13"/>
        <v>419978.61</v>
      </c>
      <c r="G47" s="52">
        <f t="shared" si="13"/>
        <v>522270.59</v>
      </c>
      <c r="H47" s="53">
        <f t="shared" si="13"/>
        <v>889179.68</v>
      </c>
      <c r="I47" s="74">
        <f t="shared" si="13"/>
        <v>870236.43</v>
      </c>
      <c r="J47" s="141">
        <f t="shared" si="13"/>
        <v>935446.42</v>
      </c>
      <c r="K47" s="53">
        <f t="shared" si="13"/>
        <v>995915.14</v>
      </c>
      <c r="L47" s="62">
        <f t="shared" si="13"/>
        <v>829431.59</v>
      </c>
    </row>
    <row r="48" spans="1:13" x14ac:dyDescent="0.35">
      <c r="A48" s="59" t="s">
        <v>122</v>
      </c>
      <c r="B48" s="271">
        <v>134644.57999999993</v>
      </c>
      <c r="C48" s="53">
        <f t="shared" ref="C48:L48" si="14">B48+C41+B56</f>
        <v>201186.58000000005</v>
      </c>
      <c r="D48" s="53">
        <f t="shared" si="14"/>
        <v>237058.96000000005</v>
      </c>
      <c r="E48" s="53">
        <f t="shared" si="14"/>
        <v>354846.65000000008</v>
      </c>
      <c r="F48" s="126">
        <f t="shared" si="14"/>
        <v>285821.77000000014</v>
      </c>
      <c r="G48" s="52">
        <f t="shared" si="14"/>
        <v>187519.16000000012</v>
      </c>
      <c r="H48" s="53">
        <f t="shared" si="14"/>
        <v>79301.210000000094</v>
      </c>
      <c r="I48" s="74">
        <f t="shared" si="14"/>
        <v>388222.50000000012</v>
      </c>
      <c r="J48" s="141">
        <f t="shared" si="14"/>
        <v>494610.52000000014</v>
      </c>
      <c r="K48" s="53">
        <f t="shared" si="14"/>
        <v>593409.59000000008</v>
      </c>
      <c r="L48" s="62">
        <f t="shared" si="14"/>
        <v>322066.18000000005</v>
      </c>
    </row>
    <row r="49" spans="1:13" ht="15" thickBot="1" x14ac:dyDescent="0.4">
      <c r="A49" s="59" t="s">
        <v>123</v>
      </c>
      <c r="B49" s="135">
        <v>79954.040000000008</v>
      </c>
      <c r="C49" s="53">
        <f>B49+C42+B57</f>
        <v>72867.239999999991</v>
      </c>
      <c r="D49" s="53">
        <f t="shared" ref="D49:L49" si="15">C49+D42+C57</f>
        <v>59206.869999999988</v>
      </c>
      <c r="E49" s="53">
        <f t="shared" si="15"/>
        <v>40219.909999999989</v>
      </c>
      <c r="F49" s="126">
        <f t="shared" si="15"/>
        <v>1914.619999999991</v>
      </c>
      <c r="G49" s="52">
        <f t="shared" si="15"/>
        <v>-39213.840000000004</v>
      </c>
      <c r="H49" s="53">
        <f t="shared" si="15"/>
        <v>-114950.74999999999</v>
      </c>
      <c r="I49" s="74">
        <f t="shared" si="15"/>
        <v>-210145.78999999998</v>
      </c>
      <c r="J49" s="141">
        <f t="shared" si="15"/>
        <v>-175164.35999999996</v>
      </c>
      <c r="K49" s="53">
        <f t="shared" si="15"/>
        <v>-143205.99999999994</v>
      </c>
      <c r="L49" s="62">
        <f t="shared" si="15"/>
        <v>-242578.34999999992</v>
      </c>
    </row>
    <row r="50" spans="1:13" x14ac:dyDescent="0.35">
      <c r="C50" s="117"/>
      <c r="D50" s="43"/>
      <c r="E50" s="43"/>
      <c r="F50" s="43"/>
      <c r="G50" s="40"/>
      <c r="H50" s="43"/>
      <c r="I50" s="11"/>
      <c r="J50" s="17"/>
      <c r="K50" s="17"/>
      <c r="L50" s="11"/>
    </row>
    <row r="51" spans="1:13" x14ac:dyDescent="0.35">
      <c r="A51" s="51" t="s">
        <v>51</v>
      </c>
      <c r="B51" s="51"/>
      <c r="C51" s="122"/>
      <c r="D51" s="98">
        <f>+'PCR Cycle 2'!D50</f>
        <v>1.20652E-3</v>
      </c>
      <c r="E51" s="98">
        <f>+'PCR Cycle 2'!E50</f>
        <v>1.1948200000000001E-3</v>
      </c>
      <c r="F51" s="98">
        <f>+'PCR Cycle 2'!F50</f>
        <v>1.1852799999999999E-3</v>
      </c>
      <c r="G51" s="99">
        <f>+'PCR Cycle 2'!G50</f>
        <v>1.17614E-3</v>
      </c>
      <c r="H51" s="98">
        <f>+'PCR Cycle 2'!H50</f>
        <v>1.1682400000000001E-3</v>
      </c>
      <c r="I51" s="110">
        <f>+'PCR Cycle 2'!I50</f>
        <v>1.1636999999999999E-3</v>
      </c>
      <c r="J51" s="98">
        <f>+'PCR Cycle 2'!J50</f>
        <v>1.1636999999999999E-3</v>
      </c>
      <c r="K51" s="98">
        <f>+'PCR Cycle 2'!K50</f>
        <v>1.1636999999999999E-3</v>
      </c>
      <c r="L51" s="110"/>
    </row>
    <row r="52" spans="1:13" x14ac:dyDescent="0.35">
      <c r="A52" s="51" t="s">
        <v>39</v>
      </c>
      <c r="B52" s="51"/>
      <c r="C52" s="117"/>
      <c r="D52" s="43"/>
      <c r="E52" s="43"/>
      <c r="F52" s="43"/>
      <c r="G52" s="40"/>
      <c r="H52" s="43"/>
      <c r="I52" s="11"/>
      <c r="J52" s="17"/>
      <c r="K52" s="17"/>
      <c r="L52" s="11"/>
      <c r="M52" s="84"/>
    </row>
    <row r="53" spans="1:13" x14ac:dyDescent="0.35">
      <c r="A53" s="59" t="s">
        <v>26</v>
      </c>
      <c r="C53" s="52">
        <v>-4544.84</v>
      </c>
      <c r="D53" s="53">
        <f t="shared" ref="D53:K57" si="16">ROUND((C45+C53+D38/2)*D$51,2)</f>
        <v>1382.64</v>
      </c>
      <c r="E53" s="53">
        <f t="shared" si="16"/>
        <v>1667.2</v>
      </c>
      <c r="F53" s="126">
        <f t="shared" si="16"/>
        <v>1501.6</v>
      </c>
      <c r="G53" s="52">
        <f t="shared" si="16"/>
        <v>1237.49</v>
      </c>
      <c r="H53" s="141">
        <f t="shared" si="16"/>
        <v>969.1</v>
      </c>
      <c r="I53" s="74">
        <f t="shared" si="16"/>
        <v>1119.76</v>
      </c>
      <c r="J53" s="141">
        <f t="shared" si="16"/>
        <v>1349.79</v>
      </c>
      <c r="K53" s="141">
        <f t="shared" si="16"/>
        <v>1199.94</v>
      </c>
      <c r="L53" s="62"/>
    </row>
    <row r="54" spans="1:13" x14ac:dyDescent="0.35">
      <c r="A54" s="59" t="s">
        <v>120</v>
      </c>
      <c r="C54" s="272">
        <v>-928.81</v>
      </c>
      <c r="D54" s="53">
        <f t="shared" si="16"/>
        <v>312.35000000000002</v>
      </c>
      <c r="E54" s="53">
        <f t="shared" si="16"/>
        <v>318.97000000000003</v>
      </c>
      <c r="F54" s="126">
        <f t="shared" si="16"/>
        <v>320.64999999999998</v>
      </c>
      <c r="G54" s="52">
        <f t="shared" si="16"/>
        <v>274.91000000000003</v>
      </c>
      <c r="H54" s="141">
        <f t="shared" si="16"/>
        <v>211.66</v>
      </c>
      <c r="I54" s="74">
        <f t="shared" si="16"/>
        <v>138.12</v>
      </c>
      <c r="J54" s="141">
        <f t="shared" si="16"/>
        <v>98.64</v>
      </c>
      <c r="K54" s="141">
        <f t="shared" si="16"/>
        <v>98.35</v>
      </c>
      <c r="L54" s="62"/>
    </row>
    <row r="55" spans="1:13" x14ac:dyDescent="0.35">
      <c r="A55" s="59" t="s">
        <v>121</v>
      </c>
      <c r="C55" s="272">
        <v>-521.45000000000005</v>
      </c>
      <c r="D55" s="53">
        <f t="shared" si="16"/>
        <v>170.19</v>
      </c>
      <c r="E55" s="53">
        <f t="shared" si="16"/>
        <v>201.53</v>
      </c>
      <c r="F55" s="126">
        <f t="shared" si="16"/>
        <v>349.44</v>
      </c>
      <c r="G55" s="52">
        <f t="shared" si="16"/>
        <v>554.30999999999995</v>
      </c>
      <c r="H55" s="141">
        <f t="shared" si="16"/>
        <v>824.78</v>
      </c>
      <c r="I55" s="74">
        <f t="shared" si="16"/>
        <v>1024.2</v>
      </c>
      <c r="J55" s="141">
        <f t="shared" si="16"/>
        <v>1051.23</v>
      </c>
      <c r="K55" s="141">
        <f t="shared" si="16"/>
        <v>1124.3699999999999</v>
      </c>
      <c r="L55" s="62"/>
    </row>
    <row r="56" spans="1:13" x14ac:dyDescent="0.35">
      <c r="A56" s="59" t="s">
        <v>122</v>
      </c>
      <c r="C56" s="272">
        <v>-881.86999999999989</v>
      </c>
      <c r="D56" s="53">
        <f t="shared" si="16"/>
        <v>263.83999999999997</v>
      </c>
      <c r="E56" s="53">
        <f t="shared" si="16"/>
        <v>353.77</v>
      </c>
      <c r="F56" s="126">
        <f t="shared" si="16"/>
        <v>379.9</v>
      </c>
      <c r="G56" s="52">
        <f t="shared" si="16"/>
        <v>278.58</v>
      </c>
      <c r="H56" s="141">
        <f t="shared" si="16"/>
        <v>156.02000000000001</v>
      </c>
      <c r="I56" s="74">
        <f t="shared" si="16"/>
        <v>272.12</v>
      </c>
      <c r="J56" s="141">
        <f t="shared" si="16"/>
        <v>513.83000000000004</v>
      </c>
      <c r="K56" s="141">
        <f t="shared" si="16"/>
        <v>633.36</v>
      </c>
      <c r="L56" s="62"/>
    </row>
    <row r="57" spans="1:13" ht="15" thickBot="1" x14ac:dyDescent="0.4">
      <c r="A57" s="59" t="s">
        <v>123</v>
      </c>
      <c r="C57" s="132">
        <v>-348.68</v>
      </c>
      <c r="D57" s="53">
        <f t="shared" si="16"/>
        <v>79.459999999999994</v>
      </c>
      <c r="E57" s="53">
        <f t="shared" si="16"/>
        <v>59.45</v>
      </c>
      <c r="F57" s="126">
        <f t="shared" si="16"/>
        <v>25.01</v>
      </c>
      <c r="G57" s="52">
        <f t="shared" si="16"/>
        <v>-21.92</v>
      </c>
      <c r="H57" s="141">
        <f t="shared" si="16"/>
        <v>-90.06</v>
      </c>
      <c r="I57" s="74">
        <f t="shared" si="16"/>
        <v>-189.21</v>
      </c>
      <c r="J57" s="141">
        <f t="shared" si="16"/>
        <v>-224.3</v>
      </c>
      <c r="K57" s="141">
        <f t="shared" si="16"/>
        <v>-185.37</v>
      </c>
      <c r="L57" s="62"/>
    </row>
    <row r="58" spans="1:13" ht="15.5" thickTop="1" thickBot="1" x14ac:dyDescent="0.4">
      <c r="A58" s="67" t="s">
        <v>24</v>
      </c>
      <c r="B58" s="67"/>
      <c r="C58" s="133">
        <v>0</v>
      </c>
      <c r="D58" s="44">
        <f t="shared" ref="D58:L58" si="17">SUM(D53:D57)+SUM(D45:D49)-D61</f>
        <v>0</v>
      </c>
      <c r="E58" s="44">
        <f t="shared" si="17"/>
        <v>0</v>
      </c>
      <c r="F58" s="63">
        <f t="shared" si="17"/>
        <v>0</v>
      </c>
      <c r="G58" s="142">
        <f t="shared" si="17"/>
        <v>0</v>
      </c>
      <c r="H58" s="44">
        <f t="shared" si="17"/>
        <v>0</v>
      </c>
      <c r="I58" s="75">
        <f t="shared" si="17"/>
        <v>0</v>
      </c>
      <c r="J58" s="185">
        <f t="shared" si="17"/>
        <v>0</v>
      </c>
      <c r="K58" s="44">
        <f t="shared" si="17"/>
        <v>0</v>
      </c>
      <c r="L58" s="114">
        <f t="shared" si="17"/>
        <v>0</v>
      </c>
    </row>
    <row r="59" spans="1:13" ht="15.5" thickTop="1" thickBot="1" x14ac:dyDescent="0.4">
      <c r="A59" s="67" t="s">
        <v>25</v>
      </c>
      <c r="B59" s="67"/>
      <c r="C59" s="125">
        <v>0</v>
      </c>
      <c r="D59" s="44">
        <f t="shared" ref="D59:I59" si="18">SUM(D53:D57)-D35</f>
        <v>0</v>
      </c>
      <c r="E59" s="44">
        <f t="shared" si="18"/>
        <v>0</v>
      </c>
      <c r="F59" s="63">
        <f t="shared" ref="F59:H59" si="19">SUM(F53:F57)-F35</f>
        <v>0</v>
      </c>
      <c r="G59" s="64">
        <f t="shared" si="19"/>
        <v>0</v>
      </c>
      <c r="H59" s="44">
        <f t="shared" si="19"/>
        <v>0</v>
      </c>
      <c r="I59" s="75">
        <f t="shared" si="18"/>
        <v>0</v>
      </c>
      <c r="J59" s="185">
        <f t="shared" ref="J59:L59" si="20">SUM(J53:J57)-J35</f>
        <v>0</v>
      </c>
      <c r="K59" s="44">
        <f t="shared" si="20"/>
        <v>0</v>
      </c>
      <c r="L59" s="114">
        <f t="shared" si="20"/>
        <v>0</v>
      </c>
    </row>
    <row r="60" spans="1:13" ht="15.5" thickTop="1" thickBot="1" x14ac:dyDescent="0.4">
      <c r="C60" s="117"/>
      <c r="D60" s="17"/>
      <c r="E60" s="17"/>
      <c r="F60" s="17"/>
      <c r="G60" s="10"/>
      <c r="H60" s="17"/>
      <c r="I60" s="11"/>
      <c r="J60" s="17"/>
      <c r="K60" s="17"/>
      <c r="L60" s="11"/>
    </row>
    <row r="61" spans="1:13" ht="15" thickBot="1" x14ac:dyDescent="0.4">
      <c r="A61" s="59" t="s">
        <v>38</v>
      </c>
      <c r="B61" s="137">
        <f>SUM(B45:B49)</f>
        <v>1518863.1999999997</v>
      </c>
      <c r="C61" s="52">
        <f>(SUM(C15:C19)-SUM(C29:C33))+SUM(C53:C57)+B61</f>
        <v>1545725.6600000001</v>
      </c>
      <c r="D61" s="53">
        <f>(SUM(D15:D19)-SUM(D29:D33))+SUM(D53:D57)+C61</f>
        <v>2117413.52</v>
      </c>
      <c r="E61" s="53">
        <f t="shared" ref="E61:L61" si="21">(SUM(E15:E19)-SUM(E29:E33))+SUM(E53:E57)+D61</f>
        <v>2238821.34</v>
      </c>
      <c r="F61" s="126">
        <f t="shared" si="21"/>
        <v>2111401.15</v>
      </c>
      <c r="G61" s="52">
        <f t="shared" si="21"/>
        <v>1841771.2000000002</v>
      </c>
      <c r="H61" s="53">
        <f t="shared" si="21"/>
        <v>1706638.78</v>
      </c>
      <c r="I61" s="74">
        <f t="shared" si="21"/>
        <v>2360324.21</v>
      </c>
      <c r="J61" s="141">
        <f t="shared" si="21"/>
        <v>2436133.33</v>
      </c>
      <c r="K61" s="53">
        <f t="shared" si="21"/>
        <v>2500388.06</v>
      </c>
      <c r="L61" s="74">
        <f t="shared" si="21"/>
        <v>1087439.49</v>
      </c>
    </row>
    <row r="62" spans="1:13" x14ac:dyDescent="0.35">
      <c r="A62" s="59" t="s">
        <v>14</v>
      </c>
      <c r="C62" s="138"/>
      <c r="D62" s="69"/>
      <c r="E62" s="69"/>
      <c r="F62" s="69"/>
      <c r="G62" s="12"/>
      <c r="H62" s="69"/>
      <c r="I62" s="11"/>
      <c r="J62" s="17"/>
      <c r="K62" s="17"/>
      <c r="L62" s="11"/>
    </row>
    <row r="63" spans="1:13" ht="15" thickBot="1" x14ac:dyDescent="0.4">
      <c r="B63" s="17"/>
      <c r="C63" s="55"/>
      <c r="D63" s="56"/>
      <c r="E63" s="56"/>
      <c r="F63" s="56"/>
      <c r="G63" s="55"/>
      <c r="H63" s="56"/>
      <c r="I63" s="57"/>
      <c r="J63" s="56"/>
      <c r="K63" s="56"/>
      <c r="L63" s="57"/>
    </row>
    <row r="65" spans="1:12" x14ac:dyDescent="0.35">
      <c r="A65" s="82" t="s">
        <v>13</v>
      </c>
      <c r="B65" s="82"/>
      <c r="C65" s="82"/>
    </row>
    <row r="66" spans="1:12" ht="66" customHeight="1" x14ac:dyDescent="0.35">
      <c r="A66" s="302" t="s">
        <v>201</v>
      </c>
      <c r="B66" s="302"/>
      <c r="C66" s="302"/>
      <c r="D66" s="302"/>
      <c r="E66" s="302"/>
      <c r="F66" s="302"/>
      <c r="G66" s="302"/>
      <c r="H66" s="302"/>
      <c r="I66" s="302"/>
      <c r="J66" s="260"/>
      <c r="K66" s="260"/>
      <c r="L66" s="260"/>
    </row>
    <row r="67" spans="1:12" ht="33.75" customHeight="1" x14ac:dyDescent="0.35">
      <c r="A67" s="302" t="s">
        <v>220</v>
      </c>
      <c r="B67" s="302"/>
      <c r="C67" s="302"/>
      <c r="D67" s="302"/>
      <c r="E67" s="302"/>
      <c r="F67" s="302"/>
      <c r="G67" s="302"/>
      <c r="H67" s="302"/>
      <c r="I67" s="302"/>
      <c r="J67" s="260"/>
      <c r="K67" s="260"/>
      <c r="L67" s="260"/>
    </row>
    <row r="68" spans="1:12" ht="33.75" customHeight="1" x14ac:dyDescent="0.35">
      <c r="A68" s="302" t="s">
        <v>187</v>
      </c>
      <c r="B68" s="302"/>
      <c r="C68" s="302"/>
      <c r="D68" s="302"/>
      <c r="E68" s="302"/>
      <c r="F68" s="302"/>
      <c r="G68" s="302"/>
      <c r="H68" s="302"/>
      <c r="I68" s="302"/>
      <c r="J68" s="260"/>
      <c r="K68" s="260"/>
      <c r="L68" s="260"/>
    </row>
    <row r="69" spans="1:12" x14ac:dyDescent="0.35">
      <c r="A69" s="3" t="s">
        <v>33</v>
      </c>
      <c r="B69" s="3"/>
      <c r="C69" s="3"/>
      <c r="I69" s="4"/>
    </row>
    <row r="70" spans="1:12" x14ac:dyDescent="0.35">
      <c r="A70" s="76" t="s">
        <v>188</v>
      </c>
      <c r="B70" s="3"/>
      <c r="C70" s="3"/>
      <c r="I70" s="4"/>
    </row>
    <row r="71" spans="1:12" x14ac:dyDescent="0.35">
      <c r="A71" s="3" t="s">
        <v>53</v>
      </c>
      <c r="B71" s="3"/>
      <c r="C71" s="3"/>
      <c r="I71" s="4"/>
    </row>
    <row r="72" spans="1:12" x14ac:dyDescent="0.35">
      <c r="A72" s="3"/>
    </row>
    <row r="81" spans="13:13" x14ac:dyDescent="0.35">
      <c r="M81" s="8"/>
    </row>
  </sheetData>
  <mergeCells count="6">
    <mergeCell ref="A68:I68"/>
    <mergeCell ref="D11:F11"/>
    <mergeCell ref="G11:I11"/>
    <mergeCell ref="J11:L11"/>
    <mergeCell ref="A66:I66"/>
    <mergeCell ref="A67:I67"/>
  </mergeCells>
  <pageMargins left="0.2" right="0.2" top="0.75" bottom="0.25" header="0.3" footer="0.3"/>
  <pageSetup scale="45"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sqref="A1:XFD1048576"/>
    </sheetView>
  </sheetViews>
  <sheetFormatPr defaultRowHeight="14.5" x14ac:dyDescent="0.35"/>
  <cols>
    <col min="1" max="1" width="24.7265625" customWidth="1"/>
    <col min="2" max="2" width="16.1796875" customWidth="1"/>
    <col min="3" max="3" width="15.1796875" customWidth="1"/>
  </cols>
  <sheetData>
    <row r="1" spans="1:23" s="59" customFormat="1" x14ac:dyDescent="0.35">
      <c r="A1" s="3" t="str">
        <f>+'PPC Cycle 2'!A1</f>
        <v>Evergy Metro, Inc. - DSIM Rider Update Filed 12/01/2020</v>
      </c>
    </row>
    <row r="2" spans="1:23" x14ac:dyDescent="0.35">
      <c r="A2" s="9" t="str">
        <f>+'PPC Cycle 2'!A2</f>
        <v>Projections for Cycle 2 November 2020 - December 2021 DSIM</v>
      </c>
    </row>
    <row r="3" spans="1:23" s="59" customFormat="1" x14ac:dyDescent="0.35">
      <c r="A3" s="9"/>
    </row>
    <row r="4" spans="1:23" ht="40.5" customHeight="1" x14ac:dyDescent="0.35">
      <c r="B4" s="293" t="s">
        <v>68</v>
      </c>
      <c r="C4" s="293"/>
    </row>
    <row r="5" spans="1:23" ht="29" x14ac:dyDescent="0.35">
      <c r="B5" s="170" t="s">
        <v>69</v>
      </c>
      <c r="C5" s="6" t="s">
        <v>31</v>
      </c>
    </row>
    <row r="6" spans="1:23" x14ac:dyDescent="0.35">
      <c r="A6" s="21" t="s">
        <v>26</v>
      </c>
      <c r="B6" s="33">
        <f>SUM('[2]Monthly TD Calc'!$BH$285:$BS$285)</f>
        <v>40232669.594218723</v>
      </c>
      <c r="C6" s="101">
        <f>ROUND(SUM('[2]Monthly TD Calc'!$BH$326:$BS$326),2)</f>
        <v>2909293.06</v>
      </c>
    </row>
    <row r="7" spans="1:23" x14ac:dyDescent="0.35">
      <c r="A7" s="42" t="s">
        <v>27</v>
      </c>
      <c r="B7" s="33">
        <f>+B14</f>
        <v>72444897.878200263</v>
      </c>
      <c r="C7" s="101">
        <f>+C14</f>
        <v>2884666.18</v>
      </c>
    </row>
    <row r="8" spans="1:23" x14ac:dyDescent="0.35">
      <c r="A8" s="21" t="s">
        <v>6</v>
      </c>
      <c r="B8" s="34">
        <f>SUM(B6:B7)</f>
        <v>112677567.47241899</v>
      </c>
      <c r="C8" s="23">
        <f>SUM(C6:C7)</f>
        <v>5793959.2400000002</v>
      </c>
    </row>
    <row r="9" spans="1:23" s="59" customFormat="1" x14ac:dyDescent="0.35">
      <c r="A9" s="21"/>
    </row>
    <row r="10" spans="1:23" s="59" customFormat="1" x14ac:dyDescent="0.35">
      <c r="A10" s="21" t="s">
        <v>120</v>
      </c>
      <c r="B10" s="33">
        <f>SUM('[2]Monthly TD Calc'!$BH286:$BS286)</f>
        <v>6475312.3252000259</v>
      </c>
      <c r="C10" s="101">
        <f>ROUND(SUM('[2]Monthly TD Calc'!$BH327:$BS327),2)</f>
        <v>502893.23</v>
      </c>
    </row>
    <row r="11" spans="1:23" s="59" customFormat="1" x14ac:dyDescent="0.35">
      <c r="A11" s="21" t="s">
        <v>121</v>
      </c>
      <c r="B11" s="33">
        <f>SUM('[2]Monthly TD Calc'!$BH287:$BS287)</f>
        <v>23864874.61480004</v>
      </c>
      <c r="C11" s="101">
        <f>ROUND(SUM('[2]Monthly TD Calc'!$BH328:$BS328),2)</f>
        <v>1177457</v>
      </c>
    </row>
    <row r="12" spans="1:23" s="59" customFormat="1" x14ac:dyDescent="0.35">
      <c r="A12" s="21" t="s">
        <v>122</v>
      </c>
      <c r="B12" s="33">
        <f>SUM('[2]Monthly TD Calc'!$BH288:$BS288)</f>
        <v>34791424.62360017</v>
      </c>
      <c r="C12" s="101">
        <f>ROUND(SUM('[2]Monthly TD Calc'!$BH329:$BS329),2)</f>
        <v>1091348.68</v>
      </c>
    </row>
    <row r="13" spans="1:23" s="59" customFormat="1" x14ac:dyDescent="0.35">
      <c r="A13" s="21" t="s">
        <v>123</v>
      </c>
      <c r="B13" s="33">
        <f>SUM('[2]Monthly TD Calc'!$BH289:$BS289)</f>
        <v>7313286.3146000225</v>
      </c>
      <c r="C13" s="101">
        <f>ROUND(SUM('[2]Monthly TD Calc'!$BH330:$BS330),2)</f>
        <v>112967.27</v>
      </c>
    </row>
    <row r="14" spans="1:23" x14ac:dyDescent="0.35">
      <c r="A14" s="42" t="s">
        <v>125</v>
      </c>
      <c r="B14" s="34">
        <f>SUM(B10:B13)</f>
        <v>72444897.878200263</v>
      </c>
      <c r="C14" s="23">
        <f>SUM(C10:C13)</f>
        <v>2884666.18</v>
      </c>
    </row>
    <row r="15" spans="1:23" x14ac:dyDescent="0.35">
      <c r="A15" s="59"/>
      <c r="B15" s="59"/>
      <c r="C15" s="59"/>
    </row>
    <row r="16" spans="1:23" x14ac:dyDescent="0.35">
      <c r="A16" s="82" t="s">
        <v>32</v>
      </c>
      <c r="B16" s="21"/>
      <c r="C16" s="22"/>
      <c r="N16" s="1"/>
      <c r="O16" s="1"/>
      <c r="P16" s="1"/>
      <c r="Q16" s="1"/>
      <c r="R16" s="1"/>
      <c r="S16" s="1"/>
      <c r="T16" s="1"/>
      <c r="U16" s="1"/>
      <c r="V16" s="1"/>
      <c r="W16" s="1"/>
    </row>
    <row r="17" spans="1:13" s="51" customFormat="1" x14ac:dyDescent="0.35">
      <c r="A17" s="297" t="s">
        <v>193</v>
      </c>
      <c r="B17" s="297"/>
      <c r="C17" s="297"/>
      <c r="D17" s="297"/>
      <c r="E17" s="297"/>
      <c r="F17" s="297"/>
      <c r="G17" s="297"/>
      <c r="H17" s="297"/>
      <c r="I17" s="297"/>
      <c r="J17" s="297"/>
      <c r="K17" s="297"/>
      <c r="L17" s="297"/>
      <c r="M17" s="297"/>
    </row>
    <row r="18" spans="1:13" s="51" customFormat="1" x14ac:dyDescent="0.35">
      <c r="A18" s="297" t="s">
        <v>192</v>
      </c>
      <c r="B18" s="297"/>
      <c r="C18" s="297"/>
      <c r="D18" s="297"/>
      <c r="E18" s="297"/>
      <c r="F18" s="297"/>
      <c r="G18" s="297"/>
      <c r="H18" s="297"/>
      <c r="I18" s="297"/>
      <c r="J18" s="297"/>
      <c r="K18" s="297"/>
      <c r="L18" s="297"/>
      <c r="M18" s="297"/>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4"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A16" sqref="A1:XFD1048576"/>
    </sheetView>
  </sheetViews>
  <sheetFormatPr defaultColWidth="9.1796875" defaultRowHeight="14.5" x14ac:dyDescent="0.35"/>
  <cols>
    <col min="1" max="1" width="24.7265625" style="59" customWidth="1"/>
    <col min="2" max="2" width="16.1796875" style="59" customWidth="1"/>
    <col min="3" max="3" width="15.1796875" style="59" customWidth="1"/>
    <col min="4" max="16384" width="9.1796875" style="59"/>
  </cols>
  <sheetData>
    <row r="1" spans="1:23" x14ac:dyDescent="0.35">
      <c r="A1" s="3" t="str">
        <f>+'PPC Cycle 2'!A1</f>
        <v>Evergy Metro, Inc. - DSIM Rider Update Filed 12/01/2020</v>
      </c>
    </row>
    <row r="2" spans="1:23" x14ac:dyDescent="0.35">
      <c r="A2" s="9" t="str">
        <f>+'PPC Cycle 3'!A2</f>
        <v>Projections for Cycle 3 November 2020 - December 2021 DSIM</v>
      </c>
    </row>
    <row r="3" spans="1:23" x14ac:dyDescent="0.35">
      <c r="A3" s="9"/>
    </row>
    <row r="4" spans="1:23" ht="40.5" customHeight="1" x14ac:dyDescent="0.35">
      <c r="B4" s="293" t="s">
        <v>127</v>
      </c>
      <c r="C4" s="293"/>
    </row>
    <row r="5" spans="1:23" ht="29" x14ac:dyDescent="0.35">
      <c r="B5" s="170" t="s">
        <v>69</v>
      </c>
      <c r="C5" s="61" t="s">
        <v>31</v>
      </c>
    </row>
    <row r="6" spans="1:23" x14ac:dyDescent="0.35">
      <c r="A6" s="21" t="s">
        <v>26</v>
      </c>
      <c r="B6" s="33">
        <f>SUM('[3]Monthly TD Calc'!Q461:AB461)</f>
        <v>44019716.032830253</v>
      </c>
      <c r="C6" s="101">
        <f>ROUND(SUM('[3]Monthly TD Calc'!Q563:AB563),2)</f>
        <v>3647102.57</v>
      </c>
    </row>
    <row r="7" spans="1:23" x14ac:dyDescent="0.35">
      <c r="A7" s="21" t="s">
        <v>120</v>
      </c>
      <c r="B7" s="33">
        <f>SUM('[3]Monthly TD Calc'!Q462:AB462)</f>
        <v>5149837.1380239967</v>
      </c>
      <c r="C7" s="101">
        <f>ROUND(SUM('[3]Monthly TD Calc'!Q564:AB564),2)</f>
        <v>426390.21</v>
      </c>
    </row>
    <row r="8" spans="1:23" x14ac:dyDescent="0.35">
      <c r="A8" s="21" t="s">
        <v>121</v>
      </c>
      <c r="B8" s="33">
        <f>SUM('[3]Monthly TD Calc'!Q463:AB463)</f>
        <v>15537504.387735136</v>
      </c>
      <c r="C8" s="101">
        <f>ROUND(SUM('[3]Monthly TD Calc'!Q565:AB565),2)</f>
        <v>829476.29</v>
      </c>
    </row>
    <row r="9" spans="1:23" x14ac:dyDescent="0.35">
      <c r="A9" s="21" t="s">
        <v>122</v>
      </c>
      <c r="B9" s="33">
        <f>SUM('[3]Monthly TD Calc'!Q464:AB464)</f>
        <v>21912479.946206659</v>
      </c>
      <c r="C9" s="101">
        <f>ROUND(SUM('[3]Monthly TD Calc'!Q566:AB566),2)</f>
        <v>747896.2</v>
      </c>
    </row>
    <row r="10" spans="1:23" x14ac:dyDescent="0.35">
      <c r="A10" s="21" t="s">
        <v>123</v>
      </c>
      <c r="B10" s="33">
        <f>SUM('[3]Monthly TD Calc'!Q465:AB465)</f>
        <v>4982599.9726320123</v>
      </c>
      <c r="C10" s="101">
        <f>ROUND(SUM('[3]Monthly TD Calc'!Q567:AB567),2)</f>
        <v>84083.62</v>
      </c>
    </row>
    <row r="11" spans="1:23" x14ac:dyDescent="0.35">
      <c r="A11" s="42" t="s">
        <v>6</v>
      </c>
      <c r="B11" s="34">
        <f>SUM(B6:B10)</f>
        <v>91602137.477428049</v>
      </c>
      <c r="C11" s="34">
        <f>SUM(C6:C10)</f>
        <v>5734948.8900000006</v>
      </c>
    </row>
    <row r="13" spans="1:23" x14ac:dyDescent="0.35">
      <c r="A13" s="82" t="s">
        <v>32</v>
      </c>
      <c r="B13" s="21"/>
      <c r="C13" s="22"/>
      <c r="N13" s="1"/>
      <c r="O13" s="1"/>
      <c r="P13" s="1"/>
      <c r="Q13" s="1"/>
      <c r="R13" s="1"/>
      <c r="S13" s="1"/>
      <c r="T13" s="1"/>
      <c r="U13" s="1"/>
      <c r="V13" s="1"/>
      <c r="W13" s="1"/>
    </row>
    <row r="14" spans="1:23" s="51" customFormat="1" x14ac:dyDescent="0.35">
      <c r="A14" s="297" t="s">
        <v>202</v>
      </c>
      <c r="B14" s="297"/>
      <c r="C14" s="297"/>
      <c r="D14" s="297"/>
      <c r="E14" s="297"/>
      <c r="F14" s="297"/>
      <c r="G14" s="297"/>
      <c r="H14" s="297"/>
      <c r="I14" s="297"/>
      <c r="J14" s="297"/>
      <c r="K14" s="297"/>
      <c r="L14" s="297"/>
      <c r="M14" s="297"/>
    </row>
    <row r="15" spans="1:23" s="51" customFormat="1" x14ac:dyDescent="0.35">
      <c r="A15" s="297" t="s">
        <v>203</v>
      </c>
      <c r="B15" s="297"/>
      <c r="C15" s="297"/>
      <c r="D15" s="297"/>
      <c r="E15" s="297"/>
      <c r="F15" s="297"/>
      <c r="G15" s="297"/>
      <c r="H15" s="297"/>
      <c r="I15" s="297"/>
      <c r="J15" s="297"/>
      <c r="K15" s="297"/>
      <c r="L15" s="297"/>
      <c r="M15" s="297"/>
    </row>
    <row r="35" spans="2:3" x14ac:dyDescent="0.35">
      <c r="B35" s="8"/>
      <c r="C35" s="8"/>
    </row>
    <row r="39" spans="2:3" x14ac:dyDescent="0.35">
      <c r="B39" s="8"/>
      <c r="C39" s="8"/>
    </row>
  </sheetData>
  <mergeCells count="3">
    <mergeCell ref="B4:C4"/>
    <mergeCell ref="A14:M14"/>
    <mergeCell ref="A15:M15"/>
  </mergeCells>
  <pageMargins left="0.2" right="0.2" top="0.75" bottom="0.25" header="0.3" footer="0.3"/>
  <pageSetup scale="91" orientation="landscape" r:id="rId1"/>
  <headerFooter>
    <oddHeader>&amp;C&amp;F &amp;A&amp;R&amp;"Calibri"&amp;10&amp;KA80000Internal Use Only&amp;1#_x000D_&amp;"Arial"&amp;10&amp;K000000&amp;"Arial"&amp;10&amp;K000000CONFIDENTIAL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e944ba175f985f7f2078f4787be5b2e3">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http://purl.org/dc/term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38C2E7F2-A3C9-431A-895C-EE672E8EA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tariff tables</vt:lpstr>
      <vt:lpstr>tariff tables v. current tariff</vt:lpstr>
      <vt:lpstr>DSIM Cycle Tables</vt:lpstr>
      <vt:lpstr>PPC Cycle 2</vt:lpstr>
      <vt:lpstr>PPC Cycle 3</vt:lpstr>
      <vt:lpstr>PCR Cycle 2</vt:lpstr>
      <vt:lpstr>PCR Cycle 3</vt:lpstr>
      <vt:lpstr>PTD Cycle 2</vt:lpstr>
      <vt:lpstr>PTD Cycle 3</vt:lpstr>
      <vt:lpstr>TDR Cycle 2</vt:lpstr>
      <vt:lpstr>TDR Cycle 3</vt:lpstr>
      <vt:lpstr>EO Cycle 2</vt:lpstr>
      <vt:lpstr>EOR Cycle 1</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2020-11-25T15:41:14Z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iteId">
    <vt:lpwstr>9ef58ab0-3510-4d99-8d3e-3c9e02ebab7f</vt:lpwstr>
  </property>
  <property fmtid="{D5CDD505-2E9C-101B-9397-08002B2CF9AE}" pid="7" name="MSIP_Label_d275ac46-98b9-4d64-949f-e82ee8dc823c_Owner">
    <vt:lpwstr>Mark.Foltz@kcpl.com</vt:lpwstr>
  </property>
  <property fmtid="{D5CDD505-2E9C-101B-9397-08002B2CF9AE}" pid="8" name="MSIP_Label_d275ac46-98b9-4d64-949f-e82ee8dc823c_SetDate">
    <vt:lpwstr>2018-11-14T16:29:38.6736549Z</vt:lpwstr>
  </property>
  <property fmtid="{D5CDD505-2E9C-101B-9397-08002B2CF9AE}" pid="9" name="MSIP_Label_d275ac46-98b9-4d64-949f-e82ee8dc823c_Name">
    <vt:lpwstr>Internal Use Only</vt:lpwstr>
  </property>
  <property fmtid="{D5CDD505-2E9C-101B-9397-08002B2CF9AE}" pid="10" name="MSIP_Label_d275ac46-98b9-4d64-949f-e82ee8dc823c_Application">
    <vt:lpwstr>Microsoft Azure Information Protection</vt:lpwstr>
  </property>
  <property fmtid="{D5CDD505-2E9C-101B-9397-08002B2CF9AE}" pid="11" name="MSIP_Label_d275ac46-98b9-4d64-949f-e82ee8dc823c_Extended_MSFT_Method">
    <vt:lpwstr>Automatic</vt:lpwstr>
  </property>
  <property fmtid="{D5CDD505-2E9C-101B-9397-08002B2CF9AE}" pid="12" name="Sensitivity">
    <vt:lpwstr>Internal Use Only</vt:lpwstr>
  </property>
</Properties>
</file>