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3-06\"/>
    </mc:Choice>
  </mc:AlternateContent>
  <xr:revisionPtr revIDLastSave="0" documentId="8_{B91F647D-BFA3-4DC0-B4CA-D679D7630FA0}" xr6:coauthVersionLast="47" xr6:coauthVersionMax="47" xr10:uidLastSave="{00000000-0000-0000-0000-000000000000}"/>
  <bookViews>
    <workbookView xWindow="28680" yWindow="-120" windowWidth="29040" windowHeight="15840" tabRatio="758" xr2:uid="{00000000-000D-0000-FFFF-FFFF00000000}"/>
  </bookViews>
  <sheets>
    <sheet name="Index Table of Contents" sheetId="32" r:id="rId1"/>
    <sheet name="Tariff Tables" sheetId="5"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 Cycle 3" sheetId="28" r:id="rId12"/>
    <sheet name="EOR Cycle 2" sheetId="23" r:id="rId13"/>
    <sheet name="EOR Cycle 3" sheetId="29" r:id="rId14"/>
    <sheet name="OA Cycle 2" sheetId="10" r:id="rId15"/>
    <sheet name="OA Cycle 3" sheetId="30" r:id="rId16"/>
    <sheet name="OAR Cycle 2" sheetId="13" r:id="rId17"/>
    <sheet name="OAR Cycle 3" sheetId="31"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Print_Area" localSheetId="4">'PCR Cycle 2'!$A$1:$O$67</definedName>
    <definedName name="_xlnm.Print_Area" localSheetId="5">'PCR Cycle 3'!$A$1:$O$71</definedName>
    <definedName name="solver_adj" localSheetId="4" hidden="1">'PCR Cycle 2'!$F$50</definedName>
    <definedName name="solver_adj" localSheetId="5" hidden="1">'PCR Cycle 3'!$F$51</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2'!$F$55</definedName>
    <definedName name="solver_opt" localSheetId="5" hidden="1">'PCR Cycle 3'!$F$59</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8" l="1"/>
  <c r="A1" i="32" l="1"/>
  <c r="G92" i="8" l="1"/>
  <c r="G93" i="8"/>
  <c r="G94" i="8"/>
  <c r="G91" i="8"/>
  <c r="G87" i="8"/>
  <c r="E9" i="18"/>
  <c r="E8" i="18"/>
  <c r="E7" i="18"/>
  <c r="E6" i="18"/>
  <c r="E5" i="18"/>
  <c r="D9" i="18"/>
  <c r="D8" i="18"/>
  <c r="D7" i="18"/>
  <c r="D6" i="18"/>
  <c r="D5" i="18"/>
  <c r="L19" i="22"/>
  <c r="L18" i="22"/>
  <c r="L17" i="22"/>
  <c r="L16" i="22"/>
  <c r="L15" i="22"/>
  <c r="K19" i="22"/>
  <c r="K18" i="22"/>
  <c r="K17" i="22"/>
  <c r="K16" i="22"/>
  <c r="K15" i="22"/>
  <c r="E27" i="24"/>
  <c r="E23" i="24"/>
  <c r="E26" i="24"/>
  <c r="E25" i="24"/>
  <c r="E34" i="24" l="1"/>
  <c r="F27" i="24"/>
  <c r="E33" i="24"/>
  <c r="E24" i="24" l="1"/>
  <c r="F26" i="24"/>
  <c r="F23" i="24"/>
  <c r="F25" i="24"/>
  <c r="F34" i="24"/>
  <c r="F24" i="24"/>
  <c r="E32" i="24" l="1"/>
  <c r="E30" i="24"/>
  <c r="G27" i="24"/>
  <c r="G34" i="24"/>
  <c r="H23" i="24"/>
  <c r="G24" i="24"/>
  <c r="G25" i="24"/>
  <c r="G23" i="24"/>
  <c r="G26" i="24"/>
  <c r="H26" i="24"/>
  <c r="H24" i="24"/>
  <c r="F32" i="24" l="1"/>
  <c r="F30" i="24"/>
  <c r="F33" i="24"/>
  <c r="E31" i="24"/>
  <c r="G30" i="24"/>
  <c r="H25" i="24"/>
  <c r="I23" i="24"/>
  <c r="G32" i="24"/>
  <c r="H27" i="24"/>
  <c r="G33" i="24"/>
  <c r="I25" i="24"/>
  <c r="I24" i="24"/>
  <c r="G31" i="24"/>
  <c r="F31" i="24" l="1"/>
  <c r="I26" i="24"/>
  <c r="I27" i="24"/>
  <c r="I34" i="24"/>
  <c r="J23" i="24"/>
  <c r="J26" i="24"/>
  <c r="J25" i="24"/>
  <c r="I33" i="24"/>
  <c r="I30" i="24"/>
  <c r="I32" i="24"/>
  <c r="J24" i="24"/>
  <c r="H33" i="24" l="1"/>
  <c r="H32" i="24"/>
  <c r="H31" i="24"/>
  <c r="J34" i="24"/>
  <c r="J30" i="24"/>
  <c r="J32" i="24"/>
  <c r="H34" i="24" l="1"/>
  <c r="I31" i="24"/>
  <c r="H30" i="24"/>
  <c r="J27" i="24"/>
  <c r="J31" i="24" l="1"/>
  <c r="J33" i="24"/>
  <c r="F17" i="5" l="1"/>
  <c r="F16" i="5"/>
  <c r="F15" i="5"/>
  <c r="F14" i="5"/>
  <c r="F13" i="5"/>
  <c r="M31" i="15"/>
  <c r="L31" i="15"/>
  <c r="K31" i="15"/>
  <c r="M30" i="15"/>
  <c r="L30" i="15"/>
  <c r="K30" i="15"/>
  <c r="M29" i="15"/>
  <c r="L29" i="15"/>
  <c r="K29" i="15"/>
  <c r="M28" i="15"/>
  <c r="L28" i="15"/>
  <c r="K28" i="15"/>
  <c r="M27" i="15"/>
  <c r="L27" i="15"/>
  <c r="K27" i="15"/>
  <c r="B9" i="18"/>
  <c r="B8" i="18"/>
  <c r="B7" i="18"/>
  <c r="B6" i="18"/>
  <c r="B5" i="18"/>
  <c r="C87" i="8" l="1"/>
  <c r="D87" i="8" l="1"/>
  <c r="C94" i="8" l="1"/>
  <c r="D94" i="8"/>
  <c r="C93" i="8" l="1"/>
  <c r="C92" i="8"/>
  <c r="D93" i="8"/>
  <c r="D92" i="8" l="1"/>
  <c r="E87" i="8" l="1"/>
  <c r="E92" i="8" l="1"/>
  <c r="C91" i="8"/>
  <c r="D91" i="8" l="1"/>
  <c r="E94" i="8" l="1"/>
  <c r="E93" i="8" l="1"/>
  <c r="E91" i="8" l="1"/>
  <c r="D95" i="8" l="1"/>
  <c r="C95" i="8"/>
  <c r="B95" i="8"/>
  <c r="F94" i="8"/>
  <c r="F93" i="8"/>
  <c r="F92" i="8"/>
  <c r="E95" i="8"/>
  <c r="C89" i="8"/>
  <c r="B89" i="8"/>
  <c r="D88" i="8"/>
  <c r="D89" i="8" s="1"/>
  <c r="C88" i="8"/>
  <c r="B62" i="28"/>
  <c r="B61" i="28"/>
  <c r="B60" i="28"/>
  <c r="B59" i="28"/>
  <c r="B55" i="28"/>
  <c r="F91" i="8" l="1"/>
  <c r="E88" i="8"/>
  <c r="F88" i="8" s="1"/>
  <c r="F95" i="8" l="1"/>
  <c r="G88" i="8" l="1"/>
  <c r="G95" i="8"/>
  <c r="D62" i="28" l="1"/>
  <c r="D61" i="28"/>
  <c r="D60" i="28"/>
  <c r="C61" i="28" l="1"/>
  <c r="C62" i="28"/>
  <c r="C60" i="28"/>
  <c r="C55" i="28" l="1"/>
  <c r="D55" i="28" l="1"/>
  <c r="C59" i="28"/>
  <c r="D59" i="28" l="1"/>
  <c r="E60" i="28" l="1"/>
  <c r="E62" i="28"/>
  <c r="E61" i="28" l="1"/>
  <c r="E55" i="28"/>
  <c r="E59" i="28" l="1"/>
  <c r="J19" i="22" l="1"/>
  <c r="J18" i="22"/>
  <c r="J17" i="22"/>
  <c r="J16" i="22"/>
  <c r="J15" i="22"/>
  <c r="I19" i="22" l="1"/>
  <c r="I18" i="22"/>
  <c r="I17" i="22"/>
  <c r="I16" i="22"/>
  <c r="I15" i="22"/>
  <c r="H19" i="22" l="1"/>
  <c r="H18" i="22"/>
  <c r="H17" i="22"/>
  <c r="H16" i="22"/>
  <c r="H15" i="22"/>
  <c r="G19" i="22" l="1"/>
  <c r="G18" i="22"/>
  <c r="G17" i="22"/>
  <c r="G16" i="22"/>
  <c r="G15" i="22"/>
  <c r="F19" i="22" l="1"/>
  <c r="F18" i="22"/>
  <c r="F17" i="22"/>
  <c r="F16" i="22"/>
  <c r="F15" i="22"/>
  <c r="E19" i="22" l="1"/>
  <c r="E18" i="22"/>
  <c r="E17" i="22"/>
  <c r="E16" i="22"/>
  <c r="E15" i="22"/>
  <c r="E89" i="8" l="1"/>
  <c r="F87" i="8"/>
  <c r="G89" i="8" l="1"/>
  <c r="F89" i="8"/>
  <c r="L30" i="16" l="1"/>
  <c r="K30" i="16"/>
  <c r="J30" i="16"/>
  <c r="L29" i="16"/>
  <c r="K29" i="16"/>
  <c r="J29" i="16"/>
  <c r="L28" i="16"/>
  <c r="K28" i="16"/>
  <c r="J28" i="16"/>
  <c r="L27" i="16"/>
  <c r="K27" i="16"/>
  <c r="J27" i="16"/>
  <c r="L26" i="16"/>
  <c r="K26" i="16"/>
  <c r="J26" i="16"/>
  <c r="L37" i="16"/>
  <c r="K37" i="16"/>
  <c r="L36" i="16"/>
  <c r="K36" i="16"/>
  <c r="L35" i="16"/>
  <c r="K35" i="16"/>
  <c r="L34" i="16"/>
  <c r="K34" i="16"/>
  <c r="L33" i="16"/>
  <c r="K33" i="16"/>
  <c r="J37" i="16"/>
  <c r="J36" i="16"/>
  <c r="J35" i="16"/>
  <c r="J34" i="16"/>
  <c r="J33" i="16"/>
  <c r="E28" i="16" l="1"/>
  <c r="E29" i="16"/>
  <c r="E30" i="16"/>
  <c r="E26" i="16"/>
  <c r="E36" i="16" l="1"/>
  <c r="E33" i="16"/>
  <c r="E35" i="16"/>
  <c r="E37" i="16"/>
  <c r="F35" i="16"/>
  <c r="F28" i="16"/>
  <c r="F36" i="16"/>
  <c r="F29" i="16"/>
  <c r="F27" i="16"/>
  <c r="F37" i="16"/>
  <c r="F30" i="16"/>
  <c r="E27" i="16"/>
  <c r="F26" i="16"/>
  <c r="E34" i="16" l="1"/>
  <c r="G37" i="16"/>
  <c r="G30" i="16"/>
  <c r="G27" i="16"/>
  <c r="G35" i="16"/>
  <c r="G28" i="16"/>
  <c r="G36" i="16"/>
  <c r="G29" i="16"/>
  <c r="F33" i="16"/>
  <c r="G26" i="16"/>
  <c r="F34" i="16" l="1"/>
  <c r="I29" i="16"/>
  <c r="H36" i="16"/>
  <c r="H29" i="16"/>
  <c r="I30" i="16"/>
  <c r="H37" i="16"/>
  <c r="H30" i="16"/>
  <c r="H35" i="16"/>
  <c r="H28" i="16"/>
  <c r="I28" i="16"/>
  <c r="H27" i="16"/>
  <c r="H26" i="16"/>
  <c r="G33" i="16"/>
  <c r="I26" i="16"/>
  <c r="I37" i="16" l="1"/>
  <c r="I35" i="16"/>
  <c r="I36" i="16"/>
  <c r="H33" i="16"/>
  <c r="I27" i="16" l="1"/>
  <c r="G34" i="16"/>
  <c r="I34" i="16"/>
  <c r="I33" i="16"/>
  <c r="H34" i="16" l="1"/>
  <c r="J50" i="15" l="1"/>
  <c r="I50" i="15"/>
  <c r="H50" i="15"/>
  <c r="G50" i="15"/>
  <c r="F50" i="15"/>
  <c r="E50" i="15"/>
  <c r="I20" i="31" l="1"/>
  <c r="I19" i="31"/>
  <c r="I18" i="31"/>
  <c r="I17" i="31"/>
  <c r="I16" i="31"/>
  <c r="H20" i="31"/>
  <c r="H19" i="31"/>
  <c r="H18" i="31"/>
  <c r="H17" i="31"/>
  <c r="H16" i="31"/>
  <c r="G20" i="31"/>
  <c r="G19" i="31"/>
  <c r="G18" i="31"/>
  <c r="G17" i="31"/>
  <c r="G16" i="31"/>
  <c r="F20" i="31"/>
  <c r="F19" i="31"/>
  <c r="F18" i="31"/>
  <c r="F17" i="31"/>
  <c r="F16" i="31"/>
  <c r="I20" i="13"/>
  <c r="I19" i="13"/>
  <c r="H20" i="13"/>
  <c r="H19" i="13"/>
  <c r="G20" i="13"/>
  <c r="G19" i="13"/>
  <c r="F20" i="13"/>
  <c r="F19" i="13"/>
  <c r="E20" i="13"/>
  <c r="E19" i="13"/>
  <c r="D20" i="13"/>
  <c r="D19" i="13"/>
  <c r="J20" i="29"/>
  <c r="J19" i="29"/>
  <c r="J18" i="29"/>
  <c r="J17" i="29"/>
  <c r="J16" i="29"/>
  <c r="I20" i="29"/>
  <c r="I19" i="29"/>
  <c r="I18" i="29"/>
  <c r="I17" i="29"/>
  <c r="I16" i="29"/>
  <c r="H20" i="29"/>
  <c r="H19" i="29"/>
  <c r="H18" i="29"/>
  <c r="H17" i="29"/>
  <c r="H16" i="29"/>
  <c r="G20" i="29"/>
  <c r="G19" i="29"/>
  <c r="G18" i="29"/>
  <c r="G17" i="29"/>
  <c r="G16" i="29"/>
  <c r="F20" i="29"/>
  <c r="F19" i="29"/>
  <c r="F18" i="29"/>
  <c r="F17" i="29"/>
  <c r="F16" i="29"/>
  <c r="E20" i="29"/>
  <c r="E19" i="29"/>
  <c r="E18" i="29"/>
  <c r="E17" i="29"/>
  <c r="E16" i="29"/>
  <c r="J23" i="23"/>
  <c r="J22" i="23"/>
  <c r="J21" i="23"/>
  <c r="J20" i="23"/>
  <c r="J19" i="23"/>
  <c r="I23" i="23"/>
  <c r="I22" i="23"/>
  <c r="I21" i="23"/>
  <c r="I20" i="23"/>
  <c r="I19" i="23"/>
  <c r="H23" i="23"/>
  <c r="H22" i="23"/>
  <c r="H21" i="23"/>
  <c r="H20" i="23"/>
  <c r="H19" i="23"/>
  <c r="G23" i="23"/>
  <c r="G22" i="23"/>
  <c r="G21" i="23"/>
  <c r="G20" i="23"/>
  <c r="G19" i="23"/>
  <c r="F23" i="23"/>
  <c r="F22" i="23"/>
  <c r="F21" i="23"/>
  <c r="F20" i="23"/>
  <c r="F19" i="23"/>
  <c r="E23" i="23"/>
  <c r="E22" i="23"/>
  <c r="E21" i="23"/>
  <c r="E20" i="23"/>
  <c r="E19" i="23"/>
  <c r="J20" i="24"/>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J23" i="16"/>
  <c r="J22" i="16"/>
  <c r="J21" i="16"/>
  <c r="J20" i="16"/>
  <c r="J19" i="16"/>
  <c r="I23" i="16"/>
  <c r="I22" i="16"/>
  <c r="I21" i="16"/>
  <c r="I20" i="16"/>
  <c r="I19" i="16"/>
  <c r="H23" i="16"/>
  <c r="H22" i="16"/>
  <c r="H21" i="16"/>
  <c r="H20" i="16"/>
  <c r="H19" i="16"/>
  <c r="G23" i="16"/>
  <c r="G22" i="16"/>
  <c r="G21" i="16"/>
  <c r="G20" i="16"/>
  <c r="G19" i="16"/>
  <c r="F23" i="16"/>
  <c r="F22" i="16"/>
  <c r="F21" i="16"/>
  <c r="F20" i="16"/>
  <c r="F19" i="16"/>
  <c r="E23" i="16"/>
  <c r="E22" i="16"/>
  <c r="E21" i="16"/>
  <c r="E20" i="16"/>
  <c r="E19" i="16"/>
  <c r="J33" i="22"/>
  <c r="J32" i="22"/>
  <c r="J31" i="22"/>
  <c r="J30" i="22"/>
  <c r="J29" i="22"/>
  <c r="I33" i="22"/>
  <c r="I32" i="22"/>
  <c r="I31" i="22"/>
  <c r="I30" i="22"/>
  <c r="I29" i="22"/>
  <c r="H33" i="22"/>
  <c r="H32" i="22"/>
  <c r="H31" i="22"/>
  <c r="H30" i="22"/>
  <c r="H29" i="22"/>
  <c r="G33" i="22"/>
  <c r="G32" i="22"/>
  <c r="G31" i="22"/>
  <c r="G30" i="22"/>
  <c r="G29" i="22"/>
  <c r="F33" i="22"/>
  <c r="F32" i="22"/>
  <c r="F31" i="22"/>
  <c r="F30" i="22"/>
  <c r="F29" i="22"/>
  <c r="E33" i="22"/>
  <c r="E32" i="22"/>
  <c r="E31" i="22"/>
  <c r="E30" i="22"/>
  <c r="E29" i="22"/>
  <c r="J31" i="15"/>
  <c r="J30" i="15"/>
  <c r="J29" i="15"/>
  <c r="J28" i="15"/>
  <c r="J27" i="15"/>
  <c r="I31" i="15"/>
  <c r="I30" i="15"/>
  <c r="I29" i="15"/>
  <c r="I28" i="15"/>
  <c r="I27" i="15"/>
  <c r="H31" i="15"/>
  <c r="H30" i="15"/>
  <c r="H29" i="15"/>
  <c r="H28" i="15"/>
  <c r="H27" i="15"/>
  <c r="J38" i="15"/>
  <c r="J37" i="15"/>
  <c r="J36" i="15"/>
  <c r="J35" i="15"/>
  <c r="J34" i="15"/>
  <c r="I38" i="15"/>
  <c r="I37" i="15"/>
  <c r="I36" i="15"/>
  <c r="I35" i="15"/>
  <c r="I34" i="15"/>
  <c r="H38" i="15"/>
  <c r="H37" i="15"/>
  <c r="H36" i="15"/>
  <c r="H35" i="15"/>
  <c r="H34" i="15"/>
  <c r="G31" i="15"/>
  <c r="G30" i="15"/>
  <c r="G29" i="15"/>
  <c r="G28" i="15"/>
  <c r="G27" i="15"/>
  <c r="G38" i="15"/>
  <c r="G37" i="15"/>
  <c r="G36" i="15"/>
  <c r="G35" i="15"/>
  <c r="G34" i="15"/>
  <c r="F38" i="15"/>
  <c r="F37" i="15"/>
  <c r="F36" i="15"/>
  <c r="F35" i="15"/>
  <c r="F34" i="15"/>
  <c r="F31" i="15"/>
  <c r="F30" i="15"/>
  <c r="F29" i="15"/>
  <c r="F28" i="15"/>
  <c r="F27" i="15"/>
  <c r="E31" i="15"/>
  <c r="E30" i="15"/>
  <c r="E29" i="15"/>
  <c r="E28" i="15"/>
  <c r="E27" i="15"/>
  <c r="E38" i="15"/>
  <c r="E37" i="15"/>
  <c r="E36" i="15"/>
  <c r="E35" i="15"/>
  <c r="E34" i="15"/>
  <c r="B50" i="28" l="1"/>
  <c r="B49" i="28"/>
  <c r="B48" i="28"/>
  <c r="B47" i="28"/>
  <c r="B43" i="28"/>
  <c r="B51" i="28" l="1"/>
  <c r="B44" i="28"/>
  <c r="B45" i="28" l="1"/>
  <c r="D43" i="28" l="1"/>
  <c r="D48" i="28"/>
  <c r="D47" i="28" l="1"/>
  <c r="D49" i="28" l="1"/>
  <c r="D50" i="28" l="1"/>
  <c r="D51" i="28" l="1"/>
  <c r="D44" i="28"/>
  <c r="D45" i="28" l="1"/>
  <c r="C50" i="28" l="1"/>
  <c r="C48" i="28"/>
  <c r="C49" i="28"/>
  <c r="C43" i="28" l="1"/>
  <c r="C47" i="28"/>
  <c r="E49" i="28" l="1"/>
  <c r="F49" i="28" s="1"/>
  <c r="G49" i="28" s="1"/>
  <c r="E48" i="28"/>
  <c r="F48" i="28" s="1"/>
  <c r="G48" i="28" s="1"/>
  <c r="E50" i="28"/>
  <c r="F50" i="28" s="1"/>
  <c r="G50" i="28" s="1"/>
  <c r="C44" i="28"/>
  <c r="C51" i="28"/>
  <c r="E43" i="28"/>
  <c r="F43" i="28" l="1"/>
  <c r="G43" i="28" s="1"/>
  <c r="C45" i="28"/>
  <c r="E47" i="28"/>
  <c r="E51" i="28" l="1"/>
  <c r="E44" i="28"/>
  <c r="F47" i="28"/>
  <c r="G47" i="28" s="1"/>
  <c r="G51" i="28" l="1"/>
  <c r="F51" i="28"/>
  <c r="E45" i="28"/>
  <c r="F44" i="28"/>
  <c r="G44" i="28" l="1"/>
  <c r="G45" i="28" s="1"/>
  <c r="F45" i="28"/>
  <c r="B75" i="28" l="1"/>
  <c r="E74" i="28"/>
  <c r="D74" i="28"/>
  <c r="C74" i="28"/>
  <c r="F74" i="28" s="1"/>
  <c r="G74" i="28" s="1"/>
  <c r="F73" i="28"/>
  <c r="G73" i="28" s="1"/>
  <c r="E73" i="28"/>
  <c r="D73" i="28"/>
  <c r="C73" i="28"/>
  <c r="E72" i="28"/>
  <c r="F72" i="28" s="1"/>
  <c r="G72" i="28" s="1"/>
  <c r="D72" i="28"/>
  <c r="C72" i="28"/>
  <c r="E71" i="28"/>
  <c r="D71" i="28"/>
  <c r="D75" i="28" s="1"/>
  <c r="C71" i="28"/>
  <c r="C75" i="28" s="1"/>
  <c r="E68" i="28"/>
  <c r="B68" i="28"/>
  <c r="B69" i="28" s="1"/>
  <c r="E67" i="28"/>
  <c r="D67" i="28"/>
  <c r="C67" i="28"/>
  <c r="F67" i="28" s="1"/>
  <c r="G67" i="28" s="1"/>
  <c r="B63" i="28"/>
  <c r="F62" i="28"/>
  <c r="G62" i="28" s="1"/>
  <c r="F61" i="28"/>
  <c r="G61" i="28" s="1"/>
  <c r="F60" i="28"/>
  <c r="G60" i="28" s="1"/>
  <c r="D56" i="28"/>
  <c r="B56" i="28"/>
  <c r="B57" i="28" s="1"/>
  <c r="F55" i="28"/>
  <c r="G55" i="28" s="1"/>
  <c r="E69" i="28" l="1"/>
  <c r="C63" i="28"/>
  <c r="E63" i="28"/>
  <c r="F71" i="28"/>
  <c r="G71" i="28" s="1"/>
  <c r="E75" i="28"/>
  <c r="D57" i="28"/>
  <c r="C68" i="28"/>
  <c r="D68" i="28"/>
  <c r="D69" i="28" s="1"/>
  <c r="F59" i="28"/>
  <c r="G59" i="28" s="1"/>
  <c r="C56" i="28"/>
  <c r="C57" i="28" s="1"/>
  <c r="D63" i="28"/>
  <c r="E56" i="28"/>
  <c r="E57" i="28" s="1"/>
  <c r="F68" i="28" l="1"/>
  <c r="C69" i="28"/>
  <c r="G75" i="28"/>
  <c r="F75" i="28"/>
  <c r="F56" i="28"/>
  <c r="F63" i="28"/>
  <c r="G63" i="28"/>
  <c r="G56" i="28" l="1"/>
  <c r="G57" i="28" s="1"/>
  <c r="G68" i="28"/>
  <c r="G69" i="28" s="1"/>
  <c r="F69" i="28"/>
  <c r="F57" i="28"/>
  <c r="D44" i="15" l="1"/>
  <c r="E20" i="31" l="1"/>
  <c r="D20" i="31"/>
  <c r="E19" i="31"/>
  <c r="D19" i="31"/>
  <c r="E18" i="31"/>
  <c r="D18" i="31"/>
  <c r="E17" i="31"/>
  <c r="D17" i="31"/>
  <c r="E16" i="31"/>
  <c r="D16" i="31"/>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D84" i="8" l="1"/>
  <c r="C84" i="8"/>
  <c r="B84" i="8"/>
  <c r="F83" i="8"/>
  <c r="G83" i="8" s="1"/>
  <c r="F82" i="8"/>
  <c r="G82" i="8" s="1"/>
  <c r="F81" i="8"/>
  <c r="G81" i="8" s="1"/>
  <c r="C78" i="8"/>
  <c r="B78" i="8"/>
  <c r="D77" i="8"/>
  <c r="D78" i="8" s="1"/>
  <c r="C77" i="8"/>
  <c r="F76" i="8"/>
  <c r="G76" i="8" s="1"/>
  <c r="E84" i="8" l="1"/>
  <c r="F80" i="8"/>
  <c r="G80" i="8" s="1"/>
  <c r="F77" i="8"/>
  <c r="F78" i="8" s="1"/>
  <c r="E78" i="8" l="1"/>
  <c r="F84" i="8"/>
  <c r="G84" i="8" l="1"/>
  <c r="G77" i="8"/>
  <c r="G78" i="8" s="1"/>
  <c r="C11" i="12" l="1"/>
  <c r="C12" i="12"/>
  <c r="C13" i="12"/>
  <c r="C10" i="12"/>
  <c r="C6" i="12"/>
  <c r="B11" i="12"/>
  <c r="B12" i="12"/>
  <c r="B13" i="12"/>
  <c r="B10" i="12"/>
  <c r="B6" i="12"/>
  <c r="C36" i="31" l="1"/>
  <c r="C32" i="31"/>
  <c r="I36" i="31"/>
  <c r="H36" i="31"/>
  <c r="G36" i="31"/>
  <c r="F36" i="31"/>
  <c r="E36" i="31"/>
  <c r="I32" i="31"/>
  <c r="H32" i="31"/>
  <c r="G32" i="31"/>
  <c r="F32" i="31"/>
  <c r="E32" i="31"/>
  <c r="K13" i="31"/>
  <c r="J13" i="31"/>
  <c r="I13" i="31"/>
  <c r="H13" i="31"/>
  <c r="G13" i="31"/>
  <c r="F13" i="31"/>
  <c r="E13" i="31"/>
  <c r="D13" i="31"/>
  <c r="E12" i="31"/>
  <c r="F12" i="31" s="1"/>
  <c r="G12" i="31" s="1"/>
  <c r="H12" i="31" s="1"/>
  <c r="I12" i="31" s="1"/>
  <c r="J12" i="31" s="1"/>
  <c r="K12" i="31" s="1"/>
  <c r="L12" i="31" s="1"/>
  <c r="D12" i="31"/>
  <c r="C11" i="31"/>
  <c r="B11" i="31"/>
  <c r="E8" i="31"/>
  <c r="E4" i="31"/>
  <c r="A1" i="31"/>
  <c r="E10" i="30"/>
  <c r="D11" i="30"/>
  <c r="B7" i="30" s="1"/>
  <c r="B11" i="30"/>
  <c r="B5" i="30" s="1"/>
  <c r="A2" i="30"/>
  <c r="A1" i="30"/>
  <c r="E5" i="19"/>
  <c r="D5" i="19"/>
  <c r="E9" i="31" l="1"/>
  <c r="B12" i="30"/>
  <c r="D12" i="30"/>
  <c r="E9" i="30"/>
  <c r="AA13" i="5" s="1"/>
  <c r="D32" i="31"/>
  <c r="D36" i="31"/>
  <c r="B6" i="10"/>
  <c r="B5" i="10"/>
  <c r="E11" i="30" l="1"/>
  <c r="E12" i="30" s="1"/>
  <c r="D10" i="18"/>
  <c r="D36" i="28"/>
  <c r="D31" i="28"/>
  <c r="G4" i="31" l="1"/>
  <c r="C39" i="31"/>
  <c r="D39" i="31" s="1"/>
  <c r="D35" i="28"/>
  <c r="D37" i="28" l="1"/>
  <c r="D38" i="28" l="1"/>
  <c r="C36" i="28" l="1"/>
  <c r="C31" i="28"/>
  <c r="C37" i="28" l="1"/>
  <c r="E38" i="28" l="1"/>
  <c r="C38" i="28"/>
  <c r="E36" i="28"/>
  <c r="E37" i="28"/>
  <c r="E31" i="28"/>
  <c r="C35" i="28"/>
  <c r="E35" i="28" l="1"/>
  <c r="D73" i="8" l="1"/>
  <c r="C73" i="8"/>
  <c r="B73" i="8"/>
  <c r="F72" i="8"/>
  <c r="G72" i="8" s="1"/>
  <c r="F71" i="8"/>
  <c r="G71" i="8" s="1"/>
  <c r="F70" i="8"/>
  <c r="G70" i="8" s="1"/>
  <c r="F69" i="8"/>
  <c r="G69" i="8" s="1"/>
  <c r="C67" i="8"/>
  <c r="B67" i="8"/>
  <c r="D66" i="8"/>
  <c r="D67" i="8" s="1"/>
  <c r="C66" i="8"/>
  <c r="F73" i="8" l="1"/>
  <c r="E73" i="8"/>
  <c r="F66" i="8"/>
  <c r="G73" i="8" l="1"/>
  <c r="G66" i="8"/>
  <c r="E67" i="8" l="1"/>
  <c r="F65" i="8"/>
  <c r="G65" i="8" s="1"/>
  <c r="F67" i="8" l="1"/>
  <c r="G67" i="8"/>
  <c r="I45" i="31" l="1"/>
  <c r="H45" i="31"/>
  <c r="H8" i="29" l="1"/>
  <c r="H7" i="29"/>
  <c r="H6" i="29"/>
  <c r="H5" i="29"/>
  <c r="B55" i="29"/>
  <c r="C55" i="29" s="1"/>
  <c r="C36" i="29"/>
  <c r="C43" i="29" s="1"/>
  <c r="C35" i="29"/>
  <c r="C42" i="29" s="1"/>
  <c r="C34" i="29"/>
  <c r="C41" i="29" s="1"/>
  <c r="C33" i="29"/>
  <c r="C40" i="29" s="1"/>
  <c r="C32" i="29"/>
  <c r="C39" i="29" s="1"/>
  <c r="E12" i="29"/>
  <c r="F12" i="29" s="1"/>
  <c r="G12" i="29" s="1"/>
  <c r="H12" i="29" s="1"/>
  <c r="I12" i="29" s="1"/>
  <c r="J12" i="29" s="1"/>
  <c r="K12" i="29" s="1"/>
  <c r="L12" i="29" s="1"/>
  <c r="M12" i="29" s="1"/>
  <c r="C11" i="29"/>
  <c r="B11" i="29"/>
  <c r="H4" i="29"/>
  <c r="A1" i="29"/>
  <c r="F45" i="29" l="1"/>
  <c r="E45" i="31"/>
  <c r="G45" i="29"/>
  <c r="F45" i="31"/>
  <c r="E45" i="29"/>
  <c r="D45" i="31"/>
  <c r="H45" i="29"/>
  <c r="G45" i="31"/>
  <c r="H9" i="29"/>
  <c r="D47" i="31" l="1"/>
  <c r="E39" i="31" l="1"/>
  <c r="E47" i="31"/>
  <c r="F47" i="31" l="1"/>
  <c r="F39" i="31"/>
  <c r="G47" i="31" l="1"/>
  <c r="G39" i="31"/>
  <c r="H47" i="31" l="1"/>
  <c r="H39" i="31"/>
  <c r="I39" i="31" l="1"/>
  <c r="I47" i="31"/>
  <c r="J17" i="31" l="1"/>
  <c r="M20" i="29"/>
  <c r="M36" i="29" s="1"/>
  <c r="L17" i="31"/>
  <c r="L33" i="31" s="1"/>
  <c r="M19" i="29" l="1"/>
  <c r="M35" i="29" s="1"/>
  <c r="L19" i="31"/>
  <c r="L35" i="31" s="1"/>
  <c r="K19" i="29"/>
  <c r="J19" i="31"/>
  <c r="K18" i="29"/>
  <c r="J18" i="31"/>
  <c r="J33" i="31"/>
  <c r="M18" i="29"/>
  <c r="M34" i="29" s="1"/>
  <c r="L18" i="31"/>
  <c r="L34" i="31" s="1"/>
  <c r="M16" i="29"/>
  <c r="M32" i="29" s="1"/>
  <c r="L16" i="31"/>
  <c r="K17" i="29"/>
  <c r="K16" i="29"/>
  <c r="J16" i="31"/>
  <c r="M17" i="29"/>
  <c r="M33" i="29" s="1"/>
  <c r="L20" i="31"/>
  <c r="L36" i="31" s="1"/>
  <c r="L16" i="29"/>
  <c r="K16" i="31"/>
  <c r="K20" i="29"/>
  <c r="J34" i="31" l="1"/>
  <c r="J35" i="31"/>
  <c r="E4" i="29"/>
  <c r="J20" i="31"/>
  <c r="J32" i="31"/>
  <c r="D4" i="31"/>
  <c r="K32" i="31"/>
  <c r="L32" i="31"/>
  <c r="L20" i="29"/>
  <c r="K17" i="31"/>
  <c r="K33" i="31" l="1"/>
  <c r="D5" i="31"/>
  <c r="F5" i="31" s="1"/>
  <c r="L19" i="29"/>
  <c r="E7" i="29" s="1"/>
  <c r="K19" i="31"/>
  <c r="L18" i="29"/>
  <c r="K18" i="31"/>
  <c r="F4" i="31"/>
  <c r="J39" i="31"/>
  <c r="L17" i="29"/>
  <c r="K20" i="31"/>
  <c r="J36" i="31"/>
  <c r="E8" i="29"/>
  <c r="E6" i="29"/>
  <c r="E5" i="29" l="1"/>
  <c r="E9" i="29" s="1"/>
  <c r="K34" i="31"/>
  <c r="D6" i="31"/>
  <c r="F6" i="31" s="1"/>
  <c r="K35" i="31"/>
  <c r="D7" i="31"/>
  <c r="F7" i="31" s="1"/>
  <c r="K36" i="31"/>
  <c r="D8" i="31"/>
  <c r="F8" i="31" l="1"/>
  <c r="F9" i="31" s="1"/>
  <c r="D9" i="31"/>
  <c r="B62" i="8"/>
  <c r="B56" i="8"/>
  <c r="F54" i="8" l="1"/>
  <c r="G54" i="8" s="1"/>
  <c r="F59" i="8" l="1"/>
  <c r="G59" i="8" s="1"/>
  <c r="F61" i="8" l="1"/>
  <c r="G61" i="8" s="1"/>
  <c r="F60" i="8" l="1"/>
  <c r="G60" i="8" s="1"/>
  <c r="E62" i="8"/>
  <c r="E56" i="8"/>
  <c r="D62" i="8" l="1"/>
  <c r="D55" i="8"/>
  <c r="D56" i="8" s="1"/>
  <c r="C62" i="8"/>
  <c r="C55" i="8"/>
  <c r="F58" i="8"/>
  <c r="G58" i="8" s="1"/>
  <c r="F62" i="8" l="1"/>
  <c r="F55" i="8"/>
  <c r="C56" i="8"/>
  <c r="G62" i="8" l="1"/>
  <c r="G55" i="8"/>
  <c r="F56" i="8"/>
  <c r="G56" i="8" l="1"/>
  <c r="L11" i="15"/>
  <c r="L10" i="15"/>
  <c r="L9" i="15"/>
  <c r="L8" i="15"/>
  <c r="D14" i="30" l="1"/>
  <c r="B14" i="30" s="1"/>
  <c r="D17" i="30"/>
  <c r="B17" i="30" s="1"/>
  <c r="D15" i="30"/>
  <c r="B15" i="30" s="1"/>
  <c r="D16" i="30"/>
  <c r="B16" i="30" s="1"/>
  <c r="B18" i="30" l="1"/>
  <c r="D18" i="30"/>
  <c r="D26" i="28"/>
  <c r="D14" i="28" s="1"/>
  <c r="D25" i="28"/>
  <c r="D13" i="28" s="1"/>
  <c r="D19" i="28"/>
  <c r="D7" i="28" s="1"/>
  <c r="C41" i="31" l="1"/>
  <c r="G6" i="31"/>
  <c r="C40" i="31"/>
  <c r="G5" i="31"/>
  <c r="B55" i="31"/>
  <c r="C55" i="31" s="1"/>
  <c r="G8" i="31"/>
  <c r="C43" i="31"/>
  <c r="G7" i="31"/>
  <c r="C42" i="31"/>
  <c r="D24" i="28"/>
  <c r="D12" i="28" s="1"/>
  <c r="D23" i="28"/>
  <c r="D11" i="28" s="1"/>
  <c r="D15" i="28" l="1"/>
  <c r="D43" i="31"/>
  <c r="D51" i="31"/>
  <c r="D40" i="31"/>
  <c r="D48" i="31"/>
  <c r="G9" i="31"/>
  <c r="D42" i="31"/>
  <c r="D50" i="31"/>
  <c r="D41" i="31"/>
  <c r="D49" i="31"/>
  <c r="C25" i="28"/>
  <c r="C13" i="28" s="1"/>
  <c r="C26" i="28"/>
  <c r="C14" i="28" s="1"/>
  <c r="D53" i="31" l="1"/>
  <c r="E40" i="31"/>
  <c r="E48" i="31"/>
  <c r="E50" i="31"/>
  <c r="E42" i="31"/>
  <c r="E51" i="31"/>
  <c r="E43" i="31"/>
  <c r="E41" i="31"/>
  <c r="E49" i="31"/>
  <c r="D55" i="31"/>
  <c r="C19" i="28"/>
  <c r="C7" i="28" s="1"/>
  <c r="C24" i="28"/>
  <c r="C12" i="28" s="1"/>
  <c r="F41" i="31" l="1"/>
  <c r="F49" i="31"/>
  <c r="F51" i="31"/>
  <c r="F43" i="31"/>
  <c r="G51" i="31" s="1"/>
  <c r="F42" i="31"/>
  <c r="F50" i="31"/>
  <c r="F48" i="31"/>
  <c r="F40" i="31"/>
  <c r="E53" i="31"/>
  <c r="D52" i="31"/>
  <c r="E55" i="31"/>
  <c r="E26" i="28"/>
  <c r="E14" i="28" s="1"/>
  <c r="C23" i="28"/>
  <c r="C11" i="28" s="1"/>
  <c r="C15" i="28" s="1"/>
  <c r="G48" i="31" l="1"/>
  <c r="G50" i="31"/>
  <c r="G49" i="31"/>
  <c r="F53" i="31"/>
  <c r="G42" i="31"/>
  <c r="H50" i="31" s="1"/>
  <c r="E52" i="31"/>
  <c r="F55" i="31"/>
  <c r="G40" i="31"/>
  <c r="H48" i="31" s="1"/>
  <c r="G43" i="31"/>
  <c r="H51" i="31" s="1"/>
  <c r="G41" i="31"/>
  <c r="E25" i="28"/>
  <c r="E13" i="28" s="1"/>
  <c r="E24" i="28"/>
  <c r="E12" i="28" s="1"/>
  <c r="H49" i="31" l="1"/>
  <c r="H43" i="31"/>
  <c r="F52" i="31"/>
  <c r="G55" i="31"/>
  <c r="H40" i="31"/>
  <c r="G53" i="31"/>
  <c r="H42" i="31"/>
  <c r="H41" i="31"/>
  <c r="E19" i="28"/>
  <c r="E7" i="28" s="1"/>
  <c r="E23" i="28"/>
  <c r="E11" i="28" s="1"/>
  <c r="E15" i="28" s="1"/>
  <c r="H53" i="31" l="1"/>
  <c r="I42" i="31"/>
  <c r="I50" i="31"/>
  <c r="G52" i="31"/>
  <c r="H55" i="31"/>
  <c r="I40" i="31"/>
  <c r="I48" i="31"/>
  <c r="I49" i="31"/>
  <c r="I41" i="31"/>
  <c r="I51" i="31"/>
  <c r="I43" i="31"/>
  <c r="B26" i="28"/>
  <c r="B14" i="28" s="1"/>
  <c r="B25" i="28"/>
  <c r="B13" i="28" s="1"/>
  <c r="B24" i="28"/>
  <c r="B12" i="28" s="1"/>
  <c r="B23" i="28"/>
  <c r="B11" i="28" s="1"/>
  <c r="B19" i="28"/>
  <c r="B7" i="28" s="1"/>
  <c r="B15" i="28" l="1"/>
  <c r="J41" i="31"/>
  <c r="J40" i="31"/>
  <c r="H52" i="31"/>
  <c r="I55" i="31"/>
  <c r="I52" i="31" s="1"/>
  <c r="J43" i="31"/>
  <c r="I53" i="31"/>
  <c r="J42" i="31"/>
  <c r="B20" i="28"/>
  <c r="B8" i="28" s="1"/>
  <c r="B9" i="28" s="1"/>
  <c r="B38" i="28" l="1"/>
  <c r="B37" i="28"/>
  <c r="B36" i="28"/>
  <c r="B35" i="28"/>
  <c r="B31" i="28"/>
  <c r="F26" i="28"/>
  <c r="D20" i="28"/>
  <c r="C20" i="28"/>
  <c r="F24" i="28"/>
  <c r="E27" i="28"/>
  <c r="D27" i="28"/>
  <c r="C27" i="28"/>
  <c r="F23" i="28"/>
  <c r="E20" i="28"/>
  <c r="F19" i="28"/>
  <c r="A2" i="28"/>
  <c r="A1" i="28"/>
  <c r="G19" i="28" l="1"/>
  <c r="G23" i="28"/>
  <c r="G24" i="29"/>
  <c r="G33" i="29" s="1"/>
  <c r="F24" i="29"/>
  <c r="F33" i="29" s="1"/>
  <c r="G26" i="28"/>
  <c r="G24" i="28"/>
  <c r="G25" i="29"/>
  <c r="G34" i="29" s="1"/>
  <c r="D21" i="28"/>
  <c r="E21" i="28"/>
  <c r="C21" i="28"/>
  <c r="D39" i="28"/>
  <c r="C39" i="28"/>
  <c r="F36" i="28"/>
  <c r="E25" i="29" s="1"/>
  <c r="E34" i="29" s="1"/>
  <c r="E39" i="28"/>
  <c r="E32" i="28"/>
  <c r="E33" i="28" s="1"/>
  <c r="D32" i="28"/>
  <c r="D33" i="28" s="1"/>
  <c r="F35" i="28"/>
  <c r="E24" i="29" s="1"/>
  <c r="E33" i="29" s="1"/>
  <c r="C32" i="28"/>
  <c r="C33" i="28" s="1"/>
  <c r="F31" i="28"/>
  <c r="F23" i="29" s="1"/>
  <c r="F38" i="28"/>
  <c r="G27" i="29" s="1"/>
  <c r="G36" i="29" s="1"/>
  <c r="F37" i="28"/>
  <c r="B32" i="28"/>
  <c r="F20" i="28"/>
  <c r="F25" i="28"/>
  <c r="B27" i="28"/>
  <c r="B39" i="28"/>
  <c r="B21" i="28"/>
  <c r="F13" i="28"/>
  <c r="F25" i="29" l="1"/>
  <c r="F34" i="29" s="1"/>
  <c r="E27" i="29"/>
  <c r="E36" i="29" s="1"/>
  <c r="E51" i="29" s="1"/>
  <c r="E23" i="29"/>
  <c r="E32" i="29" s="1"/>
  <c r="G35" i="28"/>
  <c r="K24" i="29"/>
  <c r="H24" i="29"/>
  <c r="H33" i="29" s="1"/>
  <c r="L24" i="29"/>
  <c r="L33" i="29" s="1"/>
  <c r="I24" i="29"/>
  <c r="I33" i="29" s="1"/>
  <c r="J24" i="29"/>
  <c r="F27" i="29"/>
  <c r="F36" i="29" s="1"/>
  <c r="G37" i="28"/>
  <c r="H26" i="29"/>
  <c r="J26" i="29"/>
  <c r="K26" i="29"/>
  <c r="L26" i="29"/>
  <c r="L35" i="29" s="1"/>
  <c r="I26" i="29"/>
  <c r="I35" i="29" s="1"/>
  <c r="G31" i="28"/>
  <c r="L23" i="29"/>
  <c r="H23" i="29"/>
  <c r="K23" i="29"/>
  <c r="J23" i="29"/>
  <c r="J32" i="29" s="1"/>
  <c r="I23" i="29"/>
  <c r="G25" i="28"/>
  <c r="G26" i="29"/>
  <c r="G35" i="29" s="1"/>
  <c r="E26" i="29"/>
  <c r="F26" i="29"/>
  <c r="F35" i="29" s="1"/>
  <c r="G23" i="29"/>
  <c r="G32" i="29" s="1"/>
  <c r="G36" i="28"/>
  <c r="G12" i="28" s="1"/>
  <c r="L25" i="29"/>
  <c r="L34" i="29" s="1"/>
  <c r="K25" i="29"/>
  <c r="J25" i="29"/>
  <c r="J34" i="29" s="1"/>
  <c r="I25" i="29"/>
  <c r="I34" i="29" s="1"/>
  <c r="H25" i="29"/>
  <c r="G38" i="28"/>
  <c r="L27" i="29"/>
  <c r="L36" i="29" s="1"/>
  <c r="H27" i="29"/>
  <c r="K27" i="29"/>
  <c r="K36" i="29" s="1"/>
  <c r="J27" i="29"/>
  <c r="J36" i="29" s="1"/>
  <c r="I27" i="29"/>
  <c r="I36" i="29" s="1"/>
  <c r="K34" i="29"/>
  <c r="J33" i="29"/>
  <c r="C8" i="28"/>
  <c r="C9" i="28" s="1"/>
  <c r="E8" i="28"/>
  <c r="E9" i="28" s="1"/>
  <c r="G14" i="28"/>
  <c r="D8" i="28"/>
  <c r="D9" i="28" s="1"/>
  <c r="G7" i="28"/>
  <c r="E35" i="29"/>
  <c r="H34" i="29"/>
  <c r="H32" i="29"/>
  <c r="E40" i="29"/>
  <c r="E48" i="29"/>
  <c r="I32" i="29"/>
  <c r="E43" i="29"/>
  <c r="F32" i="29"/>
  <c r="E41" i="29"/>
  <c r="E49" i="29"/>
  <c r="F12" i="28"/>
  <c r="L32" i="29"/>
  <c r="K33" i="29"/>
  <c r="J35" i="29"/>
  <c r="F27" i="28"/>
  <c r="F21" i="28"/>
  <c r="F11" i="28"/>
  <c r="F14" i="28"/>
  <c r="F32" i="28"/>
  <c r="G32" i="28" s="1"/>
  <c r="F39" i="28"/>
  <c r="B33" i="28"/>
  <c r="F7" i="28"/>
  <c r="G39" i="28" l="1"/>
  <c r="G11" i="28"/>
  <c r="K13" i="29"/>
  <c r="K32" i="29"/>
  <c r="F8" i="29"/>
  <c r="G8" i="29" s="1"/>
  <c r="G13" i="29"/>
  <c r="F13" i="29"/>
  <c r="F4" i="29"/>
  <c r="G4" i="29" s="1"/>
  <c r="G20" i="28"/>
  <c r="G13" i="28"/>
  <c r="F6" i="29"/>
  <c r="G6" i="29" s="1"/>
  <c r="E13" i="29"/>
  <c r="F40" i="29"/>
  <c r="F51" i="29"/>
  <c r="F5" i="29"/>
  <c r="G5" i="29" s="1"/>
  <c r="H36" i="29"/>
  <c r="F48" i="29"/>
  <c r="F43" i="29"/>
  <c r="E42" i="29"/>
  <c r="E50" i="29"/>
  <c r="F41" i="29"/>
  <c r="F49" i="29"/>
  <c r="E47" i="29"/>
  <c r="E39" i="29"/>
  <c r="G33" i="28"/>
  <c r="L13" i="29"/>
  <c r="J13" i="29"/>
  <c r="G27" i="28"/>
  <c r="I13" i="29"/>
  <c r="F7" i="29"/>
  <c r="G7" i="29" s="1"/>
  <c r="H35" i="29"/>
  <c r="H13" i="29"/>
  <c r="K35" i="29"/>
  <c r="F15" i="28"/>
  <c r="F33" i="28"/>
  <c r="F8" i="28"/>
  <c r="F9" i="28" s="1"/>
  <c r="G51" i="29" l="1"/>
  <c r="E53" i="29"/>
  <c r="G43" i="29"/>
  <c r="G48" i="29"/>
  <c r="G21" i="28"/>
  <c r="G8" i="28"/>
  <c r="G9" i="28" s="1"/>
  <c r="F39" i="29"/>
  <c r="F47" i="29"/>
  <c r="G41" i="29"/>
  <c r="G49" i="29"/>
  <c r="G40" i="29"/>
  <c r="F50" i="29"/>
  <c r="F42" i="29"/>
  <c r="E55" i="29"/>
  <c r="E52" i="29" s="1"/>
  <c r="G9" i="29"/>
  <c r="F9" i="29"/>
  <c r="G15" i="28"/>
  <c r="H43" i="29" l="1"/>
  <c r="H51" i="29"/>
  <c r="I43" i="29" s="1"/>
  <c r="G42" i="29"/>
  <c r="G50" i="29"/>
  <c r="H40" i="29"/>
  <c r="H48" i="29"/>
  <c r="H41" i="29"/>
  <c r="H49" i="29"/>
  <c r="F53" i="29"/>
  <c r="F55" i="29"/>
  <c r="F52" i="29" s="1"/>
  <c r="G39" i="29"/>
  <c r="G47" i="29"/>
  <c r="I41" i="29" l="1"/>
  <c r="I40" i="29"/>
  <c r="G53" i="29"/>
  <c r="G55" i="29"/>
  <c r="G52" i="29" s="1"/>
  <c r="H47" i="29"/>
  <c r="H39" i="29"/>
  <c r="H50" i="29"/>
  <c r="H42" i="29"/>
  <c r="D42" i="22"/>
  <c r="D41" i="22"/>
  <c r="D40" i="22"/>
  <c r="D39" i="22"/>
  <c r="D38" i="22"/>
  <c r="H53" i="29" l="1"/>
  <c r="H55" i="29"/>
  <c r="H52" i="29" s="1"/>
  <c r="I42" i="29"/>
  <c r="I39" i="29"/>
  <c r="D9" i="10"/>
  <c r="B10" i="10" l="1"/>
  <c r="B11" i="10" s="1"/>
  <c r="D8" i="10"/>
  <c r="C10" i="10"/>
  <c r="C11" i="10" s="1"/>
  <c r="B43" i="13" l="1"/>
  <c r="E7" i="8" l="1"/>
  <c r="C7" i="8" l="1"/>
  <c r="D7" i="8" l="1"/>
  <c r="C13" i="8" l="1"/>
  <c r="C12" i="8"/>
  <c r="C14" i="8"/>
  <c r="D13" i="8" l="1"/>
  <c r="D14" i="8"/>
  <c r="D12" i="8"/>
  <c r="E12" i="8" l="1"/>
  <c r="E14" i="8" l="1"/>
  <c r="E11" i="8" l="1"/>
  <c r="E13" i="8" l="1"/>
  <c r="E15" i="8" s="1"/>
  <c r="D11" i="8" l="1"/>
  <c r="D15" i="8" s="1"/>
  <c r="C11" i="8" l="1"/>
  <c r="C15" i="8" s="1"/>
  <c r="F50" i="8" l="1"/>
  <c r="F49" i="8"/>
  <c r="F48" i="8"/>
  <c r="E51" i="8"/>
  <c r="D51" i="8"/>
  <c r="C51" i="8"/>
  <c r="B51" i="8"/>
  <c r="B45" i="8"/>
  <c r="L29" i="23" l="1"/>
  <c r="K29" i="23"/>
  <c r="J29" i="23"/>
  <c r="I29" i="23"/>
  <c r="L28" i="23"/>
  <c r="J28" i="23"/>
  <c r="K28" i="23"/>
  <c r="I28" i="23"/>
  <c r="L30" i="23"/>
  <c r="K30" i="23"/>
  <c r="J30" i="23"/>
  <c r="I30" i="23"/>
  <c r="G49" i="8"/>
  <c r="H29" i="23"/>
  <c r="G48" i="8"/>
  <c r="H28" i="23"/>
  <c r="G50" i="8"/>
  <c r="H30" i="23"/>
  <c r="F47" i="8"/>
  <c r="L27" i="23" l="1"/>
  <c r="I27" i="23"/>
  <c r="K27" i="23"/>
  <c r="J27" i="23"/>
  <c r="G47" i="8"/>
  <c r="H27" i="23"/>
  <c r="F51" i="8"/>
  <c r="G51" i="8" l="1"/>
  <c r="D11" i="24" l="1"/>
  <c r="D14" i="16" l="1"/>
  <c r="C14" i="16"/>
  <c r="F22" i="22" l="1"/>
  <c r="E22" i="22"/>
  <c r="J26" i="22" l="1"/>
  <c r="I26" i="22"/>
  <c r="H26" i="22"/>
  <c r="G26" i="22"/>
  <c r="J25" i="22"/>
  <c r="I25" i="22"/>
  <c r="H25" i="22"/>
  <c r="G25" i="22"/>
  <c r="J24" i="22"/>
  <c r="I24" i="22"/>
  <c r="H24" i="22"/>
  <c r="G24" i="22"/>
  <c r="J23" i="22"/>
  <c r="I23" i="22"/>
  <c r="H23" i="22"/>
  <c r="G23" i="22"/>
  <c r="J22" i="22"/>
  <c r="I22" i="22"/>
  <c r="H22" i="22"/>
  <c r="G22" i="22"/>
  <c r="E26" i="22" l="1"/>
  <c r="E25" i="22"/>
  <c r="E24" i="22"/>
  <c r="E23" i="22"/>
  <c r="F23" i="22" l="1"/>
  <c r="F24" i="22" l="1"/>
  <c r="F25" i="22"/>
  <c r="F26" i="22"/>
  <c r="J11" i="13" l="1"/>
  <c r="J10" i="13"/>
  <c r="J9" i="13"/>
  <c r="J8" i="13"/>
  <c r="C15" i="10" l="1"/>
  <c r="L8" i="16"/>
  <c r="C13" i="10"/>
  <c r="L9" i="16"/>
  <c r="C14" i="10"/>
  <c r="L10" i="16"/>
  <c r="L11" i="16"/>
  <c r="C16" i="10"/>
  <c r="K8" i="23"/>
  <c r="K9" i="23"/>
  <c r="K10" i="23"/>
  <c r="K11" i="23"/>
  <c r="A1" i="13"/>
  <c r="A2" i="10"/>
  <c r="A1" i="10"/>
  <c r="A1" i="23"/>
  <c r="A2" i="8"/>
  <c r="A1" i="8"/>
  <c r="A1" i="24"/>
  <c r="A1" i="16"/>
  <c r="A1" i="19"/>
  <c r="A1" i="12"/>
  <c r="A1" i="22"/>
  <c r="A1" i="15"/>
  <c r="A2" i="12"/>
  <c r="A1" i="5"/>
  <c r="C42" i="16"/>
  <c r="B14" i="8" l="1"/>
  <c r="B13" i="8"/>
  <c r="B12" i="8"/>
  <c r="B15" i="8" l="1"/>
  <c r="B7" i="8"/>
  <c r="B8" i="8"/>
  <c r="B61" i="22"/>
  <c r="B9" i="8" l="1"/>
  <c r="P16" i="22"/>
  <c r="P18" i="22" l="1"/>
  <c r="P17" i="22"/>
  <c r="P19" i="22"/>
  <c r="H5" i="23" l="1"/>
  <c r="B58" i="23"/>
  <c r="B62" i="24" l="1"/>
  <c r="D43" i="16" l="1"/>
  <c r="C43" i="16"/>
  <c r="I7" i="24" l="1"/>
  <c r="I6" i="24"/>
  <c r="I5" i="24"/>
  <c r="C43" i="24" l="1"/>
  <c r="C50" i="24" s="1"/>
  <c r="C42" i="24"/>
  <c r="C49" i="24" s="1"/>
  <c r="C41" i="24"/>
  <c r="C48" i="24" s="1"/>
  <c r="C40" i="24"/>
  <c r="C47" i="24" s="1"/>
  <c r="C39" i="24"/>
  <c r="D43" i="24"/>
  <c r="D42" i="24"/>
  <c r="D41" i="24"/>
  <c r="D40" i="24"/>
  <c r="D48" i="24" l="1"/>
  <c r="D49" i="24"/>
  <c r="D50" i="24"/>
  <c r="D47" i="24"/>
  <c r="I7" i="22" l="1"/>
  <c r="I6" i="22"/>
  <c r="I5" i="22"/>
  <c r="I41" i="22" l="1"/>
  <c r="H41" i="22"/>
  <c r="G41" i="22"/>
  <c r="F41" i="22"/>
  <c r="E41" i="22"/>
  <c r="C41" i="22"/>
  <c r="C48" i="22" s="1"/>
  <c r="D48" i="22" s="1"/>
  <c r="I40" i="22"/>
  <c r="H40" i="22"/>
  <c r="G40" i="22"/>
  <c r="F40" i="22"/>
  <c r="E40" i="22"/>
  <c r="C40" i="22"/>
  <c r="C47" i="22" s="1"/>
  <c r="D47" i="22" s="1"/>
  <c r="I39" i="22"/>
  <c r="H39" i="22"/>
  <c r="G39" i="22"/>
  <c r="F39" i="22"/>
  <c r="E39" i="22"/>
  <c r="C39" i="22"/>
  <c r="C46" i="22" s="1"/>
  <c r="D46" i="22" s="1"/>
  <c r="E46" i="22" l="1"/>
  <c r="E47" i="22"/>
  <c r="E48" i="22"/>
  <c r="C38" i="23"/>
  <c r="C45" i="23" s="1"/>
  <c r="C37" i="23"/>
  <c r="C44" i="23" s="1"/>
  <c r="C36" i="23"/>
  <c r="C43" i="23" s="1"/>
  <c r="C14" i="13"/>
  <c r="B14" i="13"/>
  <c r="C14" i="23"/>
  <c r="B14" i="23"/>
  <c r="C11" i="24"/>
  <c r="B11" i="24"/>
  <c r="B14" i="16"/>
  <c r="C11" i="22"/>
  <c r="B11" i="22"/>
  <c r="C62" i="24" l="1"/>
  <c r="D39" i="24"/>
  <c r="C46" i="24"/>
  <c r="E12" i="24"/>
  <c r="F12" i="24" s="1"/>
  <c r="G12" i="24" s="1"/>
  <c r="H12" i="24" s="1"/>
  <c r="I12" i="24" s="1"/>
  <c r="J12" i="24" s="1"/>
  <c r="K12" i="24" s="1"/>
  <c r="L12" i="24" s="1"/>
  <c r="M12" i="24" s="1"/>
  <c r="I8" i="24"/>
  <c r="I4" i="24"/>
  <c r="D46" i="24" l="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D49" i="22" s="1"/>
  <c r="H42" i="22"/>
  <c r="G42" i="22"/>
  <c r="G38" i="22"/>
  <c r="F38" i="22"/>
  <c r="I8" i="22"/>
  <c r="I4" i="22"/>
  <c r="I9" i="22" s="1"/>
  <c r="H38" i="22" l="1"/>
  <c r="I38" i="22"/>
  <c r="F42" i="22"/>
  <c r="I42" i="22"/>
  <c r="K12" i="23"/>
  <c r="F12" i="22"/>
  <c r="H12" i="22"/>
  <c r="G12" i="22"/>
  <c r="I12" i="22"/>
  <c r="J12" i="22"/>
  <c r="K12" i="22"/>
  <c r="L12" i="22"/>
  <c r="E42" i="22"/>
  <c r="E49" i="22" s="1"/>
  <c r="C38" i="22"/>
  <c r="C45" i="22" s="1"/>
  <c r="D45" i="22" s="1"/>
  <c r="E38" i="22"/>
  <c r="E45" i="22" l="1"/>
  <c r="A2" i="19"/>
  <c r="J12" i="13" l="1"/>
  <c r="C17" i="10" l="1"/>
  <c r="L12" i="15"/>
  <c r="B27" i="8"/>
  <c r="L12" i="16"/>
  <c r="B21" i="8" l="1"/>
  <c r="D42" i="16" l="1"/>
  <c r="D16" i="16"/>
  <c r="B56" i="16" l="1"/>
  <c r="B57" i="15"/>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44" i="15"/>
  <c r="H24" i="15"/>
  <c r="H44" i="15" s="1"/>
  <c r="H23" i="15" l="1"/>
  <c r="G24" i="15"/>
  <c r="G44" i="15" s="1"/>
  <c r="F24" i="15"/>
  <c r="F44" i="15" s="1"/>
  <c r="I24" i="15"/>
  <c r="I44" i="15" s="1"/>
  <c r="I23" i="15"/>
  <c r="E23" i="15"/>
  <c r="F23" i="15"/>
  <c r="E24" i="15"/>
  <c r="E44" i="15" s="1"/>
  <c r="G23" i="15"/>
  <c r="E52" i="24" l="1"/>
  <c r="D36" i="13"/>
  <c r="E49" i="16"/>
  <c r="E48" i="23"/>
  <c r="E51" i="22"/>
  <c r="E55" i="22" l="1"/>
  <c r="E54" i="22"/>
  <c r="E56" i="22"/>
  <c r="E57" i="22"/>
  <c r="E53" i="22"/>
  <c r="D39" i="13"/>
  <c r="D38" i="13"/>
  <c r="C56" i="16"/>
  <c r="D56" i="16" s="1"/>
  <c r="E61" i="22" l="1"/>
  <c r="E58" i="22" s="1"/>
  <c r="F48" i="22"/>
  <c r="F46" i="22"/>
  <c r="F47" i="22"/>
  <c r="E59" i="22"/>
  <c r="F45" i="22"/>
  <c r="E33" i="13"/>
  <c r="D41" i="13"/>
  <c r="D43" i="13"/>
  <c r="D40" i="13" s="1"/>
  <c r="F49" i="22"/>
  <c r="E34" i="13"/>
  <c r="C47" i="16" l="1"/>
  <c r="D47" i="16" s="1"/>
  <c r="C46" i="16"/>
  <c r="D46" i="16" s="1"/>
  <c r="F15" i="16"/>
  <c r="G15" i="16" s="1"/>
  <c r="H15" i="16" s="1"/>
  <c r="I15" i="16" s="1"/>
  <c r="J15" i="16" s="1"/>
  <c r="K15" i="16" s="1"/>
  <c r="L15" i="16" s="1"/>
  <c r="M15" i="16" s="1"/>
  <c r="I5" i="16"/>
  <c r="I4" i="16"/>
  <c r="C57" i="15"/>
  <c r="D57" i="15" s="1"/>
  <c r="M55" i="15"/>
  <c r="C48" i="15"/>
  <c r="E48" i="15" s="1"/>
  <c r="C43" i="15"/>
  <c r="C47" i="15" s="1"/>
  <c r="D47" i="15" s="1"/>
  <c r="M24" i="15"/>
  <c r="M23" i="15"/>
  <c r="J43" i="15"/>
  <c r="I43" i="15"/>
  <c r="H43" i="15"/>
  <c r="G43" i="15"/>
  <c r="F43" i="15"/>
  <c r="E43" i="15"/>
  <c r="I5" i="15"/>
  <c r="I4" i="15"/>
  <c r="E47" i="15" l="1"/>
  <c r="D48" i="15"/>
  <c r="E53" i="15"/>
  <c r="E52" i="15"/>
  <c r="I6" i="15"/>
  <c r="I6" i="16"/>
  <c r="F47" i="15" l="1"/>
  <c r="E57" i="15"/>
  <c r="E54" i="15" s="1"/>
  <c r="F48" i="15"/>
  <c r="E55" i="15"/>
  <c r="D10" i="10" l="1"/>
  <c r="D11" i="10" s="1"/>
  <c r="B17" i="10" l="1"/>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46" i="16"/>
  <c r="G43" i="16"/>
  <c r="H43" i="16"/>
  <c r="G16" i="16" l="1"/>
  <c r="H16" i="16"/>
  <c r="H42" i="16"/>
  <c r="I43" i="16"/>
  <c r="J43" i="16" l="1"/>
  <c r="I16" i="16" l="1"/>
  <c r="I42" i="16"/>
  <c r="N30" i="16"/>
  <c r="N29" i="16"/>
  <c r="J16" i="16" l="1"/>
  <c r="J42" i="16"/>
  <c r="N28" i="16"/>
  <c r="N27" i="16"/>
  <c r="N26" i="16"/>
  <c r="F4" i="16" s="1"/>
  <c r="F5" i="16" l="1"/>
  <c r="F6" i="16" s="1"/>
  <c r="G5" i="16"/>
  <c r="K16" i="16"/>
  <c r="L16" i="16" l="1"/>
  <c r="G4" i="16"/>
  <c r="G6" i="16" l="1"/>
  <c r="B14" i="12" l="1"/>
  <c r="B7" i="12" s="1"/>
  <c r="B8" i="12" s="1"/>
  <c r="C14" i="12" l="1"/>
  <c r="C7" i="12" s="1"/>
  <c r="C8" i="12" l="1"/>
  <c r="J42" i="22" l="1"/>
  <c r="J41" i="22" l="1"/>
  <c r="G4" i="22"/>
  <c r="J38" i="22"/>
  <c r="G8" i="22"/>
  <c r="G7" i="22" l="1"/>
  <c r="J40" i="22"/>
  <c r="J39" i="22" l="1"/>
  <c r="G5" i="22"/>
  <c r="G6" i="22"/>
  <c r="G9" i="22" l="1"/>
  <c r="B39" i="8" l="1"/>
  <c r="B33" i="8"/>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E5" i="22" l="1"/>
  <c r="H5" i="22" s="1"/>
  <c r="K39" i="22"/>
  <c r="E7" i="22"/>
  <c r="H7" i="22" s="1"/>
  <c r="K41" i="22"/>
  <c r="E8" i="22"/>
  <c r="H8" i="22" s="1"/>
  <c r="K42" i="22"/>
  <c r="E6" i="22"/>
  <c r="H6" i="22" s="1"/>
  <c r="K40" i="22"/>
  <c r="G7" i="5" l="1"/>
  <c r="Z16" i="5" s="1"/>
  <c r="G5" i="5"/>
  <c r="G8" i="5"/>
  <c r="AA16" i="5" l="1"/>
  <c r="Z17" i="5"/>
  <c r="AA17" i="5"/>
  <c r="AA14" i="5"/>
  <c r="Z14" i="5"/>
  <c r="G4" i="5"/>
  <c r="Z13" i="5" s="1"/>
  <c r="V17" i="5"/>
  <c r="T17" i="5"/>
  <c r="K22" i="22"/>
  <c r="K19" i="23"/>
  <c r="K19" i="16"/>
  <c r="K16" i="24"/>
  <c r="J19" i="13"/>
  <c r="K34" i="15"/>
  <c r="F4" i="15"/>
  <c r="F6" i="15" s="1"/>
  <c r="V14" i="5"/>
  <c r="T14" i="5"/>
  <c r="V16" i="5"/>
  <c r="T16" i="5"/>
  <c r="G6" i="5"/>
  <c r="Z15" i="5" s="1"/>
  <c r="M22" i="22"/>
  <c r="M29" i="22" s="1"/>
  <c r="M38" i="22" s="1"/>
  <c r="M16" i="24"/>
  <c r="M19" i="23"/>
  <c r="M19" i="16"/>
  <c r="L19" i="13"/>
  <c r="M34" i="15"/>
  <c r="M43" i="15" s="1"/>
  <c r="L22" i="22"/>
  <c r="L29" i="22" s="1"/>
  <c r="K19" i="13"/>
  <c r="L16" i="24"/>
  <c r="L19" i="23"/>
  <c r="L19" i="16"/>
  <c r="L34" i="15"/>
  <c r="V13" i="5" l="1"/>
  <c r="AA15" i="5"/>
  <c r="E4" i="24"/>
  <c r="E4" i="16"/>
  <c r="K42" i="16"/>
  <c r="M42" i="16"/>
  <c r="B10" i="18"/>
  <c r="E4" i="23"/>
  <c r="V15" i="5"/>
  <c r="T15" i="5"/>
  <c r="L38" i="22"/>
  <c r="M35" i="23"/>
  <c r="M39" i="24"/>
  <c r="T13" i="5"/>
  <c r="K29" i="22"/>
  <c r="F4" i="22"/>
  <c r="F9" i="22" s="1"/>
  <c r="K29" i="13"/>
  <c r="E4" i="15"/>
  <c r="K43" i="15"/>
  <c r="L43" i="15"/>
  <c r="L42" i="16"/>
  <c r="L29" i="13"/>
  <c r="J29" i="13"/>
  <c r="D4" i="13"/>
  <c r="E6" i="16" l="1"/>
  <c r="H4" i="16"/>
  <c r="E9" i="24"/>
  <c r="E6" i="15"/>
  <c r="H4" i="15"/>
  <c r="H6" i="15" s="1"/>
  <c r="D6" i="13"/>
  <c r="F4" i="13"/>
  <c r="E6" i="23"/>
  <c r="E4" i="22"/>
  <c r="K38" i="22"/>
  <c r="H6" i="16" l="1"/>
  <c r="E9" i="22"/>
  <c r="H4" i="22"/>
  <c r="F6" i="13"/>
  <c r="H9" i="22" l="1"/>
  <c r="F19" i="8" l="1"/>
  <c r="G19" i="8" l="1"/>
  <c r="C27" i="8"/>
  <c r="C21" i="8" l="1"/>
  <c r="D27" i="8" l="1"/>
  <c r="D21" i="8" l="1"/>
  <c r="F24" i="8" l="1"/>
  <c r="F26" i="8"/>
  <c r="G26" i="8" l="1"/>
  <c r="G24" i="8"/>
  <c r="F25" i="8"/>
  <c r="G25" i="8" l="1"/>
  <c r="E27" i="8"/>
  <c r="F23" i="8"/>
  <c r="G23" i="8" l="1"/>
  <c r="E21" i="8"/>
  <c r="F20" i="8"/>
  <c r="G20" i="8" s="1"/>
  <c r="F27" i="8"/>
  <c r="F21" i="8" l="1"/>
  <c r="G27" i="8"/>
  <c r="G21" i="8" l="1"/>
  <c r="F7" i="8" l="1"/>
  <c r="F31" i="8"/>
  <c r="G31" i="8" l="1"/>
  <c r="F43" i="8"/>
  <c r="L26" i="23" l="1"/>
  <c r="L35" i="23" s="1"/>
  <c r="K26" i="23"/>
  <c r="J26" i="23"/>
  <c r="I26" i="23"/>
  <c r="G43" i="8"/>
  <c r="G7" i="8" s="1"/>
  <c r="H26" i="23"/>
  <c r="E26" i="23"/>
  <c r="E35" i="23" s="1"/>
  <c r="F26" i="23"/>
  <c r="F35" i="23" s="1"/>
  <c r="G26" i="23"/>
  <c r="G35" i="23" s="1"/>
  <c r="E13" i="5" l="1"/>
  <c r="E50" i="23"/>
  <c r="E42" i="23"/>
  <c r="I35" i="23"/>
  <c r="H35" i="23"/>
  <c r="F4" i="23"/>
  <c r="G4" i="23" s="1"/>
  <c r="K35" i="23"/>
  <c r="J35" i="23"/>
  <c r="U13" i="5" l="1"/>
  <c r="F42" i="23"/>
  <c r="F12" i="8" l="1"/>
  <c r="F36" i="8"/>
  <c r="G36" i="8" l="1"/>
  <c r="G12" i="8" s="1"/>
  <c r="E28" i="23"/>
  <c r="E37" i="23" s="1"/>
  <c r="G28" i="23"/>
  <c r="G37" i="23" s="1"/>
  <c r="F28" i="23"/>
  <c r="F37" i="23" s="1"/>
  <c r="H37" i="23"/>
  <c r="F14" i="8"/>
  <c r="F38" i="8"/>
  <c r="G38" i="8" l="1"/>
  <c r="G30" i="23"/>
  <c r="G39" i="23" s="1"/>
  <c r="E30" i="23"/>
  <c r="E39" i="23" s="1"/>
  <c r="F30" i="23"/>
  <c r="F39" i="23" s="1"/>
  <c r="G14" i="8"/>
  <c r="H39" i="23"/>
  <c r="U15" i="5"/>
  <c r="E15" i="5"/>
  <c r="I37" i="23"/>
  <c r="L37" i="23"/>
  <c r="J37" i="23"/>
  <c r="E52" i="23"/>
  <c r="E44" i="23"/>
  <c r="U17" i="5" l="1"/>
  <c r="E17" i="5"/>
  <c r="I39" i="23"/>
  <c r="K37" i="23"/>
  <c r="E46" i="23"/>
  <c r="E54" i="23"/>
  <c r="L39" i="23"/>
  <c r="F44" i="23"/>
  <c r="J39" i="23"/>
  <c r="K39" i="23" l="1"/>
  <c r="F46" i="23"/>
  <c r="F13" i="8"/>
  <c r="F37" i="8"/>
  <c r="G37" i="8" l="1"/>
  <c r="G13" i="8" s="1"/>
  <c r="F29" i="23"/>
  <c r="F38" i="23" s="1"/>
  <c r="G29" i="23"/>
  <c r="G38" i="23" s="1"/>
  <c r="E29" i="23"/>
  <c r="E38" i="23" s="1"/>
  <c r="H38" i="23"/>
  <c r="E8" i="8"/>
  <c r="E9" i="8" s="1"/>
  <c r="E39" i="8"/>
  <c r="E16" i="5" l="1"/>
  <c r="L38" i="23"/>
  <c r="I38" i="23"/>
  <c r="J38" i="23"/>
  <c r="E53" i="23"/>
  <c r="E45" i="23"/>
  <c r="E45" i="8"/>
  <c r="K38" i="23"/>
  <c r="E33" i="8"/>
  <c r="U16" i="5" l="1"/>
  <c r="F45" i="23"/>
  <c r="D45" i="8" l="1"/>
  <c r="C45" i="8" l="1"/>
  <c r="F44" i="8"/>
  <c r="G44" i="8" s="1"/>
  <c r="D8" i="8" l="1"/>
  <c r="D9" i="8" s="1"/>
  <c r="C8" i="8"/>
  <c r="C9" i="8" s="1"/>
  <c r="F45" i="8"/>
  <c r="D39" i="8"/>
  <c r="C39" i="8"/>
  <c r="F35" i="8"/>
  <c r="G35" i="8" l="1"/>
  <c r="G27" i="23"/>
  <c r="F27" i="23"/>
  <c r="E27" i="23"/>
  <c r="G11" i="8"/>
  <c r="C33" i="8"/>
  <c r="F32" i="8"/>
  <c r="D33" i="8"/>
  <c r="G45" i="8"/>
  <c r="F11" i="8"/>
  <c r="F15" i="8" s="1"/>
  <c r="F39" i="8"/>
  <c r="G32" i="8" l="1"/>
  <c r="G8" i="8" s="1"/>
  <c r="U14" i="5"/>
  <c r="F8" i="8"/>
  <c r="F9" i="8" s="1"/>
  <c r="E14" i="5"/>
  <c r="F33" i="8"/>
  <c r="G36" i="23"/>
  <c r="G16" i="23"/>
  <c r="E36" i="23"/>
  <c r="E16" i="23"/>
  <c r="F36" i="23"/>
  <c r="F16" i="23"/>
  <c r="G39" i="8"/>
  <c r="G9" i="8" l="1"/>
  <c r="G33" i="8"/>
  <c r="E43" i="23"/>
  <c r="E51" i="23"/>
  <c r="L16" i="23"/>
  <c r="L36" i="23"/>
  <c r="G15" i="8"/>
  <c r="H36" i="23"/>
  <c r="F5" i="23"/>
  <c r="H16" i="23"/>
  <c r="K36" i="23"/>
  <c r="K16" i="23"/>
  <c r="J36" i="23"/>
  <c r="J16" i="23"/>
  <c r="I36" i="23"/>
  <c r="I16" i="23"/>
  <c r="F43" i="23" l="1"/>
  <c r="E58" i="23"/>
  <c r="E55" i="23" s="1"/>
  <c r="E56" i="23"/>
  <c r="F6" i="23"/>
  <c r="G5" i="23"/>
  <c r="G6" i="23" s="1"/>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I45" i="29" l="1"/>
  <c r="I51" i="29" l="1"/>
  <c r="I49" i="29"/>
  <c r="I48" i="29"/>
  <c r="I50" i="29"/>
  <c r="I47" i="29"/>
  <c r="I51" i="22"/>
  <c r="I52" i="24"/>
  <c r="H36" i="13"/>
  <c r="I49" i="16"/>
  <c r="I48" i="23"/>
  <c r="J45" i="29"/>
  <c r="I55" i="29" l="1"/>
  <c r="I53" i="29"/>
  <c r="J47" i="29"/>
  <c r="J39" i="29"/>
  <c r="J50" i="29"/>
  <c r="J42" i="29"/>
  <c r="J40" i="29"/>
  <c r="J48" i="29"/>
  <c r="J49" i="29"/>
  <c r="J41" i="29"/>
  <c r="J51" i="29"/>
  <c r="J43" i="29"/>
  <c r="K50" i="15"/>
  <c r="J48" i="23"/>
  <c r="I36" i="13"/>
  <c r="J51" i="22"/>
  <c r="J49" i="16"/>
  <c r="J52" i="24"/>
  <c r="F52" i="24"/>
  <c r="E36" i="13"/>
  <c r="F49" i="16"/>
  <c r="F48" i="23"/>
  <c r="F52" i="23" s="1"/>
  <c r="F51" i="22"/>
  <c r="F53" i="15"/>
  <c r="F52" i="15"/>
  <c r="H52" i="24"/>
  <c r="H48" i="23"/>
  <c r="H49" i="16"/>
  <c r="H51" i="22"/>
  <c r="G36" i="13"/>
  <c r="F36" i="13"/>
  <c r="G48" i="23"/>
  <c r="G49" i="16"/>
  <c r="G51" i="22"/>
  <c r="G52" i="24"/>
  <c r="K45" i="29" l="1"/>
  <c r="J45" i="31"/>
  <c r="J53" i="29"/>
  <c r="K42" i="29"/>
  <c r="K50" i="29"/>
  <c r="K39" i="29"/>
  <c r="K47" i="29"/>
  <c r="K49" i="29"/>
  <c r="K41" i="29"/>
  <c r="K43" i="29"/>
  <c r="K51" i="29"/>
  <c r="K40" i="29"/>
  <c r="K48" i="29"/>
  <c r="I52" i="29"/>
  <c r="J55" i="29"/>
  <c r="F58" i="24"/>
  <c r="F54" i="24"/>
  <c r="F57" i="24"/>
  <c r="F56" i="24"/>
  <c r="F55" i="24"/>
  <c r="E39" i="13"/>
  <c r="E38" i="13"/>
  <c r="G48" i="15"/>
  <c r="G53" i="15"/>
  <c r="G52" i="15"/>
  <c r="G47" i="15"/>
  <c r="F55" i="15"/>
  <c r="F57" i="15"/>
  <c r="F54" i="15" s="1"/>
  <c r="F57" i="22"/>
  <c r="F56" i="22"/>
  <c r="F53" i="22"/>
  <c r="F54" i="22"/>
  <c r="F55" i="22"/>
  <c r="F50" i="23"/>
  <c r="F54" i="23"/>
  <c r="F53" i="23"/>
  <c r="F51" i="23"/>
  <c r="F51" i="16"/>
  <c r="F52" i="16"/>
  <c r="L50" i="15"/>
  <c r="K48" i="23"/>
  <c r="J36" i="13"/>
  <c r="K52" i="24"/>
  <c r="K49" i="16"/>
  <c r="K51" i="22"/>
  <c r="H52" i="15" l="1"/>
  <c r="H53" i="15"/>
  <c r="J49" i="31"/>
  <c r="J50" i="31"/>
  <c r="J48" i="31"/>
  <c r="H47" i="15"/>
  <c r="L45" i="29"/>
  <c r="L48" i="29" s="1"/>
  <c r="I5" i="29" s="1"/>
  <c r="J5" i="29" s="1"/>
  <c r="Z23" i="5" s="1"/>
  <c r="K45" i="31"/>
  <c r="J47" i="31"/>
  <c r="J51" i="31"/>
  <c r="L41" i="29"/>
  <c r="K53" i="29"/>
  <c r="J52" i="29"/>
  <c r="K55" i="29"/>
  <c r="L39" i="29"/>
  <c r="L40" i="29"/>
  <c r="L43" i="29"/>
  <c r="L42" i="29"/>
  <c r="E41" i="13"/>
  <c r="E43" i="13"/>
  <c r="E40" i="13" s="1"/>
  <c r="F33" i="13"/>
  <c r="F38" i="13"/>
  <c r="G57" i="22"/>
  <c r="G49" i="22"/>
  <c r="F34" i="13"/>
  <c r="F39" i="13"/>
  <c r="H48" i="15"/>
  <c r="F60" i="24"/>
  <c r="G47" i="24"/>
  <c r="G55" i="24"/>
  <c r="G53" i="23"/>
  <c r="G45" i="23"/>
  <c r="G52" i="23"/>
  <c r="G44" i="23"/>
  <c r="G55" i="22"/>
  <c r="G47" i="22"/>
  <c r="G56" i="24"/>
  <c r="G48" i="24"/>
  <c r="G46" i="23"/>
  <c r="G54" i="23"/>
  <c r="G46" i="22"/>
  <c r="G54" i="22"/>
  <c r="G57" i="15"/>
  <c r="G54" i="15" s="1"/>
  <c r="G55" i="15"/>
  <c r="G57" i="24"/>
  <c r="G49" i="24"/>
  <c r="G42" i="23"/>
  <c r="G50" i="23"/>
  <c r="F56" i="23"/>
  <c r="F58" i="23"/>
  <c r="F55" i="23" s="1"/>
  <c r="G52" i="16"/>
  <c r="G47" i="16"/>
  <c r="G46" i="16"/>
  <c r="G51" i="16"/>
  <c r="F54" i="16"/>
  <c r="F56" i="16"/>
  <c r="F53" i="16" s="1"/>
  <c r="G45" i="22"/>
  <c r="F59" i="22"/>
  <c r="F61" i="22"/>
  <c r="F58" i="22" s="1"/>
  <c r="G53" i="22"/>
  <c r="G54" i="24"/>
  <c r="G46" i="24"/>
  <c r="F62" i="24"/>
  <c r="F59" i="24" s="1"/>
  <c r="L48" i="23"/>
  <c r="K36" i="13"/>
  <c r="L49" i="16"/>
  <c r="L51" i="22"/>
  <c r="L52" i="24"/>
  <c r="G43" i="23"/>
  <c r="G51" i="23"/>
  <c r="G48" i="22"/>
  <c r="G56" i="22"/>
  <c r="G58" i="24"/>
  <c r="G50" i="24"/>
  <c r="L47" i="29" l="1"/>
  <c r="L50" i="29"/>
  <c r="I7" i="29" s="1"/>
  <c r="J7" i="29" s="1"/>
  <c r="Z25" i="5" s="1"/>
  <c r="L51" i="29"/>
  <c r="I8" i="29" s="1"/>
  <c r="J8" i="29" s="1"/>
  <c r="L49" i="29"/>
  <c r="I6" i="29" s="1"/>
  <c r="J6" i="29" s="1"/>
  <c r="Z24" i="5" s="1"/>
  <c r="K40" i="31"/>
  <c r="K48" i="31"/>
  <c r="H5" i="31" s="1"/>
  <c r="I5" i="31" s="1"/>
  <c r="K50" i="31"/>
  <c r="H7" i="31" s="1"/>
  <c r="I7" i="31" s="1"/>
  <c r="K42" i="31"/>
  <c r="K41" i="31"/>
  <c r="K49" i="31"/>
  <c r="H6" i="31" s="1"/>
  <c r="I6" i="31" s="1"/>
  <c r="G38" i="13"/>
  <c r="G39" i="13"/>
  <c r="K51" i="31"/>
  <c r="H8" i="31" s="1"/>
  <c r="I8" i="31" s="1"/>
  <c r="K43" i="31"/>
  <c r="J53" i="31"/>
  <c r="J55" i="31"/>
  <c r="J52" i="31" s="1"/>
  <c r="K39" i="31"/>
  <c r="K47" i="31"/>
  <c r="D15" i="20"/>
  <c r="I4" i="29"/>
  <c r="M39" i="29"/>
  <c r="M47" i="29"/>
  <c r="M42" i="29"/>
  <c r="K7" i="29" s="1"/>
  <c r="K52" i="29"/>
  <c r="M48" i="29"/>
  <c r="M40" i="29"/>
  <c r="K5" i="29" s="1"/>
  <c r="G34" i="13"/>
  <c r="G60" i="24"/>
  <c r="G56" i="23"/>
  <c r="G58" i="23"/>
  <c r="G55" i="23" s="1"/>
  <c r="H46" i="22"/>
  <c r="H54" i="22"/>
  <c r="H55" i="24"/>
  <c r="H47" i="24"/>
  <c r="H49" i="22"/>
  <c r="H57" i="22"/>
  <c r="H46" i="24"/>
  <c r="H54" i="24"/>
  <c r="H42" i="23"/>
  <c r="H50" i="23"/>
  <c r="H55" i="22"/>
  <c r="H47" i="22"/>
  <c r="H45" i="22"/>
  <c r="H53" i="22"/>
  <c r="G54" i="16"/>
  <c r="G56" i="16"/>
  <c r="G53" i="16" s="1"/>
  <c r="F43" i="13"/>
  <c r="F41" i="13"/>
  <c r="H58" i="24"/>
  <c r="H50" i="24"/>
  <c r="H51" i="16"/>
  <c r="H46" i="16"/>
  <c r="H49" i="24"/>
  <c r="H57" i="24"/>
  <c r="H52" i="23"/>
  <c r="H44" i="23"/>
  <c r="I48" i="15"/>
  <c r="I53" i="15"/>
  <c r="G33" i="13"/>
  <c r="H57" i="15"/>
  <c r="H54" i="15" s="1"/>
  <c r="H55" i="15"/>
  <c r="I47" i="15"/>
  <c r="I52" i="15"/>
  <c r="H43" i="23"/>
  <c r="H51" i="23"/>
  <c r="H46" i="23"/>
  <c r="H54" i="23"/>
  <c r="G61" i="22"/>
  <c r="G58" i="22" s="1"/>
  <c r="G59" i="22"/>
  <c r="H47" i="16"/>
  <c r="H52" i="16"/>
  <c r="H48" i="24"/>
  <c r="H56" i="24"/>
  <c r="H56" i="22"/>
  <c r="H48" i="22"/>
  <c r="G62" i="24"/>
  <c r="G59" i="24" s="1"/>
  <c r="H45" i="23"/>
  <c r="H53" i="23"/>
  <c r="AA25" i="5" l="1"/>
  <c r="E17" i="20" s="1"/>
  <c r="AA26" i="5"/>
  <c r="E18" i="20" s="1"/>
  <c r="AA23" i="5"/>
  <c r="E15" i="20" s="1"/>
  <c r="AA24" i="5"/>
  <c r="E16" i="20" s="1"/>
  <c r="D17" i="20"/>
  <c r="M50" i="29"/>
  <c r="M41" i="29"/>
  <c r="K6" i="29" s="1"/>
  <c r="Z26" i="5"/>
  <c r="D18" i="20" s="1"/>
  <c r="M43" i="29"/>
  <c r="K8" i="29" s="1"/>
  <c r="M51" i="29"/>
  <c r="L53" i="29"/>
  <c r="L55" i="29"/>
  <c r="L52" i="29" s="1"/>
  <c r="D16" i="20"/>
  <c r="M49" i="29"/>
  <c r="H39" i="13"/>
  <c r="H38" i="13"/>
  <c r="L41" i="31"/>
  <c r="J6" i="31" s="1"/>
  <c r="L49" i="31"/>
  <c r="L42" i="31"/>
  <c r="J7" i="31" s="1"/>
  <c r="L50" i="31"/>
  <c r="L40" i="31"/>
  <c r="J5" i="31" s="1"/>
  <c r="L48" i="31"/>
  <c r="G41" i="13"/>
  <c r="L43" i="31"/>
  <c r="J8" i="31" s="1"/>
  <c r="L51" i="31"/>
  <c r="L39" i="31"/>
  <c r="L47" i="31"/>
  <c r="K53" i="31"/>
  <c r="H4" i="31"/>
  <c r="K55" i="31"/>
  <c r="K52" i="31" s="1"/>
  <c r="J4" i="29"/>
  <c r="I9" i="29"/>
  <c r="H34" i="13"/>
  <c r="I54" i="22"/>
  <c r="I46" i="22"/>
  <c r="H58" i="23"/>
  <c r="H55" i="23" s="1"/>
  <c r="H56" i="23"/>
  <c r="F40" i="13"/>
  <c r="G43" i="13"/>
  <c r="G40" i="13" s="1"/>
  <c r="I49" i="24"/>
  <c r="I57" i="24"/>
  <c r="I56" i="22"/>
  <c r="I48" i="22"/>
  <c r="I51" i="16"/>
  <c r="I46" i="16"/>
  <c r="I46" i="24"/>
  <c r="I54" i="24"/>
  <c r="I53" i="23"/>
  <c r="I45" i="23"/>
  <c r="I47" i="16"/>
  <c r="I52" i="16"/>
  <c r="H56" i="16"/>
  <c r="H53" i="16" s="1"/>
  <c r="I45" i="22"/>
  <c r="I53" i="22"/>
  <c r="I57" i="22"/>
  <c r="I49" i="22"/>
  <c r="I42" i="23"/>
  <c r="I50" i="23"/>
  <c r="H62" i="24"/>
  <c r="H59" i="24" s="1"/>
  <c r="H33" i="13"/>
  <c r="I58" i="24"/>
  <c r="I50" i="24"/>
  <c r="I51" i="23"/>
  <c r="I43" i="23"/>
  <c r="I47" i="22"/>
  <c r="I55" i="22"/>
  <c r="I47" i="24"/>
  <c r="I55" i="24"/>
  <c r="J47" i="15"/>
  <c r="J52" i="15"/>
  <c r="I46" i="23"/>
  <c r="I54" i="23"/>
  <c r="H61" i="22"/>
  <c r="H58" i="22" s="1"/>
  <c r="H59" i="22"/>
  <c r="I56" i="24"/>
  <c r="I48" i="24"/>
  <c r="J53" i="15"/>
  <c r="J48" i="15"/>
  <c r="H54" i="16"/>
  <c r="I57" i="15"/>
  <c r="I54" i="15" s="1"/>
  <c r="I55" i="15"/>
  <c r="I52" i="23"/>
  <c r="I44" i="23"/>
  <c r="H60" i="24"/>
  <c r="M55" i="29" l="1"/>
  <c r="M52" i="29" s="1"/>
  <c r="M53" i="29"/>
  <c r="I38" i="13"/>
  <c r="H9" i="31"/>
  <c r="I4" i="31"/>
  <c r="AA22" i="5" s="1"/>
  <c r="L53" i="31"/>
  <c r="L55" i="31"/>
  <c r="L52" i="31" s="1"/>
  <c r="I34" i="13"/>
  <c r="I39" i="13"/>
  <c r="J9" i="29"/>
  <c r="Z22" i="5"/>
  <c r="K4" i="29"/>
  <c r="I56" i="23"/>
  <c r="I58" i="23"/>
  <c r="I55" i="23" s="1"/>
  <c r="J57" i="24"/>
  <c r="J49" i="24"/>
  <c r="J53" i="22"/>
  <c r="J45" i="22"/>
  <c r="J54" i="23"/>
  <c r="J46" i="23"/>
  <c r="I62" i="24"/>
  <c r="I59" i="24" s="1"/>
  <c r="I60" i="24"/>
  <c r="J53" i="23"/>
  <c r="J45" i="23"/>
  <c r="J58" i="24"/>
  <c r="J50" i="24"/>
  <c r="J57" i="15"/>
  <c r="J54" i="15" s="1"/>
  <c r="J55" i="15"/>
  <c r="J56" i="24"/>
  <c r="J48" i="24"/>
  <c r="J52" i="16"/>
  <c r="J47" i="16"/>
  <c r="J46" i="16"/>
  <c r="J51" i="16"/>
  <c r="K48" i="15"/>
  <c r="K53" i="15"/>
  <c r="J44" i="23"/>
  <c r="J52" i="23"/>
  <c r="J47" i="24"/>
  <c r="J55" i="24"/>
  <c r="J57" i="22"/>
  <c r="J49" i="22"/>
  <c r="I54" i="16"/>
  <c r="I56" i="16"/>
  <c r="I53" i="16" s="1"/>
  <c r="I33" i="13"/>
  <c r="J56" i="22"/>
  <c r="J48" i="22"/>
  <c r="J46" i="22"/>
  <c r="J54" i="22"/>
  <c r="J43" i="23"/>
  <c r="J51" i="23"/>
  <c r="J50" i="23"/>
  <c r="J42" i="23"/>
  <c r="K47" i="15"/>
  <c r="K52" i="15"/>
  <c r="J46" i="24"/>
  <c r="J54" i="24"/>
  <c r="H41" i="13"/>
  <c r="H43" i="13"/>
  <c r="H40" i="13" s="1"/>
  <c r="J47" i="22"/>
  <c r="J55" i="22"/>
  <c r="I59" i="22"/>
  <c r="I61" i="22"/>
  <c r="I58" i="22" s="1"/>
  <c r="J38" i="13" l="1"/>
  <c r="J34" i="13"/>
  <c r="J4" i="31"/>
  <c r="I9" i="31"/>
  <c r="J39" i="13"/>
  <c r="D14" i="20"/>
  <c r="J62" i="24"/>
  <c r="J59" i="24" s="1"/>
  <c r="K53" i="23"/>
  <c r="K45" i="23"/>
  <c r="K55" i="15"/>
  <c r="K57" i="15"/>
  <c r="K54" i="15" s="1"/>
  <c r="K44" i="23"/>
  <c r="K52" i="23"/>
  <c r="K46" i="22"/>
  <c r="K54" i="22"/>
  <c r="L52" i="15"/>
  <c r="J4" i="15" s="1"/>
  <c r="L47" i="15"/>
  <c r="K48" i="22"/>
  <c r="K56" i="22"/>
  <c r="L53" i="15"/>
  <c r="L48" i="15"/>
  <c r="K49" i="22"/>
  <c r="K57" i="22"/>
  <c r="J56" i="16"/>
  <c r="J53" i="16" s="1"/>
  <c r="J54" i="16"/>
  <c r="K54" i="23"/>
  <c r="K46" i="23"/>
  <c r="K55" i="22"/>
  <c r="K47" i="22"/>
  <c r="K42" i="23"/>
  <c r="K50" i="23"/>
  <c r="J56" i="23"/>
  <c r="J58" i="23"/>
  <c r="J55" i="23" s="1"/>
  <c r="K46" i="16"/>
  <c r="K51" i="16"/>
  <c r="I43" i="13"/>
  <c r="I40" i="13" s="1"/>
  <c r="I41" i="13"/>
  <c r="J60" i="24"/>
  <c r="K47" i="16"/>
  <c r="K52" i="16"/>
  <c r="K45" i="22"/>
  <c r="K53" i="22"/>
  <c r="K43" i="23"/>
  <c r="K51" i="23"/>
  <c r="J33" i="13"/>
  <c r="J61" i="22"/>
  <c r="J58" i="22" s="1"/>
  <c r="J59" i="22"/>
  <c r="K38" i="13" l="1"/>
  <c r="K39" i="13"/>
  <c r="H5" i="13" s="1"/>
  <c r="I5" i="13" s="1"/>
  <c r="I11" i="13" s="1"/>
  <c r="F25" i="5" s="1"/>
  <c r="E14" i="20"/>
  <c r="K34" i="13"/>
  <c r="L39" i="13" s="1"/>
  <c r="M48" i="15"/>
  <c r="L47" i="16"/>
  <c r="L52" i="16"/>
  <c r="J5" i="16" s="1"/>
  <c r="K5" i="16" s="1"/>
  <c r="K58" i="23"/>
  <c r="K55" i="23" s="1"/>
  <c r="K56" i="23"/>
  <c r="L56" i="22"/>
  <c r="J7" i="22" s="1"/>
  <c r="K7" i="22" s="1"/>
  <c r="X25" i="5" s="1"/>
  <c r="L48" i="22"/>
  <c r="L42" i="23"/>
  <c r="L50" i="23"/>
  <c r="M47" i="15"/>
  <c r="L52" i="23"/>
  <c r="L44" i="23"/>
  <c r="K4" i="15"/>
  <c r="L55" i="15"/>
  <c r="L57" i="15"/>
  <c r="M57" i="15" s="1"/>
  <c r="K33" i="13"/>
  <c r="J41" i="13"/>
  <c r="J43" i="13"/>
  <c r="J40" i="13" s="1"/>
  <c r="K54" i="16"/>
  <c r="K56" i="16"/>
  <c r="K53" i="16" s="1"/>
  <c r="L57" i="22"/>
  <c r="L49" i="22"/>
  <c r="L46" i="23"/>
  <c r="L54" i="23"/>
  <c r="L45" i="23"/>
  <c r="L53" i="23"/>
  <c r="K59" i="22"/>
  <c r="K61" i="22"/>
  <c r="K58" i="22" s="1"/>
  <c r="L53" i="22"/>
  <c r="L45" i="22"/>
  <c r="L47" i="22"/>
  <c r="L55" i="22"/>
  <c r="L43" i="23"/>
  <c r="L51" i="23"/>
  <c r="L46" i="16"/>
  <c r="L51" i="16"/>
  <c r="J5" i="15"/>
  <c r="K5" i="15" s="1"/>
  <c r="L46" i="22"/>
  <c r="L54" i="22"/>
  <c r="J5" i="22" s="1"/>
  <c r="K5" i="22" s="1"/>
  <c r="I10" i="13" l="1"/>
  <c r="F24" i="5" s="1"/>
  <c r="L34" i="13"/>
  <c r="J5" i="13" s="1"/>
  <c r="I8" i="13"/>
  <c r="V23" i="5" s="1"/>
  <c r="E6" i="20" s="1"/>
  <c r="E24" i="20" s="1"/>
  <c r="I9" i="13"/>
  <c r="F23" i="5" s="1"/>
  <c r="L54" i="15"/>
  <c r="M48" i="22"/>
  <c r="L7" i="22" s="1"/>
  <c r="J6" i="15"/>
  <c r="I5" i="23"/>
  <c r="J5" i="23" s="1"/>
  <c r="J10" i="23" s="1"/>
  <c r="M54" i="15"/>
  <c r="L59" i="22"/>
  <c r="L61" i="22"/>
  <c r="M61" i="22" s="1"/>
  <c r="J4" i="22"/>
  <c r="J4" i="16"/>
  <c r="L56" i="16"/>
  <c r="L53" i="16" s="1"/>
  <c r="L54" i="16"/>
  <c r="M46" i="22"/>
  <c r="L5" i="22" s="1"/>
  <c r="M54" i="23"/>
  <c r="M46" i="23"/>
  <c r="M51" i="23"/>
  <c r="M43" i="23"/>
  <c r="I4" i="23"/>
  <c r="L56" i="23"/>
  <c r="L58" i="23"/>
  <c r="L55" i="23" s="1"/>
  <c r="J6" i="22"/>
  <c r="K6" i="22" s="1"/>
  <c r="H4" i="13"/>
  <c r="K41" i="13"/>
  <c r="K43" i="13"/>
  <c r="K40" i="13" s="1"/>
  <c r="M50" i="23"/>
  <c r="M42" i="23"/>
  <c r="K10" i="16"/>
  <c r="T25" i="5" s="1"/>
  <c r="K8" i="16"/>
  <c r="K11" i="16"/>
  <c r="T26" i="5" s="1"/>
  <c r="K9" i="16"/>
  <c r="T24" i="5" s="1"/>
  <c r="V26" i="5"/>
  <c r="E9" i="20" s="1"/>
  <c r="E27" i="20" s="1"/>
  <c r="X23" i="5"/>
  <c r="M44" i="23"/>
  <c r="M52" i="23"/>
  <c r="M47" i="22"/>
  <c r="M49" i="22"/>
  <c r="L38" i="13"/>
  <c r="L33" i="13"/>
  <c r="M52" i="16"/>
  <c r="M47" i="16"/>
  <c r="L5" i="16" s="1"/>
  <c r="M53" i="23"/>
  <c r="M45" i="23"/>
  <c r="M51" i="16"/>
  <c r="M46" i="16"/>
  <c r="K8" i="15"/>
  <c r="S23" i="5" s="1"/>
  <c r="K10" i="15"/>
  <c r="K11" i="15"/>
  <c r="S26" i="5" s="1"/>
  <c r="K9" i="15"/>
  <c r="S24" i="5" s="1"/>
  <c r="L5" i="15"/>
  <c r="M45" i="22"/>
  <c r="J8" i="22"/>
  <c r="K8" i="22" s="1"/>
  <c r="S22" i="5"/>
  <c r="K6" i="15"/>
  <c r="L4" i="15"/>
  <c r="V25" i="5"/>
  <c r="E8" i="20" s="1"/>
  <c r="E26" i="20" s="1"/>
  <c r="E25" i="5" l="1"/>
  <c r="U25" i="5"/>
  <c r="I12" i="13"/>
  <c r="F26" i="5" s="1"/>
  <c r="F8" i="5" s="1"/>
  <c r="V24" i="5"/>
  <c r="E7" i="20" s="1"/>
  <c r="E25" i="20" s="1"/>
  <c r="T23" i="5"/>
  <c r="L7" i="5"/>
  <c r="J9" i="23"/>
  <c r="J8" i="23"/>
  <c r="J11" i="23"/>
  <c r="E26" i="5" s="1"/>
  <c r="K5" i="23"/>
  <c r="J4" i="23"/>
  <c r="I6" i="23"/>
  <c r="B9" i="20"/>
  <c r="C25" i="5"/>
  <c r="S25" i="5"/>
  <c r="C7" i="20"/>
  <c r="M58" i="22"/>
  <c r="C9" i="20"/>
  <c r="H6" i="13"/>
  <c r="I4" i="13"/>
  <c r="K12" i="16"/>
  <c r="M6" i="5"/>
  <c r="F6" i="5"/>
  <c r="B7" i="20"/>
  <c r="B5" i="20"/>
  <c r="M54" i="16"/>
  <c r="M56" i="16"/>
  <c r="M53" i="16" s="1"/>
  <c r="C8" i="20"/>
  <c r="F5" i="5"/>
  <c r="M5" i="5"/>
  <c r="J6" i="16"/>
  <c r="K4" i="16"/>
  <c r="K12" i="15"/>
  <c r="C24" i="5"/>
  <c r="L6" i="22"/>
  <c r="X24" i="5"/>
  <c r="K4" i="22"/>
  <c r="J9" i="22"/>
  <c r="L41" i="13"/>
  <c r="L43" i="13"/>
  <c r="L40" i="13" s="1"/>
  <c r="M7" i="5"/>
  <c r="F7" i="5"/>
  <c r="C26" i="5"/>
  <c r="J8" i="5" s="1"/>
  <c r="L8" i="22"/>
  <c r="X26" i="5"/>
  <c r="C23" i="5"/>
  <c r="M56" i="23"/>
  <c r="M58" i="23"/>
  <c r="M55" i="23" s="1"/>
  <c r="L58" i="22"/>
  <c r="M8" i="5" l="1"/>
  <c r="E24" i="5"/>
  <c r="U24" i="5"/>
  <c r="V22" i="5"/>
  <c r="F22" i="5"/>
  <c r="E31" i="20"/>
  <c r="V30" i="5"/>
  <c r="E30" i="20"/>
  <c r="V29" i="5"/>
  <c r="E33" i="20"/>
  <c r="V32" i="5"/>
  <c r="E32" i="20"/>
  <c r="V31" i="5"/>
  <c r="L6" i="5"/>
  <c r="K4" i="23"/>
  <c r="E22" i="5"/>
  <c r="U26" i="5"/>
  <c r="D9" i="20" s="1"/>
  <c r="D27" i="20" s="1"/>
  <c r="U23" i="5"/>
  <c r="E23" i="5"/>
  <c r="D7" i="20"/>
  <c r="D25" i="20" s="1"/>
  <c r="J12" i="23"/>
  <c r="E7" i="5"/>
  <c r="U31" i="5"/>
  <c r="E6" i="5"/>
  <c r="T22" i="5"/>
  <c r="L4" i="16"/>
  <c r="K6" i="16"/>
  <c r="C6" i="20"/>
  <c r="X22" i="5"/>
  <c r="L4" i="22"/>
  <c r="K9" i="22"/>
  <c r="C22" i="5"/>
  <c r="B6" i="20"/>
  <c r="E8" i="5"/>
  <c r="L8" i="5"/>
  <c r="U22" i="5"/>
  <c r="J6" i="23"/>
  <c r="B8" i="20"/>
  <c r="I6" i="13"/>
  <c r="J4" i="13"/>
  <c r="D8" i="20"/>
  <c r="D26" i="20" s="1"/>
  <c r="E5" i="20" l="1"/>
  <c r="E23" i="20" s="1"/>
  <c r="U32" i="5"/>
  <c r="L4" i="5"/>
  <c r="U28" i="5" s="1"/>
  <c r="E5" i="5"/>
  <c r="D6" i="20"/>
  <c r="D24" i="20" s="1"/>
  <c r="L5" i="5"/>
  <c r="U29" i="5" s="1"/>
  <c r="U30" i="5"/>
  <c r="D32" i="20"/>
  <c r="F7" i="20"/>
  <c r="F9" i="20"/>
  <c r="D31" i="20"/>
  <c r="F8" i="20"/>
  <c r="E4" i="5"/>
  <c r="C5" i="20"/>
  <c r="D5" i="20"/>
  <c r="D23" i="20" s="1"/>
  <c r="M4" i="5"/>
  <c r="V28" i="5" s="1"/>
  <c r="F4" i="5"/>
  <c r="D33" i="20"/>
  <c r="E29" i="20" l="1"/>
  <c r="F6" i="20"/>
  <c r="D30" i="20"/>
  <c r="D29" i="20"/>
  <c r="F5" i="20"/>
  <c r="C5" i="18" l="1"/>
  <c r="X13" i="5" s="1"/>
  <c r="C9" i="18"/>
  <c r="X17" i="5" s="1"/>
  <c r="C17" i="5" l="1"/>
  <c r="C13" i="5"/>
  <c r="C7" i="18"/>
  <c r="C8" i="18"/>
  <c r="J4" i="5" l="1"/>
  <c r="S28" i="5" s="1"/>
  <c r="S32" i="5"/>
  <c r="C16" i="5"/>
  <c r="X16" i="5"/>
  <c r="B14" i="20"/>
  <c r="C4" i="5"/>
  <c r="C15" i="5"/>
  <c r="X15" i="5"/>
  <c r="B18" i="20"/>
  <c r="C8" i="5"/>
  <c r="J6" i="5" l="1"/>
  <c r="S30" i="5" s="1"/>
  <c r="B23" i="20"/>
  <c r="B27" i="20"/>
  <c r="B16" i="20"/>
  <c r="B17" i="20"/>
  <c r="C6" i="5"/>
  <c r="C7" i="5"/>
  <c r="J7" i="5"/>
  <c r="S31" i="5" s="1"/>
  <c r="B25" i="20" l="1"/>
  <c r="C6" i="18"/>
  <c r="X14" i="5" s="1"/>
  <c r="E10" i="18"/>
  <c r="B26" i="20"/>
  <c r="B33" i="20"/>
  <c r="B29" i="20"/>
  <c r="B31" i="20" l="1"/>
  <c r="B32" i="20"/>
  <c r="C14" i="5"/>
  <c r="C10" i="18"/>
  <c r="B15" i="20" l="1"/>
  <c r="J5" i="5"/>
  <c r="S29" i="5" s="1"/>
  <c r="C5" i="5"/>
  <c r="B24" i="20" l="1"/>
  <c r="B30" i="20" l="1"/>
  <c r="E10" i="19" l="1"/>
  <c r="E7" i="19" l="1"/>
  <c r="E9" i="19"/>
  <c r="E8" i="19"/>
  <c r="E6" i="19"/>
  <c r="E11" i="19" s="1"/>
  <c r="K23" i="24" l="1"/>
  <c r="K30" i="24" l="1"/>
  <c r="L23" i="24"/>
  <c r="K24" i="24"/>
  <c r="N23" i="24" l="1"/>
  <c r="F4" i="24" s="1"/>
  <c r="K39" i="24"/>
  <c r="K26" i="24"/>
  <c r="K27" i="24"/>
  <c r="K25" i="24"/>
  <c r="L30" i="24"/>
  <c r="L24" i="24"/>
  <c r="L25" i="24"/>
  <c r="N24" i="24" l="1"/>
  <c r="F5" i="24" s="1"/>
  <c r="N25" i="24"/>
  <c r="F6" i="24" s="1"/>
  <c r="L39" i="24"/>
  <c r="G4" i="24"/>
  <c r="H4" i="24" s="1"/>
  <c r="K54" i="24"/>
  <c r="K46" i="24"/>
  <c r="L26" i="24"/>
  <c r="L27" i="24"/>
  <c r="K31" i="24"/>
  <c r="N26" i="24" l="1"/>
  <c r="F7" i="24" s="1"/>
  <c r="N27" i="24"/>
  <c r="F8" i="24" s="1"/>
  <c r="F9" i="24" s="1"/>
  <c r="K40" i="24"/>
  <c r="K33" i="24"/>
  <c r="L46" i="24"/>
  <c r="L54" i="24"/>
  <c r="L34" i="24"/>
  <c r="L43" i="24" s="1"/>
  <c r="K34" i="24"/>
  <c r="K32" i="24"/>
  <c r="L31" i="24"/>
  <c r="L40" i="24" l="1"/>
  <c r="L32" i="24"/>
  <c r="L41" i="24" s="1"/>
  <c r="G5" i="24"/>
  <c r="H5" i="24" s="1"/>
  <c r="L33" i="24"/>
  <c r="L42" i="24" s="1"/>
  <c r="K41" i="24"/>
  <c r="K42" i="24"/>
  <c r="K13" i="24"/>
  <c r="K43" i="24"/>
  <c r="G8" i="24"/>
  <c r="H8" i="24" s="1"/>
  <c r="K47" i="24"/>
  <c r="K55" i="24"/>
  <c r="J4" i="24"/>
  <c r="M46" i="24"/>
  <c r="M54" i="24"/>
  <c r="G7" i="24" l="1"/>
  <c r="H7" i="24" s="1"/>
  <c r="G6" i="24"/>
  <c r="H6" i="24" s="1"/>
  <c r="L13" i="24"/>
  <c r="L55" i="24"/>
  <c r="L47" i="24"/>
  <c r="K57" i="24"/>
  <c r="K49" i="24"/>
  <c r="K48" i="24"/>
  <c r="K56" i="24"/>
  <c r="K50" i="24"/>
  <c r="K58" i="24"/>
  <c r="K4" i="24"/>
  <c r="H9" i="24" l="1"/>
  <c r="G9" i="24"/>
  <c r="M47" i="24"/>
  <c r="L49" i="24"/>
  <c r="L57" i="24"/>
  <c r="J7" i="24" s="1"/>
  <c r="K7" i="24" s="1"/>
  <c r="L58" i="24"/>
  <c r="J8" i="24" s="1"/>
  <c r="K8" i="24" s="1"/>
  <c r="L50" i="24"/>
  <c r="K62" i="24"/>
  <c r="K59" i="24" s="1"/>
  <c r="L48" i="24"/>
  <c r="L56" i="24"/>
  <c r="K60" i="24"/>
  <c r="J5" i="24"/>
  <c r="L4" i="24"/>
  <c r="Y22" i="5"/>
  <c r="D22" i="5"/>
  <c r="K5" i="24" l="1"/>
  <c r="J6" i="24"/>
  <c r="K6" i="24" s="1"/>
  <c r="M48" i="24"/>
  <c r="M50" i="24"/>
  <c r="L8" i="24" s="1"/>
  <c r="M58" i="24"/>
  <c r="L62" i="24"/>
  <c r="L59" i="24" s="1"/>
  <c r="D26" i="5"/>
  <c r="Y26" i="5"/>
  <c r="L60" i="24"/>
  <c r="D25" i="5"/>
  <c r="Y25" i="5"/>
  <c r="M49" i="24"/>
  <c r="L7" i="24" s="1"/>
  <c r="L6" i="24" l="1"/>
  <c r="M62" i="24"/>
  <c r="M59" i="24" s="1"/>
  <c r="M60" i="24"/>
  <c r="Y24" i="5"/>
  <c r="D24" i="5"/>
  <c r="J9" i="24"/>
  <c r="D23" i="5"/>
  <c r="L5" i="24"/>
  <c r="Y23" i="5"/>
  <c r="K9" i="24"/>
  <c r="B6" i="19" l="1"/>
  <c r="B10" i="19"/>
  <c r="B9" i="19"/>
  <c r="B7" i="19"/>
  <c r="B8" i="19"/>
  <c r="D6" i="19"/>
  <c r="C6" i="19" l="1"/>
  <c r="B11" i="19"/>
  <c r="Y13" i="5" l="1"/>
  <c r="D13" i="5"/>
  <c r="D8" i="19"/>
  <c r="C8" i="19" s="1"/>
  <c r="D7" i="19"/>
  <c r="Y15" i="5" l="1"/>
  <c r="D15" i="5"/>
  <c r="C7" i="19"/>
  <c r="D9" i="19"/>
  <c r="C9" i="19" s="1"/>
  <c r="K4" i="5"/>
  <c r="T28" i="5" s="1"/>
  <c r="D4" i="5"/>
  <c r="H4" i="5" s="1"/>
  <c r="C14" i="20"/>
  <c r="AB13" i="5"/>
  <c r="D10" i="19" l="1"/>
  <c r="C10" i="19" s="1"/>
  <c r="D16" i="5"/>
  <c r="Y16" i="5"/>
  <c r="D11" i="19"/>
  <c r="Y14" i="5"/>
  <c r="D14" i="5"/>
  <c r="C11" i="19"/>
  <c r="D6" i="5"/>
  <c r="K6" i="5"/>
  <c r="T30" i="5" s="1"/>
  <c r="C16" i="20"/>
  <c r="AB15" i="5"/>
  <c r="F14" i="20"/>
  <c r="C23" i="20"/>
  <c r="N4" i="5"/>
  <c r="K5" i="5" l="1"/>
  <c r="T29" i="5" s="1"/>
  <c r="D5" i="5"/>
  <c r="AB14" i="5"/>
  <c r="C15" i="20"/>
  <c r="C25" i="20"/>
  <c r="F16" i="20"/>
  <c r="AB16" i="5"/>
  <c r="C17" i="20"/>
  <c r="K7" i="5"/>
  <c r="T31" i="5" s="1"/>
  <c r="D7" i="5"/>
  <c r="H6" i="5"/>
  <c r="Y17" i="5"/>
  <c r="D17" i="5"/>
  <c r="C29" i="20"/>
  <c r="F23" i="20"/>
  <c r="G23" i="20" s="1"/>
  <c r="N6" i="5" l="1"/>
  <c r="F25" i="20"/>
  <c r="G25" i="20" s="1"/>
  <c r="C31" i="20"/>
  <c r="H7" i="5"/>
  <c r="F15" i="20"/>
  <c r="C24" i="20"/>
  <c r="F17" i="20"/>
  <c r="C26" i="20"/>
  <c r="H5" i="5"/>
  <c r="K8" i="5"/>
  <c r="T32" i="5" s="1"/>
  <c r="D8" i="5"/>
  <c r="C18" i="20"/>
  <c r="AB17" i="5"/>
  <c r="H8" i="5" l="1"/>
  <c r="N7" i="5"/>
  <c r="N5" i="5"/>
  <c r="C32" i="20"/>
  <c r="F26" i="20"/>
  <c r="G26" i="20" s="1"/>
  <c r="C27" i="20"/>
  <c r="F18" i="20"/>
  <c r="F24" i="20"/>
  <c r="G24" i="20" s="1"/>
  <c r="C30" i="20"/>
  <c r="C33" i="20" l="1"/>
  <c r="F27" i="20"/>
  <c r="G27" i="20" s="1"/>
  <c r="N8" i="5"/>
</calcChain>
</file>

<file path=xl/sharedStrings.xml><?xml version="1.0" encoding="utf-8"?>
<sst xmlns="http://schemas.openxmlformats.org/spreadsheetml/2006/main" count="909" uniqueCount="287">
  <si>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</si>
  <si>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</si>
  <si>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</si>
  <si>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</si>
  <si>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</si>
  <si>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</si>
  <si>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</si>
  <si>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</si>
  <si>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</si>
  <si>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</si>
  <si>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</si>
  <si>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</si>
  <si>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</si>
  <si>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</si>
  <si>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</si>
  <si>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</si>
  <si>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</si>
  <si>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</si>
  <si>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</si>
  <si>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</si>
  <si>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</si>
  <si>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</si>
  <si>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</si>
  <si>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</si>
  <si>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</si>
  <si>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</si>
  <si>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</si>
  <si>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</si>
  <si>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</si>
  <si>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</si>
  <si>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</si>
  <si>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</si>
  <si>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</si>
  <si>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</si>
  <si>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</si>
  <si>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</si>
  <si>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</si>
  <si>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</si>
  <si>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</si>
  <si>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</si>
  <si>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</si>
  <si>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</si>
  <si>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</si>
  <si>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</si>
  <si>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</si>
  <si>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</si>
  <si>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</si>
  <si>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</si>
  <si>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</si>
  <si>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</si>
  <si>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</si>
  <si>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</si>
  <si>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</si>
  <si>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</si>
  <si>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</si>
  <si>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</si>
  <si>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</si>
  <si>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</si>
  <si>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</si>
  <si>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</si>
  <si>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</si>
  <si>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</si>
  <si>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</si>
  <si>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</si>
  <si>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</si>
  <si>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</si>
  <si>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</si>
  <si>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</si>
  <si>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</si>
  <si>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</si>
  <si>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</si>
  <si>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</si>
  <si>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</si>
  <si>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</si>
  <si>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</si>
  <si>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</si>
  <si>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</si>
  <si>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</si>
  <si>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</si>
  <si>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</si>
  <si>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</si>
  <si>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</si>
  <si>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</si>
  <si>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</si>
  <si>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</si>
  <si>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</si>
  <si>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</si>
  <si>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</si>
  <si>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</si>
  <si>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</si>
  <si>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</si>
  <si>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</si>
  <si>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</si>
  <si>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</si>
  <si>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</si>
  <si>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</si>
  <si>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</si>
  <si>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</si>
  <si>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</si>
  <si>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</si>
  <si>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</si>
  <si>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</si>
  <si>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</si>
  <si>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</si>
  <si>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</si>
  <si>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</si>
  <si>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</si>
  <si>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</si>
  <si>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</si>
  <si>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</si>
  <si>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</si>
  <si>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</si>
  <si>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</si>
  <si>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</si>
  <si>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</si>
  <si>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</si>
  <si>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</si>
  <si>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</si>
  <si>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</si>
  <si>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</si>
  <si>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</si>
  <si>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</si>
  <si>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</si>
  <si>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</si>
  <si>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</si>
  <si>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</si>
  <si>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</si>
  <si>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</si>
  <si>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</si>
  <si>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</si>
  <si>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</si>
  <si>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</si>
  <si>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</si>
  <si>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</si>
  <si>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</si>
  <si>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</si>
  <si>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</si>
  <si>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</si>
  <si>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</si>
  <si>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</si>
  <si>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</si>
  <si>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</si>
  <si>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</si>
  <si>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</si>
  <si>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</si>
  <si>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</si>
  <si>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</si>
  <si>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</si>
  <si>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</si>
  <si>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</si>
  <si>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</si>
  <si>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</si>
  <si>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</si>
  <si>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</si>
  <si>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</si>
  <si>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</si>
  <si>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</si>
  <si>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Cycle 2 - Total</t>
  </si>
  <si>
    <t>1. Total Earnings Opportunity - Source: Metro EO Calculation PY1-PY3 v2.xlsx, Metro EO Calculation PY4.xlsx</t>
  </si>
  <si>
    <t>5. Total Earnings Opportunity plus Carrying Costs - Source: Sum of Columns 1. through 4.</t>
  </si>
  <si>
    <t>1.  Actual monthly EO - Source: Sum of Line 3.
    Forecasted monthly EO - Source: Sum of Line 3.</t>
  </si>
  <si>
    <t>Cycle 3 - Total</t>
  </si>
  <si>
    <t>Cycle 3 - Program Year 3 (including EO TD Adjustments TBD)</t>
  </si>
  <si>
    <t>Cycle 3 Earnings Opportunity (EO) Calculation</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</si>
  <si>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</si>
  <si>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</si>
  <si>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</si>
  <si>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</si>
  <si>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2 - EO TD Adjustments Carrying Costs May - October 2022 (Amortize February 2022-January 2024)</t>
  </si>
  <si>
    <t>Cycle 3 - Program Year 1 (including EO TD Adjustments through October 2021) (Amortize February 2022-January 2023)</t>
  </si>
  <si>
    <t>Cycle 3 Earnings Opportunity Reconciliation (EOR) Calculation</t>
  </si>
  <si>
    <t>Cycle 2 - EO TD Adjustments Carrying Costs November 2021 - April 2022 (Amortize August 2022-July 2024)</t>
  </si>
  <si>
    <t>Cycle 3 - Program Year 1 EO TD Adjustments November 2021 - April 2022 (Amortize August 2022 - July 2023)</t>
  </si>
  <si>
    <t>2. Forecasted program costs by customer class - Source: Sum of 2. and 3.</t>
  </si>
  <si>
    <t>2. Forecasted Throughput Disincentive -Sum of 3. and 4.</t>
  </si>
  <si>
    <t>1. &amp; 3. Actual monthly Ordered Adjustments - Source: None</t>
  </si>
  <si>
    <t>Cycle 3 Ordered Adjustment (OA) Calculation</t>
  </si>
  <si>
    <t>Cycle 3 Ordered Adjustments Reconciliation (OAR) Calculation</t>
  </si>
  <si>
    <t>2. Forecasted Throughput Disincentive - Source: None, TD reset effective December 2022</t>
  </si>
  <si>
    <t>1. Ordered Adjustment - Program Costs</t>
  </si>
  <si>
    <t>2. Ordered Adjustment - Throughput Disincentive</t>
  </si>
  <si>
    <t>3. Carrying Costs on OA</t>
  </si>
  <si>
    <t>Cycle 2 - EO TD Adjustments Carrying Costs May 2022 - November 2022 (Amortize February 2023-January 2025)</t>
  </si>
  <si>
    <t>Cycle 3 - Program Year 1 EO TD Adjustments May 2022 - November 2022 (Amortize February 2023 - January 2024)</t>
  </si>
  <si>
    <t>Allocation</t>
  </si>
  <si>
    <t>Evergy Metro, Inc. - DSIM Rider Update Filed 06/01/2023</t>
  </si>
  <si>
    <t>Projections for Cycle 3 July 2023 - June 2024 DSIM</t>
  </si>
  <si>
    <t>3. Cycle 3 Forecast - July 2023 - June 2024</t>
  </si>
  <si>
    <t>4. Cycle 3 Extension - July 2023 - June 2024</t>
  </si>
  <si>
    <t>Cumulative Over/Under Carryover From 12/01/2022 Filing</t>
  </si>
  <si>
    <t>Cycle 3 - Program Year 2 (including EO TD Adjustments through December 2022) (Amortize August 2023-July 2024)</t>
  </si>
  <si>
    <t>6. Amortization Over 12 Month Recovery Period - Source: Column 5  Program Year 1 EO TD Adjustments November 2021 - April 2022 divided by 12 times 1 month in forecast period,  Program Year 1 EO TD Adjustments May 2022 - November 2022 divided by 12 times 7 months in forecast period; Program Year 2 including EO TD Adjustments through December 2022 divided by 12 times 11 months in forecast period</t>
  </si>
  <si>
    <t>1. Total Earnings Opportunity - Source: Metro EO Calculated Cycle 3 PY1.xlsx, Metro EO Calculated Cycle 3 PY2.xlsx</t>
  </si>
  <si>
    <t>2. EO TD Ex Post Gross Adjustment -  Source: Metro Cycle 3 PY1 EO TD Adj Calc.xlsx, Metro Cycle 3 PY2 EO TD Adj Calc.xlsx</t>
  </si>
  <si>
    <t>3. EO TD NTG Adjustment -  Source: Metro Cycle 3 PY1 EO TD Adj Calc.xlsx, Metro Cycle 3 PY2 EO TD Adj Calc.xlsx</t>
  </si>
  <si>
    <t>4. Carrying Costs @ AFUDC Rate -  Source: Metro Cycle 3 PY1 EO TD Adj Calc.xlsx, Metro Cycle 3 PY2 EO TD Adj Calc.xlsx</t>
  </si>
  <si>
    <t>3. Forecasted program costs by customer class - Source: MEEIA Cycle 3 Forecast Metro 042023 05142023.xlsx</t>
  </si>
  <si>
    <t>4. Forecasted program costs by customer class - Source: MEEIA Cycle 3 Forecast Metro 042023 05142023.xlsx</t>
  </si>
  <si>
    <t>.</t>
  </si>
  <si>
    <t>Cycle 2 - EO TD Adjustments December 2022 (Amortize August 2023-July 2025)</t>
  </si>
  <si>
    <t>6. Amortization Over 24 Month Recovery Period - Source: Column 5  PY 1 - 3 divided by 24 times 0 months remaining recovery, PY 4 Column 5 divided by 24 times 0, EO TD Adjustments January - November 2022 Column 5 divided by 24 times 1, EO TD Adjustments Carrying Costs May - October 2022 Column 5 divided by 24 times 7, EO TD Adjustments Carrying Costs November 2021 - April 2022 Column 5 divided by 24 times 12, EO TD Adjustments Carrying Costs May 2022 - November 2022 Column 5 divided by 24 times 12;  EO TD Adjustments December 2022 Column 5 divided by 24 times 11</t>
  </si>
  <si>
    <t>5. Monthly Short-Term Borrowing Rate - Source: Metro Short-Term Borrowing Rate November 2022 - April 2023.xlsx</t>
  </si>
  <si>
    <t>7. Cycle 2 kWh Participation - Source: Metro Cycle 2 Monthly TD Calc 122022 01092023.xlsx</t>
  </si>
  <si>
    <t>Reverse November 2022 - January 2023 Forecast From 12/01/2022 Filing</t>
  </si>
  <si>
    <t>3. Forecasted Throughput Disincentive - Source: MEEIA Cycle 3 Forecast Metro 042023.xlsx</t>
  </si>
  <si>
    <t>4. Forecasted Throughput Disincentive - Source: MEEIA Cycle 3 Forecast Metro 042023.xlsx</t>
  </si>
  <si>
    <t>1. &amp; 4. Actual monthly TD - Source: Metro Cycle 2 Monthly TD Calc 122022 01092023.xlsx
    Forecasted monthly TD - Source:Metro Cycle 2 Monthly TD Calc 122022 01092023.xlsx</t>
  </si>
  <si>
    <t>3. Actual kWh Sales Impact - Source:  Metro Cycle 2 Monthly TD Calc 122022 01092023.xlsx
    Forecasted kWh Sales Impact - Source: None</t>
  </si>
  <si>
    <t>8. Cycle 2 kWh Participation - Source: Metro Cycle 2 Monthly TD Calc 122022 01092023.xlsx</t>
  </si>
  <si>
    <t>1. &amp; 4. Actual monthly TD - Source: Metro Cycle 3 Monthly TD Calc 042023 05102023.xlsx
    Forecasted monthly TD - Source: MEEIA Cycle 3 Forecast Metro 042023.xlsx</t>
  </si>
  <si>
    <t>4. Carrying Costs @ AFUDC Rate -  Source: TD Model Metro PY1-3 122022.xlsx, TD Model PY4 122022.xlsx</t>
  </si>
  <si>
    <t>2. EO TD Ex Post Gross Adjustment -  Source: TD Model Metro PY1-3 122022.xlsx, TD Model PY4 122022.xlsx</t>
  </si>
  <si>
    <t>3. EO TD NTG Adjustment -  Source: TD Model Metro PY1-3 122022.xlsx, TD Model PY4 122022.xlsx</t>
  </si>
  <si>
    <t>3. Actual kWh Sales Impact - Source:  Metro Cycle 3 Monthly TD Calc 042023 05102023.xlsx
    Forecasted kWh Sales Impact - Source: MEEIA Cycle 3 Forecast Metro 042023.xlsx</t>
  </si>
  <si>
    <t>3. Actual/Forecasted EO Amortization - Source:  EO Cycle 2 tab column G divided by remaining months on EO Cycle 2 tab.</t>
  </si>
  <si>
    <t>3. Actual/Forecasted EO Amortization - Source:  EO Cycle 3 tab column G divided by remaining months on EO Cycle 3 tab.</t>
  </si>
  <si>
    <t>4. Total monthly interest - Source: Calculated</t>
  </si>
  <si>
    <t>NOA = Net Ordered Adjustment for the upcoming EP plus the succeeding EP (OA + OAR)</t>
  </si>
  <si>
    <t xml:space="preserve">PE = Projected Energy, in kWh to be delivered during the upcoming RP plus the succeeding RP </t>
  </si>
  <si>
    <t>2. Actual monthly kWh billed sales by customer classes: Residential, Small General Service, Medium General Service, Large General Service and Large Power Service (reduced for opt-out) - Source: Metro MEEIA 2022-2023 Revenue Analysis.xlsx
    Forecasted monthly kWh billed sales by customer classes: Residential, Small General Service, Medium General Service, Large General Service and Large Power Service (reduced for opt-out) - Source: Billed kWh Budget Metro Missouri 2023-2024.xlsx</t>
  </si>
  <si>
    <t>3. Actual monthly billed revenues by customer classes: Residential, Small General Service, Medium General Service, Large General Service and Large Power Service (program cost revenues only) - Metro MEEIA 2022-2023 Revenue Analysis.xlsx
    Forecasted monthly billed revenues by customer classes: Residential, Small General Service, Medium General Service, Large General Service and Large Power Service (program cost revenues only) - Source: calculated = Forecasted billed kWh sales X tariff rate</t>
  </si>
  <si>
    <t>1. Actual monthly program costs allocated to customer classes: Residential, Small General Service, Medium General Service, Large General Service and Large Power Service - Source: None
    Forecasted monthly program costs allocated to customer classes: Residential, Small General Service, Medium General Service, Large General Service and Large Power Service - Source: None</t>
  </si>
  <si>
    <t>1. Actual monthly program costs allocated to customer classes: Residential, Small General Service, Medium General Service, Large General Service and Large Power Service - Source: 11 2022 Metro Spend Allocations Worksheet.xlsx, 12 2022 Metro Spend Allocations Worksheet.xlsx, 01 2023 Metro Spend Allocations Worksheet.xlsx, 02 2023 Metro Spend Allocations Worksheet.xlsx, 03 2023 Metro Spend Allocations Worksheet.xlsx, 04 2023 Metro Spend Allocations Worksheet.xlsx
    Forecasted monthly program costsallocated to customer classes: Residential, Small General Service, Medium General Service, Large General Service and Large Power Service - Source: MEEIA Cycle 3 Forecast Metro 042023.xlsx</t>
  </si>
  <si>
    <t>2. Actual monthly billed revenues by customer classes: Residential, Small General Service, Medium General Service, Large General Service and Large Power Service (TD revenues only) - Metro MEEIA 2022-2023 Revenue Analysis.xlsx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</si>
  <si>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(EO revenues only) - Metro MEEIA 2022-2023 Revenue Analysis.xlsx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</si>
  <si>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Metro MEEIA 2022-2023 Revenue Analysis.xlsx
Forecasted monthly billed revenues by customer classes: Residential, Small General Service, Medium General Service, Large General Service and Large Power Service (OA revenues only) - Source: calculated = Forecasted billed kWh sales X tariff rate</t>
  </si>
  <si>
    <t>Tab</t>
  </si>
  <si>
    <t>Tariff Tables</t>
  </si>
  <si>
    <t>Summary Description</t>
  </si>
  <si>
    <t>Summary of Sources</t>
  </si>
  <si>
    <t>Calculation of DSIM Rates by Customer Class Effective August 1, 2023 through January 31, 2024</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</si>
  <si>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</si>
  <si>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</si>
  <si>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</si>
  <si>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</si>
  <si>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</si>
  <si>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</si>
  <si>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PCR Cycle 3</t>
  </si>
  <si>
    <t>PTD Cycle 2</t>
  </si>
  <si>
    <t>Projected Throughput Disincentive for Cycle 2 for the period July 2023 through June 2024 are zero due to the rebasing of cumulative kWh savings in the most recent rates effective January 2023.</t>
  </si>
  <si>
    <t>Projected Program Costs for Cycle 3 for the period July 2023 through June 2024 and projected billed kWh sales for the period August 2023 through July 2024</t>
  </si>
  <si>
    <t>The Company updates a forecast of program costs and throughput disincentive, among other items, based on actual reported results through April 2023 and forecasted results through the remainder of Cycle 3. Program costs by customer class are summarized from that forecast. Projected billed kWh sales by customer class (net of opt outs) are extracted from the Company budget.</t>
  </si>
  <si>
    <t xml:space="preserve">The Company updates a forecast of program costs and throughput disincentive, among other items, based on actual reported results through April 2023 and forecasted results through the remainder of Cycle 3. Throughput Disincentive by customer class is summarized from that forecast. </t>
  </si>
  <si>
    <t>PTD Cycle 3</t>
  </si>
  <si>
    <t>Projected Throughput Disincentive for Cycle 3 for the period July 2023 through June 2024</t>
  </si>
  <si>
    <t>Projected Throughput Disincentive for Cycle 2 for the period July 2023 through June 2024.</t>
  </si>
  <si>
    <t>TDR Cycle 2</t>
  </si>
  <si>
    <t>TDR Cycle 3</t>
  </si>
  <si>
    <t>Throughput Disincentive Reconciliation for Cycle 2 for the period November 2022 through April 2023 compares the DSIM revenues billed for the Cycle 2 cost components to calculated Throughput Disincentive for Cycle 2 (November and December 2022 only as noted above) and the carryforward of under or over recovered Cycle 2 Throughput Disincentive.</t>
  </si>
  <si>
    <t>Throughput Disincentive Reconciliation for Cycle 2 for the period November 2022 through April 2023 compares the DSIM revenues billed for the Cycle 3 cost components to calculated Throughput Disincentive for Cycle 3 and the carryforward of under or over recovered Cycle 3 Throughput Disincentive.</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</si>
  <si>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</si>
  <si>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Program Cost Reconciliation for Cycle 2 for the period November 2022 through April 2023 compares the DSIM revenues billed for the Cycle 2 cost components to the carryforward of under or over recovered Cycle 2 Program Costs.</t>
  </si>
  <si>
    <t>Program Cost Reconciliation for Cycle 3 for the period November 2022 through April 2023 compares the DSIM revenues billed for the Cycle 3 cost components to actual program costs incurred plus the carryforward of under or over recovered Cycle 3 Program Costs.</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</si>
  <si>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</si>
  <si>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2</t>
  </si>
  <si>
    <t>EO Cycle 3</t>
  </si>
  <si>
    <t>EOR Cycle 2</t>
  </si>
  <si>
    <t>EOR Cycle 3</t>
  </si>
  <si>
    <t>OA Cycle 2</t>
  </si>
  <si>
    <t>OA Cycle 3</t>
  </si>
  <si>
    <t>OAR Cycle 2</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</si>
  <si>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</si>
  <si>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</si>
  <si>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Ordered Adjustments Reconciliation for Cycle 3 for the period November 2022 through April 2023 compares the DSIM revenues billed for the Cycle 3 cost components to the carryforward of under or over recovered Cycle 3 Ordered Adjustments.</t>
  </si>
  <si>
    <t>Ordered Adjustments Reconciliation for Cycle 2 for the period November 2022 through April 2023 compares the DSIM revenues billed for the Cycle 2 cost components to the carryforward of under or over recovered Cycle 2 Ordered Adjustments.</t>
  </si>
  <si>
    <t>1. Ordered Adjustment - Source: None</t>
  </si>
  <si>
    <t>2. Carrying Costs on OA - Source: None</t>
  </si>
  <si>
    <t>None - There were no additional Ordered Adjustments for Cycle 2 for the period July 2023 through June 2024</t>
  </si>
  <si>
    <t>Ordered Adjustments for Cycle 2 for the period July 2023 through June 2024</t>
  </si>
  <si>
    <t>None - There were no additional Ordered Adjustments for Cycle 3 for the period July 2023 through June 2024</t>
  </si>
  <si>
    <t>Ordered Adjustments for Cycle 3 for the period July 2023 through June 2024</t>
  </si>
  <si>
    <t>Earnings Opportunity Cycle 2, including EO TD Ex Post Gross and Net to Gross Adjustments (EO TD Adjustments) for the period July 2023 through June 2024</t>
  </si>
  <si>
    <t xml:space="preserve">Earnings Opportunity Cycle 3, including EO TD Ex Post Gross and Net to Gross Adjustments (EO TD Adjustments) for the period July 2023 through June 2024 </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</si>
  <si>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</si>
  <si>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</si>
  <si>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Earnings Opportunity Reconciliation for Cycle 2 for the period November 2022 through April 2023 compares the DSIM revenues billed for the Cycle 2 cost components to amortization of EO Cycle 2 above and the carryforward of under or over recovered Cycle 2 Earnings Opportunity.</t>
  </si>
  <si>
    <t>Earnings Opportunity Reconciliation for Cycle 3 for the period November 2022 through April 2023 compares the DSIM revenues billed for the Cycle 2 cost components to amortization of EO Cycle 3 above and the carryforward of under or over recovered Cycle 3 Earnings Opportunity.</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</si>
  <si>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</si>
  <si>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</si>
  <si>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</si>
  <si>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2 (2021) based on the final EM&amp;V results approved in  EO TD Adjustments with carrying costs through April 2023 plus continued amortization of previously reported amounts from prior updates as appropriate.</t>
  </si>
  <si>
    <t>1. Ordered Adjustment - Program Costs - Source: None</t>
  </si>
  <si>
    <t>2. Ordered Adjustment - Throughput Disincentive - Source: None</t>
  </si>
  <si>
    <t>3. Carrying Costs on OA - Source: None</t>
  </si>
  <si>
    <t>1. Forecasted kWh by  Residential, Small General Service, Medium General Service, Large General Service and Large Power Service (Reduced for Opt-Out) - Source: Billed kWh Budget Metro Missouri 2023-2024.xlsx</t>
  </si>
  <si>
    <t>1. Forecasted kWh savings by customer classes: Residential, Small General Service, Medium General Service, Large General Service and Large Power Service - Source: None, TD reset effective December 2022</t>
  </si>
  <si>
    <t>1. Forecasted kWh savings by customer classes: Residential, Small General Service, Medium General Service, Large General Service and Large Power Service - Source: MEEIA Cycle 3 Forecast Metro 042023.xlsx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</si>
</sst>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_);_(&quot;$&quot;* \(#,##0.00\);_(&quot;$&quot;* &quot;-&quot;_);_(@_)"/>
  </numFmts>
  <fonts count="4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27">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7" fontId="5" fillId="37" borderId="1" xfId="6" applyNumberFormat="1" applyFill="1" applyBorder="1"/>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0" borderId="3"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14" fillId="7" borderId="13" xfId="13" applyNumberFormat="1" applyBorder="1"/>
    <xf numFmtId="43" fontId="14" fillId="7" borderId="1" xfId="1" applyFont="1" applyFill="1" applyBorder="1"/>
    <xf numFmtId="44" fontId="8" fillId="0" borderId="0" xfId="0" applyNumberFormat="1" applyFont="1" applyFill="1" applyAlignment="1">
      <alignment wrapText="1"/>
    </xf>
    <xf numFmtId="167" fontId="33" fillId="0" borderId="33" xfId="1" applyNumberFormat="1" applyFont="1" applyFill="1" applyBorder="1"/>
    <xf numFmtId="44" fontId="33" fillId="0" borderId="33" xfId="7" applyNumberFormat="1" applyFont="1" applyFill="1" applyBorder="1"/>
    <xf numFmtId="0" fontId="8" fillId="0" borderId="0" xfId="0" applyFont="1" applyFill="1" applyAlignment="1">
      <alignment horizontal="left"/>
    </xf>
    <xf numFmtId="170" fontId="40" fillId="0" borderId="3" xfId="0" applyNumberFormat="1" applyFont="1" applyFill="1" applyBorder="1" applyAlignment="1">
      <alignment vertical="center"/>
    </xf>
    <xf numFmtId="172" fontId="40" fillId="0" borderId="6" xfId="0" applyNumberFormat="1" applyFont="1" applyBorder="1" applyAlignment="1">
      <alignment horizontal="right"/>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70" xfId="0" applyBorder="1" applyAlignment="1">
      <alignment vertical="top" wrapText="1"/>
    </xf>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Billed%20kWh%20Budget%20Metro%20Missouri%202023-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03%202023%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04%202023%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Cycle%203%20Monthly%20TD%20Calc%20042023%200510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TD%20Model%20Metro%20PY1-3%2012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TD%20Model%20Metro%20PY4%2012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etro%20MEEIA%20DSIM%20RIDER\20220601%20Filing\Metro%20EO%20Calculated%20Cycle%203%20PY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etro%20MEEIA%20DSIM%20RIDER\20221201%20Filing\Metro%20Cycle%203%20PY1%20EO%20TD%20Adj%20Calc.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EO%20Calculated%20Cycle%203%20PY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Cycle%203%20PY2%20EO%20TD%20Adj%20Cal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EIA%20Cycle%203%20Forecast%20Metro%2004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Cycle%202%20Monthly%20TD%20Calc%20%20122022%200109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MEEIA%202022-2023%20Revenue%20Analys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Metro%20Short-Term%20Borrowing%20Rate%20November%202022%20-%20April%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11%202022%20Metro%20Spend%20Allocations%20Workshee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12%202022%20Metro%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01%202023%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etro%20MEEIA%20DSIM%20RIDER\20230601%20Filing\02%202023%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U24">
            <v>156663800</v>
          </cell>
          <cell r="V24">
            <v>196485409</v>
          </cell>
          <cell r="W24">
            <v>284595150</v>
          </cell>
        </row>
        <row r="25">
          <cell r="U25">
            <v>45167967</v>
          </cell>
          <cell r="V25">
            <v>49683103</v>
          </cell>
          <cell r="W25">
            <v>55656152</v>
          </cell>
        </row>
        <row r="26">
          <cell r="U26">
            <v>83054475</v>
          </cell>
          <cell r="V26">
            <v>91356869</v>
          </cell>
          <cell r="W26">
            <v>102340060</v>
          </cell>
        </row>
        <row r="27">
          <cell r="U27">
            <v>134451554</v>
          </cell>
          <cell r="V27">
            <v>147891765</v>
          </cell>
          <cell r="W27">
            <v>165671748</v>
          </cell>
        </row>
        <row r="28">
          <cell r="U28">
            <v>34969833</v>
          </cell>
          <cell r="V28">
            <v>38465531</v>
          </cell>
          <cell r="W28">
            <v>43089970</v>
          </cell>
        </row>
        <row r="36">
          <cell r="G36">
            <v>1417042207</v>
          </cell>
          <cell r="H36">
            <v>1262902539</v>
          </cell>
        </row>
        <row r="37">
          <cell r="G37">
            <v>308739070</v>
          </cell>
          <cell r="H37">
            <v>292729897</v>
          </cell>
        </row>
        <row r="38">
          <cell r="G38">
            <v>567706783</v>
          </cell>
          <cell r="H38">
            <v>538269254</v>
          </cell>
        </row>
        <row r="39">
          <cell r="G39">
            <v>919024034</v>
          </cell>
          <cell r="H39">
            <v>871369508</v>
          </cell>
        </row>
        <row r="40">
          <cell r="G40">
            <v>239031207</v>
          </cell>
          <cell r="H40">
            <v>226636627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3 04072023"/>
      <sheetName val="Input"/>
      <sheetName val="Program Descriptions"/>
    </sheetNames>
    <sheetDataSet>
      <sheetData sheetId="0">
        <row r="30">
          <cell r="N30">
            <v>381862.94999999995</v>
          </cell>
          <cell r="O30">
            <v>22528.11</v>
          </cell>
          <cell r="P30">
            <v>102095.62000000001</v>
          </cell>
          <cell r="Q30">
            <v>130795.10999999999</v>
          </cell>
          <cell r="R30">
            <v>6349.0500000000056</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3 05042023"/>
      <sheetName val="Input"/>
      <sheetName val="Program Descriptions"/>
    </sheetNames>
    <sheetDataSet>
      <sheetData sheetId="0">
        <row r="30">
          <cell r="N30">
            <v>247370</v>
          </cell>
          <cell r="O30">
            <v>44764.2</v>
          </cell>
          <cell r="P30">
            <v>190195.94999999998</v>
          </cell>
          <cell r="Q30">
            <v>85224.93</v>
          </cell>
          <cell r="R30">
            <v>14255.779999999993</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PY1-3"/>
      <sheetName val="Monthly TD Calc-PY4"/>
    </sheetNames>
    <sheetDataSet>
      <sheetData sheetId="0" refreshError="1"/>
      <sheetData sheetId="1" refreshError="1"/>
      <sheetData sheetId="2">
        <row r="461">
          <cell r="AM461">
            <v>5847912.7526677642</v>
          </cell>
          <cell r="AN461">
            <v>7612960.3369381884</v>
          </cell>
          <cell r="AO461">
            <v>2248971.6371460729</v>
          </cell>
          <cell r="AP461">
            <v>2035291.2867038338</v>
          </cell>
          <cell r="AQ461">
            <v>1990431.4404071388</v>
          </cell>
          <cell r="AR461">
            <v>1922433.4928560792</v>
          </cell>
        </row>
        <row r="462">
          <cell r="AM462">
            <v>568132.39145111351</v>
          </cell>
          <cell r="AN462">
            <v>648462.46216177463</v>
          </cell>
          <cell r="AO462">
            <v>277312.95369607519</v>
          </cell>
          <cell r="AP462">
            <v>250671.87783302029</v>
          </cell>
          <cell r="AQ462">
            <v>278119.92153713811</v>
          </cell>
          <cell r="AR462">
            <v>265378.5658106081</v>
          </cell>
        </row>
        <row r="463">
          <cell r="AM463">
            <v>1829539.8077889152</v>
          </cell>
          <cell r="AN463">
            <v>2099480.3604816054</v>
          </cell>
          <cell r="AO463">
            <v>765534.83470857353</v>
          </cell>
          <cell r="AP463">
            <v>692277.42601755226</v>
          </cell>
          <cell r="AQ463">
            <v>767845.44313821197</v>
          </cell>
          <cell r="AR463">
            <v>730964.97503104957</v>
          </cell>
        </row>
        <row r="464">
          <cell r="AM464">
            <v>2749989.6157174464</v>
          </cell>
          <cell r="AN464">
            <v>3168473.647905081</v>
          </cell>
          <cell r="AO464">
            <v>1163558.8695408977</v>
          </cell>
          <cell r="AP464">
            <v>1051928.3272576134</v>
          </cell>
          <cell r="AQ464">
            <v>1166589.4515185549</v>
          </cell>
          <cell r="AR464">
            <v>1112625.1484034334</v>
          </cell>
        </row>
        <row r="465">
          <cell r="AM465">
            <v>319819.34481863602</v>
          </cell>
          <cell r="AN465">
            <v>339294.63898020145</v>
          </cell>
          <cell r="AO465">
            <v>159594.68393237609</v>
          </cell>
          <cell r="AP465">
            <v>144177.57882131313</v>
          </cell>
          <cell r="AQ465">
            <v>160069.73692379554</v>
          </cell>
          <cell r="AR465">
            <v>153209.00323944428</v>
          </cell>
        </row>
        <row r="563">
          <cell r="AM563">
            <v>295557.03999999998</v>
          </cell>
          <cell r="AN563">
            <v>355653.19</v>
          </cell>
          <cell r="AO563">
            <v>103916.28</v>
          </cell>
          <cell r="AP563">
            <v>98280.68</v>
          </cell>
          <cell r="AQ563">
            <v>99105.950000000012</v>
          </cell>
          <cell r="AR563">
            <v>101951.07999999999</v>
          </cell>
        </row>
        <row r="564">
          <cell r="AM564">
            <v>42426.599999999991</v>
          </cell>
          <cell r="AN564">
            <v>44703.8</v>
          </cell>
          <cell r="AO564">
            <v>15444.59</v>
          </cell>
          <cell r="AP564">
            <v>13711.49</v>
          </cell>
          <cell r="AQ564">
            <v>15600.149999999998</v>
          </cell>
          <cell r="AR564">
            <v>15683.530000000002</v>
          </cell>
        </row>
        <row r="565">
          <cell r="AM565">
            <v>86661.57</v>
          </cell>
          <cell r="AN565">
            <v>89888.92</v>
          </cell>
          <cell r="AO565">
            <v>27096.519999999997</v>
          </cell>
          <cell r="AP565">
            <v>24763.5</v>
          </cell>
          <cell r="AQ565">
            <v>28264.670000000002</v>
          </cell>
          <cell r="AR565">
            <v>28717.119999999999</v>
          </cell>
        </row>
        <row r="566">
          <cell r="AM566">
            <v>77061.42</v>
          </cell>
          <cell r="AN566">
            <v>78412.789999999994</v>
          </cell>
          <cell r="AO566">
            <v>26043.279999999999</v>
          </cell>
          <cell r="AP566">
            <v>23913.42</v>
          </cell>
          <cell r="AQ566">
            <v>27348.68</v>
          </cell>
          <cell r="AR566">
            <v>28038.239999999998</v>
          </cell>
        </row>
        <row r="567">
          <cell r="AM567">
            <v>4408.08</v>
          </cell>
          <cell r="AN567">
            <v>3894.3200000000006</v>
          </cell>
          <cell r="AO567">
            <v>1463.3</v>
          </cell>
          <cell r="AP567">
            <v>1570.0700000000002</v>
          </cell>
          <cell r="AQ567">
            <v>1766.35</v>
          </cell>
          <cell r="AR567">
            <v>1670.38</v>
          </cell>
        </row>
      </sheetData>
      <sheetData sheetId="3">
        <row r="469">
          <cell r="AO469">
            <v>3834.1738819345728</v>
          </cell>
          <cell r="AP469">
            <v>8138.1776795652004</v>
          </cell>
          <cell r="AQ469">
            <v>26538.388255325524</v>
          </cell>
          <cell r="AR469">
            <v>49130.25316579402</v>
          </cell>
        </row>
        <row r="470">
          <cell r="AO470">
            <v>18.24889766822761</v>
          </cell>
          <cell r="AP470">
            <v>34.40592629757915</v>
          </cell>
          <cell r="AQ470">
            <v>2642.2387186747651</v>
          </cell>
          <cell r="AR470">
            <v>7696.2182747002043</v>
          </cell>
        </row>
        <row r="471">
          <cell r="AO471">
            <v>36.612288614390394</v>
          </cell>
          <cell r="AP471">
            <v>69.027714799759536</v>
          </cell>
          <cell r="AQ471">
            <v>6510.5090334268489</v>
          </cell>
          <cell r="AR471">
            <v>30347.430477526712</v>
          </cell>
        </row>
        <row r="472">
          <cell r="AO472">
            <v>58.250541915799779</v>
          </cell>
          <cell r="AP472">
            <v>109.82383091765689</v>
          </cell>
          <cell r="AQ472">
            <v>22031.961546908125</v>
          </cell>
          <cell r="AR472">
            <v>46587.615720866524</v>
          </cell>
        </row>
        <row r="473">
          <cell r="AO473">
            <v>15.567350482990543</v>
          </cell>
          <cell r="AP473">
            <v>29.350217372246124</v>
          </cell>
          <cell r="AQ473">
            <v>213.83070492378079</v>
          </cell>
          <cell r="AR473">
            <v>1001.5097388693492</v>
          </cell>
        </row>
        <row r="575">
          <cell r="AO575">
            <v>234.95</v>
          </cell>
          <cell r="AP575">
            <v>520.32000000000005</v>
          </cell>
          <cell r="AQ575">
            <v>1732.6499999999999</v>
          </cell>
          <cell r="AR575">
            <v>3416.0499999999997</v>
          </cell>
        </row>
        <row r="576">
          <cell r="AO576">
            <v>1.05</v>
          </cell>
          <cell r="AP576">
            <v>1.94</v>
          </cell>
          <cell r="AQ576">
            <v>154.21</v>
          </cell>
          <cell r="AR576">
            <v>471.69</v>
          </cell>
        </row>
        <row r="577">
          <cell r="AO577">
            <v>1.34</v>
          </cell>
          <cell r="AP577">
            <v>2.56</v>
          </cell>
          <cell r="AQ577">
            <v>258.77</v>
          </cell>
          <cell r="AR577">
            <v>1254.17</v>
          </cell>
        </row>
        <row r="578">
          <cell r="AO578">
            <v>1.31</v>
          </cell>
          <cell r="AP578">
            <v>2.5099999999999998</v>
          </cell>
          <cell r="AQ578">
            <v>543.86</v>
          </cell>
          <cell r="AR578">
            <v>1229.98</v>
          </cell>
        </row>
        <row r="579">
          <cell r="AO579">
            <v>0.12</v>
          </cell>
          <cell r="AP579">
            <v>0.27</v>
          </cell>
          <cell r="AQ579">
            <v>11.8</v>
          </cell>
          <cell r="AR579">
            <v>29.28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63">
          <cell r="CE363">
            <v>-4076.2671785410494</v>
          </cell>
        </row>
        <row r="364">
          <cell r="CE364">
            <v>406.10000000000218</v>
          </cell>
        </row>
        <row r="365">
          <cell r="CE365">
            <v>8740.8000000000029</v>
          </cell>
        </row>
        <row r="366">
          <cell r="CE366">
            <v>4622.5</v>
          </cell>
        </row>
        <row r="367">
          <cell r="CE367">
            <v>8393.77</v>
          </cell>
        </row>
      </sheetData>
      <sheetData sheetId="3">
        <row r="370">
          <cell r="CE370">
            <v>-45587.562821458952</v>
          </cell>
        </row>
        <row r="371">
          <cell r="CE371">
            <v>-12146.360000000002</v>
          </cell>
        </row>
        <row r="372">
          <cell r="CE372">
            <v>-6387.0400000000009</v>
          </cell>
        </row>
        <row r="373">
          <cell r="CE373">
            <v>-7014.5</v>
          </cell>
        </row>
        <row r="374">
          <cell r="CE374">
            <v>-3106.7700000000004</v>
          </cell>
        </row>
      </sheetData>
      <sheetData sheetId="4"/>
      <sheetData sheetId="5">
        <row r="33">
          <cell r="V33">
            <v>-1261.31</v>
          </cell>
        </row>
      </sheetData>
      <sheetData sheetId="6">
        <row r="55">
          <cell r="CC55">
            <v>-2783.06</v>
          </cell>
          <cell r="CD55">
            <v>-2060.6799999999998</v>
          </cell>
          <cell r="CE55">
            <v>-1261.31</v>
          </cell>
        </row>
        <row r="56">
          <cell r="CC56">
            <v>-732.57</v>
          </cell>
          <cell r="CD56">
            <v>-667.29</v>
          </cell>
          <cell r="CE56">
            <v>-557.89</v>
          </cell>
        </row>
        <row r="57">
          <cell r="CC57">
            <v>-818.37</v>
          </cell>
          <cell r="CD57">
            <v>-945</v>
          </cell>
          <cell r="CE57">
            <v>-994.37</v>
          </cell>
        </row>
        <row r="58">
          <cell r="CC58">
            <v>-812.97</v>
          </cell>
          <cell r="CD58">
            <v>-888.23</v>
          </cell>
          <cell r="CE58">
            <v>-895.73</v>
          </cell>
        </row>
        <row r="59">
          <cell r="CC59">
            <v>122.7</v>
          </cell>
          <cell r="CD59">
            <v>76.819999999999993</v>
          </cell>
          <cell r="CE59">
            <v>28.6</v>
          </cell>
        </row>
      </sheetData>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sheetData sheetId="1"/>
      <sheetData sheetId="2">
        <row r="363">
          <cell r="CE363">
            <v>40142.191253676749</v>
          </cell>
        </row>
        <row r="364">
          <cell r="CE364">
            <v>90.479999999999563</v>
          </cell>
        </row>
        <row r="365">
          <cell r="CE365">
            <v>661.11000000000058</v>
          </cell>
        </row>
        <row r="366">
          <cell r="CE366">
            <v>-350.7100000000064</v>
          </cell>
        </row>
        <row r="367">
          <cell r="CE367">
            <v>1294.4099999999999</v>
          </cell>
        </row>
      </sheetData>
      <sheetData sheetId="3">
        <row r="370">
          <cell r="CE370">
            <v>-15877.141253676731</v>
          </cell>
        </row>
        <row r="371">
          <cell r="CE371">
            <v>260.51000000000022</v>
          </cell>
        </row>
        <row r="372">
          <cell r="CE372">
            <v>1302.0400000000009</v>
          </cell>
        </row>
        <row r="373">
          <cell r="CE373">
            <v>369.58000000000902</v>
          </cell>
        </row>
        <row r="374">
          <cell r="CE374">
            <v>-1188.8699999999999</v>
          </cell>
        </row>
      </sheetData>
      <sheetData sheetId="4"/>
      <sheetData sheetId="5">
        <row r="32">
          <cell r="V32">
            <v>547.99</v>
          </cell>
        </row>
      </sheetData>
      <sheetData sheetId="6">
        <row r="55">
          <cell r="CC55">
            <v>791.58</v>
          </cell>
          <cell r="CD55">
            <v>676.59</v>
          </cell>
          <cell r="CE55">
            <v>547.99</v>
          </cell>
        </row>
        <row r="56">
          <cell r="CC56">
            <v>-2.04</v>
          </cell>
          <cell r="CD56">
            <v>-2.42</v>
          </cell>
          <cell r="CE56">
            <v>-1.28</v>
          </cell>
        </row>
        <row r="57">
          <cell r="CC57">
            <v>42.68</v>
          </cell>
          <cell r="CD57">
            <v>36.479999999999997</v>
          </cell>
          <cell r="CE57">
            <v>31.25</v>
          </cell>
        </row>
        <row r="58">
          <cell r="CC58">
            <v>-47.8</v>
          </cell>
          <cell r="CD58">
            <v>-42.8</v>
          </cell>
          <cell r="CE58">
            <v>-32.11</v>
          </cell>
        </row>
        <row r="59">
          <cell r="CC59">
            <v>0.63</v>
          </cell>
          <cell r="CD59">
            <v>0.54</v>
          </cell>
          <cell r="CE59">
            <v>0.68</v>
          </cell>
        </row>
      </sheetData>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refreshError="1"/>
      <sheetData sheetId="1" refreshError="1"/>
      <sheetData sheetId="2" refreshError="1"/>
      <sheetData sheetId="3" refreshError="1"/>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row>
      </sheetData>
      <sheetData sheetId="6" refreshError="1"/>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0</v>
          </cell>
          <cell r="AK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0</v>
          </cell>
          <cell r="AK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0</v>
          </cell>
          <cell r="AK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0</v>
          </cell>
          <cell r="AK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0</v>
          </cell>
          <cell r="AK59">
            <v>0</v>
          </cell>
        </row>
      </sheetData>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ow r="183">
          <cell r="F183">
            <v>0.40598557632555871</v>
          </cell>
        </row>
      </sheetData>
      <sheetData sheetId="1" refreshError="1"/>
      <sheetData sheetId="2" refreshError="1"/>
      <sheetData sheetId="3" refreshError="1"/>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etro Monthly Prog Costs Upload"/>
      <sheetName val="Metro Monthly - kWh-kW Upload"/>
      <sheetName val="Combined Extension"/>
      <sheetName val="Summary"/>
      <sheetName val="Monthly Program Costs"/>
      <sheetName val="EMV Costs"/>
      <sheetName val="Monthly Program Costs Ext"/>
      <sheetName val="Monthly TD Calc"/>
      <sheetName val="Monthly TD Calc Ext"/>
      <sheetName val="Monthly kWh-kW"/>
      <sheetName val="R&amp;P"/>
      <sheetName val="ICF PY4 Bridge Yr Projections "/>
      <sheetName val="Simple"/>
      <sheetName val="TRC Ext"/>
      <sheetName val="Tstats Ext"/>
      <sheetName val="BDR Ext"/>
      <sheetName val="Internal Mktg Ext"/>
      <sheetName val="Labor &amp; Oth Admin"/>
      <sheetName val="EM&amp;V Ext"/>
      <sheetName val="EO Ex Post TD Calc"/>
      <sheetName val="EO NTG TD Calc"/>
      <sheetName val="EMV Results"/>
      <sheetName val="ICF SOW Amdt 2"/>
      <sheetName val="TRC SOW Amdt 1"/>
      <sheetName val="Metro EO Matrix @Meter"/>
      <sheetName val="Metro EO Table"/>
      <sheetName val="Mktg Forecast"/>
      <sheetName val="PAYS"/>
      <sheetName val="PAYS Reg Asset"/>
      <sheetName val="MEEIA Labor Alloc"/>
      <sheetName val="Other Admin"/>
      <sheetName val="Implementer Contract Rates"/>
      <sheetName val="Billed kWh Sales"/>
      <sheetName val="DSIM Revenues"/>
    </sheetNames>
    <sheetDataSet>
      <sheetData sheetId="0" refreshError="1"/>
      <sheetData sheetId="1" refreshError="1"/>
      <sheetData sheetId="2" refreshError="1"/>
      <sheetData sheetId="3" refreshError="1"/>
      <sheetData sheetId="4" refreshError="1"/>
      <sheetData sheetId="5" refreshError="1"/>
      <sheetData sheetId="6">
        <row r="290">
          <cell r="AV290">
            <v>-7667.2700000000023</v>
          </cell>
          <cell r="AW290">
            <v>-7667.25</v>
          </cell>
          <cell r="AX290">
            <v>0</v>
          </cell>
          <cell r="AY290">
            <v>0</v>
          </cell>
          <cell r="AZ290">
            <v>0</v>
          </cell>
          <cell r="BA290">
            <v>0</v>
          </cell>
          <cell r="BB290">
            <v>0</v>
          </cell>
          <cell r="BC290">
            <v>0</v>
          </cell>
          <cell r="BD290">
            <v>0</v>
          </cell>
          <cell r="BE290">
            <v>0</v>
          </cell>
          <cell r="BF290">
            <v>0</v>
          </cell>
          <cell r="BG290">
            <v>0</v>
          </cell>
          <cell r="BH290">
            <v>0</v>
          </cell>
          <cell r="BI290">
            <v>0</v>
          </cell>
        </row>
        <row r="291">
          <cell r="AV291">
            <v>16804.429999999997</v>
          </cell>
          <cell r="AW291">
            <v>16804.429999999997</v>
          </cell>
          <cell r="AX291">
            <v>0</v>
          </cell>
          <cell r="AY291">
            <v>0</v>
          </cell>
          <cell r="AZ291">
            <v>0</v>
          </cell>
          <cell r="BA291">
            <v>0</v>
          </cell>
          <cell r="BB291">
            <v>0</v>
          </cell>
          <cell r="BC291">
            <v>0</v>
          </cell>
          <cell r="BD291">
            <v>0</v>
          </cell>
          <cell r="BE291">
            <v>0</v>
          </cell>
          <cell r="BF291">
            <v>0</v>
          </cell>
          <cell r="BG291">
            <v>0</v>
          </cell>
          <cell r="BH291">
            <v>0</v>
          </cell>
          <cell r="BI291">
            <v>0</v>
          </cell>
        </row>
        <row r="292">
          <cell r="AV292">
            <v>18383.410000000003</v>
          </cell>
          <cell r="AW292">
            <v>18383.410000000003</v>
          </cell>
          <cell r="AX292">
            <v>0</v>
          </cell>
          <cell r="AY292">
            <v>0</v>
          </cell>
          <cell r="AZ292">
            <v>0</v>
          </cell>
          <cell r="BA292">
            <v>0</v>
          </cell>
          <cell r="BB292">
            <v>0</v>
          </cell>
          <cell r="BC292">
            <v>0</v>
          </cell>
          <cell r="BD292">
            <v>0</v>
          </cell>
          <cell r="BE292">
            <v>0</v>
          </cell>
          <cell r="BF292">
            <v>0</v>
          </cell>
          <cell r="BG292">
            <v>0</v>
          </cell>
          <cell r="BH292">
            <v>0</v>
          </cell>
          <cell r="BI292">
            <v>0</v>
          </cell>
        </row>
        <row r="293">
          <cell r="AV293">
            <v>31642.61</v>
          </cell>
          <cell r="AW293">
            <v>31642.62</v>
          </cell>
          <cell r="AX293">
            <v>0</v>
          </cell>
          <cell r="AY293">
            <v>0</v>
          </cell>
          <cell r="AZ293">
            <v>0</v>
          </cell>
          <cell r="BA293">
            <v>0</v>
          </cell>
          <cell r="BB293">
            <v>0</v>
          </cell>
          <cell r="BC293">
            <v>0</v>
          </cell>
          <cell r="BD293">
            <v>0</v>
          </cell>
          <cell r="BE293">
            <v>0</v>
          </cell>
          <cell r="BF293">
            <v>0</v>
          </cell>
          <cell r="BG293">
            <v>0</v>
          </cell>
          <cell r="BH293">
            <v>0</v>
          </cell>
          <cell r="BI293">
            <v>0</v>
          </cell>
        </row>
        <row r="294">
          <cell r="AV294">
            <v>8793.33</v>
          </cell>
          <cell r="AW294">
            <v>8793.33</v>
          </cell>
          <cell r="AX294">
            <v>0</v>
          </cell>
          <cell r="AY294">
            <v>0</v>
          </cell>
          <cell r="AZ294">
            <v>0</v>
          </cell>
          <cell r="BA294">
            <v>0</v>
          </cell>
          <cell r="BB294">
            <v>0</v>
          </cell>
          <cell r="BC294">
            <v>0</v>
          </cell>
          <cell r="BD294">
            <v>0</v>
          </cell>
          <cell r="BE294">
            <v>0</v>
          </cell>
          <cell r="BF294">
            <v>0</v>
          </cell>
          <cell r="BG294">
            <v>0</v>
          </cell>
          <cell r="BH294">
            <v>0</v>
          </cell>
          <cell r="BI294">
            <v>0</v>
          </cell>
        </row>
      </sheetData>
      <sheetData sheetId="7" refreshError="1"/>
      <sheetData sheetId="8">
        <row r="290">
          <cell r="AV290">
            <v>587225.34000000008</v>
          </cell>
          <cell r="AW290">
            <v>762947.09000000008</v>
          </cell>
          <cell r="AX290">
            <v>734225.61999999988</v>
          </cell>
          <cell r="AY290">
            <v>733951.57</v>
          </cell>
          <cell r="AZ290">
            <v>716388.43000000017</v>
          </cell>
          <cell r="BA290">
            <v>765846.27</v>
          </cell>
          <cell r="BB290">
            <v>482447.17999999993</v>
          </cell>
          <cell r="BC290">
            <v>638015.05000000005</v>
          </cell>
          <cell r="BD290">
            <v>12727.09</v>
          </cell>
          <cell r="BE290">
            <v>12727.09</v>
          </cell>
          <cell r="BF290">
            <v>12727.09</v>
          </cell>
          <cell r="BG290">
            <v>12727.09</v>
          </cell>
          <cell r="BH290">
            <v>12727.09</v>
          </cell>
          <cell r="BI290">
            <v>12727.09</v>
          </cell>
        </row>
        <row r="291">
          <cell r="AV291">
            <v>53027.85</v>
          </cell>
          <cell r="AW291">
            <v>77425.59</v>
          </cell>
          <cell r="AX291">
            <v>80600.049999999988</v>
          </cell>
          <cell r="AY291">
            <v>90318.95</v>
          </cell>
          <cell r="AZ291">
            <v>100912.55000000002</v>
          </cell>
          <cell r="BA291">
            <v>82622.37999999999</v>
          </cell>
          <cell r="BB291">
            <v>92180.56</v>
          </cell>
          <cell r="BC291">
            <v>150529.29999999999</v>
          </cell>
          <cell r="BD291">
            <v>2041</v>
          </cell>
          <cell r="BE291">
            <v>2041</v>
          </cell>
          <cell r="BF291">
            <v>2041</v>
          </cell>
          <cell r="BG291">
            <v>2041</v>
          </cell>
          <cell r="BH291">
            <v>2041</v>
          </cell>
          <cell r="BI291">
            <v>2041</v>
          </cell>
        </row>
        <row r="292">
          <cell r="AV292">
            <v>113699.98999999999</v>
          </cell>
          <cell r="AW292">
            <v>162648.57999999999</v>
          </cell>
          <cell r="AX292">
            <v>161705.78000000003</v>
          </cell>
          <cell r="AY292">
            <v>181204.55999999997</v>
          </cell>
          <cell r="AZ292">
            <v>202458.22999999998</v>
          </cell>
          <cell r="BA292">
            <v>165763.12</v>
          </cell>
          <cell r="BB292">
            <v>184939.45000000004</v>
          </cell>
          <cell r="BC292">
            <v>302003.02999999997</v>
          </cell>
          <cell r="BD292">
            <v>4094.7999999999997</v>
          </cell>
          <cell r="BE292">
            <v>4094.7999999999997</v>
          </cell>
          <cell r="BF292">
            <v>4094.7999999999997</v>
          </cell>
          <cell r="BG292">
            <v>4094.7999999999997</v>
          </cell>
          <cell r="BH292">
            <v>4094.7999999999997</v>
          </cell>
          <cell r="BI292">
            <v>4094.7999999999997</v>
          </cell>
        </row>
        <row r="293">
          <cell r="AV293">
            <v>191199.89</v>
          </cell>
          <cell r="AW293">
            <v>269077.62</v>
          </cell>
          <cell r="AX293">
            <v>257275.62999999998</v>
          </cell>
          <cell r="AY293">
            <v>288298.37</v>
          </cell>
          <cell r="AZ293">
            <v>322113.21000000002</v>
          </cell>
          <cell r="BA293">
            <v>263730.90999999997</v>
          </cell>
          <cell r="BB293">
            <v>294240.63999999996</v>
          </cell>
          <cell r="BC293">
            <v>480490.02999999997</v>
          </cell>
          <cell r="BD293">
            <v>6514.87</v>
          </cell>
          <cell r="BE293">
            <v>6514.87</v>
          </cell>
          <cell r="BF293">
            <v>6514.87</v>
          </cell>
          <cell r="BG293">
            <v>6514.87</v>
          </cell>
          <cell r="BH293">
            <v>6514.87</v>
          </cell>
          <cell r="BI293">
            <v>6514.87</v>
          </cell>
        </row>
        <row r="294">
          <cell r="AV294">
            <v>52547.38</v>
          </cell>
          <cell r="AW294">
            <v>73360.06</v>
          </cell>
          <cell r="AX294">
            <v>68756.45</v>
          </cell>
          <cell r="AY294">
            <v>77047.220000000016</v>
          </cell>
          <cell r="AZ294">
            <v>86084.170000000013</v>
          </cell>
          <cell r="BA294">
            <v>70481.609999999986</v>
          </cell>
          <cell r="BB294">
            <v>78635.27</v>
          </cell>
          <cell r="BC294">
            <v>128410.08</v>
          </cell>
          <cell r="BD294">
            <v>1741.09</v>
          </cell>
          <cell r="BE294">
            <v>1741.09</v>
          </cell>
          <cell r="BF294">
            <v>1741.09</v>
          </cell>
          <cell r="BG294">
            <v>1741.09</v>
          </cell>
          <cell r="BH294">
            <v>1741.09</v>
          </cell>
          <cell r="BI294">
            <v>1741.09</v>
          </cell>
        </row>
      </sheetData>
      <sheetData sheetId="9">
        <row r="462">
          <cell r="AS462">
            <v>1770230.2856338073</v>
          </cell>
          <cell r="AT462">
            <v>1583871.7731166501</v>
          </cell>
          <cell r="AU462">
            <v>1915693.9021601405</v>
          </cell>
          <cell r="AV462">
            <v>1859317.7069007205</v>
          </cell>
          <cell r="AW462">
            <v>1578831.3858063843</v>
          </cell>
          <cell r="AX462">
            <v>1702768.1923127114</v>
          </cell>
          <cell r="AY462">
            <v>1644768.4384896406</v>
          </cell>
          <cell r="AZ462">
            <v>1973819.3015999026</v>
          </cell>
          <cell r="BA462">
            <v>1977196.6974823354</v>
          </cell>
          <cell r="BB462">
            <v>1790225.607364716</v>
          </cell>
          <cell r="BC462">
            <v>1751413.0326662674</v>
          </cell>
          <cell r="BD462">
            <v>1691924.4291834051</v>
          </cell>
          <cell r="BE462">
            <v>1770194.7023004883</v>
          </cell>
          <cell r="BF462">
            <v>1583836.189783331</v>
          </cell>
        </row>
        <row r="463">
          <cell r="AS463">
            <v>276406.58984293451</v>
          </cell>
          <cell r="AT463">
            <v>266025.07309421379</v>
          </cell>
        </row>
        <row r="464">
          <cell r="AS464">
            <v>653033.40809620172</v>
          </cell>
          <cell r="AT464">
            <v>626951.57658394519</v>
          </cell>
        </row>
        <row r="465">
          <cell r="AS465">
            <v>1039761.5801534778</v>
          </cell>
          <cell r="AT465">
            <v>999765.84532418486</v>
          </cell>
        </row>
        <row r="466">
          <cell r="AS466">
            <v>160087.18984587266</v>
          </cell>
          <cell r="AT466">
            <v>154745.3665349104</v>
          </cell>
        </row>
        <row r="564">
          <cell r="AS564">
            <v>93179.98</v>
          </cell>
          <cell r="AT564">
            <v>129734.43</v>
          </cell>
          <cell r="AU564">
            <v>170136.38</v>
          </cell>
          <cell r="AV564">
            <v>164500.67000000001</v>
          </cell>
          <cell r="AW564">
            <v>130788.69</v>
          </cell>
          <cell r="AX564">
            <v>81584.420000000013</v>
          </cell>
          <cell r="AY564">
            <v>89172.050000000017</v>
          </cell>
          <cell r="AZ564">
            <v>100922.01999999999</v>
          </cell>
          <cell r="BA564">
            <v>93069.4</v>
          </cell>
          <cell r="BB564">
            <v>86722.65</v>
          </cell>
          <cell r="BC564">
            <v>87470.739999999991</v>
          </cell>
          <cell r="BD564">
            <v>90009.79</v>
          </cell>
          <cell r="BE564">
            <v>93177.05</v>
          </cell>
          <cell r="BF564">
            <v>129730</v>
          </cell>
        </row>
        <row r="565">
          <cell r="AS565">
            <v>17086.36</v>
          </cell>
          <cell r="AT565">
            <v>21605.37</v>
          </cell>
          <cell r="AU565">
            <v>24365.279999999999</v>
          </cell>
          <cell r="AV565">
            <v>23926.92</v>
          </cell>
          <cell r="AW565">
            <v>19314.77</v>
          </cell>
          <cell r="AX565">
            <v>16160.16</v>
          </cell>
          <cell r="AY565">
            <v>16002.51</v>
          </cell>
          <cell r="AZ565">
            <v>15055.640000000001</v>
          </cell>
          <cell r="BA565">
            <v>14989.63</v>
          </cell>
          <cell r="BB565">
            <v>13595.060000000001</v>
          </cell>
          <cell r="BC565">
            <v>15468.910000000002</v>
          </cell>
          <cell r="BD565">
            <v>15552.199999999999</v>
          </cell>
          <cell r="BE565">
            <v>17086.36</v>
          </cell>
          <cell r="BF565">
            <v>21605.37</v>
          </cell>
        </row>
        <row r="566">
          <cell r="AS566">
            <v>27300.579999999998</v>
          </cell>
          <cell r="AT566">
            <v>36787.720000000008</v>
          </cell>
          <cell r="AU566">
            <v>35507.67</v>
          </cell>
          <cell r="AV566">
            <v>35883.879999999997</v>
          </cell>
          <cell r="AW566">
            <v>33290.26</v>
          </cell>
          <cell r="AX566">
            <v>24967.09</v>
          </cell>
          <cell r="AY566">
            <v>25134.260000000002</v>
          </cell>
          <cell r="AZ566">
            <v>23363.18</v>
          </cell>
          <cell r="BA566">
            <v>23003.210000000003</v>
          </cell>
          <cell r="BB566">
            <v>20998.18</v>
          </cell>
          <cell r="BC566">
            <v>23978.94</v>
          </cell>
          <cell r="BD566">
            <v>24359.440000000002</v>
          </cell>
          <cell r="BE566">
            <v>27300.579999999998</v>
          </cell>
          <cell r="BF566">
            <v>36787.720000000008</v>
          </cell>
        </row>
        <row r="567">
          <cell r="AS567">
            <v>27204.21</v>
          </cell>
          <cell r="AT567">
            <v>37297.549999999996</v>
          </cell>
          <cell r="AU567">
            <v>35933.870000000003</v>
          </cell>
          <cell r="AV567">
            <v>36745.67</v>
          </cell>
          <cell r="AW567">
            <v>33266.619999999995</v>
          </cell>
          <cell r="AX567">
            <v>24210.699999999997</v>
          </cell>
          <cell r="AY567">
            <v>25248.95</v>
          </cell>
          <cell r="AZ567">
            <v>23533.199999999997</v>
          </cell>
          <cell r="BA567">
            <v>23399.65</v>
          </cell>
          <cell r="BB567">
            <v>21340.38</v>
          </cell>
          <cell r="BC567">
            <v>24407.35</v>
          </cell>
          <cell r="BD567">
            <v>25030.230000000003</v>
          </cell>
          <cell r="BE567">
            <v>27204.21</v>
          </cell>
          <cell r="BF567">
            <v>37297.549999999996</v>
          </cell>
        </row>
        <row r="568">
          <cell r="AS568">
            <v>1730.8500000000001</v>
          </cell>
          <cell r="AT568">
            <v>2311.34</v>
          </cell>
          <cell r="AU568">
            <v>2180.77</v>
          </cell>
          <cell r="AV568">
            <v>2329.0700000000002</v>
          </cell>
          <cell r="AW568">
            <v>2127.36</v>
          </cell>
          <cell r="AX568">
            <v>1599.67</v>
          </cell>
          <cell r="AY568">
            <v>1610.0200000000002</v>
          </cell>
          <cell r="AZ568">
            <v>1579.46</v>
          </cell>
          <cell r="BA568">
            <v>1357.25</v>
          </cell>
          <cell r="BB568">
            <v>1546.4699999999998</v>
          </cell>
          <cell r="BC568">
            <v>1738.3899999999999</v>
          </cell>
          <cell r="BD568">
            <v>1643.6100000000001</v>
          </cell>
          <cell r="BE568">
            <v>1730.8500000000001</v>
          </cell>
          <cell r="BF568">
            <v>2311.34</v>
          </cell>
        </row>
      </sheetData>
      <sheetData sheetId="10">
        <row r="462">
          <cell r="AS462">
            <v>101178.132233228</v>
          </cell>
          <cell r="AT462">
            <v>280218.36600951146</v>
          </cell>
          <cell r="AU462">
            <v>728623.67589382979</v>
          </cell>
          <cell r="AV462">
            <v>903707.11241290509</v>
          </cell>
          <cell r="AW462">
            <v>665692.02987014002</v>
          </cell>
          <cell r="AX462">
            <v>699825.18908430904</v>
          </cell>
          <cell r="AY462">
            <v>739432.25613478152</v>
          </cell>
          <cell r="AZ462">
            <v>791161.20745327044</v>
          </cell>
          <cell r="BA462">
            <v>852959.61881688132</v>
          </cell>
          <cell r="BB462">
            <v>759632.72663087188</v>
          </cell>
          <cell r="BC462">
            <v>906165.62163755973</v>
          </cell>
          <cell r="BD462">
            <v>863003.53449991986</v>
          </cell>
          <cell r="BE462">
            <v>956145.5627776928</v>
          </cell>
          <cell r="BF462">
            <v>1282236.9923020671</v>
          </cell>
        </row>
        <row r="463">
          <cell r="AS463">
            <v>12084.189194117065</v>
          </cell>
          <cell r="AT463">
            <v>19042.978338020908</v>
          </cell>
          <cell r="AU463">
            <v>32333.734828877386</v>
          </cell>
          <cell r="AV463">
            <v>48524.897800088911</v>
          </cell>
          <cell r="AW463">
            <v>63788.698129093595</v>
          </cell>
          <cell r="AX463">
            <v>92637.360882012537</v>
          </cell>
          <cell r="AY463">
            <v>118243.06984389173</v>
          </cell>
          <cell r="AZ463">
            <v>163871.58007584291</v>
          </cell>
          <cell r="BA463">
            <v>201561.39508304332</v>
          </cell>
          <cell r="BB463">
            <v>182106.36096342152</v>
          </cell>
          <cell r="BC463">
            <v>202707.13430452449</v>
          </cell>
          <cell r="BD463">
            <v>193409.15698696952</v>
          </cell>
          <cell r="BE463">
            <v>202982.11566510078</v>
          </cell>
          <cell r="BF463">
            <v>196941.01789920105</v>
          </cell>
        </row>
        <row r="464">
          <cell r="AS464">
            <v>53029.617937226525</v>
          </cell>
          <cell r="AT464">
            <v>65810.296937930092</v>
          </cell>
          <cell r="AU464">
            <v>90329.339294597157</v>
          </cell>
          <cell r="AV464">
            <v>123700.50884982737</v>
          </cell>
          <cell r="AW464">
            <v>154968.28060476639</v>
          </cell>
          <cell r="AX464">
            <v>214738.3128596521</v>
          </cell>
          <cell r="AY464">
            <v>264581.98179337179</v>
          </cell>
          <cell r="AZ464">
            <v>356223.83787946391</v>
          </cell>
          <cell r="BA464">
            <v>433123.14656221023</v>
          </cell>
          <cell r="BB464">
            <v>391331.15224915225</v>
          </cell>
          <cell r="BC464">
            <v>435438.73745837022</v>
          </cell>
          <cell r="BD464">
            <v>415526.16155175958</v>
          </cell>
          <cell r="BE464">
            <v>436023.16126850143</v>
          </cell>
          <cell r="BF464">
            <v>422722.50537713477</v>
          </cell>
        </row>
        <row r="465">
          <cell r="AS465">
            <v>57693.00592448673</v>
          </cell>
          <cell r="AT465">
            <v>79057.673677571729</v>
          </cell>
          <cell r="AU465">
            <v>117347.83082760827</v>
          </cell>
          <cell r="AV465">
            <v>169971.62475953819</v>
          </cell>
          <cell r="AW465">
            <v>221410.99707342274</v>
          </cell>
          <cell r="AX465">
            <v>314772.5696460082</v>
          </cell>
          <cell r="AY465">
            <v>395457.05593896622</v>
          </cell>
          <cell r="AZ465">
            <v>541181.88638411928</v>
          </cell>
          <cell r="BA465">
            <v>662455.33331049082</v>
          </cell>
          <cell r="BB465">
            <v>598535.9539981907</v>
          </cell>
          <cell r="BC465">
            <v>666149.56835735007</v>
          </cell>
          <cell r="BD465">
            <v>635537.34315302037</v>
          </cell>
          <cell r="BE465">
            <v>667039.82071307022</v>
          </cell>
          <cell r="BF465">
            <v>646908.80631004425</v>
          </cell>
        </row>
        <row r="466">
          <cell r="AS466">
            <v>2684.9379841131049</v>
          </cell>
          <cell r="AT466">
            <v>8959.2184730582867</v>
          </cell>
          <cell r="AU466">
            <v>18866.041879522534</v>
          </cell>
          <cell r="AV466">
            <v>32687.52089686675</v>
          </cell>
          <cell r="AW466">
            <v>47319.324883988622</v>
          </cell>
          <cell r="AX466">
            <v>71419.899033580863</v>
          </cell>
          <cell r="AY466">
            <v>93681.292028523429</v>
          </cell>
          <cell r="AZ466">
            <v>132573.72447021553</v>
          </cell>
          <cell r="BA466">
            <v>164339.55435907032</v>
          </cell>
          <cell r="BB466">
            <v>148468.50566857052</v>
          </cell>
          <cell r="BC466">
            <v>165302.1701061349</v>
          </cell>
          <cell r="BD466">
            <v>157742.48847922258</v>
          </cell>
          <cell r="BE466">
            <v>165531.75656340705</v>
          </cell>
          <cell r="BF466">
            <v>160716.39210812649</v>
          </cell>
        </row>
        <row r="564">
          <cell r="AS564">
            <v>6953.02</v>
          </cell>
          <cell r="AT564">
            <v>29107.39</v>
          </cell>
          <cell r="AU564">
            <v>77388.560000000012</v>
          </cell>
          <cell r="AV564">
            <v>96422.220000000016</v>
          </cell>
          <cell r="AW564">
            <v>70954.62000000001</v>
          </cell>
          <cell r="AX564">
            <v>43738.89</v>
          </cell>
          <cell r="AY564">
            <v>52283.62</v>
          </cell>
          <cell r="AZ564">
            <v>53556.43</v>
          </cell>
          <cell r="BA564">
            <v>53131.710000000006</v>
          </cell>
          <cell r="BB564">
            <v>48599.56</v>
          </cell>
          <cell r="BC564">
            <v>59200.159999999996</v>
          </cell>
          <cell r="BD564">
            <v>60041.039999999994</v>
          </cell>
          <cell r="BE564">
            <v>65706.8</v>
          </cell>
          <cell r="BF564">
            <v>133191.09</v>
          </cell>
        </row>
        <row r="565">
          <cell r="AS565">
            <v>775.48</v>
          </cell>
          <cell r="AT565">
            <v>1649.74</v>
          </cell>
          <cell r="AU565">
            <v>2653.79</v>
          </cell>
          <cell r="AV565">
            <v>3893.6000000000004</v>
          </cell>
          <cell r="AW565">
            <v>5058.3</v>
          </cell>
          <cell r="AX565">
            <v>5602.76</v>
          </cell>
          <cell r="AY565">
            <v>7504.76</v>
          </cell>
          <cell r="AZ565">
            <v>9764.68</v>
          </cell>
          <cell r="BA565">
            <v>11384.699999999999</v>
          </cell>
          <cell r="BB565">
            <v>10328.370000000001</v>
          </cell>
          <cell r="BC565">
            <v>11788.26</v>
          </cell>
          <cell r="BD565">
            <v>11854.78</v>
          </cell>
          <cell r="BE565">
            <v>13002.37</v>
          </cell>
          <cell r="BF565">
            <v>16666.45</v>
          </cell>
        </row>
        <row r="566">
          <cell r="AS566">
            <v>2344.91</v>
          </cell>
          <cell r="AT566">
            <v>4243.8600000000006</v>
          </cell>
          <cell r="AU566">
            <v>5620.44</v>
          </cell>
          <cell r="AV566">
            <v>7576.03</v>
          </cell>
          <cell r="AW566">
            <v>9368.23</v>
          </cell>
          <cell r="AX566">
            <v>8853.9500000000007</v>
          </cell>
          <cell r="AY566">
            <v>11603.98</v>
          </cell>
          <cell r="AZ566">
            <v>14441.48</v>
          </cell>
          <cell r="BA566">
            <v>16397.86</v>
          </cell>
          <cell r="BB566">
            <v>14963.820000000002</v>
          </cell>
          <cell r="BC566">
            <v>17156.68</v>
          </cell>
          <cell r="BD566">
            <v>17477.57</v>
          </cell>
          <cell r="BE566">
            <v>19468.84</v>
          </cell>
          <cell r="BF566">
            <v>26686.080000000002</v>
          </cell>
        </row>
        <row r="567">
          <cell r="AS567">
            <v>1641.85</v>
          </cell>
          <cell r="AT567">
            <v>3587.3599999999997</v>
          </cell>
          <cell r="AU567">
            <v>5228.7299999999996</v>
          </cell>
          <cell r="AV567">
            <v>7338.31</v>
          </cell>
          <cell r="AW567">
            <v>9056.07</v>
          </cell>
          <cell r="AX567">
            <v>8235.32</v>
          </cell>
          <cell r="AY567">
            <v>11255.49</v>
          </cell>
          <cell r="AZ567">
            <v>14156.42</v>
          </cell>
          <cell r="BA567">
            <v>16326.21</v>
          </cell>
          <cell r="BB567">
            <v>14890.59</v>
          </cell>
          <cell r="BC567">
            <v>17149.530000000002</v>
          </cell>
          <cell r="BD567">
            <v>17587.36</v>
          </cell>
          <cell r="BE567">
            <v>19036.670000000002</v>
          </cell>
          <cell r="BF567">
            <v>26744.87</v>
          </cell>
        </row>
        <row r="568">
          <cell r="AS568">
            <v>73.680000000000007</v>
          </cell>
          <cell r="AT568">
            <v>349.48</v>
          </cell>
          <cell r="AU568">
            <v>612.63</v>
          </cell>
          <cell r="AV568">
            <v>862.81</v>
          </cell>
          <cell r="AW568">
            <v>1055.1200000000001</v>
          </cell>
          <cell r="AX568">
            <v>913.35</v>
          </cell>
          <cell r="AY568">
            <v>1202.01</v>
          </cell>
          <cell r="AZ568">
            <v>1572.1399999999999</v>
          </cell>
          <cell r="BA568">
            <v>1603.6599999999999</v>
          </cell>
          <cell r="BB568">
            <v>1780.39</v>
          </cell>
          <cell r="BC568">
            <v>2024.71</v>
          </cell>
          <cell r="BD568">
            <v>1929.9899999999998</v>
          </cell>
          <cell r="BE568">
            <v>2031.1399999999999</v>
          </cell>
          <cell r="BF568">
            <v>2822.87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sheetData sheetId="1">
        <row r="44">
          <cell r="DC44">
            <v>0.13576441564001979</v>
          </cell>
          <cell r="DD44">
            <v>0.35611574316442379</v>
          </cell>
          <cell r="DE44">
            <v>0.4183185730547726</v>
          </cell>
          <cell r="DF44">
            <v>8.9801268140783777E-2</v>
          </cell>
        </row>
        <row r="285">
          <cell r="CD285">
            <v>3066562.9817966414</v>
          </cell>
          <cell r="CE285">
            <v>3662309.1959070778</v>
          </cell>
          <cell r="CF285">
            <v>0</v>
          </cell>
          <cell r="CG285">
            <v>0</v>
          </cell>
          <cell r="CH285">
            <v>0</v>
          </cell>
        </row>
        <row r="286">
          <cell r="CD286">
            <v>519241.44169683417</v>
          </cell>
          <cell r="CE286">
            <v>517792.72147182899</v>
          </cell>
          <cell r="CF286">
            <v>0</v>
          </cell>
          <cell r="CG286">
            <v>0</v>
          </cell>
          <cell r="CH286">
            <v>0</v>
          </cell>
        </row>
        <row r="287">
          <cell r="CD287">
            <v>1902188.3875856276</v>
          </cell>
          <cell r="CE287">
            <v>1896713.2328896965</v>
          </cell>
          <cell r="CF287">
            <v>0</v>
          </cell>
          <cell r="CG287">
            <v>0</v>
          </cell>
          <cell r="CH287">
            <v>0</v>
          </cell>
        </row>
        <row r="288">
          <cell r="CD288">
            <v>2788695.0613562055</v>
          </cell>
          <cell r="CE288">
            <v>2780898.9069368993</v>
          </cell>
          <cell r="CF288">
            <v>0</v>
          </cell>
          <cell r="CG288">
            <v>0</v>
          </cell>
          <cell r="CH288">
            <v>0</v>
          </cell>
        </row>
        <row r="289">
          <cell r="CD289">
            <v>591300.97023510153</v>
          </cell>
          <cell r="CE289">
            <v>590013.94408156979</v>
          </cell>
          <cell r="CF289">
            <v>0</v>
          </cell>
          <cell r="CG289">
            <v>0</v>
          </cell>
          <cell r="CH289">
            <v>0</v>
          </cell>
        </row>
        <row r="326">
          <cell r="CD326">
            <v>195698.16</v>
          </cell>
          <cell r="CE326">
            <v>218434.81</v>
          </cell>
          <cell r="CF326">
            <v>0</v>
          </cell>
          <cell r="CG326">
            <v>0</v>
          </cell>
          <cell r="CH326">
            <v>0</v>
          </cell>
        </row>
        <row r="327">
          <cell r="CD327">
            <v>38159.29</v>
          </cell>
          <cell r="CE327">
            <v>35422.89</v>
          </cell>
          <cell r="CF327">
            <v>0</v>
          </cell>
          <cell r="CG327">
            <v>0</v>
          </cell>
          <cell r="CH327">
            <v>0</v>
          </cell>
        </row>
        <row r="328">
          <cell r="CD328">
            <v>88423.72</v>
          </cell>
          <cell r="CE328">
            <v>80119.53</v>
          </cell>
          <cell r="CF328">
            <v>0</v>
          </cell>
          <cell r="CG328">
            <v>0</v>
          </cell>
          <cell r="CH328">
            <v>0</v>
          </cell>
        </row>
        <row r="329">
          <cell r="CD329">
            <v>81177.56</v>
          </cell>
          <cell r="CE329">
            <v>73142.13</v>
          </cell>
          <cell r="CF329">
            <v>0</v>
          </cell>
          <cell r="CG329">
            <v>0</v>
          </cell>
          <cell r="CH329">
            <v>0</v>
          </cell>
        </row>
        <row r="330">
          <cell r="CD330">
            <v>9240.15</v>
          </cell>
          <cell r="CE330">
            <v>8317.08</v>
          </cell>
          <cell r="CF330">
            <v>0</v>
          </cell>
          <cell r="CG330">
            <v>0</v>
          </cell>
          <cell r="CH3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Jul 2021"/>
      <sheetName val="Feb 2021"/>
      <sheetName val="Mar 2021"/>
      <sheetName val="Apr 2021"/>
      <sheetName val="May 2021"/>
      <sheetName val="Jun 2021"/>
      <sheetName val="Aug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43">
          <cell r="F43">
            <v>-23.62</v>
          </cell>
        </row>
        <row r="44">
          <cell r="F44">
            <v>0</v>
          </cell>
        </row>
        <row r="45">
          <cell r="F45">
            <v>0</v>
          </cell>
        </row>
        <row r="46">
          <cell r="F46">
            <v>0</v>
          </cell>
        </row>
        <row r="47">
          <cell r="F47">
            <v>160.19</v>
          </cell>
        </row>
        <row r="52">
          <cell r="F52">
            <v>23.619999999999997</v>
          </cell>
        </row>
        <row r="53">
          <cell r="F53">
            <v>-894.66</v>
          </cell>
        </row>
        <row r="54">
          <cell r="F54">
            <v>-1683.3</v>
          </cell>
        </row>
        <row r="55">
          <cell r="F55">
            <v>-2925.74</v>
          </cell>
        </row>
        <row r="56">
          <cell r="F56">
            <v>-431.84999999999997</v>
          </cell>
        </row>
        <row r="61">
          <cell r="F61">
            <v>110816.95</v>
          </cell>
        </row>
        <row r="62">
          <cell r="F62">
            <v>23000.129999999997</v>
          </cell>
        </row>
        <row r="63">
          <cell r="F63">
            <v>53624.909999999996</v>
          </cell>
        </row>
        <row r="64">
          <cell r="F64">
            <v>58570.29</v>
          </cell>
        </row>
        <row r="65">
          <cell r="F65">
            <v>8491.69</v>
          </cell>
        </row>
        <row r="70">
          <cell r="F70">
            <v>-25731.71</v>
          </cell>
        </row>
        <row r="71">
          <cell r="F71">
            <v>-9696.91</v>
          </cell>
        </row>
        <row r="72">
          <cell r="F72">
            <v>25188.95</v>
          </cell>
        </row>
        <row r="73">
          <cell r="F73">
            <v>24877.42</v>
          </cell>
        </row>
        <row r="74">
          <cell r="F74">
            <v>14782.2</v>
          </cell>
        </row>
        <row r="79">
          <cell r="F79">
            <v>-6427.19</v>
          </cell>
        </row>
        <row r="84">
          <cell r="F84">
            <v>0</v>
          </cell>
        </row>
        <row r="88">
          <cell r="F88">
            <v>509257.83</v>
          </cell>
        </row>
        <row r="89">
          <cell r="F89">
            <v>95041.67</v>
          </cell>
        </row>
        <row r="90">
          <cell r="F90">
            <v>192011.27</v>
          </cell>
        </row>
        <row r="91">
          <cell r="F91">
            <v>341620.92</v>
          </cell>
        </row>
        <row r="92">
          <cell r="F92">
            <v>82357.95</v>
          </cell>
        </row>
        <row r="96">
          <cell r="F96">
            <v>-46642.720000000001</v>
          </cell>
        </row>
        <row r="97">
          <cell r="F97">
            <v>3847.31</v>
          </cell>
        </row>
        <row r="98">
          <cell r="F98">
            <v>-20558.39</v>
          </cell>
        </row>
        <row r="99">
          <cell r="F99">
            <v>-98382.87</v>
          </cell>
        </row>
        <row r="100">
          <cell r="F100">
            <v>-61662.869999999995</v>
          </cell>
        </row>
        <row r="104">
          <cell r="F104">
            <v>199215.13</v>
          </cell>
        </row>
        <row r="105">
          <cell r="F105">
            <v>21272.12</v>
          </cell>
        </row>
        <row r="106">
          <cell r="F106">
            <v>42753.1</v>
          </cell>
        </row>
        <row r="107">
          <cell r="F107">
            <v>45392.39</v>
          </cell>
        </row>
        <row r="108">
          <cell r="F108">
            <v>844.7</v>
          </cell>
        </row>
        <row r="112">
          <cell r="F112">
            <v>27319.09</v>
          </cell>
        </row>
        <row r="113">
          <cell r="F113">
            <v>4406.71</v>
          </cell>
        </row>
        <row r="114">
          <cell r="F114">
            <v>16706.580000000002</v>
          </cell>
        </row>
        <row r="115">
          <cell r="F115">
            <v>23449.71</v>
          </cell>
        </row>
        <row r="116">
          <cell r="F116">
            <v>3378.79</v>
          </cell>
        </row>
        <row r="132">
          <cell r="F132">
            <v>160652734.10240006</v>
          </cell>
        </row>
        <row r="133">
          <cell r="F133">
            <v>44235616.996800013</v>
          </cell>
        </row>
        <row r="134">
          <cell r="F134">
            <v>83476734.562700018</v>
          </cell>
        </row>
        <row r="135">
          <cell r="F135">
            <v>146624897.08199999</v>
          </cell>
        </row>
        <row r="136">
          <cell r="F136">
            <v>42234848.610699996</v>
          </cell>
        </row>
      </sheetData>
      <sheetData sheetId="35">
        <row r="43">
          <cell r="F43">
            <v>-1.78</v>
          </cell>
        </row>
        <row r="44">
          <cell r="F44">
            <v>-23.62</v>
          </cell>
        </row>
        <row r="45">
          <cell r="F45">
            <v>0</v>
          </cell>
        </row>
        <row r="46">
          <cell r="F46">
            <v>0</v>
          </cell>
        </row>
        <row r="47">
          <cell r="F47">
            <v>-143.59</v>
          </cell>
        </row>
        <row r="52">
          <cell r="F52">
            <v>1.78</v>
          </cell>
        </row>
        <row r="53">
          <cell r="F53">
            <v>-1021.6</v>
          </cell>
        </row>
        <row r="54">
          <cell r="F54">
            <v>-1796.3000000000002</v>
          </cell>
        </row>
        <row r="55">
          <cell r="F55">
            <v>-3046.04</v>
          </cell>
        </row>
        <row r="56">
          <cell r="F56">
            <v>-388.03999999999996</v>
          </cell>
        </row>
        <row r="61">
          <cell r="F61">
            <v>154077.86000000002</v>
          </cell>
        </row>
        <row r="62">
          <cell r="F62">
            <v>26541.670000000002</v>
          </cell>
        </row>
        <row r="63">
          <cell r="F63">
            <v>57574.54</v>
          </cell>
        </row>
        <row r="64">
          <cell r="F64">
            <v>60964.399999999994</v>
          </cell>
        </row>
        <row r="65">
          <cell r="F65">
            <v>7750.66</v>
          </cell>
        </row>
        <row r="70">
          <cell r="F70">
            <v>-35729.65</v>
          </cell>
        </row>
        <row r="71">
          <cell r="F71">
            <v>-11211.86</v>
          </cell>
        </row>
        <row r="72">
          <cell r="F72">
            <v>26980.9</v>
          </cell>
        </row>
        <row r="73">
          <cell r="F73">
            <v>25914.28</v>
          </cell>
        </row>
        <row r="74">
          <cell r="F74">
            <v>13557.49</v>
          </cell>
        </row>
        <row r="79">
          <cell r="F79">
            <v>-8932.64</v>
          </cell>
        </row>
        <row r="84">
          <cell r="F84">
            <v>0</v>
          </cell>
        </row>
        <row r="88">
          <cell r="F88">
            <v>707887.38</v>
          </cell>
        </row>
        <row r="89">
          <cell r="F89">
            <v>109577.28</v>
          </cell>
        </row>
        <row r="90">
          <cell r="F90">
            <v>206948.65</v>
          </cell>
        </row>
        <row r="91">
          <cell r="F91">
            <v>355178.04</v>
          </cell>
        </row>
        <row r="92">
          <cell r="F92">
            <v>75534.61</v>
          </cell>
        </row>
        <row r="96">
          <cell r="F96">
            <v>-64761.86</v>
          </cell>
        </row>
        <row r="97">
          <cell r="F97">
            <v>4506.47</v>
          </cell>
        </row>
        <row r="98">
          <cell r="F98">
            <v>-22513.07</v>
          </cell>
        </row>
        <row r="99">
          <cell r="F99">
            <v>-102132.74</v>
          </cell>
        </row>
        <row r="100">
          <cell r="F100">
            <v>-56554.12</v>
          </cell>
        </row>
        <row r="104">
          <cell r="F104">
            <v>276891.55</v>
          </cell>
        </row>
        <row r="105">
          <cell r="F105">
            <v>24485.279999999999</v>
          </cell>
        </row>
        <row r="106">
          <cell r="F106">
            <v>45877.88</v>
          </cell>
        </row>
        <row r="107">
          <cell r="F107">
            <v>47255.45</v>
          </cell>
        </row>
        <row r="108">
          <cell r="F108">
            <v>774.71</v>
          </cell>
        </row>
        <row r="112">
          <cell r="F112">
            <v>37961.68</v>
          </cell>
        </row>
        <row r="113">
          <cell r="F113">
            <v>5099.3599999999997</v>
          </cell>
        </row>
        <row r="114">
          <cell r="F114">
            <v>17998.75</v>
          </cell>
        </row>
        <row r="115">
          <cell r="F115">
            <v>24389.91</v>
          </cell>
        </row>
        <row r="116">
          <cell r="F116">
            <v>3098.86</v>
          </cell>
        </row>
        <row r="132">
          <cell r="F132">
            <v>223308104.35410005</v>
          </cell>
        </row>
        <row r="133">
          <cell r="F133">
            <v>50978087.681400008</v>
          </cell>
        </row>
        <row r="134">
          <cell r="F134">
            <v>89976504.261399984</v>
          </cell>
        </row>
        <row r="135">
          <cell r="F135">
            <v>152436926.17189997</v>
          </cell>
        </row>
        <row r="136">
          <cell r="F136">
            <v>38735698.8882</v>
          </cell>
        </row>
      </sheetData>
      <sheetData sheetId="36">
        <row r="43">
          <cell r="F43">
            <v>-42.58</v>
          </cell>
        </row>
        <row r="44">
          <cell r="F44">
            <v>0</v>
          </cell>
        </row>
        <row r="45">
          <cell r="F45">
            <v>0</v>
          </cell>
        </row>
        <row r="46">
          <cell r="F46">
            <v>0</v>
          </cell>
        </row>
        <row r="47">
          <cell r="F47">
            <v>-7.7800000000000296</v>
          </cell>
        </row>
        <row r="52">
          <cell r="F52">
            <v>42.58</v>
          </cell>
        </row>
        <row r="53">
          <cell r="F53">
            <v>-1165.46</v>
          </cell>
        </row>
        <row r="54">
          <cell r="F54">
            <v>-2038.2099999999998</v>
          </cell>
        </row>
        <row r="55">
          <cell r="F55">
            <v>-3263.34</v>
          </cell>
        </row>
        <row r="56">
          <cell r="F56">
            <v>-419.25</v>
          </cell>
        </row>
        <row r="61">
          <cell r="F61">
            <v>186806.14</v>
          </cell>
        </row>
        <row r="62">
          <cell r="F62">
            <v>30378.039999999997</v>
          </cell>
        </row>
        <row r="63">
          <cell r="F63">
            <v>65241.38</v>
          </cell>
        </row>
        <row r="64">
          <cell r="F64">
            <v>65322.32</v>
          </cell>
        </row>
        <row r="65">
          <cell r="F65">
            <v>8284.59</v>
          </cell>
        </row>
        <row r="70">
          <cell r="F70">
            <v>-43329.549999999996</v>
          </cell>
        </row>
        <row r="71">
          <cell r="F71">
            <v>-12860.36</v>
          </cell>
        </row>
        <row r="72">
          <cell r="F72">
            <v>30594.640000000003</v>
          </cell>
        </row>
        <row r="73">
          <cell r="F73">
            <v>27767.55</v>
          </cell>
        </row>
        <row r="74">
          <cell r="F74">
            <v>14443.94</v>
          </cell>
        </row>
        <row r="79">
          <cell r="F79">
            <v>-10828.73</v>
          </cell>
        </row>
        <row r="84">
          <cell r="F84">
            <v>0</v>
          </cell>
        </row>
        <row r="88">
          <cell r="F88">
            <v>858312.78</v>
          </cell>
        </row>
        <row r="89">
          <cell r="F89">
            <v>125571.38</v>
          </cell>
        </row>
        <row r="90">
          <cell r="F90">
            <v>234428.63</v>
          </cell>
        </row>
        <row r="91">
          <cell r="F91">
            <v>380578.73</v>
          </cell>
        </row>
        <row r="92">
          <cell r="F92">
            <v>80473.350000000006</v>
          </cell>
        </row>
        <row r="96">
          <cell r="F96">
            <v>-78581.3</v>
          </cell>
        </row>
        <row r="97">
          <cell r="F97">
            <v>5225.42</v>
          </cell>
        </row>
        <row r="98">
          <cell r="F98">
            <v>-25445.57</v>
          </cell>
        </row>
        <row r="99">
          <cell r="F99">
            <v>-109436.8</v>
          </cell>
        </row>
        <row r="100">
          <cell r="F100">
            <v>-60251.839999999997</v>
          </cell>
        </row>
        <row r="104">
          <cell r="F104">
            <v>335801.66</v>
          </cell>
        </row>
        <row r="105">
          <cell r="F105">
            <v>28036.85</v>
          </cell>
        </row>
        <row r="106">
          <cell r="F106">
            <v>52002.27</v>
          </cell>
        </row>
        <row r="107">
          <cell r="F107">
            <v>50634.94</v>
          </cell>
        </row>
        <row r="108">
          <cell r="F108">
            <v>825.37</v>
          </cell>
        </row>
        <row r="112">
          <cell r="F112">
            <v>-1.35</v>
          </cell>
        </row>
        <row r="113">
          <cell r="F113">
            <v>0</v>
          </cell>
        </row>
        <row r="114">
          <cell r="F114">
            <v>0</v>
          </cell>
        </row>
        <row r="115">
          <cell r="F115">
            <v>0</v>
          </cell>
        </row>
        <row r="116">
          <cell r="F116">
            <v>0</v>
          </cell>
        </row>
        <row r="120">
          <cell r="F120">
            <v>46032</v>
          </cell>
        </row>
        <row r="121">
          <cell r="F121">
            <v>5844.26</v>
          </cell>
        </row>
        <row r="122">
          <cell r="F122">
            <v>20385.740000000002</v>
          </cell>
        </row>
        <row r="123">
          <cell r="F123">
            <v>26134.16</v>
          </cell>
        </row>
        <row r="124">
          <cell r="F124">
            <v>3301.47</v>
          </cell>
        </row>
        <row r="140">
          <cell r="F140">
            <v>270759842.98369992</v>
          </cell>
        </row>
        <row r="141">
          <cell r="F141">
            <v>58408014.749700002</v>
          </cell>
        </row>
        <row r="142">
          <cell r="F142">
            <v>101924956.98949999</v>
          </cell>
        </row>
        <row r="143">
          <cell r="F143">
            <v>163338510.30909997</v>
          </cell>
        </row>
        <row r="144">
          <cell r="F144">
            <v>41268386.0132</v>
          </cell>
        </row>
      </sheetData>
      <sheetData sheetId="37">
        <row r="43">
          <cell r="F43">
            <v>-27.35</v>
          </cell>
        </row>
        <row r="44">
          <cell r="F44">
            <v>20.060000000000002</v>
          </cell>
        </row>
        <row r="45">
          <cell r="F45">
            <v>86.9</v>
          </cell>
        </row>
        <row r="46">
          <cell r="F46">
            <v>0</v>
          </cell>
        </row>
        <row r="47">
          <cell r="F47">
            <v>12.440000000000001</v>
          </cell>
        </row>
        <row r="52">
          <cell r="F52">
            <v>27.35</v>
          </cell>
        </row>
        <row r="53">
          <cell r="F53">
            <v>-845.31000000000006</v>
          </cell>
        </row>
        <row r="54">
          <cell r="F54">
            <v>-1552.3799999999999</v>
          </cell>
        </row>
        <row r="55">
          <cell r="F55">
            <v>-2413.7100000000005</v>
          </cell>
        </row>
        <row r="56">
          <cell r="F56">
            <v>-370.39</v>
          </cell>
        </row>
        <row r="61">
          <cell r="F61">
            <v>120777.68000000001</v>
          </cell>
        </row>
        <row r="62">
          <cell r="F62">
            <v>20791.77</v>
          </cell>
        </row>
        <row r="63">
          <cell r="F63">
            <v>47565.34</v>
          </cell>
        </row>
        <row r="64">
          <cell r="F64">
            <v>47715.48</v>
          </cell>
        </row>
        <row r="65">
          <cell r="F65">
            <v>6478.4600000000009</v>
          </cell>
        </row>
        <row r="70">
          <cell r="F70">
            <v>-31669.02</v>
          </cell>
        </row>
        <row r="71">
          <cell r="F71">
            <v>-8042.21</v>
          </cell>
        </row>
        <row r="72">
          <cell r="F72">
            <v>22765.370000000003</v>
          </cell>
        </row>
        <row r="73">
          <cell r="F73">
            <v>20239.86</v>
          </cell>
        </row>
        <row r="74">
          <cell r="F74">
            <v>9072.01</v>
          </cell>
        </row>
        <row r="79">
          <cell r="F79">
            <v>-8370.75</v>
          </cell>
        </row>
        <row r="84">
          <cell r="F84">
            <v>0</v>
          </cell>
        </row>
        <row r="88">
          <cell r="F88">
            <v>681828</v>
          </cell>
        </row>
        <row r="89">
          <cell r="F89">
            <v>93411.61</v>
          </cell>
        </row>
        <row r="90">
          <cell r="F90">
            <v>193990.6</v>
          </cell>
        </row>
        <row r="91">
          <cell r="F91">
            <v>310114.62</v>
          </cell>
        </row>
        <row r="92">
          <cell r="F92">
            <v>51646.6</v>
          </cell>
        </row>
        <row r="96">
          <cell r="F96">
            <v>-59134.049999999996</v>
          </cell>
        </row>
        <row r="97">
          <cell r="F97">
            <v>12786.33</v>
          </cell>
        </row>
        <row r="98">
          <cell r="F98">
            <v>-25567.43</v>
          </cell>
        </row>
        <row r="99">
          <cell r="F99">
            <v>-97364.02</v>
          </cell>
        </row>
        <row r="100">
          <cell r="F100">
            <v>-41480.950000000004</v>
          </cell>
        </row>
        <row r="104">
          <cell r="F104">
            <v>237491.38999999998</v>
          </cell>
        </row>
        <row r="105">
          <cell r="F105">
            <v>26370.22</v>
          </cell>
        </row>
        <row r="106">
          <cell r="F106">
            <v>49011.83</v>
          </cell>
        </row>
        <row r="107">
          <cell r="F107">
            <v>48201.37</v>
          </cell>
        </row>
        <row r="108">
          <cell r="F108">
            <v>924.37</v>
          </cell>
        </row>
        <row r="112">
          <cell r="F112">
            <v>-16476.36</v>
          </cell>
        </row>
        <row r="113">
          <cell r="F113">
            <v>-755.27999999999986</v>
          </cell>
        </row>
        <row r="114">
          <cell r="F114">
            <v>-2547.12</v>
          </cell>
        </row>
        <row r="115">
          <cell r="F115">
            <v>-4160.9400000000005</v>
          </cell>
        </row>
        <row r="116">
          <cell r="F116">
            <v>-345.06</v>
          </cell>
        </row>
        <row r="120">
          <cell r="F120">
            <v>35806.019999999997</v>
          </cell>
        </row>
        <row r="121">
          <cell r="F121">
            <v>4437.8</v>
          </cell>
        </row>
        <row r="122">
          <cell r="F122">
            <v>16076.37</v>
          </cell>
        </row>
        <row r="123">
          <cell r="F123">
            <v>19949.79</v>
          </cell>
        </row>
        <row r="124">
          <cell r="F124">
            <v>2405.6</v>
          </cell>
        </row>
        <row r="140">
          <cell r="F140">
            <v>232127143.18829995</v>
          </cell>
        </row>
        <row r="141">
          <cell r="F141">
            <v>52753517.526000008</v>
          </cell>
        </row>
        <row r="142">
          <cell r="F142">
            <v>94647841.721099988</v>
          </cell>
        </row>
        <row r="143">
          <cell r="F143">
            <v>151529794.77410001</v>
          </cell>
        </row>
        <row r="144">
          <cell r="F144">
            <v>36990738.772600003</v>
          </cell>
        </row>
      </sheetData>
      <sheetData sheetId="38">
        <row r="43">
          <cell r="F43">
            <v>3.9799999999999995</v>
          </cell>
        </row>
        <row r="44">
          <cell r="F44">
            <v>-0.12</v>
          </cell>
        </row>
        <row r="45">
          <cell r="F45">
            <v>0</v>
          </cell>
        </row>
        <row r="46">
          <cell r="F46">
            <v>0</v>
          </cell>
        </row>
        <row r="47">
          <cell r="F47">
            <v>133.49</v>
          </cell>
        </row>
        <row r="52">
          <cell r="F52">
            <v>-3.9799999999999995</v>
          </cell>
        </row>
        <row r="53">
          <cell r="F53">
            <v>-482.43</v>
          </cell>
        </row>
        <row r="54">
          <cell r="F54">
            <v>-860.04</v>
          </cell>
        </row>
        <row r="55">
          <cell r="F55">
            <v>-1412.19</v>
          </cell>
        </row>
        <row r="56">
          <cell r="F56">
            <v>-299.32</v>
          </cell>
        </row>
        <row r="61">
          <cell r="F61">
            <v>51726.16</v>
          </cell>
        </row>
        <row r="62">
          <cell r="F62">
            <v>9655.85</v>
          </cell>
        </row>
        <row r="63">
          <cell r="F63">
            <v>22441.21</v>
          </cell>
        </row>
        <row r="64">
          <cell r="F64">
            <v>26867.210000000003</v>
          </cell>
        </row>
        <row r="65">
          <cell r="F65">
            <v>4379.91</v>
          </cell>
        </row>
        <row r="70">
          <cell r="F70">
            <v>-19868.97</v>
          </cell>
        </row>
        <row r="71">
          <cell r="F71">
            <v>-2430.48</v>
          </cell>
        </row>
        <row r="72">
          <cell r="F72">
            <v>11218.03</v>
          </cell>
        </row>
        <row r="73">
          <cell r="F73">
            <v>11316.15</v>
          </cell>
        </row>
        <row r="74">
          <cell r="F74">
            <v>4040.11</v>
          </cell>
        </row>
        <row r="79">
          <cell r="F79">
            <v>-5960.65</v>
          </cell>
        </row>
        <row r="84">
          <cell r="F84">
            <v>0</v>
          </cell>
        </row>
        <row r="88">
          <cell r="F88">
            <v>512648.8</v>
          </cell>
        </row>
        <row r="89">
          <cell r="F89">
            <v>57441.35</v>
          </cell>
        </row>
        <row r="90">
          <cell r="F90">
            <v>139956.26</v>
          </cell>
        </row>
        <row r="91">
          <cell r="F91">
            <v>231201.44</v>
          </cell>
        </row>
        <row r="92">
          <cell r="F92">
            <v>24240.66</v>
          </cell>
        </row>
        <row r="96">
          <cell r="F96">
            <v>-39734.78</v>
          </cell>
        </row>
        <row r="97">
          <cell r="F97">
            <v>21188.47</v>
          </cell>
        </row>
        <row r="98">
          <cell r="F98">
            <v>-33341.61</v>
          </cell>
        </row>
        <row r="99">
          <cell r="F99">
            <v>-95168.98</v>
          </cell>
        </row>
        <row r="100">
          <cell r="F100">
            <v>-23086.34</v>
          </cell>
        </row>
        <row r="104">
          <cell r="F104">
            <v>137174.67000000001</v>
          </cell>
        </row>
        <row r="105">
          <cell r="F105">
            <v>25548.959999999999</v>
          </cell>
        </row>
        <row r="106">
          <cell r="F106">
            <v>45474.239999999998</v>
          </cell>
        </row>
        <row r="107">
          <cell r="F107">
            <v>46827.79</v>
          </cell>
        </row>
        <row r="108">
          <cell r="F108">
            <v>865.74</v>
          </cell>
        </row>
        <row r="112">
          <cell r="F112">
            <v>-35735.760000000002</v>
          </cell>
        </row>
        <row r="113">
          <cell r="F113">
            <v>0</v>
          </cell>
        </row>
        <row r="114">
          <cell r="F114">
            <v>0</v>
          </cell>
        </row>
        <row r="115">
          <cell r="F115">
            <v>0</v>
          </cell>
        </row>
        <row r="116">
          <cell r="F116">
            <v>0</v>
          </cell>
        </row>
        <row r="120">
          <cell r="F120">
            <v>25831.94</v>
          </cell>
        </row>
        <row r="121">
          <cell r="F121">
            <v>2897.03</v>
          </cell>
        </row>
        <row r="122">
          <cell r="F122">
            <v>10318.84</v>
          </cell>
        </row>
        <row r="123">
          <cell r="F123">
            <v>12750.53</v>
          </cell>
        </row>
        <row r="124">
          <cell r="F124">
            <v>1442.9</v>
          </cell>
        </row>
        <row r="140">
          <cell r="F140">
            <v>198668235.57209998</v>
          </cell>
        </row>
        <row r="141">
          <cell r="F141">
            <v>48213815.324299969</v>
          </cell>
        </row>
        <row r="142">
          <cell r="F142">
            <v>85743906.75030002</v>
          </cell>
        </row>
        <row r="143">
          <cell r="F143">
            <v>141962152.8531</v>
          </cell>
        </row>
        <row r="144">
          <cell r="F144">
            <v>28857924.4978</v>
          </cell>
        </row>
      </sheetData>
      <sheetData sheetId="39">
        <row r="43">
          <cell r="F43">
            <v>0.73</v>
          </cell>
        </row>
        <row r="44">
          <cell r="F44">
            <v>0</v>
          </cell>
        </row>
        <row r="45">
          <cell r="F45">
            <v>0</v>
          </cell>
        </row>
        <row r="46">
          <cell r="F46">
            <v>0</v>
          </cell>
        </row>
        <row r="47">
          <cell r="F47">
            <v>51.72999999999999</v>
          </cell>
        </row>
        <row r="52">
          <cell r="F52">
            <v>-0.73</v>
          </cell>
        </row>
        <row r="53">
          <cell r="F53">
            <v>-443.01</v>
          </cell>
        </row>
        <row r="54">
          <cell r="F54">
            <v>-806.06999999999994</v>
          </cell>
        </row>
        <row r="55">
          <cell r="F55">
            <v>-1385.3600000000001</v>
          </cell>
        </row>
        <row r="56">
          <cell r="F56">
            <v>-465.46</v>
          </cell>
        </row>
        <row r="61">
          <cell r="F61">
            <v>44401.490000000005</v>
          </cell>
        </row>
        <row r="62">
          <cell r="F62">
            <v>8870.1200000000008</v>
          </cell>
        </row>
        <row r="63">
          <cell r="F63">
            <v>20980.23</v>
          </cell>
        </row>
        <row r="64">
          <cell r="F64">
            <v>26348.61</v>
          </cell>
        </row>
        <row r="65">
          <cell r="F65">
            <v>6932.2</v>
          </cell>
        </row>
        <row r="70">
          <cell r="F70">
            <v>-17111.41</v>
          </cell>
        </row>
        <row r="71">
          <cell r="F71">
            <v>-2218.6799999999998</v>
          </cell>
        </row>
        <row r="72">
          <cell r="F72">
            <v>10493.26</v>
          </cell>
        </row>
        <row r="73">
          <cell r="F73">
            <v>11097.53</v>
          </cell>
        </row>
        <row r="74">
          <cell r="F74">
            <v>6447.99</v>
          </cell>
        </row>
        <row r="79">
          <cell r="F79">
            <v>-5132.13</v>
          </cell>
        </row>
        <row r="84">
          <cell r="F84">
            <v>0</v>
          </cell>
        </row>
        <row r="88">
          <cell r="F88">
            <v>441204.01</v>
          </cell>
        </row>
        <row r="89">
          <cell r="F89">
            <v>52788.65</v>
          </cell>
        </row>
        <row r="90">
          <cell r="F90">
            <v>131562.4</v>
          </cell>
        </row>
        <row r="91">
          <cell r="F91">
            <v>226138.66999999998</v>
          </cell>
        </row>
        <row r="92">
          <cell r="F92">
            <v>38687.97</v>
          </cell>
        </row>
        <row r="96">
          <cell r="F96">
            <v>-34207.61</v>
          </cell>
        </row>
        <row r="97">
          <cell r="F97">
            <v>19514.849999999999</v>
          </cell>
        </row>
        <row r="98">
          <cell r="F98">
            <v>-31476.71</v>
          </cell>
        </row>
        <row r="99">
          <cell r="F99">
            <v>-92959.39</v>
          </cell>
        </row>
        <row r="100">
          <cell r="F100">
            <v>-36845.69</v>
          </cell>
        </row>
        <row r="104">
          <cell r="F104">
            <v>117911.55</v>
          </cell>
        </row>
        <row r="105">
          <cell r="F105">
            <v>23508.45</v>
          </cell>
        </row>
        <row r="106">
          <cell r="F106">
            <v>42776.84</v>
          </cell>
        </row>
        <row r="107">
          <cell r="F107">
            <v>45786.32</v>
          </cell>
        </row>
        <row r="108">
          <cell r="F108">
            <v>1381.71</v>
          </cell>
        </row>
        <row r="112">
          <cell r="F112">
            <v>-30804.06</v>
          </cell>
        </row>
        <row r="113">
          <cell r="F113">
            <v>0</v>
          </cell>
        </row>
        <row r="114">
          <cell r="F114">
            <v>0</v>
          </cell>
        </row>
        <row r="115">
          <cell r="F115">
            <v>0</v>
          </cell>
        </row>
        <row r="116">
          <cell r="F116">
            <v>0</v>
          </cell>
        </row>
        <row r="120">
          <cell r="F120">
            <v>22233.29</v>
          </cell>
        </row>
        <row r="121">
          <cell r="F121">
            <v>2661.57</v>
          </cell>
        </row>
        <row r="122">
          <cell r="F122">
            <v>9685.7199999999993</v>
          </cell>
        </row>
        <row r="123">
          <cell r="F123">
            <v>12485.46</v>
          </cell>
        </row>
        <row r="124">
          <cell r="F124">
            <v>2302.86</v>
          </cell>
        </row>
        <row r="140">
          <cell r="F140">
            <v>171030652.03220007</v>
          </cell>
        </row>
        <row r="141">
          <cell r="F141">
            <v>44356047.061799996</v>
          </cell>
        </row>
        <row r="142">
          <cell r="F142">
            <v>80711194.617300004</v>
          </cell>
        </row>
        <row r="143">
          <cell r="F143">
            <v>138745188.52200001</v>
          </cell>
        </row>
        <row r="144">
          <cell r="F144">
            <v>46057106.815399997</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2"/>
      <sheetName val="Dec 2022"/>
      <sheetName val="Jan 2023"/>
      <sheetName val=" Feb 2023"/>
      <sheetName val="Mar 2023"/>
      <sheetName val="Apr 2023"/>
    </sheetNames>
    <sheetDataSet>
      <sheetData sheetId="0">
        <row r="42">
          <cell r="E42">
            <v>4.1184699999999999E-3</v>
          </cell>
        </row>
      </sheetData>
      <sheetData sheetId="1">
        <row r="43">
          <cell r="E43">
            <v>4.4295699999999999E-3</v>
          </cell>
        </row>
      </sheetData>
      <sheetData sheetId="2">
        <row r="43">
          <cell r="E43">
            <v>4.5610700000000004E-3</v>
          </cell>
        </row>
      </sheetData>
      <sheetData sheetId="3">
        <row r="40">
          <cell r="E40">
            <v>4.66411E-3</v>
          </cell>
        </row>
      </sheetData>
      <sheetData sheetId="4">
        <row r="43">
          <cell r="E43">
            <v>4.8123899999999997E-3</v>
          </cell>
        </row>
      </sheetData>
      <sheetData sheetId="5">
        <row r="42">
          <cell r="E42">
            <v>4.9661499999999999E-3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2 12062022"/>
      <sheetName val="Input"/>
      <sheetName val="Program Descriptions"/>
    </sheetNames>
    <sheetDataSet>
      <sheetData sheetId="0">
        <row r="30">
          <cell r="N30">
            <v>463273.78</v>
          </cell>
          <cell r="O30">
            <v>14874.29</v>
          </cell>
          <cell r="P30">
            <v>466704.51</v>
          </cell>
          <cell r="Q30">
            <v>353847.07000000007</v>
          </cell>
          <cell r="R30">
            <v>9525.68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2 01072023"/>
      <sheetName val="Input"/>
      <sheetName val="Program Descriptions"/>
    </sheetNames>
    <sheetDataSet>
      <sheetData sheetId="0">
        <row r="30">
          <cell r="N30">
            <v>797554.48</v>
          </cell>
          <cell r="O30">
            <v>84892.56</v>
          </cell>
          <cell r="P30">
            <v>244218.97</v>
          </cell>
          <cell r="Q30">
            <v>290613.68000000005</v>
          </cell>
          <cell r="R30">
            <v>17204.57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3 02072023"/>
      <sheetName val="Input"/>
      <sheetName val="Program Descriptions"/>
    </sheetNames>
    <sheetDataSet>
      <sheetData sheetId="0">
        <row r="30">
          <cell r="N30">
            <v>717408.29</v>
          </cell>
          <cell r="O30">
            <v>299673.65999999997</v>
          </cell>
          <cell r="P30">
            <v>450903.58999999997</v>
          </cell>
          <cell r="Q30">
            <v>1356634.4500000002</v>
          </cell>
          <cell r="R30">
            <v>76617.5</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3 03072023"/>
      <sheetName val="Input"/>
      <sheetName val="Program Descriptions"/>
    </sheetNames>
    <sheetDataSet>
      <sheetData sheetId="0">
        <row r="30">
          <cell r="N30">
            <v>351212.08</v>
          </cell>
          <cell r="O30">
            <v>27870.04</v>
          </cell>
          <cell r="P30">
            <v>54628.720000000008</v>
          </cell>
          <cell r="Q30">
            <v>86914.87000000001</v>
          </cell>
          <cell r="R30">
            <v>23227.829999999904</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sheetPr>
    <pageSetUpPr fitToPage="1"/>
  </sheetPr>
  <dimension ref="A1:C72"/>
  <sheetViews>
    <sheetView tabSelected="1" zoomScale="80" zoomScaleNormal="80" workbookViewId="0">
      <pane xSplit="1" ySplit="4" topLeftCell="B5" activePane="bottomRight" state="frozen"/>
      <selection pane="topRight" activeCell="B1" sqref="B1"/>
      <selection pane="bottomLeft" activeCell="A5" sqref="A5"/>
      <selection pane="bottomRight" activeCell="B2" sqref="B2"/>
    </sheetView>
  </sheetViews>
  <sheetFormatPr defaultRowHeight="14.5" x14ac:dyDescent="0.35"/>
  <cols>
    <col min="1" max="1" width="17" style="3" bestFit="1" customWidth="1"/>
    <col min="2" max="2" width="62.26953125" style="301" customWidth="1"/>
    <col min="3" max="3" width="56.26953125" style="301" customWidth="1"/>
  </cols>
  <sheetData>
    <row r="1" spans="1:3" x14ac:dyDescent="0.35">
      <c r="A1" s="3" t="str">
        <f>+'PPC Cycle 3'!A1</f>
        <v>Evergy Metro, Inc. - DSIM Rider Update Filed 06/01/2023</v>
      </c>
    </row>
    <row r="4" spans="1:3" s="3" customFormat="1" x14ac:dyDescent="0.35">
      <c r="A4" s="305" t="s">
        <v>226</v>
      </c>
      <c r="B4" s="306" t="s">
        <v>228</v>
      </c>
      <c r="C4" s="306" t="s">
        <v>229</v>
      </c>
    </row>
    <row r="5" spans="1:3" s="302" customFormat="1" ht="29" x14ac:dyDescent="0.35">
      <c r="A5" s="307" t="s">
        <v>227</v>
      </c>
      <c r="B5" s="308" t="s">
        <v>230</v>
      </c>
      <c r="C5" s="308" t="s">
        <v>231</v>
      </c>
    </row>
    <row r="6" spans="1:3" s="302" customFormat="1" ht="29" x14ac:dyDescent="0.35">
      <c r="A6" s="307" t="s">
        <v>232</v>
      </c>
      <c r="B6" s="308" t="s">
        <v>233</v>
      </c>
      <c r="C6" s="308" t="s">
        <v>234</v>
      </c>
    </row>
    <row r="7" spans="1:3" s="302" customFormat="1" ht="101.5" x14ac:dyDescent="0.35">
      <c r="A7" s="307" t="s">
        <v>235</v>
      </c>
      <c r="B7" s="308" t="s">
        <v>240</v>
      </c>
      <c r="C7" s="308" t="s">
        <v>241</v>
      </c>
    </row>
    <row r="8" spans="1:3" s="302" customFormat="1" ht="72.5" x14ac:dyDescent="0.35">
      <c r="A8" s="307" t="s">
        <v>236</v>
      </c>
      <c r="B8" s="308" t="s">
        <v>251</v>
      </c>
      <c r="C8" s="308" t="s">
        <v>250</v>
      </c>
    </row>
    <row r="9" spans="1:3" s="302" customFormat="1" ht="145" x14ac:dyDescent="0.35">
      <c r="A9" s="307" t="s">
        <v>237</v>
      </c>
      <c r="B9" s="308" t="s">
        <v>252</v>
      </c>
      <c r="C9" s="308" t="s">
        <v>253</v>
      </c>
    </row>
    <row r="10" spans="1:3" s="302" customFormat="1" ht="58" x14ac:dyDescent="0.35">
      <c r="A10" s="307" t="s">
        <v>238</v>
      </c>
      <c r="B10" s="308" t="s">
        <v>245</v>
      </c>
      <c r="C10" s="308" t="s">
        <v>239</v>
      </c>
    </row>
    <row r="11" spans="1:3" s="302" customFormat="1" ht="72.5" x14ac:dyDescent="0.35">
      <c r="A11" s="307" t="s">
        <v>243</v>
      </c>
      <c r="B11" s="308" t="s">
        <v>244</v>
      </c>
      <c r="C11" s="308" t="s">
        <v>242</v>
      </c>
    </row>
    <row r="12" spans="1:3" s="302" customFormat="1" ht="188.5" x14ac:dyDescent="0.35">
      <c r="A12" s="307" t="s">
        <v>246</v>
      </c>
      <c r="B12" s="308" t="s">
        <v>248</v>
      </c>
      <c r="C12" s="308" t="s">
        <v>274</v>
      </c>
    </row>
    <row r="13" spans="1:3" s="302" customFormat="1" ht="217.5" x14ac:dyDescent="0.35">
      <c r="A13" s="307" t="s">
        <v>247</v>
      </c>
      <c r="B13" s="308" t="s">
        <v>249</v>
      </c>
      <c r="C13" s="308" t="s">
        <v>273</v>
      </c>
    </row>
    <row r="14" spans="1:3" s="302" customFormat="1" ht="188.5" x14ac:dyDescent="0.35">
      <c r="A14" s="307" t="s">
        <v>254</v>
      </c>
      <c r="B14" s="308" t="s">
        <v>271</v>
      </c>
      <c r="C14" s="308" t="s">
        <v>279</v>
      </c>
    </row>
    <row r="15" spans="1:3" s="302" customFormat="1" ht="200.5" customHeight="1" x14ac:dyDescent="0.35">
      <c r="A15" s="307" t="s">
        <v>255</v>
      </c>
      <c r="B15" s="308" t="s">
        <v>272</v>
      </c>
      <c r="C15" s="308" t="s">
        <v>280</v>
      </c>
    </row>
    <row r="16" spans="1:3" s="302" customFormat="1" ht="101.5" x14ac:dyDescent="0.35">
      <c r="A16" s="307" t="s">
        <v>256</v>
      </c>
      <c r="B16" s="308" t="s">
        <v>275</v>
      </c>
      <c r="C16" s="308" t="s">
        <v>277</v>
      </c>
    </row>
    <row r="17" spans="1:3" s="302" customFormat="1" ht="101.5" x14ac:dyDescent="0.35">
      <c r="A17" s="307" t="s">
        <v>257</v>
      </c>
      <c r="B17" s="308" t="s">
        <v>276</v>
      </c>
      <c r="C17" s="308" t="s">
        <v>278</v>
      </c>
    </row>
    <row r="18" spans="1:3" s="302" customFormat="1" ht="29" x14ac:dyDescent="0.35">
      <c r="A18" s="307" t="s">
        <v>258</v>
      </c>
      <c r="B18" s="308" t="s">
        <v>268</v>
      </c>
      <c r="C18" s="308" t="s">
        <v>267</v>
      </c>
    </row>
    <row r="19" spans="1:3" s="302" customFormat="1" ht="29" x14ac:dyDescent="0.35">
      <c r="A19" s="307" t="s">
        <v>259</v>
      </c>
      <c r="B19" s="308" t="s">
        <v>270</v>
      </c>
      <c r="C19" s="308" t="s">
        <v>269</v>
      </c>
    </row>
    <row r="20" spans="1:3" s="302" customFormat="1" ht="72.5" x14ac:dyDescent="0.35">
      <c r="A20" s="307" t="s">
        <v>260</v>
      </c>
      <c r="B20" s="308" t="s">
        <v>264</v>
      </c>
      <c r="C20" s="308" t="s">
        <v>262</v>
      </c>
    </row>
    <row r="21" spans="1:3" s="302" customFormat="1" ht="72.5" x14ac:dyDescent="0.35">
      <c r="A21" s="307" t="s">
        <v>261</v>
      </c>
      <c r="B21" s="308" t="s">
        <v>263</v>
      </c>
      <c r="C21" s="308" t="s">
        <v>262</v>
      </c>
    </row>
    <row r="22" spans="1:3" s="302" customFormat="1" x14ac:dyDescent="0.35">
      <c r="A22" s="304"/>
      <c r="B22" s="303"/>
      <c r="C22" s="303"/>
    </row>
    <row r="23" spans="1:3" s="302" customFormat="1" x14ac:dyDescent="0.35">
      <c r="A23" s="304"/>
      <c r="B23" s="303"/>
      <c r="C23" s="303"/>
    </row>
    <row r="24" spans="1:3" s="302" customFormat="1" x14ac:dyDescent="0.35">
      <c r="A24" s="304"/>
      <c r="B24" s="303"/>
      <c r="C24" s="303"/>
    </row>
    <row r="25" spans="1:3" s="302" customFormat="1" x14ac:dyDescent="0.35">
      <c r="A25" s="304"/>
      <c r="B25" s="303"/>
      <c r="C25" s="303"/>
    </row>
    <row r="26" spans="1:3" s="302" customFormat="1" x14ac:dyDescent="0.35">
      <c r="A26" s="304"/>
      <c r="B26" s="303"/>
      <c r="C26" s="303"/>
    </row>
    <row r="27" spans="1:3" s="302" customFormat="1" x14ac:dyDescent="0.35">
      <c r="A27" s="304"/>
      <c r="B27" s="303"/>
      <c r="C27" s="303"/>
    </row>
    <row r="28" spans="1:3" s="302" customFormat="1" x14ac:dyDescent="0.35">
      <c r="A28" s="304"/>
      <c r="B28" s="303"/>
      <c r="C28" s="303"/>
    </row>
    <row r="29" spans="1:3" s="302" customFormat="1" x14ac:dyDescent="0.35">
      <c r="A29" s="304"/>
      <c r="B29" s="303"/>
      <c r="C29" s="303"/>
    </row>
    <row r="30" spans="1:3" s="302" customFormat="1" x14ac:dyDescent="0.35">
      <c r="A30" s="304"/>
      <c r="B30" s="303"/>
      <c r="C30" s="303"/>
    </row>
    <row r="31" spans="1:3" s="302" customFormat="1" x14ac:dyDescent="0.35">
      <c r="A31" s="304"/>
      <c r="B31" s="303"/>
      <c r="C31" s="303"/>
    </row>
    <row r="32" spans="1:3" s="302" customFormat="1" x14ac:dyDescent="0.35">
      <c r="A32" s="304"/>
      <c r="B32" s="303"/>
      <c r="C32" s="303"/>
    </row>
    <row r="33" spans="1:3" s="302" customFormat="1" x14ac:dyDescent="0.35">
      <c r="A33" s="304"/>
      <c r="B33" s="303"/>
      <c r="C33" s="303"/>
    </row>
    <row r="34" spans="1:3" s="302" customFormat="1" x14ac:dyDescent="0.35">
      <c r="A34" s="304"/>
      <c r="B34" s="303"/>
      <c r="C34" s="303"/>
    </row>
    <row r="35" spans="1:3" s="302" customFormat="1" x14ac:dyDescent="0.35">
      <c r="A35" s="304"/>
      <c r="B35" s="303"/>
      <c r="C35" s="303"/>
    </row>
    <row r="36" spans="1:3" s="302" customFormat="1" x14ac:dyDescent="0.35">
      <c r="A36" s="304"/>
      <c r="B36" s="303"/>
      <c r="C36" s="303"/>
    </row>
    <row r="37" spans="1:3" s="302" customFormat="1" x14ac:dyDescent="0.35">
      <c r="A37" s="304"/>
      <c r="B37" s="303"/>
      <c r="C37" s="303"/>
    </row>
    <row r="38" spans="1:3" s="302" customFormat="1" x14ac:dyDescent="0.35">
      <c r="A38" s="304"/>
      <c r="B38" s="303"/>
      <c r="C38" s="303"/>
    </row>
    <row r="39" spans="1:3" s="302" customFormat="1" x14ac:dyDescent="0.35">
      <c r="A39" s="304"/>
      <c r="B39" s="303"/>
      <c r="C39" s="303"/>
    </row>
    <row r="40" spans="1:3" s="302" customFormat="1" x14ac:dyDescent="0.35">
      <c r="A40" s="304"/>
      <c r="B40" s="303"/>
      <c r="C40" s="303"/>
    </row>
    <row r="41" spans="1:3" s="302" customFormat="1" x14ac:dyDescent="0.35">
      <c r="A41" s="304"/>
      <c r="B41" s="303"/>
      <c r="C41" s="303"/>
    </row>
    <row r="42" spans="1:3" s="302" customFormat="1" x14ac:dyDescent="0.35">
      <c r="A42" s="304"/>
      <c r="B42" s="303"/>
      <c r="C42" s="303"/>
    </row>
    <row r="43" spans="1:3" s="302" customFormat="1" x14ac:dyDescent="0.35">
      <c r="A43" s="304"/>
      <c r="B43" s="303"/>
      <c r="C43" s="303"/>
    </row>
    <row r="44" spans="1:3" s="302" customFormat="1" x14ac:dyDescent="0.35">
      <c r="A44" s="304"/>
      <c r="B44" s="303"/>
      <c r="C44" s="303"/>
    </row>
    <row r="45" spans="1:3" s="302" customFormat="1" x14ac:dyDescent="0.35">
      <c r="A45" s="304"/>
      <c r="B45" s="303"/>
      <c r="C45" s="303"/>
    </row>
    <row r="46" spans="1:3" s="302" customFormat="1" x14ac:dyDescent="0.35">
      <c r="A46" s="304"/>
      <c r="B46" s="303"/>
      <c r="C46" s="303"/>
    </row>
    <row r="47" spans="1:3" s="302" customFormat="1" x14ac:dyDescent="0.35">
      <c r="A47" s="304"/>
      <c r="B47" s="303"/>
      <c r="C47" s="303"/>
    </row>
    <row r="48" spans="1:3" s="302" customFormat="1" x14ac:dyDescent="0.35">
      <c r="A48" s="304"/>
      <c r="B48" s="303"/>
      <c r="C48" s="303"/>
    </row>
    <row r="49" spans="1:3" s="302" customFormat="1" x14ac:dyDescent="0.35">
      <c r="A49" s="304"/>
      <c r="B49" s="303"/>
      <c r="C49" s="303"/>
    </row>
    <row r="50" spans="1:3" s="302" customFormat="1" x14ac:dyDescent="0.35">
      <c r="A50" s="304"/>
      <c r="B50" s="303"/>
      <c r="C50" s="303"/>
    </row>
    <row r="51" spans="1:3" s="302" customFormat="1" x14ac:dyDescent="0.35">
      <c r="A51" s="304"/>
      <c r="B51" s="303"/>
      <c r="C51" s="303"/>
    </row>
    <row r="52" spans="1:3" s="302" customFormat="1" x14ac:dyDescent="0.35">
      <c r="A52" s="304"/>
      <c r="B52" s="303"/>
      <c r="C52" s="303"/>
    </row>
    <row r="53" spans="1:3" s="302" customFormat="1" x14ac:dyDescent="0.35">
      <c r="A53" s="304"/>
      <c r="B53" s="303"/>
      <c r="C53" s="303"/>
    </row>
    <row r="54" spans="1:3" s="302" customFormat="1" x14ac:dyDescent="0.35">
      <c r="A54" s="304"/>
      <c r="B54" s="303"/>
      <c r="C54" s="303"/>
    </row>
    <row r="55" spans="1:3" s="302" customFormat="1" x14ac:dyDescent="0.35">
      <c r="A55" s="304"/>
      <c r="B55" s="303"/>
      <c r="C55" s="303"/>
    </row>
    <row r="56" spans="1:3" s="302" customFormat="1" x14ac:dyDescent="0.35">
      <c r="A56" s="304"/>
      <c r="B56" s="303"/>
      <c r="C56" s="303"/>
    </row>
    <row r="57" spans="1:3" s="302" customFormat="1" x14ac:dyDescent="0.35">
      <c r="A57" s="304"/>
      <c r="B57" s="303"/>
      <c r="C57" s="303"/>
    </row>
    <row r="58" spans="1:3" s="302" customFormat="1" x14ac:dyDescent="0.35">
      <c r="A58" s="304"/>
      <c r="B58" s="303"/>
      <c r="C58" s="303"/>
    </row>
    <row r="59" spans="1:3" s="302" customFormat="1" x14ac:dyDescent="0.35">
      <c r="A59" s="304"/>
      <c r="B59" s="303"/>
      <c r="C59" s="303"/>
    </row>
    <row r="60" spans="1:3" s="302" customFormat="1" x14ac:dyDescent="0.35">
      <c r="A60" s="304"/>
      <c r="B60" s="303"/>
      <c r="C60" s="303"/>
    </row>
    <row r="61" spans="1:3" s="302" customFormat="1" x14ac:dyDescent="0.35">
      <c r="A61" s="304"/>
      <c r="B61" s="303"/>
      <c r="C61" s="303"/>
    </row>
    <row r="62" spans="1:3" s="302" customFormat="1" x14ac:dyDescent="0.35">
      <c r="A62" s="304"/>
      <c r="B62" s="303"/>
      <c r="C62" s="303"/>
    </row>
    <row r="63" spans="1:3" s="302" customFormat="1" x14ac:dyDescent="0.35">
      <c r="A63" s="304"/>
      <c r="B63" s="303"/>
      <c r="C63" s="303"/>
    </row>
    <row r="64" spans="1:3" s="302" customFormat="1" x14ac:dyDescent="0.35">
      <c r="A64" s="304"/>
      <c r="B64" s="303"/>
      <c r="C64" s="303"/>
    </row>
    <row r="65" spans="1:3" s="302" customFormat="1" x14ac:dyDescent="0.35">
      <c r="A65" s="304"/>
      <c r="B65" s="303"/>
      <c r="C65" s="303"/>
    </row>
    <row r="66" spans="1:3" s="302" customFormat="1" x14ac:dyDescent="0.35">
      <c r="A66" s="304"/>
      <c r="B66" s="303"/>
      <c r="C66" s="303"/>
    </row>
    <row r="67" spans="1:3" s="302" customFormat="1" x14ac:dyDescent="0.35">
      <c r="A67" s="304"/>
      <c r="B67" s="303"/>
      <c r="C67" s="303"/>
    </row>
    <row r="68" spans="1:3" s="302" customFormat="1" x14ac:dyDescent="0.35">
      <c r="A68" s="304"/>
      <c r="B68" s="303"/>
      <c r="C68" s="303"/>
    </row>
    <row r="69" spans="1:3" s="302" customFormat="1" x14ac:dyDescent="0.35">
      <c r="A69" s="304"/>
      <c r="B69" s="303"/>
      <c r="C69" s="303"/>
    </row>
    <row r="70" spans="1:3" s="302" customFormat="1" x14ac:dyDescent="0.35">
      <c r="A70" s="304"/>
      <c r="B70" s="303"/>
      <c r="C70" s="303"/>
    </row>
    <row r="71" spans="1:3" s="302" customFormat="1" x14ac:dyDescent="0.35">
      <c r="A71" s="304"/>
      <c r="B71" s="303"/>
      <c r="C71" s="303"/>
    </row>
    <row r="72" spans="1:3" s="302" customFormat="1" x14ac:dyDescent="0.35">
      <c r="A72" s="304"/>
      <c r="B72" s="303"/>
      <c r="C72" s="303"/>
    </row>
  </sheetData>
  <phoneticPr fontId="41" type="noConversion"/>
  <pageMargins left="0.7" right="0.7" top="0.75" bottom="0.75" header="0.3" footer="0.3"/>
  <pageSetup scale="3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B45" activePane="bottomRight" state="frozen"/>
      <selection activeCell="J26" sqref="J26"/>
      <selection pane="topRight" activeCell="J26" sqref="J26"/>
      <selection pane="bottomLeft" activeCell="J26" sqref="J26"/>
      <selection pane="bottomRight" activeCell="P1" sqref="P1:P1048576"/>
    </sheetView>
  </sheetViews>
  <sheetFormatPr defaultColWidth="9.1796875" defaultRowHeight="14.5" outlineLevelCol="1" x14ac:dyDescent="0.35"/>
  <cols>
    <col min="1" max="1" width="37"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141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SUM(C16:M16)</f>
        <v>918020.15983000002</v>
      </c>
      <c r="F4" s="138">
        <f>N23</f>
        <v>17513679.504634231</v>
      </c>
      <c r="G4" s="22">
        <f>SUM(C30:L30)</f>
        <v>923012.08999999985</v>
      </c>
      <c r="H4" s="22">
        <f>G4-E4</f>
        <v>4991.9301699998323</v>
      </c>
      <c r="I4" s="22">
        <f>+B46</f>
        <v>-344666.95787999989</v>
      </c>
      <c r="J4" s="22">
        <f>SUM(C54:L54)</f>
        <v>-1779.23</v>
      </c>
      <c r="K4" s="25">
        <f>SUM(H4:J4)</f>
        <v>-341454.25771000003</v>
      </c>
      <c r="L4" s="47">
        <f>+K4-M46</f>
        <v>0</v>
      </c>
    </row>
    <row r="5" spans="1:35" x14ac:dyDescent="0.35">
      <c r="A5" s="20" t="s">
        <v>107</v>
      </c>
      <c r="B5" s="20"/>
      <c r="C5" s="20"/>
      <c r="D5" s="20"/>
      <c r="E5" s="22">
        <f t="shared" ref="E5:E7" si="0">SUM(C17:M17)</f>
        <v>162081.61502</v>
      </c>
      <c r="F5" s="138">
        <f t="shared" ref="F5:F7" si="1">N24</f>
        <v>1961567.7891515254</v>
      </c>
      <c r="G5" s="22">
        <f t="shared" ref="G5:G7" si="2">SUM(C31:L31)</f>
        <v>123137.42</v>
      </c>
      <c r="H5" s="22">
        <f t="shared" ref="H5:H7" si="3">G5-E5</f>
        <v>-38944.195019999999</v>
      </c>
      <c r="I5" s="22">
        <f t="shared" ref="I5:I7" si="4">+B47</f>
        <v>-83418.852640000056</v>
      </c>
      <c r="J5" s="22">
        <f t="shared" ref="J5:J7" si="5">SUM(C55:L55)</f>
        <v>-2195.81</v>
      </c>
      <c r="K5" s="25">
        <f t="shared" ref="K5:K7" si="6">SUM(H5:J5)</f>
        <v>-124558.85766000005</v>
      </c>
      <c r="L5" s="47">
        <f>+K5-M47</f>
        <v>0</v>
      </c>
    </row>
    <row r="6" spans="1:35" x14ac:dyDescent="0.35">
      <c r="A6" s="20" t="s">
        <v>108</v>
      </c>
      <c r="B6" s="20"/>
      <c r="C6" s="20"/>
      <c r="D6" s="20"/>
      <c r="E6" s="22">
        <f t="shared" si="0"/>
        <v>281946.55920999998</v>
      </c>
      <c r="F6" s="138">
        <f t="shared" si="1"/>
        <v>5899367.9735222729</v>
      </c>
      <c r="G6" s="22">
        <f t="shared" si="2"/>
        <v>245489.93</v>
      </c>
      <c r="H6" s="22">
        <f t="shared" si="3"/>
        <v>-36456.629209999985</v>
      </c>
      <c r="I6" s="22">
        <f t="shared" si="4"/>
        <v>-1239.7449100000426</v>
      </c>
      <c r="J6" s="22">
        <f t="shared" si="5"/>
        <v>1868.33</v>
      </c>
      <c r="K6" s="25">
        <f t="shared" si="6"/>
        <v>-35828.044120000028</v>
      </c>
      <c r="L6" s="47">
        <f>+K6-M48</f>
        <v>0</v>
      </c>
    </row>
    <row r="7" spans="1:35" x14ac:dyDescent="0.35">
      <c r="A7" s="20" t="s">
        <v>109</v>
      </c>
      <c r="B7" s="20"/>
      <c r="C7" s="20"/>
      <c r="D7" s="20"/>
      <c r="E7" s="22">
        <f t="shared" si="0"/>
        <v>294009.99443000002</v>
      </c>
      <c r="F7" s="138">
        <f t="shared" si="1"/>
        <v>8724276.2178983986</v>
      </c>
      <c r="G7" s="22">
        <f t="shared" si="2"/>
        <v>223335.55</v>
      </c>
      <c r="H7" s="22">
        <f t="shared" si="3"/>
        <v>-70674.444430000032</v>
      </c>
      <c r="I7" s="22">
        <f t="shared" si="4"/>
        <v>-20395.637679999985</v>
      </c>
      <c r="J7" s="22">
        <f t="shared" si="5"/>
        <v>312.92</v>
      </c>
      <c r="K7" s="25">
        <f t="shared" si="6"/>
        <v>-90757.162110000019</v>
      </c>
      <c r="L7" s="47">
        <f>+K7-M49</f>
        <v>0</v>
      </c>
    </row>
    <row r="8" spans="1:35" ht="15" thickBot="1" x14ac:dyDescent="0.4">
      <c r="A8" s="20" t="s">
        <v>110</v>
      </c>
      <c r="B8" s="20"/>
      <c r="C8" s="20"/>
      <c r="D8" s="20"/>
      <c r="E8" s="22">
        <f>SUM(C20:M20)</f>
        <v>6734.1403600000012</v>
      </c>
      <c r="F8" s="138">
        <f>N27</f>
        <v>1127496.6416548979</v>
      </c>
      <c r="G8" s="22">
        <f>SUM(C34:L34)</f>
        <v>12819.01</v>
      </c>
      <c r="H8" s="22">
        <f>G8-E8</f>
        <v>6084.869639999999</v>
      </c>
      <c r="I8" s="22">
        <f>+B50</f>
        <v>-25486.629659999995</v>
      </c>
      <c r="J8" s="22">
        <f>SUM(C58:L58)</f>
        <v>-635.67000000000007</v>
      </c>
      <c r="K8" s="25">
        <f>SUM(H8:J8)</f>
        <v>-20037.430019999993</v>
      </c>
      <c r="L8" s="47">
        <f>+K8-M50</f>
        <v>0</v>
      </c>
    </row>
    <row r="9" spans="1:35" ht="15.5" thickTop="1" thickBot="1" x14ac:dyDescent="0.4">
      <c r="E9" s="27">
        <f t="shared" ref="E9:I9" si="7">SUM(E4:E8)</f>
        <v>1662792.4688499998</v>
      </c>
      <c r="F9" s="139">
        <f t="shared" si="7"/>
        <v>35226388.126861326</v>
      </c>
      <c r="G9" s="27">
        <f t="shared" si="7"/>
        <v>1527794</v>
      </c>
      <c r="H9" s="27">
        <f t="shared" si="7"/>
        <v>-134998.46885000018</v>
      </c>
      <c r="I9" s="27">
        <f t="shared" si="7"/>
        <v>-475207.82276999997</v>
      </c>
      <c r="J9" s="27">
        <f>SUM(J4:J8)</f>
        <v>-2429.46</v>
      </c>
      <c r="K9" s="27">
        <f>SUM(K4:K8)</f>
        <v>-612635.75162000011</v>
      </c>
      <c r="T9" s="5"/>
    </row>
    <row r="10" spans="1:35" ht="15.5" thickTop="1" thickBot="1" x14ac:dyDescent="0.4">
      <c r="K10" s="230"/>
      <c r="L10" s="229"/>
    </row>
    <row r="11" spans="1:35" ht="116.5" thickBot="1" x14ac:dyDescent="0.4">
      <c r="B11" s="118" t="str">
        <f>+'PCR Cycle 2'!B14</f>
        <v>Cumulative Over/Under Carryover From 12/01/2022 Filing</v>
      </c>
      <c r="C11" s="153" t="str">
        <f>+'PCR Cycle 2'!C14</f>
        <v>Reverse November 2022 - January 2023 Forecast From 12/01/2022 Filing</v>
      </c>
      <c r="D11" s="213">
        <f>+'PCR Cycle 2'!D14</f>
        <v>0</v>
      </c>
      <c r="E11" s="317" t="s">
        <v>33</v>
      </c>
      <c r="F11" s="317"/>
      <c r="G11" s="318"/>
      <c r="H11" s="323" t="s">
        <v>33</v>
      </c>
      <c r="I11" s="324"/>
      <c r="J11" s="325"/>
      <c r="K11" s="313" t="s">
        <v>8</v>
      </c>
      <c r="L11" s="314"/>
      <c r="M11" s="315"/>
    </row>
    <row r="12" spans="1:35" x14ac:dyDescent="0.35">
      <c r="A12" s="46" t="s">
        <v>63</v>
      </c>
      <c r="C12" s="105"/>
      <c r="D12" s="214"/>
      <c r="E12" s="19">
        <f>+'PCR Cycle 2'!E15</f>
        <v>44895</v>
      </c>
      <c r="F12" s="19">
        <f t="shared" ref="F12:M12" si="8">EOMONTH(E12,1)</f>
        <v>44926</v>
      </c>
      <c r="G12" s="19">
        <f t="shared" si="8"/>
        <v>44957</v>
      </c>
      <c r="H12" s="14">
        <f t="shared" si="8"/>
        <v>44985</v>
      </c>
      <c r="I12" s="19">
        <f t="shared" si="8"/>
        <v>45016</v>
      </c>
      <c r="J12" s="15">
        <f t="shared" si="8"/>
        <v>45046</v>
      </c>
      <c r="K12" s="19">
        <f t="shared" si="8"/>
        <v>45077</v>
      </c>
      <c r="L12" s="19">
        <f t="shared" si="8"/>
        <v>45107</v>
      </c>
      <c r="M12" s="15">
        <f t="shared" si="8"/>
        <v>45138</v>
      </c>
      <c r="Z12" s="1"/>
      <c r="AA12" s="1"/>
      <c r="AB12" s="1"/>
      <c r="AC12" s="1"/>
      <c r="AD12" s="1"/>
      <c r="AE12" s="1"/>
      <c r="AF12" s="1"/>
      <c r="AG12" s="1"/>
      <c r="AH12" s="1"/>
      <c r="AI12" s="1"/>
    </row>
    <row r="13" spans="1:35" x14ac:dyDescent="0.35">
      <c r="A13" s="46" t="s">
        <v>5</v>
      </c>
      <c r="C13" s="194">
        <v>-690057</v>
      </c>
      <c r="D13" s="197"/>
      <c r="E13" s="109">
        <f t="shared" ref="E13:L13" si="9">SUM(E30:E34)</f>
        <v>506114.70999999996</v>
      </c>
      <c r="F13" s="109">
        <f t="shared" si="9"/>
        <v>572553.0199999999</v>
      </c>
      <c r="G13" s="110">
        <f t="shared" si="9"/>
        <v>174202.74</v>
      </c>
      <c r="H13" s="16">
        <f t="shared" si="9"/>
        <v>162766.75999999998</v>
      </c>
      <c r="I13" s="55">
        <f t="shared" si="9"/>
        <v>174787.09</v>
      </c>
      <c r="J13" s="166">
        <f t="shared" si="9"/>
        <v>182461.52000000002</v>
      </c>
      <c r="K13" s="159">
        <f t="shared" si="9"/>
        <v>178290.91999999998</v>
      </c>
      <c r="L13" s="78">
        <f t="shared" si="9"/>
        <v>266674.24000000005</v>
      </c>
      <c r="M13" s="79"/>
    </row>
    <row r="14" spans="1:35" x14ac:dyDescent="0.35">
      <c r="C14" s="99"/>
      <c r="D14" s="198"/>
      <c r="E14" s="17"/>
      <c r="F14" s="17"/>
      <c r="G14" s="17"/>
      <c r="H14" s="10"/>
      <c r="I14" s="17"/>
      <c r="J14" s="11"/>
      <c r="K14" s="31"/>
      <c r="L14" s="31"/>
      <c r="M14" s="29"/>
    </row>
    <row r="15" spans="1:35" x14ac:dyDescent="0.35">
      <c r="A15" s="46" t="s">
        <v>62</v>
      </c>
      <c r="C15" s="99"/>
      <c r="D15" s="198"/>
      <c r="E15" s="18"/>
      <c r="F15" s="18"/>
      <c r="G15" s="18"/>
      <c r="H15" s="91"/>
      <c r="I15" s="18"/>
      <c r="J15" s="167"/>
      <c r="K15" s="31"/>
      <c r="L15" s="31"/>
      <c r="M15" s="29"/>
      <c r="N15" s="3" t="s">
        <v>68</v>
      </c>
      <c r="O15" s="39"/>
    </row>
    <row r="16" spans="1:35" x14ac:dyDescent="0.35">
      <c r="A16" s="46" t="s">
        <v>24</v>
      </c>
      <c r="C16" s="194">
        <v>-826509.39788000006</v>
      </c>
      <c r="D16" s="197"/>
      <c r="E16" s="136">
        <f>ROUND('[4]Nov 2022'!$F104,2)</f>
        <v>199215.13</v>
      </c>
      <c r="F16" s="136">
        <f>ROUND('[4]Dec 2022'!$F104,2)</f>
        <v>276891.55</v>
      </c>
      <c r="G16" s="136">
        <f>ROUND('[4]Jan 2023'!$F104,2)</f>
        <v>335801.66</v>
      </c>
      <c r="H16" s="16">
        <f>ROUND('[4]Feb 2023'!$F104,2)</f>
        <v>237491.39</v>
      </c>
      <c r="I16" s="121">
        <f>ROUND('[4]Mar 2023'!$F104,2)</f>
        <v>137174.67000000001</v>
      </c>
      <c r="J16" s="171">
        <f>ROUND('[4]Apr 2023'!$F104,2)</f>
        <v>117911.55</v>
      </c>
      <c r="K16" s="123">
        <f>'PCR Cycle 2'!K27*'TDR Cycle 3'!$N16</f>
        <v>108098.022</v>
      </c>
      <c r="L16" s="41">
        <f>'PCR Cycle 2'!L27*'TDR Cycle 3'!$N16</f>
        <v>135574.93221</v>
      </c>
      <c r="M16" s="61">
        <f>'PCR Cycle 2'!M27*'TDR Cycle 3'!$N16</f>
        <v>196370.65349999999</v>
      </c>
      <c r="N16" s="72">
        <v>6.8999999999999997E-4</v>
      </c>
      <c r="O16" s="4"/>
    </row>
    <row r="17" spans="1:15" x14ac:dyDescent="0.35">
      <c r="A17" s="46" t="s">
        <v>107</v>
      </c>
      <c r="C17" s="194">
        <v>-66909.092640000003</v>
      </c>
      <c r="D17" s="197"/>
      <c r="E17" s="136">
        <f>ROUND('[4]Nov 2022'!$F105,2)</f>
        <v>21272.12</v>
      </c>
      <c r="F17" s="136">
        <f>ROUND('[4]Dec 2022'!$F105,2)</f>
        <v>24485.279999999999</v>
      </c>
      <c r="G17" s="136">
        <f>ROUND('[4]Jan 2023'!$F105,2)</f>
        <v>28036.85</v>
      </c>
      <c r="H17" s="16">
        <f>ROUND('[4]Feb 2023'!$F105,2)</f>
        <v>26370.22</v>
      </c>
      <c r="I17" s="121">
        <f>ROUND('[4]Mar 2023'!$F105,2)</f>
        <v>25548.959999999999</v>
      </c>
      <c r="J17" s="171">
        <f>ROUND('[4]Apr 2023'!$F105,2)</f>
        <v>23508.45</v>
      </c>
      <c r="K17" s="123">
        <f>'PCR Cycle 2'!K28*'TDR Cycle 3'!$N17</f>
        <v>23939.022510000003</v>
      </c>
      <c r="L17" s="41">
        <f>'PCR Cycle 2'!L28*'TDR Cycle 3'!$N17</f>
        <v>26332.044590000005</v>
      </c>
      <c r="M17" s="61">
        <f>'PCR Cycle 2'!M28*'TDR Cycle 3'!$N17</f>
        <v>29497.760560000006</v>
      </c>
      <c r="N17" s="72">
        <v>5.3000000000000009E-4</v>
      </c>
      <c r="O17" s="4"/>
    </row>
    <row r="18" spans="1:15" x14ac:dyDescent="0.35">
      <c r="A18" s="46" t="s">
        <v>108</v>
      </c>
      <c r="C18" s="194">
        <v>-142627.84491000001</v>
      </c>
      <c r="D18" s="197"/>
      <c r="E18" s="136">
        <f>ROUND('[4]Nov 2022'!$F106,2)</f>
        <v>42753.1</v>
      </c>
      <c r="F18" s="136">
        <f>ROUND('[4]Dec 2022'!$F106,2)</f>
        <v>45877.88</v>
      </c>
      <c r="G18" s="136">
        <f>ROUND('[4]Jan 2023'!$F106,2)</f>
        <v>52002.27</v>
      </c>
      <c r="H18" s="16">
        <f>ROUND('[4]Feb 2023'!$F106,2)</f>
        <v>49011.83</v>
      </c>
      <c r="I18" s="121">
        <f>ROUND('[4]Mar 2023'!$F106,2)</f>
        <v>45474.239999999998</v>
      </c>
      <c r="J18" s="171">
        <f>ROUND('[4]Apr 2023'!$F106,2)</f>
        <v>42776.84</v>
      </c>
      <c r="K18" s="123">
        <f>'PCR Cycle 2'!K29*'TDR Cycle 3'!$N18</f>
        <v>44018.871749999998</v>
      </c>
      <c r="L18" s="41">
        <f>'PCR Cycle 2'!L29*'TDR Cycle 3'!$N18</f>
        <v>48419.140569999996</v>
      </c>
      <c r="M18" s="61">
        <f>'PCR Cycle 2'!M29*'TDR Cycle 3'!$N18</f>
        <v>54240.231800000001</v>
      </c>
      <c r="N18" s="72">
        <v>5.2999999999999998E-4</v>
      </c>
      <c r="O18" s="4"/>
    </row>
    <row r="19" spans="1:15" x14ac:dyDescent="0.35">
      <c r="A19" s="46" t="s">
        <v>109</v>
      </c>
      <c r="C19" s="194">
        <v>-137933.23767999999</v>
      </c>
      <c r="D19" s="197"/>
      <c r="E19" s="136">
        <f>ROUND('[4]Nov 2022'!$F107,2)</f>
        <v>45392.39</v>
      </c>
      <c r="F19" s="136">
        <f>ROUND('[4]Dec 2022'!$F107,2)</f>
        <v>47255.45</v>
      </c>
      <c r="G19" s="136">
        <f>ROUND('[4]Jan 2023'!$F107,2)</f>
        <v>50634.94</v>
      </c>
      <c r="H19" s="16">
        <f>ROUND('[4]Feb 2023'!$F107,2)</f>
        <v>48201.37</v>
      </c>
      <c r="I19" s="121">
        <f>ROUND('[4]Mar 2023'!$F107,2)</f>
        <v>46827.79</v>
      </c>
      <c r="J19" s="171">
        <f>ROUND('[4]Apr 2023'!$F107,2)</f>
        <v>45786.32</v>
      </c>
      <c r="K19" s="123">
        <f>'PCR Cycle 2'!K30*'TDR Cycle 3'!$N19</f>
        <v>44369.012819999996</v>
      </c>
      <c r="L19" s="41">
        <f>'PCR Cycle 2'!L30*'TDR Cycle 3'!$N19</f>
        <v>48804.282449999999</v>
      </c>
      <c r="M19" s="61">
        <f>'PCR Cycle 2'!M30*'TDR Cycle 3'!$N19</f>
        <v>54671.67684</v>
      </c>
      <c r="N19" s="72">
        <v>3.3E-4</v>
      </c>
      <c r="O19" s="4"/>
    </row>
    <row r="20" spans="1:15" x14ac:dyDescent="0.35">
      <c r="A20" s="46" t="s">
        <v>110</v>
      </c>
      <c r="C20" s="194">
        <v>-2378.2196599999997</v>
      </c>
      <c r="D20" s="197"/>
      <c r="E20" s="136">
        <f>ROUND('[4]Nov 2022'!$F108,2)</f>
        <v>844.7</v>
      </c>
      <c r="F20" s="136">
        <f>ROUND('[4]Dec 2022'!$F108,2)</f>
        <v>774.71</v>
      </c>
      <c r="G20" s="136">
        <f>ROUND('[4]Jan 2023'!$F108,2)</f>
        <v>825.37</v>
      </c>
      <c r="H20" s="16">
        <f>ROUND('[4]Feb 2023'!$F108,2)</f>
        <v>924.37</v>
      </c>
      <c r="I20" s="121">
        <f>ROUND('[4]Mar 2023'!$F108,2)</f>
        <v>865.74</v>
      </c>
      <c r="J20" s="171">
        <f>ROUND('[4]Apr 2023'!$F108,2)</f>
        <v>1381.71</v>
      </c>
      <c r="K20" s="123">
        <f>'PCR Cycle 2'!K31*'TDR Cycle 3'!$N20</f>
        <v>1049.0949900000001</v>
      </c>
      <c r="L20" s="41">
        <f>'PCR Cycle 2'!L31*'TDR Cycle 3'!$N20</f>
        <v>1153.9659300000001</v>
      </c>
      <c r="M20" s="61">
        <f>'PCR Cycle 2'!M31*'TDR Cycle 3'!$N20</f>
        <v>1292.6991000000003</v>
      </c>
      <c r="N20" s="72">
        <v>3.0000000000000004E-5</v>
      </c>
      <c r="O20" s="4"/>
    </row>
    <row r="21" spans="1:15" x14ac:dyDescent="0.35">
      <c r="C21" s="67"/>
      <c r="D21" s="199"/>
      <c r="E21" s="68"/>
      <c r="F21" s="68"/>
      <c r="G21" s="68"/>
      <c r="H21" s="67"/>
      <c r="I21" s="68"/>
      <c r="J21" s="169"/>
      <c r="K21" s="56"/>
      <c r="L21" s="56"/>
      <c r="M21" s="13"/>
      <c r="O21" s="4"/>
    </row>
    <row r="22" spans="1:15" x14ac:dyDescent="0.35">
      <c r="A22" s="39" t="s">
        <v>66</v>
      </c>
      <c r="B22" s="39"/>
      <c r="C22" s="67"/>
      <c r="D22" s="199"/>
      <c r="E22" s="56"/>
      <c r="F22" s="56"/>
      <c r="G22" s="56"/>
      <c r="H22" s="12"/>
      <c r="I22" s="56"/>
      <c r="J22" s="170"/>
      <c r="K22" s="56"/>
      <c r="L22" s="56"/>
      <c r="M22" s="13"/>
      <c r="N22" s="7"/>
    </row>
    <row r="23" spans="1:15" x14ac:dyDescent="0.35">
      <c r="A23" s="46" t="s">
        <v>24</v>
      </c>
      <c r="C23" s="195">
        <v>-7967460.9920606632</v>
      </c>
      <c r="D23" s="200"/>
      <c r="E23" s="111">
        <f>+'[12]Monthly TD Calc-PY1-3'!AM461</f>
        <v>5847912.7526677642</v>
      </c>
      <c r="F23" s="111">
        <f>+'[12]Monthly TD Calc-PY1-3'!AN461</f>
        <v>7612960.3369381884</v>
      </c>
      <c r="G23" s="125">
        <f>+'[12]Monthly TD Calc-PY1-3'!AO461+'[12]Monthly TD Calc-PY4'!AO469</f>
        <v>2252805.8110280074</v>
      </c>
      <c r="H23" s="74">
        <f>+'[12]Monthly TD Calc-PY1-3'!AP461+'[12]Monthly TD Calc-PY4'!AP469</f>
        <v>2043429.4643833991</v>
      </c>
      <c r="I23" s="75">
        <f>+'[12]Monthly TD Calc-PY1-3'!AQ461+'[12]Monthly TD Calc-PY4'!AQ469</f>
        <v>2016969.8286624644</v>
      </c>
      <c r="J23" s="171">
        <f>+'[12]Monthly TD Calc-PY1-3'!AR461+'[12]Monthly TD Calc-PY4'!AR469</f>
        <v>1971563.7460218733</v>
      </c>
      <c r="K23" s="160">
        <f>+'[2]Monthly TD Calc'!AS462+'[2]Monthly TD Calc Ext'!AS462</f>
        <v>1871408.4178670354</v>
      </c>
      <c r="L23" s="144">
        <f>+'[2]Monthly TD Calc'!AT462+'[2]Monthly TD Calc Ext'!AT462</f>
        <v>1864090.1391261616</v>
      </c>
      <c r="M23" s="80"/>
      <c r="N23" s="59">
        <f>SUM(C23:L23)</f>
        <v>17513679.504634231</v>
      </c>
    </row>
    <row r="24" spans="1:15" x14ac:dyDescent="0.35">
      <c r="A24" s="46" t="s">
        <v>107</v>
      </c>
      <c r="C24" s="195">
        <v>-910460.32562483149</v>
      </c>
      <c r="D24" s="200"/>
      <c r="E24" s="111">
        <f>+'[12]Monthly TD Calc-PY1-3'!AM462</f>
        <v>568132.39145111351</v>
      </c>
      <c r="F24" s="111">
        <f>+'[12]Monthly TD Calc-PY1-3'!AN462</f>
        <v>648462.46216177463</v>
      </c>
      <c r="G24" s="125">
        <f>+'[12]Monthly TD Calc-PY1-3'!AO462+'[12]Monthly TD Calc-PY4'!AO470</f>
        <v>277331.20259374339</v>
      </c>
      <c r="H24" s="74">
        <f>+'[12]Monthly TD Calc-PY1-3'!AP462+'[12]Monthly TD Calc-PY4'!AP470</f>
        <v>250706.28375931788</v>
      </c>
      <c r="I24" s="75">
        <f>+'[12]Monthly TD Calc-PY1-3'!AQ462+'[12]Monthly TD Calc-PY4'!AQ470</f>
        <v>280762.16025581287</v>
      </c>
      <c r="J24" s="171">
        <f>+'[12]Monthly TD Calc-PY1-3'!AR462+'[12]Monthly TD Calc-PY4'!AR470</f>
        <v>273074.78408530832</v>
      </c>
      <c r="K24" s="160">
        <f>+'[2]Monthly TD Calc'!AS463+'[2]Monthly TD Calc Ext'!AS463</f>
        <v>288490.7790370516</v>
      </c>
      <c r="L24" s="144">
        <f>+'[2]Monthly TD Calc'!AT463+'[2]Monthly TD Calc Ext'!AT463</f>
        <v>285068.0514322347</v>
      </c>
      <c r="M24" s="80"/>
      <c r="N24" s="59">
        <f t="shared" ref="N24:N27" si="10">SUM(C24:L24)</f>
        <v>1961567.7891515254</v>
      </c>
    </row>
    <row r="25" spans="1:15" x14ac:dyDescent="0.35">
      <c r="A25" s="46" t="s">
        <v>108</v>
      </c>
      <c r="C25" s="195">
        <v>-2422063.352713306</v>
      </c>
      <c r="D25" s="200"/>
      <c r="E25" s="111">
        <f>+'[12]Monthly TD Calc-PY1-3'!AM463</f>
        <v>1829539.8077889152</v>
      </c>
      <c r="F25" s="111">
        <f>+'[12]Monthly TD Calc-PY1-3'!AN463</f>
        <v>2099480.3604816054</v>
      </c>
      <c r="G25" s="125">
        <f>+'[12]Monthly TD Calc-PY1-3'!AO463+'[12]Monthly TD Calc-PY4'!AO471</f>
        <v>765571.44699718792</v>
      </c>
      <c r="H25" s="74">
        <f>+'[12]Monthly TD Calc-PY1-3'!AP463+'[12]Monthly TD Calc-PY4'!AP471</f>
        <v>692346.45373235201</v>
      </c>
      <c r="I25" s="75">
        <f>+'[12]Monthly TD Calc-PY1-3'!AQ463+'[12]Monthly TD Calc-PY4'!AQ471</f>
        <v>774355.95217163884</v>
      </c>
      <c r="J25" s="171">
        <f>+'[12]Monthly TD Calc-PY1-3'!AR463+'[12]Monthly TD Calc-PY4'!AR471</f>
        <v>761312.40550857631</v>
      </c>
      <c r="K25" s="160">
        <f>+'[2]Monthly TD Calc'!AS464+'[2]Monthly TD Calc Ext'!AS464</f>
        <v>706063.02603342826</v>
      </c>
      <c r="L25" s="144">
        <f>+'[2]Monthly TD Calc'!AT464+'[2]Monthly TD Calc Ext'!AT464</f>
        <v>692761.87352187524</v>
      </c>
      <c r="M25" s="80"/>
      <c r="N25" s="59">
        <f t="shared" si="10"/>
        <v>5899367.9735222729</v>
      </c>
    </row>
    <row r="26" spans="1:15" x14ac:dyDescent="0.35">
      <c r="A26" s="46" t="s">
        <v>109</v>
      </c>
      <c r="C26" s="195">
        <v>-3933954.599164959</v>
      </c>
      <c r="D26" s="200"/>
      <c r="E26" s="111">
        <f>+'[12]Monthly TD Calc-PY1-3'!AM464</f>
        <v>2749989.6157174464</v>
      </c>
      <c r="F26" s="111">
        <f>+'[12]Monthly TD Calc-PY1-3'!AN464</f>
        <v>3168473.647905081</v>
      </c>
      <c r="G26" s="125">
        <f>+'[12]Monthly TD Calc-PY1-3'!AO464+'[12]Monthly TD Calc-PY4'!AO472</f>
        <v>1163617.1200828135</v>
      </c>
      <c r="H26" s="74">
        <f>+'[12]Monthly TD Calc-PY1-3'!AP464+'[12]Monthly TD Calc-PY4'!AP472</f>
        <v>1052038.1510885311</v>
      </c>
      <c r="I26" s="75">
        <f>+'[12]Monthly TD Calc-PY1-3'!AQ464+'[12]Monthly TD Calc-PY4'!AQ472</f>
        <v>1188621.4130654631</v>
      </c>
      <c r="J26" s="171">
        <f>+'[12]Monthly TD Calc-PY1-3'!AR464+'[12]Monthly TD Calc-PY4'!AR472</f>
        <v>1159212.7641242999</v>
      </c>
      <c r="K26" s="160">
        <f>+'[2]Monthly TD Calc'!AS465+'[2]Monthly TD Calc Ext'!AS465</f>
        <v>1097454.5860779646</v>
      </c>
      <c r="L26" s="144">
        <f>+'[2]Monthly TD Calc'!AT465+'[2]Monthly TD Calc Ext'!AT465</f>
        <v>1078823.5190017566</v>
      </c>
      <c r="M26" s="80"/>
      <c r="N26" s="59">
        <f t="shared" si="10"/>
        <v>8724276.2178983986</v>
      </c>
    </row>
    <row r="27" spans="1:15" x14ac:dyDescent="0.35">
      <c r="A27" s="46" t="s">
        <v>110</v>
      </c>
      <c r="C27" s="195">
        <v>-476405.31591047143</v>
      </c>
      <c r="D27" s="200"/>
      <c r="E27" s="111">
        <f>+'[12]Monthly TD Calc-PY1-3'!AM465</f>
        <v>319819.34481863602</v>
      </c>
      <c r="F27" s="111">
        <f>+'[12]Monthly TD Calc-PY1-3'!AN465</f>
        <v>339294.63898020145</v>
      </c>
      <c r="G27" s="125">
        <f>+'[12]Monthly TD Calc-PY1-3'!AO465+'[12]Monthly TD Calc-PY4'!AO473</f>
        <v>159610.2512828591</v>
      </c>
      <c r="H27" s="74">
        <f>+'[12]Monthly TD Calc-PY1-3'!AP465+'[12]Monthly TD Calc-PY4'!AP473</f>
        <v>144206.92903868537</v>
      </c>
      <c r="I27" s="75">
        <f>+'[12]Monthly TD Calc-PY1-3'!AQ465+'[12]Monthly TD Calc-PY4'!AQ473</f>
        <v>160283.56762871932</v>
      </c>
      <c r="J27" s="171">
        <f>+'[12]Monthly TD Calc-PY1-3'!AR465+'[12]Monthly TD Calc-PY4'!AR473</f>
        <v>154210.51297831364</v>
      </c>
      <c r="K27" s="160">
        <f>+'[2]Monthly TD Calc'!AS466+'[2]Monthly TD Calc Ext'!AS466</f>
        <v>162772.12782998578</v>
      </c>
      <c r="L27" s="144">
        <f>+'[2]Monthly TD Calc'!AT466+'[2]Monthly TD Calc Ext'!AT466</f>
        <v>163704.58500796868</v>
      </c>
      <c r="M27" s="80"/>
      <c r="N27" s="59">
        <f t="shared" si="10"/>
        <v>1127496.6416548979</v>
      </c>
    </row>
    <row r="28" spans="1:15" x14ac:dyDescent="0.35">
      <c r="C28" s="67"/>
      <c r="D28" s="199"/>
      <c r="E28" s="68"/>
      <c r="F28" s="68"/>
      <c r="G28" s="68"/>
      <c r="H28" s="67"/>
      <c r="I28" s="68"/>
      <c r="J28" s="169"/>
      <c r="K28" s="56"/>
      <c r="L28" s="56"/>
      <c r="M28" s="13"/>
    </row>
    <row r="29" spans="1:15" x14ac:dyDescent="0.35">
      <c r="A29" s="46" t="s">
        <v>69</v>
      </c>
      <c r="C29" s="36"/>
      <c r="D29" s="201"/>
      <c r="E29" s="37"/>
      <c r="F29" s="37"/>
      <c r="G29" s="37"/>
      <c r="H29" s="36"/>
      <c r="I29" s="37"/>
      <c r="J29" s="172"/>
      <c r="K29" s="52"/>
      <c r="L29" s="52"/>
      <c r="M29" s="38"/>
    </row>
    <row r="30" spans="1:15" x14ac:dyDescent="0.35">
      <c r="A30" s="46" t="s">
        <v>24</v>
      </c>
      <c r="C30" s="194">
        <v>-396330.92000000004</v>
      </c>
      <c r="D30" s="197"/>
      <c r="E30" s="109">
        <f>ROUND('[12]Monthly TD Calc-PY1-3'!AM563,2)</f>
        <v>295557.03999999998</v>
      </c>
      <c r="F30" s="109">
        <f>ROUND('[12]Monthly TD Calc-PY1-3'!AN563,2)</f>
        <v>355653.19</v>
      </c>
      <c r="G30" s="110">
        <f>ROUND('[12]Monthly TD Calc-PY1-3'!AO563+'[12]Monthly TD Calc-PY4'!AO575,2)</f>
        <v>104151.23</v>
      </c>
      <c r="H30" s="16">
        <f>ROUND('[12]Monthly TD Calc-PY1-3'!AP563+'[12]Monthly TD Calc-PY4'!AP575,2)</f>
        <v>98801</v>
      </c>
      <c r="I30" s="55">
        <f>ROUND('[12]Monthly TD Calc-PY1-3'!AQ563+'[12]Monthly TD Calc-PY4'!AQ575,2)</f>
        <v>100838.6</v>
      </c>
      <c r="J30" s="171">
        <f>ROUND('[12]Monthly TD Calc-PY1-3'!AR563+'[12]Monthly TD Calc-PY4'!AR575,2)</f>
        <v>105367.13</v>
      </c>
      <c r="K30" s="161">
        <f>ROUND('[2]Monthly TD Calc'!AS564+'[2]Monthly TD Calc Ext'!AS564,2)</f>
        <v>100133</v>
      </c>
      <c r="L30" s="143">
        <f>ROUND('[2]Monthly TD Calc'!AT564+'[2]Monthly TD Calc Ext'!AT564,2)</f>
        <v>158841.82</v>
      </c>
      <c r="M30" s="79"/>
    </row>
    <row r="31" spans="1:15" x14ac:dyDescent="0.35">
      <c r="A31" s="46" t="s">
        <v>107</v>
      </c>
      <c r="C31" s="194">
        <v>-66178.58</v>
      </c>
      <c r="D31" s="197"/>
      <c r="E31" s="109">
        <f>ROUND('[12]Monthly TD Calc-PY1-3'!AM564,2)</f>
        <v>42426.6</v>
      </c>
      <c r="F31" s="109">
        <f>ROUND('[12]Monthly TD Calc-PY1-3'!AN564,2)</f>
        <v>44703.8</v>
      </c>
      <c r="G31" s="110">
        <f>ROUND('[12]Monthly TD Calc-PY1-3'!AO564+'[12]Monthly TD Calc-PY4'!AO576,2)</f>
        <v>15445.64</v>
      </c>
      <c r="H31" s="16">
        <f>ROUND('[12]Monthly TD Calc-PY1-3'!AP564+'[12]Monthly TD Calc-PY4'!AP576,2)</f>
        <v>13713.43</v>
      </c>
      <c r="I31" s="55">
        <f>ROUND('[12]Monthly TD Calc-PY1-3'!AQ564+'[12]Monthly TD Calc-PY4'!AQ576,2)</f>
        <v>15754.36</v>
      </c>
      <c r="J31" s="171">
        <f>ROUND('[12]Monthly TD Calc-PY1-3'!AR564+'[12]Monthly TD Calc-PY4'!AR576,2)</f>
        <v>16155.22</v>
      </c>
      <c r="K31" s="161">
        <f>ROUND('[2]Monthly TD Calc'!AS565+'[2]Monthly TD Calc Ext'!AS565,2)</f>
        <v>17861.84</v>
      </c>
      <c r="L31" s="143">
        <f>ROUND('[2]Monthly TD Calc'!AT565+'[2]Monthly TD Calc Ext'!AT565,2)</f>
        <v>23255.11</v>
      </c>
      <c r="M31" s="79"/>
    </row>
    <row r="32" spans="1:15" x14ac:dyDescent="0.35">
      <c r="A32" s="46" t="s">
        <v>108</v>
      </c>
      <c r="C32" s="194">
        <v>-112096.28</v>
      </c>
      <c r="D32" s="197"/>
      <c r="E32" s="109">
        <f>ROUND('[12]Monthly TD Calc-PY1-3'!AM565,2)</f>
        <v>86661.57</v>
      </c>
      <c r="F32" s="109">
        <f>ROUND('[12]Monthly TD Calc-PY1-3'!AN565,2)</f>
        <v>89888.92</v>
      </c>
      <c r="G32" s="110">
        <f>ROUND('[12]Monthly TD Calc-PY1-3'!AO565+'[12]Monthly TD Calc-PY4'!AO577,2)</f>
        <v>27097.86</v>
      </c>
      <c r="H32" s="16">
        <f>ROUND('[12]Monthly TD Calc-PY1-3'!AP565+'[12]Monthly TD Calc-PY4'!AP577,2)</f>
        <v>24766.06</v>
      </c>
      <c r="I32" s="55">
        <f>ROUND('[12]Monthly TD Calc-PY1-3'!AQ565+'[12]Monthly TD Calc-PY4'!AQ577,2)</f>
        <v>28523.439999999999</v>
      </c>
      <c r="J32" s="171">
        <f>ROUND('[12]Monthly TD Calc-PY1-3'!AR565+'[12]Monthly TD Calc-PY4'!AR577,2)</f>
        <v>29971.29</v>
      </c>
      <c r="K32" s="161">
        <f>ROUND('[2]Monthly TD Calc'!AS566+'[2]Monthly TD Calc Ext'!AS566,2)</f>
        <v>29645.49</v>
      </c>
      <c r="L32" s="143">
        <f>ROUND('[2]Monthly TD Calc'!AT566+'[2]Monthly TD Calc Ext'!AT566,2)</f>
        <v>41031.58</v>
      </c>
      <c r="M32" s="79"/>
    </row>
    <row r="33" spans="1:15" x14ac:dyDescent="0.35">
      <c r="A33" s="46" t="s">
        <v>109</v>
      </c>
      <c r="C33" s="194">
        <v>-108990.91</v>
      </c>
      <c r="D33" s="197"/>
      <c r="E33" s="109">
        <f>ROUND('[12]Monthly TD Calc-PY1-3'!AM566,2)</f>
        <v>77061.42</v>
      </c>
      <c r="F33" s="109">
        <f>ROUND('[12]Monthly TD Calc-PY1-3'!AN566,2)</f>
        <v>78412.789999999994</v>
      </c>
      <c r="G33" s="110">
        <f>ROUND('[12]Monthly TD Calc-PY1-3'!AO566+'[12]Monthly TD Calc-PY4'!AO578,2)</f>
        <v>26044.59</v>
      </c>
      <c r="H33" s="16">
        <f>ROUND('[12]Monthly TD Calc-PY1-3'!AP566+'[12]Monthly TD Calc-PY4'!AP578,2)</f>
        <v>23915.93</v>
      </c>
      <c r="I33" s="55">
        <f>ROUND('[12]Monthly TD Calc-PY1-3'!AQ566+'[12]Monthly TD Calc-PY4'!AQ578,2)</f>
        <v>27892.54</v>
      </c>
      <c r="J33" s="171">
        <f>ROUND('[12]Monthly TD Calc-PY1-3'!AR566+'[12]Monthly TD Calc-PY4'!AR578,2)</f>
        <v>29268.22</v>
      </c>
      <c r="K33" s="161">
        <f>ROUND('[2]Monthly TD Calc'!AS567+'[2]Monthly TD Calc Ext'!AS567,2)</f>
        <v>28846.06</v>
      </c>
      <c r="L33" s="143">
        <f>ROUND('[2]Monthly TD Calc'!AT567+'[2]Monthly TD Calc Ext'!AT567,2)</f>
        <v>40884.910000000003</v>
      </c>
      <c r="M33" s="79"/>
    </row>
    <row r="34" spans="1:15" x14ac:dyDescent="0.35">
      <c r="A34" s="46" t="s">
        <v>110</v>
      </c>
      <c r="C34" s="194">
        <v>-6460.3099999999995</v>
      </c>
      <c r="D34" s="197"/>
      <c r="E34" s="109">
        <f>ROUND('[12]Monthly TD Calc-PY1-3'!AM567,2)</f>
        <v>4408.08</v>
      </c>
      <c r="F34" s="109">
        <f>ROUND('[12]Monthly TD Calc-PY1-3'!AN567,2)</f>
        <v>3894.32</v>
      </c>
      <c r="G34" s="110">
        <f>ROUND('[12]Monthly TD Calc-PY1-3'!AO567+'[12]Monthly TD Calc-PY4'!AO579,2)</f>
        <v>1463.42</v>
      </c>
      <c r="H34" s="16">
        <f>ROUND('[12]Monthly TD Calc-PY1-3'!AP567+'[12]Monthly TD Calc-PY4'!AP579,2)</f>
        <v>1570.34</v>
      </c>
      <c r="I34" s="55">
        <f>ROUND('[12]Monthly TD Calc-PY1-3'!AQ567+'[12]Monthly TD Calc-PY4'!AQ579,2)</f>
        <v>1778.15</v>
      </c>
      <c r="J34" s="171">
        <f>ROUND('[12]Monthly TD Calc-PY1-3'!AR567+'[12]Monthly TD Calc-PY4'!AR579,2)</f>
        <v>1699.66</v>
      </c>
      <c r="K34" s="161">
        <f>ROUND('[2]Monthly TD Calc'!AS568+'[2]Monthly TD Calc Ext'!AS568,2)</f>
        <v>1804.53</v>
      </c>
      <c r="L34" s="143">
        <f>ROUND('[2]Monthly TD Calc'!AT568+'[2]Monthly TD Calc Ext'!AT568,2)</f>
        <v>2660.82</v>
      </c>
      <c r="M34" s="79"/>
      <c r="O34" s="47"/>
    </row>
    <row r="35" spans="1:15" x14ac:dyDescent="0.35">
      <c r="C35" s="99"/>
      <c r="D35" s="198"/>
      <c r="E35" s="18"/>
      <c r="F35" s="18"/>
      <c r="G35" s="18"/>
      <c r="H35" s="91"/>
      <c r="I35" s="18"/>
      <c r="J35" s="167"/>
      <c r="K35" s="56"/>
      <c r="L35" s="56"/>
      <c r="M35" s="13"/>
    </row>
    <row r="36" spans="1:15" ht="15" thickBot="1" x14ac:dyDescent="0.4">
      <c r="A36" s="3" t="s">
        <v>15</v>
      </c>
      <c r="B36" s="3"/>
      <c r="C36" s="196">
        <v>-832.82999999999993</v>
      </c>
      <c r="D36" s="202"/>
      <c r="E36" s="275">
        <v>447.17999999999995</v>
      </c>
      <c r="F36" s="136">
        <v>1311.06</v>
      </c>
      <c r="G36" s="137">
        <v>1091.8</v>
      </c>
      <c r="H36" s="26">
        <v>-26.58</v>
      </c>
      <c r="I36" s="122">
        <v>-702.11</v>
      </c>
      <c r="J36" s="173">
        <v>-1050.8399999999999</v>
      </c>
      <c r="K36" s="162">
        <v>-1284.72</v>
      </c>
      <c r="L36" s="145">
        <v>-1382.4399999999998</v>
      </c>
      <c r="M36" s="82"/>
    </row>
    <row r="37" spans="1:15" x14ac:dyDescent="0.35">
      <c r="C37" s="64"/>
      <c r="D37" s="205"/>
      <c r="E37" s="66"/>
      <c r="F37" s="66"/>
      <c r="G37" s="33"/>
      <c r="H37" s="64"/>
      <c r="I37" s="33"/>
      <c r="J37" s="174"/>
      <c r="K37" s="34"/>
      <c r="L37" s="34"/>
      <c r="M37" s="60"/>
    </row>
    <row r="38" spans="1:15" x14ac:dyDescent="0.35">
      <c r="A38" s="46" t="s">
        <v>52</v>
      </c>
      <c r="C38" s="65"/>
      <c r="D38" s="206"/>
      <c r="E38" s="35"/>
      <c r="F38" s="35"/>
      <c r="G38" s="35"/>
      <c r="H38" s="65"/>
      <c r="I38" s="35"/>
      <c r="J38" s="175"/>
      <c r="K38" s="34"/>
      <c r="L38" s="34"/>
      <c r="M38" s="60"/>
    </row>
    <row r="39" spans="1:15" x14ac:dyDescent="0.35">
      <c r="A39" s="46" t="s">
        <v>24</v>
      </c>
      <c r="C39" s="203">
        <f t="shared" ref="C39" si="11">C30-C16</f>
        <v>430178.47788000002</v>
      </c>
      <c r="D39" s="207">
        <f t="shared" ref="D39" si="12">D30-D16</f>
        <v>0</v>
      </c>
      <c r="E39" s="41">
        <f t="shared" ref="E39:M39" si="13">E30-E16</f>
        <v>96341.909999999974</v>
      </c>
      <c r="F39" s="41">
        <f t="shared" si="13"/>
        <v>78761.640000000014</v>
      </c>
      <c r="G39" s="108">
        <f t="shared" si="13"/>
        <v>-231650.43</v>
      </c>
      <c r="H39" s="40">
        <f t="shared" si="13"/>
        <v>-138690.39000000001</v>
      </c>
      <c r="I39" s="41">
        <f t="shared" si="13"/>
        <v>-36336.070000000007</v>
      </c>
      <c r="J39" s="61">
        <f t="shared" si="13"/>
        <v>-12544.419999999998</v>
      </c>
      <c r="K39" s="123">
        <f t="shared" si="13"/>
        <v>-7965.0219999999972</v>
      </c>
      <c r="L39" s="41">
        <f t="shared" si="13"/>
        <v>23266.887790000008</v>
      </c>
      <c r="M39" s="61">
        <f t="shared" si="13"/>
        <v>-196370.65349999999</v>
      </c>
    </row>
    <row r="40" spans="1:15" x14ac:dyDescent="0.35">
      <c r="A40" s="46" t="s">
        <v>107</v>
      </c>
      <c r="C40" s="203">
        <f t="shared" ref="C40" si="14">C31-C17</f>
        <v>730.51264000000083</v>
      </c>
      <c r="D40" s="207">
        <f t="shared" ref="D40:M40" si="15">D31-D17</f>
        <v>0</v>
      </c>
      <c r="E40" s="41">
        <f t="shared" si="15"/>
        <v>21154.48</v>
      </c>
      <c r="F40" s="41">
        <f t="shared" si="15"/>
        <v>20218.520000000004</v>
      </c>
      <c r="G40" s="108">
        <f t="shared" si="15"/>
        <v>-12591.21</v>
      </c>
      <c r="H40" s="40">
        <f t="shared" si="15"/>
        <v>-12656.79</v>
      </c>
      <c r="I40" s="41">
        <f t="shared" si="15"/>
        <v>-9794.5999999999985</v>
      </c>
      <c r="J40" s="61">
        <f t="shared" si="15"/>
        <v>-7353.2300000000014</v>
      </c>
      <c r="K40" s="123">
        <f t="shared" si="15"/>
        <v>-6077.1825100000024</v>
      </c>
      <c r="L40" s="41">
        <f t="shared" si="15"/>
        <v>-3076.9345900000044</v>
      </c>
      <c r="M40" s="61">
        <f t="shared" si="15"/>
        <v>-29497.760560000006</v>
      </c>
    </row>
    <row r="41" spans="1:15" x14ac:dyDescent="0.35">
      <c r="A41" s="46" t="s">
        <v>108</v>
      </c>
      <c r="C41" s="203">
        <f t="shared" ref="C41" si="16">C32-C18</f>
        <v>30531.564910000016</v>
      </c>
      <c r="D41" s="207">
        <f t="shared" ref="D41:M41" si="17">D32-D18</f>
        <v>0</v>
      </c>
      <c r="E41" s="41">
        <f t="shared" si="17"/>
        <v>43908.470000000008</v>
      </c>
      <c r="F41" s="41">
        <f t="shared" si="17"/>
        <v>44011.040000000001</v>
      </c>
      <c r="G41" s="108">
        <f t="shared" si="17"/>
        <v>-24904.409999999996</v>
      </c>
      <c r="H41" s="40">
        <f t="shared" si="17"/>
        <v>-24245.77</v>
      </c>
      <c r="I41" s="41">
        <f t="shared" si="17"/>
        <v>-16950.8</v>
      </c>
      <c r="J41" s="61">
        <f t="shared" si="17"/>
        <v>-12805.549999999996</v>
      </c>
      <c r="K41" s="123">
        <f t="shared" si="17"/>
        <v>-14373.381749999997</v>
      </c>
      <c r="L41" s="41">
        <f t="shared" si="17"/>
        <v>-7387.5605699999942</v>
      </c>
      <c r="M41" s="61">
        <f t="shared" si="17"/>
        <v>-54240.231800000001</v>
      </c>
    </row>
    <row r="42" spans="1:15" x14ac:dyDescent="0.35">
      <c r="A42" s="46" t="s">
        <v>109</v>
      </c>
      <c r="C42" s="203">
        <f t="shared" ref="C42" si="18">C33-C19</f>
        <v>28942.327679999988</v>
      </c>
      <c r="D42" s="207">
        <f t="shared" ref="D42:M42" si="19">D33-D19</f>
        <v>0</v>
      </c>
      <c r="E42" s="41">
        <f t="shared" si="19"/>
        <v>31669.03</v>
      </c>
      <c r="F42" s="41">
        <f t="shared" si="19"/>
        <v>31157.339999999997</v>
      </c>
      <c r="G42" s="108">
        <f t="shared" si="19"/>
        <v>-24590.350000000002</v>
      </c>
      <c r="H42" s="40">
        <f t="shared" si="19"/>
        <v>-24285.440000000002</v>
      </c>
      <c r="I42" s="41">
        <f t="shared" si="19"/>
        <v>-18935.25</v>
      </c>
      <c r="J42" s="61">
        <f t="shared" si="19"/>
        <v>-16518.099999999999</v>
      </c>
      <c r="K42" s="123">
        <f t="shared" si="19"/>
        <v>-15522.952819999995</v>
      </c>
      <c r="L42" s="41">
        <f t="shared" si="19"/>
        <v>-7919.3724499999953</v>
      </c>
      <c r="M42" s="61">
        <f t="shared" si="19"/>
        <v>-54671.67684</v>
      </c>
    </row>
    <row r="43" spans="1:15" x14ac:dyDescent="0.35">
      <c r="A43" s="46" t="s">
        <v>110</v>
      </c>
      <c r="C43" s="203">
        <f t="shared" ref="C43" si="20">C34-C20</f>
        <v>-4082.0903399999997</v>
      </c>
      <c r="D43" s="207">
        <f t="shared" ref="D43:M43" si="21">D34-D20</f>
        <v>0</v>
      </c>
      <c r="E43" s="41">
        <f t="shared" si="21"/>
        <v>3563.38</v>
      </c>
      <c r="F43" s="41">
        <f t="shared" si="21"/>
        <v>3119.61</v>
      </c>
      <c r="G43" s="108">
        <f t="shared" si="21"/>
        <v>638.05000000000007</v>
      </c>
      <c r="H43" s="40">
        <f t="shared" si="21"/>
        <v>645.96999999999991</v>
      </c>
      <c r="I43" s="41">
        <f t="shared" si="21"/>
        <v>912.41000000000008</v>
      </c>
      <c r="J43" s="61">
        <f t="shared" si="21"/>
        <v>317.95000000000005</v>
      </c>
      <c r="K43" s="123">
        <f t="shared" si="21"/>
        <v>755.43500999999992</v>
      </c>
      <c r="L43" s="41">
        <f t="shared" si="21"/>
        <v>1506.8540700000001</v>
      </c>
      <c r="M43" s="61">
        <f t="shared" si="21"/>
        <v>-1292.6991000000003</v>
      </c>
    </row>
    <row r="44" spans="1:15" x14ac:dyDescent="0.35">
      <c r="C44" s="99"/>
      <c r="D44" s="198"/>
      <c r="E44" s="31"/>
      <c r="F44" s="17"/>
      <c r="G44" s="17"/>
      <c r="H44" s="10"/>
      <c r="I44" s="17"/>
      <c r="J44" s="11"/>
      <c r="K44" s="17"/>
      <c r="L44" s="17"/>
      <c r="M44" s="11"/>
    </row>
    <row r="45" spans="1:15" ht="15" thickBot="1" x14ac:dyDescent="0.4">
      <c r="A45" s="46" t="s">
        <v>53</v>
      </c>
      <c r="C45" s="99"/>
      <c r="D45" s="198"/>
      <c r="E45" s="17"/>
      <c r="F45" s="17"/>
      <c r="G45" s="17"/>
      <c r="H45" s="10"/>
      <c r="I45" s="17"/>
      <c r="J45" s="11"/>
      <c r="K45" s="17"/>
      <c r="L45" s="17"/>
      <c r="M45" s="11"/>
    </row>
    <row r="46" spans="1:15" x14ac:dyDescent="0.35">
      <c r="A46" s="46" t="s">
        <v>24</v>
      </c>
      <c r="B46" s="116">
        <v>-344666.95787999989</v>
      </c>
      <c r="C46" s="203">
        <f t="shared" ref="C46:C50" si="22">+B46+C39+B54</f>
        <v>85511.520000000135</v>
      </c>
      <c r="D46" s="207">
        <f t="shared" ref="D46:D50" si="23">+C46+D39+C54</f>
        <v>84671.490000000136</v>
      </c>
      <c r="E46" s="41">
        <f t="shared" ref="E46:E50" si="24">+D46+E39+D54</f>
        <v>181013.40000000011</v>
      </c>
      <c r="F46" s="41">
        <f t="shared" ref="F46:F50" si="25">+E46+F39+E54</f>
        <v>260322.15000000011</v>
      </c>
      <c r="G46" s="108">
        <f t="shared" ref="G46:G50" si="26">+F46+G39+F54</f>
        <v>29650.400000000118</v>
      </c>
      <c r="H46" s="40">
        <f t="shared" ref="H46:H50" si="27">+G46+H39+G54</f>
        <v>-108376.4699999999</v>
      </c>
      <c r="I46" s="41">
        <f t="shared" ref="I46:I50" si="28">+H46+I39+H54</f>
        <v>-144894.58999999991</v>
      </c>
      <c r="J46" s="61">
        <f t="shared" ref="J46:J50" si="29">+I46+J39+I54</f>
        <v>-158048.86999999988</v>
      </c>
      <c r="K46" s="123">
        <f t="shared" ref="K46:K50" si="30">+J46+K39+J54</f>
        <v>-166767.64199999988</v>
      </c>
      <c r="L46" s="41">
        <f t="shared" ref="L46:L50" si="31">+K46+L39+K54</f>
        <v>-144309.17420999988</v>
      </c>
      <c r="M46" s="61">
        <f t="shared" ref="M46:M50" si="32">+L46+M39+L54</f>
        <v>-341454.25770999986</v>
      </c>
    </row>
    <row r="47" spans="1:15" x14ac:dyDescent="0.35">
      <c r="A47" s="46" t="s">
        <v>107</v>
      </c>
      <c r="B47" s="248">
        <v>-83418.852640000056</v>
      </c>
      <c r="C47" s="203">
        <f t="shared" si="22"/>
        <v>-82688.340000000055</v>
      </c>
      <c r="D47" s="207">
        <f t="shared" si="23"/>
        <v>-82214.71000000005</v>
      </c>
      <c r="E47" s="41">
        <f t="shared" si="24"/>
        <v>-61060.230000000054</v>
      </c>
      <c r="F47" s="41">
        <f t="shared" si="25"/>
        <v>-41136.750000000051</v>
      </c>
      <c r="G47" s="108">
        <f t="shared" si="26"/>
        <v>-53954.96000000005</v>
      </c>
      <c r="H47" s="40">
        <f t="shared" si="27"/>
        <v>-66829.130000000063</v>
      </c>
      <c r="I47" s="41">
        <f t="shared" si="28"/>
        <v>-76905.910000000062</v>
      </c>
      <c r="J47" s="61">
        <f t="shared" si="29"/>
        <v>-84605.670000000056</v>
      </c>
      <c r="K47" s="123">
        <f t="shared" si="30"/>
        <v>-91084.762510000059</v>
      </c>
      <c r="L47" s="41">
        <f t="shared" si="31"/>
        <v>-94598.947100000063</v>
      </c>
      <c r="M47" s="61">
        <f t="shared" si="32"/>
        <v>-124558.85766000007</v>
      </c>
    </row>
    <row r="48" spans="1:15" x14ac:dyDescent="0.35">
      <c r="A48" s="46" t="s">
        <v>108</v>
      </c>
      <c r="B48" s="248">
        <v>-1239.7449100000426</v>
      </c>
      <c r="C48" s="203">
        <f t="shared" si="22"/>
        <v>29291.819999999974</v>
      </c>
      <c r="D48" s="207">
        <f t="shared" si="23"/>
        <v>28881.419999999973</v>
      </c>
      <c r="E48" s="41">
        <f t="shared" si="24"/>
        <v>72789.889999999985</v>
      </c>
      <c r="F48" s="41">
        <f t="shared" si="25"/>
        <v>117010.29999999999</v>
      </c>
      <c r="G48" s="108">
        <f t="shared" si="26"/>
        <v>92526.719999999987</v>
      </c>
      <c r="H48" s="40">
        <f t="shared" si="27"/>
        <v>68759.76999999999</v>
      </c>
      <c r="I48" s="41">
        <f t="shared" si="28"/>
        <v>52186.219999999987</v>
      </c>
      <c r="J48" s="61">
        <f t="shared" si="29"/>
        <v>39672.599999999991</v>
      </c>
      <c r="K48" s="123">
        <f t="shared" si="30"/>
        <v>25528.038249999994</v>
      </c>
      <c r="L48" s="41">
        <f t="shared" si="31"/>
        <v>18302.947680000001</v>
      </c>
      <c r="M48" s="61">
        <f t="shared" si="32"/>
        <v>-35828.044119999999</v>
      </c>
    </row>
    <row r="49" spans="1:13" x14ac:dyDescent="0.35">
      <c r="A49" s="46" t="s">
        <v>109</v>
      </c>
      <c r="B49" s="248">
        <v>-20395.637679999985</v>
      </c>
      <c r="C49" s="203">
        <f t="shared" si="22"/>
        <v>8546.6900000000023</v>
      </c>
      <c r="D49" s="207">
        <f t="shared" si="23"/>
        <v>8294.5700000000015</v>
      </c>
      <c r="E49" s="41">
        <f t="shared" si="24"/>
        <v>39963.599999999999</v>
      </c>
      <c r="F49" s="41">
        <f t="shared" si="25"/>
        <v>71220.31</v>
      </c>
      <c r="G49" s="108">
        <f t="shared" si="26"/>
        <v>46876.429999999993</v>
      </c>
      <c r="H49" s="40">
        <f t="shared" si="27"/>
        <v>22860.87999999999</v>
      </c>
      <c r="I49" s="41">
        <f t="shared" si="28"/>
        <v>4088.8899999999903</v>
      </c>
      <c r="J49" s="61">
        <f t="shared" si="29"/>
        <v>-12363.970000000008</v>
      </c>
      <c r="K49" s="123">
        <f t="shared" si="30"/>
        <v>-27907.312820000003</v>
      </c>
      <c r="L49" s="41">
        <f t="shared" si="31"/>
        <v>-35926.735270000005</v>
      </c>
      <c r="M49" s="61">
        <f t="shared" si="32"/>
        <v>-90757.162110000005</v>
      </c>
    </row>
    <row r="50" spans="1:13" ht="15" thickBot="1" x14ac:dyDescent="0.4">
      <c r="A50" s="46" t="s">
        <v>110</v>
      </c>
      <c r="B50" s="117">
        <v>-25486.629659999995</v>
      </c>
      <c r="C50" s="203">
        <f t="shared" si="22"/>
        <v>-29568.719999999994</v>
      </c>
      <c r="D50" s="207">
        <f t="shared" si="23"/>
        <v>-29372.629999999994</v>
      </c>
      <c r="E50" s="41">
        <f t="shared" si="24"/>
        <v>-25809.249999999993</v>
      </c>
      <c r="F50" s="41">
        <f t="shared" si="25"/>
        <v>-22803.269999999993</v>
      </c>
      <c r="G50" s="108">
        <f t="shared" si="26"/>
        <v>-22273.139999999992</v>
      </c>
      <c r="H50" s="40">
        <f t="shared" si="27"/>
        <v>-21730.209999999992</v>
      </c>
      <c r="I50" s="41">
        <f t="shared" si="28"/>
        <v>-20920.659999999993</v>
      </c>
      <c r="J50" s="61">
        <f t="shared" si="29"/>
        <v>-20705.579999999991</v>
      </c>
      <c r="K50" s="123">
        <f t="shared" si="30"/>
        <v>-20053.764989999989</v>
      </c>
      <c r="L50" s="41">
        <f t="shared" si="31"/>
        <v>-18648.380919999989</v>
      </c>
      <c r="M50" s="61">
        <f t="shared" si="32"/>
        <v>-20037.430019999989</v>
      </c>
    </row>
    <row r="51" spans="1:13" x14ac:dyDescent="0.35">
      <c r="C51" s="99"/>
      <c r="D51" s="198"/>
      <c r="E51" s="17"/>
      <c r="F51" s="17"/>
      <c r="G51" s="17"/>
      <c r="H51" s="10"/>
      <c r="I51" s="17"/>
      <c r="J51" s="11"/>
      <c r="K51" s="17"/>
      <c r="L51" s="17"/>
      <c r="M51" s="11"/>
    </row>
    <row r="52" spans="1:13" x14ac:dyDescent="0.35">
      <c r="A52" s="39" t="s">
        <v>124</v>
      </c>
      <c r="B52" s="39"/>
      <c r="C52" s="104"/>
      <c r="D52" s="208"/>
      <c r="E52" s="83">
        <f>+'PCR Cycle 2'!E50</f>
        <v>4.1184699999999999E-3</v>
      </c>
      <c r="F52" s="83">
        <f>+'PCR Cycle 2'!F50</f>
        <v>4.4295699999999999E-3</v>
      </c>
      <c r="G52" s="83">
        <f>+'PCR Cycle 2'!G50</f>
        <v>4.5610700000000004E-3</v>
      </c>
      <c r="H52" s="84">
        <f>+'PCR Cycle 2'!H50</f>
        <v>4.66411E-3</v>
      </c>
      <c r="I52" s="83">
        <f>+'PCR Cycle 2'!I50</f>
        <v>4.8123899999999997E-3</v>
      </c>
      <c r="J52" s="92">
        <f>+'PCR Cycle 2'!J50</f>
        <v>4.9661499999999999E-3</v>
      </c>
      <c r="K52" s="83">
        <f>+'PCR Cycle 2'!K50</f>
        <v>4.9661499999999999E-3</v>
      </c>
      <c r="L52" s="83">
        <f>+'PCR Cycle 2'!L50</f>
        <v>4.9661499999999999E-3</v>
      </c>
      <c r="M52" s="85"/>
    </row>
    <row r="53" spans="1:13" x14ac:dyDescent="0.35">
      <c r="A53" s="39" t="s">
        <v>37</v>
      </c>
      <c r="B53" s="39"/>
      <c r="C53" s="106"/>
      <c r="D53" s="209"/>
      <c r="E53" s="83"/>
      <c r="F53" s="83"/>
      <c r="G53" s="83"/>
      <c r="H53" s="84"/>
      <c r="I53" s="83"/>
      <c r="J53" s="85"/>
      <c r="K53" s="83"/>
      <c r="L53" s="83"/>
      <c r="M53" s="85"/>
    </row>
    <row r="54" spans="1:13" x14ac:dyDescent="0.35">
      <c r="A54" s="46" t="s">
        <v>24</v>
      </c>
      <c r="C54" s="203">
        <v>-840.03</v>
      </c>
      <c r="D54" s="207"/>
      <c r="E54" s="251">
        <f t="shared" ref="E54:M58" si="33">ROUND((D46+D54+E39/2)*E$52,2)</f>
        <v>547.11</v>
      </c>
      <c r="F54" s="41">
        <f t="shared" ref="F54:F58" si="34">ROUND((E46+E54+F39/2)*F$52,2)</f>
        <v>978.68</v>
      </c>
      <c r="G54" s="108">
        <f t="shared" ref="G54:G58" si="35">ROUND((F46+F54+G39/2)*G$52,2)</f>
        <v>663.52</v>
      </c>
      <c r="H54" s="40">
        <f t="shared" ref="H54:H58" si="36">ROUND((G46+G54+H39/2)*H$52,2)</f>
        <v>-182.05</v>
      </c>
      <c r="I54" s="123">
        <f t="shared" ref="I54:I58" si="37">ROUND((H46+H54+I39/2)*I$52,2)</f>
        <v>-609.86</v>
      </c>
      <c r="J54" s="61">
        <f t="shared" ref="J54:J58" si="38">ROUND((I46+I54+J39/2)*J$52,2)</f>
        <v>-753.75</v>
      </c>
      <c r="K54" s="163">
        <f t="shared" ref="K54:K58" si="39">ROUND((J46+J54+K39/2)*K$52,2)</f>
        <v>-808.42</v>
      </c>
      <c r="L54" s="108">
        <f t="shared" ref="L54:L58" si="40">ROUND((K46+K54+L39/2)*L$52,2)</f>
        <v>-774.43</v>
      </c>
      <c r="M54" s="61">
        <f t="shared" si="33"/>
        <v>0</v>
      </c>
    </row>
    <row r="55" spans="1:13" x14ac:dyDescent="0.35">
      <c r="A55" s="46" t="s">
        <v>107</v>
      </c>
      <c r="C55" s="203">
        <v>473.63</v>
      </c>
      <c r="D55" s="207"/>
      <c r="E55" s="251">
        <f t="shared" si="33"/>
        <v>-295.04000000000002</v>
      </c>
      <c r="F55" s="41">
        <f t="shared" si="34"/>
        <v>-227</v>
      </c>
      <c r="G55" s="108">
        <f t="shared" si="35"/>
        <v>-217.38</v>
      </c>
      <c r="H55" s="40">
        <f t="shared" si="36"/>
        <v>-282.18</v>
      </c>
      <c r="I55" s="123">
        <f t="shared" si="37"/>
        <v>-346.53</v>
      </c>
      <c r="J55" s="61">
        <f t="shared" si="38"/>
        <v>-401.91</v>
      </c>
      <c r="K55" s="163">
        <f t="shared" si="39"/>
        <v>-437.25</v>
      </c>
      <c r="L55" s="108">
        <f t="shared" si="40"/>
        <v>-462.15</v>
      </c>
      <c r="M55" s="61"/>
    </row>
    <row r="56" spans="1:13" x14ac:dyDescent="0.35">
      <c r="A56" s="46" t="s">
        <v>108</v>
      </c>
      <c r="C56" s="203">
        <v>-410.4</v>
      </c>
      <c r="D56" s="207"/>
      <c r="E56" s="251">
        <f t="shared" si="33"/>
        <v>209.37</v>
      </c>
      <c r="F56" s="41">
        <f t="shared" si="34"/>
        <v>420.83</v>
      </c>
      <c r="G56" s="108">
        <f t="shared" si="35"/>
        <v>478.82</v>
      </c>
      <c r="H56" s="40">
        <f t="shared" si="36"/>
        <v>377.25</v>
      </c>
      <c r="I56" s="123">
        <f t="shared" si="37"/>
        <v>291.93</v>
      </c>
      <c r="J56" s="61">
        <f t="shared" si="38"/>
        <v>228.82</v>
      </c>
      <c r="K56" s="163">
        <f t="shared" si="39"/>
        <v>162.47</v>
      </c>
      <c r="L56" s="108">
        <f t="shared" si="40"/>
        <v>109.24</v>
      </c>
      <c r="M56" s="61"/>
    </row>
    <row r="57" spans="1:13" x14ac:dyDescent="0.35">
      <c r="A57" s="46" t="s">
        <v>109</v>
      </c>
      <c r="C57" s="203">
        <v>-252.12</v>
      </c>
      <c r="D57" s="207"/>
      <c r="E57" s="251">
        <f t="shared" si="33"/>
        <v>99.37</v>
      </c>
      <c r="F57" s="41">
        <f t="shared" si="34"/>
        <v>246.47</v>
      </c>
      <c r="G57" s="108">
        <f t="shared" si="35"/>
        <v>269.89</v>
      </c>
      <c r="H57" s="40">
        <f t="shared" si="36"/>
        <v>163.26</v>
      </c>
      <c r="I57" s="123">
        <f t="shared" si="37"/>
        <v>65.239999999999995</v>
      </c>
      <c r="J57" s="61">
        <f t="shared" si="38"/>
        <v>-20.39</v>
      </c>
      <c r="K57" s="163">
        <f t="shared" si="39"/>
        <v>-100.05</v>
      </c>
      <c r="L57" s="108">
        <f t="shared" si="40"/>
        <v>-158.75</v>
      </c>
      <c r="M57" s="61"/>
    </row>
    <row r="58" spans="1:13" ht="15" thickBot="1" x14ac:dyDescent="0.4">
      <c r="A58" s="46" t="s">
        <v>110</v>
      </c>
      <c r="C58" s="203">
        <v>196.09</v>
      </c>
      <c r="D58" s="207"/>
      <c r="E58" s="251">
        <f t="shared" si="33"/>
        <v>-113.63</v>
      </c>
      <c r="F58" s="41">
        <f t="shared" si="34"/>
        <v>-107.92</v>
      </c>
      <c r="G58" s="108">
        <f t="shared" si="35"/>
        <v>-103.04</v>
      </c>
      <c r="H58" s="40">
        <f t="shared" si="36"/>
        <v>-102.86</v>
      </c>
      <c r="I58" s="123">
        <f t="shared" si="37"/>
        <v>-102.87</v>
      </c>
      <c r="J58" s="61">
        <f t="shared" si="38"/>
        <v>-103.62</v>
      </c>
      <c r="K58" s="163">
        <f t="shared" si="39"/>
        <v>-101.47</v>
      </c>
      <c r="L58" s="108">
        <f t="shared" si="40"/>
        <v>-96.35</v>
      </c>
      <c r="M58" s="61">
        <f t="shared" ref="M58" si="41">ROUND((L50+L58+M43/2)*M$52,2)</f>
        <v>0</v>
      </c>
    </row>
    <row r="59" spans="1:13" ht="15.5" thickTop="1" thickBot="1" x14ac:dyDescent="0.4">
      <c r="A59" s="54" t="s">
        <v>22</v>
      </c>
      <c r="B59" s="54"/>
      <c r="C59" s="204">
        <v>0</v>
      </c>
      <c r="D59" s="210"/>
      <c r="E59" s="42">
        <f>SUM(E54:E58)+SUM(E46:E50)-E62</f>
        <v>0</v>
      </c>
      <c r="F59" s="42">
        <f t="shared" ref="F59:M59" si="42">SUM(F54:F58)+SUM(F46:F50)-F62</f>
        <v>0</v>
      </c>
      <c r="G59" s="50">
        <f t="shared" si="42"/>
        <v>2.3283064365386963E-10</v>
      </c>
      <c r="H59" s="51">
        <f t="shared" si="42"/>
        <v>1.7462298274040222E-10</v>
      </c>
      <c r="I59" s="42">
        <f t="shared" si="42"/>
        <v>0</v>
      </c>
      <c r="J59" s="62">
        <f t="shared" si="42"/>
        <v>0</v>
      </c>
      <c r="K59" s="164">
        <f t="shared" si="42"/>
        <v>0</v>
      </c>
      <c r="L59" s="50">
        <f t="shared" si="42"/>
        <v>0</v>
      </c>
      <c r="M59" s="62">
        <f t="shared" si="42"/>
        <v>0</v>
      </c>
    </row>
    <row r="60" spans="1:13" ht="15.5" thickTop="1" thickBot="1" x14ac:dyDescent="0.4">
      <c r="A60" s="54" t="s">
        <v>23</v>
      </c>
      <c r="B60" s="54"/>
      <c r="C60" s="204">
        <v>0</v>
      </c>
      <c r="D60" s="210"/>
      <c r="E60" s="42">
        <f>SUM(E54:E58)-E36</f>
        <v>0</v>
      </c>
      <c r="F60" s="42">
        <f t="shared" ref="F60:J60" si="43">SUM(F54:F58)-F36</f>
        <v>0</v>
      </c>
      <c r="G60" s="50">
        <f t="shared" ref="G60:I60" si="44">SUM(G54:G58)-G36</f>
        <v>9.9999999999909051E-3</v>
      </c>
      <c r="H60" s="51">
        <f t="shared" si="44"/>
        <v>-2.8421709430404007E-14</v>
      </c>
      <c r="I60" s="42">
        <f t="shared" si="44"/>
        <v>1.999999999998181E-2</v>
      </c>
      <c r="J60" s="62">
        <f t="shared" si="43"/>
        <v>-1.0000000000218279E-2</v>
      </c>
      <c r="K60" s="165">
        <f t="shared" ref="K60:M60" si="45">SUM(K54:K58)-K36</f>
        <v>0</v>
      </c>
      <c r="L60" s="42">
        <f t="shared" si="45"/>
        <v>0</v>
      </c>
      <c r="M60" s="42">
        <f t="shared" si="45"/>
        <v>0</v>
      </c>
    </row>
    <row r="61" spans="1:13" ht="15.5" thickTop="1" thickBot="1" x14ac:dyDescent="0.4">
      <c r="C61" s="99"/>
      <c r="D61" s="198"/>
      <c r="E61" s="17"/>
      <c r="F61" s="17"/>
      <c r="G61" s="17"/>
      <c r="H61" s="10"/>
      <c r="I61" s="17"/>
      <c r="J61" s="11"/>
      <c r="K61" s="17"/>
      <c r="L61" s="17"/>
      <c r="M61" s="11"/>
    </row>
    <row r="62" spans="1:13" ht="15" thickBot="1" x14ac:dyDescent="0.4">
      <c r="A62" s="46" t="s">
        <v>36</v>
      </c>
      <c r="B62" s="119">
        <f>SUM(B46:B50)</f>
        <v>-475207.82276999997</v>
      </c>
      <c r="C62" s="203">
        <f>(C13-SUM(C16:C20))+SUM(C54:C58)+B62</f>
        <v>10260.139999999956</v>
      </c>
      <c r="D62" s="207">
        <f>(D13-SUM(D16:D20))+SUM(D54:D58)+C62</f>
        <v>10260.139999999956</v>
      </c>
      <c r="E62" s="41">
        <f>(E13-SUM(E16:E20))+SUM(E54:E58)+D62</f>
        <v>207344.58999999991</v>
      </c>
      <c r="F62" s="41">
        <f t="shared" ref="F62:M62" si="46">(F13-SUM(F16:F20))+SUM(F54:F58)+E62</f>
        <v>385923.79999999981</v>
      </c>
      <c r="G62" s="108">
        <f t="shared" si="46"/>
        <v>93917.259999999835</v>
      </c>
      <c r="H62" s="40">
        <f t="shared" si="46"/>
        <v>-105341.74000000017</v>
      </c>
      <c r="I62" s="41">
        <f t="shared" si="46"/>
        <v>-187148.14000000016</v>
      </c>
      <c r="J62" s="61">
        <f t="shared" si="46"/>
        <v>-237102.34000000014</v>
      </c>
      <c r="K62" s="163">
        <f t="shared" si="46"/>
        <v>-281570.16407000017</v>
      </c>
      <c r="L62" s="108">
        <f t="shared" si="46"/>
        <v>-276562.72982000012</v>
      </c>
      <c r="M62" s="61">
        <f t="shared" si="46"/>
        <v>-612635.75162000023</v>
      </c>
    </row>
    <row r="63" spans="1:13" x14ac:dyDescent="0.35">
      <c r="A63" s="46" t="s">
        <v>12</v>
      </c>
      <c r="C63" s="120"/>
      <c r="D63" s="211"/>
      <c r="E63" s="17"/>
      <c r="F63" s="17"/>
      <c r="G63" s="17"/>
      <c r="H63" s="10"/>
      <c r="I63" s="17"/>
      <c r="J63" s="11"/>
      <c r="K63" s="17"/>
      <c r="L63" s="17"/>
      <c r="M63" s="11"/>
    </row>
    <row r="64" spans="1:13" ht="15" thickBot="1" x14ac:dyDescent="0.4">
      <c r="A64" s="37"/>
      <c r="B64" s="37"/>
      <c r="C64" s="148"/>
      <c r="D64" s="212"/>
      <c r="E64" s="44"/>
      <c r="F64" s="44"/>
      <c r="G64" s="44"/>
      <c r="H64" s="43"/>
      <c r="I64" s="44"/>
      <c r="J64" s="45"/>
      <c r="K64" s="44"/>
      <c r="L64" s="44"/>
      <c r="M64" s="45"/>
    </row>
    <row r="66" spans="1:13" x14ac:dyDescent="0.35">
      <c r="A66" s="69" t="s">
        <v>11</v>
      </c>
      <c r="B66" s="69"/>
      <c r="C66" s="69"/>
      <c r="D66" s="69"/>
    </row>
    <row r="67" spans="1:13" ht="34.5" customHeight="1" x14ac:dyDescent="0.35">
      <c r="A67" s="316" t="s">
        <v>209</v>
      </c>
      <c r="B67" s="316"/>
      <c r="C67" s="316"/>
      <c r="D67" s="316"/>
      <c r="E67" s="316"/>
      <c r="F67" s="316"/>
      <c r="G67" s="316"/>
      <c r="H67" s="316"/>
      <c r="I67" s="316"/>
      <c r="J67" s="316"/>
      <c r="K67" s="236"/>
      <c r="L67" s="237"/>
      <c r="M67" s="237"/>
    </row>
    <row r="68" spans="1:13" ht="55.5" customHeight="1" x14ac:dyDescent="0.35">
      <c r="A68" s="316" t="s">
        <v>223</v>
      </c>
      <c r="B68" s="316"/>
      <c r="C68" s="316"/>
      <c r="D68" s="316"/>
      <c r="E68" s="316"/>
      <c r="F68" s="316"/>
      <c r="G68" s="316"/>
      <c r="H68" s="316"/>
      <c r="I68" s="316"/>
      <c r="J68" s="316"/>
      <c r="K68" s="316"/>
      <c r="L68" s="237"/>
      <c r="M68" s="237"/>
    </row>
    <row r="69" spans="1:13" ht="33.75" customHeight="1" x14ac:dyDescent="0.35">
      <c r="A69" s="316" t="s">
        <v>213</v>
      </c>
      <c r="B69" s="316"/>
      <c r="C69" s="316"/>
      <c r="D69" s="316"/>
      <c r="E69" s="316"/>
      <c r="F69" s="316"/>
      <c r="G69" s="316"/>
      <c r="H69" s="316"/>
      <c r="I69" s="316"/>
      <c r="J69" s="316"/>
      <c r="K69" s="236"/>
      <c r="L69" s="237"/>
      <c r="M69" s="237"/>
    </row>
    <row r="70" spans="1:13" x14ac:dyDescent="0.35">
      <c r="A70" s="3" t="s">
        <v>67</v>
      </c>
      <c r="B70" s="3"/>
      <c r="C70" s="3"/>
      <c r="D70" s="3"/>
    </row>
    <row r="71" spans="1:13" x14ac:dyDescent="0.35">
      <c r="A71" s="63" t="s">
        <v>201</v>
      </c>
      <c r="B71" s="3"/>
      <c r="C71" s="3"/>
      <c r="D71" s="3"/>
    </row>
    <row r="72" spans="1:13" x14ac:dyDescent="0.35">
      <c r="A72" s="3" t="s">
        <v>70</v>
      </c>
      <c r="B72" s="3"/>
      <c r="C72" s="3"/>
      <c r="D72" s="3"/>
    </row>
    <row r="73" spans="1:13" x14ac:dyDescent="0.35">
      <c r="A73" s="3"/>
      <c r="B73" s="3"/>
      <c r="C73" s="3"/>
      <c r="D73" s="3"/>
    </row>
    <row r="74" spans="1:13" ht="33" customHeight="1" x14ac:dyDescent="0.35">
      <c r="A74" s="312"/>
      <c r="B74" s="312"/>
      <c r="C74" s="312"/>
      <c r="D74" s="312"/>
      <c r="E74" s="312"/>
      <c r="F74" s="312"/>
      <c r="G74" s="312"/>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4"/>
  <sheetViews>
    <sheetView workbookViewId="0">
      <pane xSplit="1" ySplit="4" topLeftCell="B5" activePane="bottomRight" state="frozen"/>
      <selection pane="topRight" activeCell="B1" sqref="B1"/>
      <selection pane="bottomLeft" activeCell="A5" sqref="A5"/>
      <selection pane="bottomRight" activeCell="G9" sqref="G9"/>
    </sheetView>
  </sheetViews>
  <sheetFormatPr defaultRowHeight="14.5" x14ac:dyDescent="0.35"/>
  <cols>
    <col min="1" max="1" width="22.453125" customWidth="1"/>
    <col min="2" max="2" width="15.26953125" bestFit="1" customWidth="1"/>
    <col min="3" max="3" width="14.26953125" style="46" customWidth="1"/>
    <col min="4" max="4" width="13.26953125" bestFit="1" customWidth="1"/>
    <col min="5" max="5" width="10.81640625" bestFit="1" customWidth="1"/>
    <col min="6" max="6" width="12.26953125" bestFit="1" customWidth="1"/>
    <col min="7" max="7" width="13.1796875" customWidth="1"/>
  </cols>
  <sheetData>
    <row r="1" spans="1:7" x14ac:dyDescent="0.35">
      <c r="A1" s="63" t="str">
        <f>+'PPC Cycle 3'!A1</f>
        <v>Evergy Metro, Inc. - DSIM Rider Update Filed 06/01/2023</v>
      </c>
      <c r="B1" s="46"/>
      <c r="D1" s="46"/>
      <c r="E1" s="46"/>
    </row>
    <row r="2" spans="1:7" x14ac:dyDescent="0.35">
      <c r="A2" s="9" t="str">
        <f>+'PPC Cycle 3'!A2</f>
        <v>Projections for Cycle 3 July 2023 - June 2024 DSIM</v>
      </c>
      <c r="B2" s="46"/>
      <c r="D2" s="46"/>
      <c r="E2" s="46"/>
    </row>
    <row r="3" spans="1:7" ht="45.75" customHeight="1" x14ac:dyDescent="0.35">
      <c r="A3" s="46"/>
      <c r="B3" s="310" t="s">
        <v>98</v>
      </c>
      <c r="C3" s="310"/>
      <c r="D3" s="310"/>
      <c r="E3" s="46"/>
    </row>
    <row r="4" spans="1:7" ht="87" x14ac:dyDescent="0.35">
      <c r="A4" s="46"/>
      <c r="B4" s="70" t="s">
        <v>100</v>
      </c>
      <c r="C4" s="70" t="s">
        <v>101</v>
      </c>
      <c r="D4" s="70" t="s">
        <v>104</v>
      </c>
      <c r="E4" s="70" t="s">
        <v>102</v>
      </c>
      <c r="F4" s="70" t="s">
        <v>99</v>
      </c>
      <c r="G4" s="70" t="s">
        <v>105</v>
      </c>
    </row>
    <row r="5" spans="1:7" s="46" customFormat="1" x14ac:dyDescent="0.35">
      <c r="B5" s="70"/>
      <c r="C5" s="70"/>
      <c r="D5" s="70"/>
      <c r="E5" s="70"/>
      <c r="F5" s="70"/>
      <c r="G5" s="70"/>
    </row>
    <row r="6" spans="1:7" s="46" customFormat="1" x14ac:dyDescent="0.35">
      <c r="A6" s="253" t="s">
        <v>157</v>
      </c>
      <c r="B6" s="70"/>
      <c r="C6" s="70"/>
      <c r="D6" s="155"/>
    </row>
    <row r="7" spans="1:7" s="46" customFormat="1" x14ac:dyDescent="0.35">
      <c r="A7" s="20" t="s">
        <v>24</v>
      </c>
      <c r="B7" s="224">
        <f t="shared" ref="B7:E7" si="0">+B19+B31+B43+B54+B65+B76</f>
        <v>4794235.91</v>
      </c>
      <c r="C7" s="224">
        <f t="shared" si="0"/>
        <v>-1294218.32</v>
      </c>
      <c r="D7" s="224">
        <f t="shared" si="0"/>
        <v>-1905501.69</v>
      </c>
      <c r="E7" s="224">
        <f t="shared" si="0"/>
        <v>-222546.66</v>
      </c>
      <c r="F7" s="224">
        <f>SUM(B7:E7)</f>
        <v>1371969.24</v>
      </c>
      <c r="G7" s="224">
        <f>+G19+G31+G43+G54+G65+G76</f>
        <v>-66478.540000000008</v>
      </c>
    </row>
    <row r="8" spans="1:7" s="46" customFormat="1" x14ac:dyDescent="0.35">
      <c r="A8" s="20" t="s">
        <v>25</v>
      </c>
      <c r="B8" s="224">
        <f t="shared" ref="B8:E8" si="1">+B20+B32+B44+B55+B66+B77</f>
        <v>5972530.4700000007</v>
      </c>
      <c r="C8" s="224">
        <f t="shared" si="1"/>
        <v>1159977.21</v>
      </c>
      <c r="D8" s="224">
        <f t="shared" si="1"/>
        <v>-761810.72</v>
      </c>
      <c r="E8" s="224">
        <f t="shared" si="1"/>
        <v>103007.67000000001</v>
      </c>
      <c r="F8" s="224">
        <f>SUM(B8:E8)</f>
        <v>6473704.6300000008</v>
      </c>
      <c r="G8" s="224">
        <f>+G20+G32+G44+G55+G66+G77</f>
        <v>-10486.490000000002</v>
      </c>
    </row>
    <row r="9" spans="1:7" s="46" customFormat="1" x14ac:dyDescent="0.35">
      <c r="A9" s="20" t="s">
        <v>5</v>
      </c>
      <c r="B9" s="224">
        <f t="shared" ref="B9:E9" si="2">SUM(B7:B8)</f>
        <v>10766766.380000001</v>
      </c>
      <c r="C9" s="224">
        <f t="shared" si="2"/>
        <v>-134241.1100000001</v>
      </c>
      <c r="D9" s="224">
        <f t="shared" si="2"/>
        <v>-2667312.41</v>
      </c>
      <c r="E9" s="224">
        <f t="shared" si="2"/>
        <v>-119538.98999999999</v>
      </c>
      <c r="F9" s="224">
        <f t="shared" ref="F9:G9" si="3">SUM(F7:F8)</f>
        <v>7845673.870000001</v>
      </c>
      <c r="G9" s="224">
        <f t="shared" si="3"/>
        <v>-76965.030000000013</v>
      </c>
    </row>
    <row r="10" spans="1:7" s="46" customFormat="1" x14ac:dyDescent="0.35"/>
    <row r="11" spans="1:7" s="46" customFormat="1" x14ac:dyDescent="0.35">
      <c r="A11" s="20" t="s">
        <v>107</v>
      </c>
      <c r="B11" s="224">
        <f>+B23+B35+B47+B58+B69+B80</f>
        <v>798822.8899999999</v>
      </c>
      <c r="C11" s="224">
        <f t="shared" ref="B11:E14" si="4">+C23+C35+C47+C58+C69+C80</f>
        <v>-79725.23</v>
      </c>
      <c r="D11" s="224">
        <f t="shared" si="4"/>
        <v>-499670.70999999996</v>
      </c>
      <c r="E11" s="224">
        <f t="shared" si="4"/>
        <v>-31248.639999999999</v>
      </c>
      <c r="F11" s="224">
        <f t="shared" ref="F11:F14" si="5">SUM(B11:E11)</f>
        <v>188178.30999999994</v>
      </c>
      <c r="G11" s="224">
        <f t="shared" ref="G11:G14" si="6">+G23+G35+G47+G58+G69+G80</f>
        <v>-15525.96</v>
      </c>
    </row>
    <row r="12" spans="1:7" s="46" customFormat="1" x14ac:dyDescent="0.35">
      <c r="A12" s="20" t="s">
        <v>108</v>
      </c>
      <c r="B12" s="224">
        <f t="shared" si="4"/>
        <v>2103656.44</v>
      </c>
      <c r="C12" s="224">
        <f t="shared" si="4"/>
        <v>447456.04000000004</v>
      </c>
      <c r="D12" s="224">
        <f t="shared" si="4"/>
        <v>74826.469999999972</v>
      </c>
      <c r="E12" s="224">
        <f t="shared" si="4"/>
        <v>71139.039999999994</v>
      </c>
      <c r="F12" s="224">
        <f t="shared" si="5"/>
        <v>2697077.99</v>
      </c>
      <c r="G12" s="224">
        <f t="shared" si="6"/>
        <v>2930.59</v>
      </c>
    </row>
    <row r="13" spans="1:7" s="46" customFormat="1" x14ac:dyDescent="0.35">
      <c r="A13" s="20" t="s">
        <v>109</v>
      </c>
      <c r="B13" s="224">
        <f t="shared" si="4"/>
        <v>2570767.7999999998</v>
      </c>
      <c r="C13" s="224">
        <f t="shared" si="4"/>
        <v>308800.2</v>
      </c>
      <c r="D13" s="224">
        <f t="shared" si="4"/>
        <v>-168074.32999999996</v>
      </c>
      <c r="E13" s="224">
        <f t="shared" si="4"/>
        <v>38477.540000000008</v>
      </c>
      <c r="F13" s="224">
        <f t="shared" si="5"/>
        <v>2749971.21</v>
      </c>
      <c r="G13" s="224">
        <f t="shared" si="6"/>
        <v>-4272.12</v>
      </c>
    </row>
    <row r="14" spans="1:7" s="46" customFormat="1" x14ac:dyDescent="0.35">
      <c r="A14" s="20" t="s">
        <v>110</v>
      </c>
      <c r="B14" s="224">
        <f t="shared" si="4"/>
        <v>499283.36</v>
      </c>
      <c r="C14" s="224">
        <f t="shared" si="4"/>
        <v>483446.2</v>
      </c>
      <c r="D14" s="224">
        <f t="shared" si="4"/>
        <v>-168892.15000000002</v>
      </c>
      <c r="E14" s="224">
        <f t="shared" si="4"/>
        <v>24639.73</v>
      </c>
      <c r="F14" s="224">
        <f t="shared" si="5"/>
        <v>838477.14</v>
      </c>
      <c r="G14" s="224">
        <f t="shared" si="6"/>
        <v>6381.01</v>
      </c>
    </row>
    <row r="15" spans="1:7" s="46" customFormat="1" x14ac:dyDescent="0.35">
      <c r="A15" s="30" t="s">
        <v>112</v>
      </c>
      <c r="B15" s="224">
        <f t="shared" ref="B15:E15" si="7">SUM(B11:B14)</f>
        <v>5972530.4900000002</v>
      </c>
      <c r="C15" s="224">
        <f t="shared" si="7"/>
        <v>1159977.21</v>
      </c>
      <c r="D15" s="224">
        <f t="shared" si="7"/>
        <v>-761810.72</v>
      </c>
      <c r="E15" s="224">
        <f t="shared" si="7"/>
        <v>103007.67</v>
      </c>
      <c r="F15" s="224">
        <f t="shared" ref="F15:G15" si="8">SUM(F11:F14)</f>
        <v>6473704.6499999994</v>
      </c>
      <c r="G15" s="224">
        <f t="shared" si="8"/>
        <v>-10486.479999999998</v>
      </c>
    </row>
    <row r="16" spans="1:7" s="46" customFormat="1" x14ac:dyDescent="0.35">
      <c r="E16" s="4"/>
    </row>
    <row r="17" spans="1:7" s="46" customFormat="1" x14ac:dyDescent="0.35">
      <c r="A17" s="20"/>
      <c r="B17" s="70"/>
      <c r="C17" s="70"/>
      <c r="D17" s="154"/>
    </row>
    <row r="18" spans="1:7" s="46" customFormat="1" x14ac:dyDescent="0.35">
      <c r="A18" s="253" t="s">
        <v>165</v>
      </c>
      <c r="B18" s="70"/>
      <c r="C18" s="70"/>
      <c r="D18" s="154"/>
    </row>
    <row r="19" spans="1:7" s="46" customFormat="1" x14ac:dyDescent="0.35">
      <c r="A19" s="20" t="s">
        <v>24</v>
      </c>
      <c r="B19" s="25">
        <v>3528190.07</v>
      </c>
      <c r="C19" s="25">
        <v>-1041427.6</v>
      </c>
      <c r="D19" s="25">
        <v>537465.77</v>
      </c>
      <c r="E19" s="25">
        <v>11386.11</v>
      </c>
      <c r="F19" s="224">
        <f>SUM(B19:E19)</f>
        <v>3035614.3499999996</v>
      </c>
      <c r="G19" s="224">
        <f>ROUND(F19/24*0,2)</f>
        <v>0</v>
      </c>
    </row>
    <row r="20" spans="1:7" s="46" customFormat="1" x14ac:dyDescent="0.35">
      <c r="A20" s="20" t="s">
        <v>25</v>
      </c>
      <c r="B20" s="223">
        <v>4826270.37</v>
      </c>
      <c r="C20" s="223">
        <v>288583.98</v>
      </c>
      <c r="D20" s="223">
        <v>662688.41</v>
      </c>
      <c r="E20" s="223">
        <v>41412.159999999996</v>
      </c>
      <c r="F20" s="224">
        <f>SUM(B20:E20)</f>
        <v>5818954.9199999999</v>
      </c>
      <c r="G20" s="224">
        <f>ROUND(F20/24*0,2)</f>
        <v>0</v>
      </c>
    </row>
    <row r="21" spans="1:7" s="46" customFormat="1" x14ac:dyDescent="0.35">
      <c r="A21" s="20" t="s">
        <v>5</v>
      </c>
      <c r="B21" s="224">
        <f t="shared" ref="B21:G21" si="9">SUM(B19:B20)</f>
        <v>8354460.4399999995</v>
      </c>
      <c r="C21" s="224">
        <f t="shared" si="9"/>
        <v>-752843.62</v>
      </c>
      <c r="D21" s="224">
        <f t="shared" si="9"/>
        <v>1200154.1800000002</v>
      </c>
      <c r="E21" s="224">
        <f t="shared" si="9"/>
        <v>52798.27</v>
      </c>
      <c r="F21" s="224">
        <f t="shared" si="9"/>
        <v>8854569.2699999996</v>
      </c>
      <c r="G21" s="224">
        <f t="shared" si="9"/>
        <v>0</v>
      </c>
    </row>
    <row r="22" spans="1:7" s="46" customFormat="1" x14ac:dyDescent="0.35">
      <c r="B22" s="221"/>
      <c r="C22" s="221"/>
      <c r="D22" s="222"/>
    </row>
    <row r="23" spans="1:7" x14ac:dyDescent="0.35">
      <c r="A23" s="20" t="s">
        <v>107</v>
      </c>
      <c r="B23" s="25">
        <v>674006.21</v>
      </c>
      <c r="C23" s="25">
        <v>-37272.29</v>
      </c>
      <c r="D23" s="25">
        <v>101225.02</v>
      </c>
      <c r="E23" s="223">
        <v>4637.5600000000004</v>
      </c>
      <c r="F23" s="224">
        <f t="shared" ref="F23:F26" si="10">SUM(B23:E23)</f>
        <v>742596.5</v>
      </c>
      <c r="G23" s="224">
        <f>ROUND(F23/24*0,2)</f>
        <v>0</v>
      </c>
    </row>
    <row r="24" spans="1:7" x14ac:dyDescent="0.35">
      <c r="A24" s="20" t="s">
        <v>108</v>
      </c>
      <c r="B24" s="223">
        <v>1713084.19</v>
      </c>
      <c r="C24" s="223">
        <v>122147.33</v>
      </c>
      <c r="D24" s="223">
        <v>340699.47</v>
      </c>
      <c r="E24" s="223">
        <v>19663.03</v>
      </c>
      <c r="F24" s="224">
        <f t="shared" si="10"/>
        <v>2195594.02</v>
      </c>
      <c r="G24" s="224">
        <f>ROUND(F24/24*0,2)</f>
        <v>0</v>
      </c>
    </row>
    <row r="25" spans="1:7" x14ac:dyDescent="0.35">
      <c r="A25" s="20" t="s">
        <v>109</v>
      </c>
      <c r="B25" s="25">
        <v>2024596.54</v>
      </c>
      <c r="C25" s="25">
        <v>169641.44</v>
      </c>
      <c r="D25" s="25">
        <v>191871.42</v>
      </c>
      <c r="E25" s="25">
        <v>15454.89</v>
      </c>
      <c r="F25" s="224">
        <f t="shared" si="10"/>
        <v>2401564.29</v>
      </c>
      <c r="G25" s="224">
        <f>ROUND(F25/24*0,2)</f>
        <v>0</v>
      </c>
    </row>
    <row r="26" spans="1:7" x14ac:dyDescent="0.35">
      <c r="A26" s="20" t="s">
        <v>110</v>
      </c>
      <c r="B26" s="223">
        <v>414583.45</v>
      </c>
      <c r="C26" s="223">
        <v>34067.5</v>
      </c>
      <c r="D26" s="223">
        <v>28892.5</v>
      </c>
      <c r="E26" s="223">
        <v>1656.68</v>
      </c>
      <c r="F26" s="224">
        <f t="shared" si="10"/>
        <v>479200.13</v>
      </c>
      <c r="G26" s="224">
        <f>ROUND(F26/24*0,2)</f>
        <v>0</v>
      </c>
    </row>
    <row r="27" spans="1:7" x14ac:dyDescent="0.35">
      <c r="A27" s="30" t="s">
        <v>112</v>
      </c>
      <c r="B27" s="224">
        <f>SUM(B23:B26)</f>
        <v>4826270.3899999997</v>
      </c>
      <c r="C27" s="224">
        <f>SUM(C23:C26)</f>
        <v>288583.98</v>
      </c>
      <c r="D27" s="224">
        <f t="shared" ref="D27:G27" si="11">SUM(D23:D26)</f>
        <v>662688.41</v>
      </c>
      <c r="E27" s="224">
        <f t="shared" si="11"/>
        <v>41412.159999999996</v>
      </c>
      <c r="F27" s="224">
        <f t="shared" si="11"/>
        <v>5818954.9400000004</v>
      </c>
      <c r="G27" s="224">
        <f t="shared" si="11"/>
        <v>0</v>
      </c>
    </row>
    <row r="28" spans="1:7" x14ac:dyDescent="0.35">
      <c r="A28" s="46"/>
      <c r="B28" s="46"/>
      <c r="D28" s="46"/>
      <c r="E28" s="4"/>
    </row>
    <row r="29" spans="1:7" s="46" customFormat="1" x14ac:dyDescent="0.35">
      <c r="E29" s="4"/>
    </row>
    <row r="30" spans="1:7" x14ac:dyDescent="0.35">
      <c r="A30" s="253" t="s">
        <v>166</v>
      </c>
      <c r="B30" s="46"/>
      <c r="D30" s="46"/>
      <c r="E30" s="46"/>
    </row>
    <row r="31" spans="1:7" s="46" customFormat="1" x14ac:dyDescent="0.35">
      <c r="A31" s="20" t="s">
        <v>24</v>
      </c>
      <c r="B31" s="25">
        <v>1266045.8400000001</v>
      </c>
      <c r="C31" s="25">
        <v>-261684.95</v>
      </c>
      <c r="D31" s="25">
        <v>-1774297.12</v>
      </c>
      <c r="E31" s="25">
        <v>-89512.47</v>
      </c>
      <c r="F31" s="224">
        <f>SUM(B31:E31)</f>
        <v>-859448.7</v>
      </c>
      <c r="G31" s="224">
        <f>ROUND(F31/24*0,2)</f>
        <v>0</v>
      </c>
    </row>
    <row r="32" spans="1:7" s="46" customFormat="1" x14ac:dyDescent="0.35">
      <c r="A32" s="20" t="s">
        <v>25</v>
      </c>
      <c r="B32" s="223">
        <v>1146260.1000000001</v>
      </c>
      <c r="C32" s="223">
        <v>652330.12000000011</v>
      </c>
      <c r="D32" s="223">
        <v>-1070219.28</v>
      </c>
      <c r="E32" s="223">
        <v>60706.75</v>
      </c>
      <c r="F32" s="224">
        <f>SUM(B32:E32)</f>
        <v>789077.69000000018</v>
      </c>
      <c r="G32" s="224">
        <f>ROUND(F32/24*0,2)</f>
        <v>0</v>
      </c>
    </row>
    <row r="33" spans="1:7" s="46" customFormat="1" x14ac:dyDescent="0.35">
      <c r="A33" s="20" t="s">
        <v>5</v>
      </c>
      <c r="B33" s="224">
        <f t="shared" ref="B33:G33" si="12">SUM(B31:B32)</f>
        <v>2412305.9400000004</v>
      </c>
      <c r="C33" s="224">
        <f t="shared" si="12"/>
        <v>390645.1700000001</v>
      </c>
      <c r="D33" s="224">
        <f t="shared" si="12"/>
        <v>-2844516.4000000004</v>
      </c>
      <c r="E33" s="224">
        <f t="shared" si="12"/>
        <v>-28805.72</v>
      </c>
      <c r="F33" s="224">
        <f t="shared" si="12"/>
        <v>-70371.009999999776</v>
      </c>
      <c r="G33" s="224">
        <f t="shared" si="12"/>
        <v>0</v>
      </c>
    </row>
    <row r="34" spans="1:7" s="46" customFormat="1" x14ac:dyDescent="0.35">
      <c r="B34" s="221"/>
      <c r="C34" s="221"/>
      <c r="D34" s="222"/>
    </row>
    <row r="35" spans="1:7" s="46" customFormat="1" x14ac:dyDescent="0.35">
      <c r="A35" s="20" t="s">
        <v>107</v>
      </c>
      <c r="B35" s="25">
        <v>124816.68</v>
      </c>
      <c r="C35" s="25">
        <v>-31690.68</v>
      </c>
      <c r="D35" s="25">
        <v>-451100.9</v>
      </c>
      <c r="E35" s="223">
        <v>-6747.99</v>
      </c>
      <c r="F35" s="224">
        <f t="shared" ref="F35:F38" si="13">SUM(B35:E35)</f>
        <v>-364722.89</v>
      </c>
      <c r="G35" s="224">
        <f>ROUND(F35/24*0,2)</f>
        <v>0</v>
      </c>
    </row>
    <row r="36" spans="1:7" s="46" customFormat="1" x14ac:dyDescent="0.35">
      <c r="A36" s="20" t="s">
        <v>108</v>
      </c>
      <c r="B36" s="223">
        <v>390572.25</v>
      </c>
      <c r="C36" s="223">
        <v>243638.01</v>
      </c>
      <c r="D36" s="223">
        <v>-201296.23</v>
      </c>
      <c r="E36" s="223">
        <v>35332.660000000003</v>
      </c>
      <c r="F36" s="224">
        <f t="shared" si="13"/>
        <v>468246.69000000006</v>
      </c>
      <c r="G36" s="224">
        <f>ROUND(F36/24*0,2)</f>
        <v>0</v>
      </c>
    </row>
    <row r="37" spans="1:7" s="46" customFormat="1" x14ac:dyDescent="0.35">
      <c r="A37" s="20" t="s">
        <v>109</v>
      </c>
      <c r="B37" s="25">
        <v>546171.26</v>
      </c>
      <c r="C37" s="25">
        <v>104616.02</v>
      </c>
      <c r="D37" s="25">
        <v>-270192.05</v>
      </c>
      <c r="E37" s="25">
        <v>23076.27</v>
      </c>
      <c r="F37" s="224">
        <f t="shared" si="13"/>
        <v>403671.50000000006</v>
      </c>
      <c r="G37" s="224">
        <f>ROUND(F37/24*0,2)</f>
        <v>0</v>
      </c>
    </row>
    <row r="38" spans="1:7" s="46" customFormat="1" x14ac:dyDescent="0.35">
      <c r="A38" s="20" t="s">
        <v>110</v>
      </c>
      <c r="B38" s="223">
        <v>84699.91</v>
      </c>
      <c r="C38" s="223">
        <v>335766.77</v>
      </c>
      <c r="D38" s="223">
        <v>-147630.1</v>
      </c>
      <c r="E38" s="223">
        <v>9045.81</v>
      </c>
      <c r="F38" s="224">
        <f t="shared" si="13"/>
        <v>281882.39000000007</v>
      </c>
      <c r="G38" s="224">
        <f>ROUND(F38/24*0,2)</f>
        <v>0</v>
      </c>
    </row>
    <row r="39" spans="1:7" s="46" customFormat="1" x14ac:dyDescent="0.35">
      <c r="A39" s="30" t="s">
        <v>112</v>
      </c>
      <c r="B39" s="224">
        <f>SUM(B35:B38)</f>
        <v>1146260.0999999999</v>
      </c>
      <c r="C39" s="224">
        <f>SUM(C35:C38)</f>
        <v>652330.12000000011</v>
      </c>
      <c r="D39" s="224">
        <f t="shared" ref="D39:G39" si="14">SUM(D35:D38)</f>
        <v>-1070219.28</v>
      </c>
      <c r="E39" s="224">
        <f t="shared" si="14"/>
        <v>60706.75</v>
      </c>
      <c r="F39" s="224">
        <f t="shared" si="14"/>
        <v>789077.69000000018</v>
      </c>
      <c r="G39" s="224">
        <f t="shared" si="14"/>
        <v>0</v>
      </c>
    </row>
    <row r="40" spans="1:7" s="46" customFormat="1" x14ac:dyDescent="0.35">
      <c r="E40" s="4"/>
    </row>
    <row r="41" spans="1:7" x14ac:dyDescent="0.35">
      <c r="A41" s="46"/>
      <c r="B41" s="46"/>
      <c r="D41" s="46"/>
      <c r="E41" s="46"/>
    </row>
    <row r="42" spans="1:7" s="46" customFormat="1" x14ac:dyDescent="0.35">
      <c r="A42" s="253" t="s">
        <v>167</v>
      </c>
    </row>
    <row r="43" spans="1:7" s="46" customFormat="1" x14ac:dyDescent="0.35">
      <c r="A43" s="20" t="s">
        <v>24</v>
      </c>
      <c r="B43" s="25">
        <v>0</v>
      </c>
      <c r="C43" s="25">
        <v>8894.23</v>
      </c>
      <c r="D43" s="25">
        <v>-668670.34</v>
      </c>
      <c r="E43" s="25">
        <v>-51414.78</v>
      </c>
      <c r="F43" s="224">
        <f>SUM(B43:E43)</f>
        <v>-711190.89</v>
      </c>
      <c r="G43" s="224">
        <f>ROUND(F43/24*1,2)</f>
        <v>-29632.95</v>
      </c>
    </row>
    <row r="44" spans="1:7" s="46" customFormat="1" x14ac:dyDescent="0.35">
      <c r="A44" s="20" t="s">
        <v>25</v>
      </c>
      <c r="B44" s="223">
        <v>0</v>
      </c>
      <c r="C44" s="223">
        <v>219063.11</v>
      </c>
      <c r="D44" s="223">
        <v>-354279.85</v>
      </c>
      <c r="E44" s="223">
        <v>10216.190000000002</v>
      </c>
      <c r="F44" s="224">
        <f>SUM(B44:E44)</f>
        <v>-125000.54999999999</v>
      </c>
      <c r="G44" s="224">
        <f>ROUND(F44/24*1,2)</f>
        <v>-5208.3599999999997</v>
      </c>
    </row>
    <row r="45" spans="1:7" s="46" customFormat="1" x14ac:dyDescent="0.35">
      <c r="A45" s="20" t="s">
        <v>5</v>
      </c>
      <c r="B45" s="224">
        <f t="shared" ref="B45:G45" si="15">SUM(B43:B44)</f>
        <v>0</v>
      </c>
      <c r="C45" s="224">
        <f t="shared" si="15"/>
        <v>227957.34</v>
      </c>
      <c r="D45" s="224">
        <f t="shared" si="15"/>
        <v>-1022950.19</v>
      </c>
      <c r="E45" s="224">
        <f t="shared" si="15"/>
        <v>-41198.589999999997</v>
      </c>
      <c r="F45" s="224">
        <f t="shared" si="15"/>
        <v>-836191.44</v>
      </c>
      <c r="G45" s="224">
        <f t="shared" si="15"/>
        <v>-34841.31</v>
      </c>
    </row>
    <row r="46" spans="1:7" s="46" customFormat="1" x14ac:dyDescent="0.35">
      <c r="B46" s="221"/>
      <c r="C46" s="221"/>
      <c r="D46" s="222"/>
    </row>
    <row r="47" spans="1:7" s="46" customFormat="1" x14ac:dyDescent="0.35">
      <c r="A47" s="20" t="s">
        <v>107</v>
      </c>
      <c r="B47" s="25">
        <v>0</v>
      </c>
      <c r="C47" s="25">
        <v>-10762.26</v>
      </c>
      <c r="D47" s="25">
        <v>-149794.82999999999</v>
      </c>
      <c r="E47" s="223">
        <v>-8503.82</v>
      </c>
      <c r="F47" s="224">
        <f t="shared" ref="F47:F50" si="16">SUM(B47:E47)</f>
        <v>-169060.91</v>
      </c>
      <c r="G47" s="224">
        <f>ROUND(F47/24*1,2)</f>
        <v>-7044.2</v>
      </c>
    </row>
    <row r="48" spans="1:7" s="46" customFormat="1" x14ac:dyDescent="0.35">
      <c r="A48" s="20" t="s">
        <v>108</v>
      </c>
      <c r="B48" s="223">
        <v>0</v>
      </c>
      <c r="C48" s="223">
        <v>81670.7</v>
      </c>
      <c r="D48" s="223">
        <v>-64576.77</v>
      </c>
      <c r="E48" s="223">
        <v>9912.11</v>
      </c>
      <c r="F48" s="224">
        <f t="shared" si="16"/>
        <v>27006.04</v>
      </c>
      <c r="G48" s="224">
        <f>ROUND(F48/24*1,2)</f>
        <v>1125.25</v>
      </c>
    </row>
    <row r="49" spans="1:7" s="46" customFormat="1" x14ac:dyDescent="0.35">
      <c r="A49" s="20" t="s">
        <v>109</v>
      </c>
      <c r="B49" s="25">
        <v>0</v>
      </c>
      <c r="C49" s="25">
        <v>34542.74</v>
      </c>
      <c r="D49" s="25">
        <v>-89753.7</v>
      </c>
      <c r="E49" s="25">
        <v>3787.3</v>
      </c>
      <c r="F49" s="224">
        <f t="shared" si="16"/>
        <v>-51423.659999999996</v>
      </c>
      <c r="G49" s="224">
        <f>ROUND(F49/24*1,2)</f>
        <v>-2142.65</v>
      </c>
    </row>
    <row r="50" spans="1:7" s="46" customFormat="1" x14ac:dyDescent="0.35">
      <c r="A50" s="20" t="s">
        <v>110</v>
      </c>
      <c r="B50" s="223">
        <v>0</v>
      </c>
      <c r="C50" s="223">
        <v>113611.93</v>
      </c>
      <c r="D50" s="223">
        <v>-50154.55</v>
      </c>
      <c r="E50" s="223">
        <v>5020.6000000000004</v>
      </c>
      <c r="F50" s="224">
        <f t="shared" si="16"/>
        <v>68477.98</v>
      </c>
      <c r="G50" s="224">
        <f>ROUND(F50/24*1,2)</f>
        <v>2853.25</v>
      </c>
    </row>
    <row r="51" spans="1:7" s="46" customFormat="1" x14ac:dyDescent="0.35">
      <c r="A51" s="30" t="s">
        <v>112</v>
      </c>
      <c r="B51" s="224">
        <f>SUM(B47:B50)</f>
        <v>0</v>
      </c>
      <c r="C51" s="224">
        <f>SUM(C47:C50)</f>
        <v>219063.11</v>
      </c>
      <c r="D51" s="224">
        <f t="shared" ref="D51:G51" si="17">SUM(D47:D50)</f>
        <v>-354279.85</v>
      </c>
      <c r="E51" s="224">
        <f t="shared" si="17"/>
        <v>10216.190000000002</v>
      </c>
      <c r="F51" s="224">
        <f t="shared" si="17"/>
        <v>-125000.55</v>
      </c>
      <c r="G51" s="224">
        <f t="shared" si="17"/>
        <v>-5208.3500000000004</v>
      </c>
    </row>
    <row r="52" spans="1:7" s="46" customFormat="1" x14ac:dyDescent="0.35">
      <c r="E52" s="4"/>
    </row>
    <row r="53" spans="1:7" s="46" customFormat="1" x14ac:dyDescent="0.35">
      <c r="A53" s="253" t="s">
        <v>168</v>
      </c>
    </row>
    <row r="54" spans="1:7" s="46" customFormat="1" x14ac:dyDescent="0.35">
      <c r="A54" s="20" t="s">
        <v>24</v>
      </c>
      <c r="B54" s="25">
        <v>0</v>
      </c>
      <c r="C54" s="25">
        <v>0</v>
      </c>
      <c r="D54" s="25">
        <v>0</v>
      </c>
      <c r="E54" s="25">
        <v>-46354.43</v>
      </c>
      <c r="F54" s="224">
        <f>SUM(B54:E54)</f>
        <v>-46354.43</v>
      </c>
      <c r="G54" s="224">
        <f>ROUND(F54/24*7,2)</f>
        <v>-13520.04</v>
      </c>
    </row>
    <row r="55" spans="1:7" s="46" customFormat="1" x14ac:dyDescent="0.35">
      <c r="A55" s="20" t="s">
        <v>25</v>
      </c>
      <c r="B55" s="223">
        <v>0</v>
      </c>
      <c r="C55" s="223">
        <f>SUM(C58:C61)</f>
        <v>0</v>
      </c>
      <c r="D55" s="223">
        <f t="shared" ref="D55:G55" si="18">SUM(D58:D61)</f>
        <v>0</v>
      </c>
      <c r="E55" s="223">
        <v>2949.1899999999991</v>
      </c>
      <c r="F55" s="224">
        <f>SUM(B55:E55)</f>
        <v>2949.1899999999991</v>
      </c>
      <c r="G55" s="224">
        <f t="shared" si="18"/>
        <v>860.17999999999984</v>
      </c>
    </row>
    <row r="56" spans="1:7" s="46" customFormat="1" x14ac:dyDescent="0.35">
      <c r="A56" s="20" t="s">
        <v>5</v>
      </c>
      <c r="B56" s="224">
        <f t="shared" ref="B56:G56" si="19">SUM(B54:B55)</f>
        <v>0</v>
      </c>
      <c r="C56" s="224">
        <f t="shared" si="19"/>
        <v>0</v>
      </c>
      <c r="D56" s="224">
        <f t="shared" si="19"/>
        <v>0</v>
      </c>
      <c r="E56" s="224">
        <f t="shared" si="19"/>
        <v>-43405.24</v>
      </c>
      <c r="F56" s="224">
        <f t="shared" si="19"/>
        <v>-43405.24</v>
      </c>
      <c r="G56" s="224">
        <f t="shared" si="19"/>
        <v>-12659.86</v>
      </c>
    </row>
    <row r="57" spans="1:7" s="46" customFormat="1" x14ac:dyDescent="0.35">
      <c r="B57" s="221"/>
      <c r="C57" s="221"/>
      <c r="D57" s="222"/>
    </row>
    <row r="58" spans="1:7" s="46" customFormat="1" x14ac:dyDescent="0.35">
      <c r="A58" s="20" t="s">
        <v>107</v>
      </c>
      <c r="B58" s="25">
        <v>0</v>
      </c>
      <c r="C58" s="25">
        <v>0</v>
      </c>
      <c r="D58" s="25">
        <v>0</v>
      </c>
      <c r="E58" s="223">
        <v>-8810.09</v>
      </c>
      <c r="F58" s="224">
        <f t="shared" ref="F58:F61" si="20">SUM(B58:E58)</f>
        <v>-8810.09</v>
      </c>
      <c r="G58" s="224">
        <f>ROUND(F58/24*7,2)</f>
        <v>-2569.61</v>
      </c>
    </row>
    <row r="59" spans="1:7" s="46" customFormat="1" x14ac:dyDescent="0.35">
      <c r="A59" s="20" t="s">
        <v>108</v>
      </c>
      <c r="B59" s="223">
        <v>0</v>
      </c>
      <c r="C59" s="223">
        <v>0</v>
      </c>
      <c r="D59" s="223">
        <v>0</v>
      </c>
      <c r="E59" s="223">
        <v>6289.37</v>
      </c>
      <c r="F59" s="224">
        <f t="shared" si="20"/>
        <v>6289.37</v>
      </c>
      <c r="G59" s="224">
        <f>ROUND(F59/24*7,2)</f>
        <v>1834.4</v>
      </c>
    </row>
    <row r="60" spans="1:7" s="46" customFormat="1" x14ac:dyDescent="0.35">
      <c r="A60" s="20" t="s">
        <v>109</v>
      </c>
      <c r="B60" s="25">
        <v>0</v>
      </c>
      <c r="C60" s="25">
        <v>0</v>
      </c>
      <c r="D60" s="25">
        <v>0</v>
      </c>
      <c r="E60" s="25">
        <v>1003.18</v>
      </c>
      <c r="F60" s="224">
        <f t="shared" si="20"/>
        <v>1003.18</v>
      </c>
      <c r="G60" s="224">
        <f>ROUND(F60/24*7,2)</f>
        <v>292.58999999999997</v>
      </c>
    </row>
    <row r="61" spans="1:7" s="46" customFormat="1" x14ac:dyDescent="0.35">
      <c r="A61" s="20" t="s">
        <v>110</v>
      </c>
      <c r="B61" s="223">
        <v>0</v>
      </c>
      <c r="C61" s="223">
        <v>0</v>
      </c>
      <c r="D61" s="223">
        <v>0</v>
      </c>
      <c r="E61" s="223">
        <v>4466.7299999999996</v>
      </c>
      <c r="F61" s="224">
        <f t="shared" si="20"/>
        <v>4466.7299999999996</v>
      </c>
      <c r="G61" s="224">
        <f>ROUND(F61/24*7,2)</f>
        <v>1302.8</v>
      </c>
    </row>
    <row r="62" spans="1:7" s="46" customFormat="1" x14ac:dyDescent="0.35">
      <c r="A62" s="30" t="s">
        <v>112</v>
      </c>
      <c r="B62" s="224">
        <f>SUM(B58:B61)</f>
        <v>0</v>
      </c>
      <c r="C62" s="224">
        <f>SUM(C58:C61)</f>
        <v>0</v>
      </c>
      <c r="D62" s="224">
        <f t="shared" ref="D62:G62" si="21">SUM(D58:D61)</f>
        <v>0</v>
      </c>
      <c r="E62" s="224">
        <f t="shared" si="21"/>
        <v>2949.1899999999991</v>
      </c>
      <c r="F62" s="224">
        <f t="shared" si="21"/>
        <v>2949.1899999999991</v>
      </c>
      <c r="G62" s="224">
        <f t="shared" si="21"/>
        <v>860.17999999999984</v>
      </c>
    </row>
    <row r="63" spans="1:7" s="46" customFormat="1" x14ac:dyDescent="0.35">
      <c r="E63" s="4"/>
    </row>
    <row r="64" spans="1:7" s="46" customFormat="1" x14ac:dyDescent="0.35">
      <c r="A64" s="253" t="s">
        <v>171</v>
      </c>
    </row>
    <row r="65" spans="1:7" s="46" customFormat="1" x14ac:dyDescent="0.35">
      <c r="A65" s="20" t="s">
        <v>24</v>
      </c>
      <c r="B65" s="25">
        <v>0</v>
      </c>
      <c r="C65" s="25">
        <v>0</v>
      </c>
      <c r="D65" s="25">
        <v>0</v>
      </c>
      <c r="E65" s="25">
        <v>-32712.49</v>
      </c>
      <c r="F65" s="224">
        <f>SUM(B65:E65)</f>
        <v>-32712.49</v>
      </c>
      <c r="G65" s="224">
        <f>ROUND(F65/24*12,2)</f>
        <v>-16356.25</v>
      </c>
    </row>
    <row r="66" spans="1:7" s="46" customFormat="1" x14ac:dyDescent="0.35">
      <c r="A66" s="20" t="s">
        <v>25</v>
      </c>
      <c r="B66" s="223">
        <v>0</v>
      </c>
      <c r="C66" s="223">
        <f>SUM(C69:C72)</f>
        <v>0</v>
      </c>
      <c r="D66" s="223">
        <f t="shared" ref="D66" si="22">SUM(D69:D72)</f>
        <v>0</v>
      </c>
      <c r="E66" s="223">
        <v>-4051.89</v>
      </c>
      <c r="F66" s="224">
        <f>SUM(B66:E66)</f>
        <v>-4051.89</v>
      </c>
      <c r="G66" s="224">
        <f t="shared" ref="G66" si="23">SUM(G69:G72)</f>
        <v>-2025.9400000000005</v>
      </c>
    </row>
    <row r="67" spans="1:7" s="46" customFormat="1" x14ac:dyDescent="0.35">
      <c r="A67" s="20" t="s">
        <v>5</v>
      </c>
      <c r="B67" s="224">
        <f t="shared" ref="B67:G67" si="24">SUM(B65:B66)</f>
        <v>0</v>
      </c>
      <c r="C67" s="224">
        <f t="shared" si="24"/>
        <v>0</v>
      </c>
      <c r="D67" s="224">
        <f t="shared" si="24"/>
        <v>0</v>
      </c>
      <c r="E67" s="224">
        <f t="shared" si="24"/>
        <v>-36764.380000000005</v>
      </c>
      <c r="F67" s="224">
        <f t="shared" si="24"/>
        <v>-36764.380000000005</v>
      </c>
      <c r="G67" s="224">
        <f t="shared" si="24"/>
        <v>-18382.190000000002</v>
      </c>
    </row>
    <row r="68" spans="1:7" s="46" customFormat="1" x14ac:dyDescent="0.35">
      <c r="B68" s="221"/>
      <c r="C68" s="221"/>
      <c r="D68" s="222"/>
    </row>
    <row r="69" spans="1:7" s="46" customFormat="1" x14ac:dyDescent="0.35">
      <c r="A69" s="20" t="s">
        <v>107</v>
      </c>
      <c r="B69" s="25">
        <v>0</v>
      </c>
      <c r="C69" s="25">
        <v>0</v>
      </c>
      <c r="D69" s="25">
        <v>0</v>
      </c>
      <c r="E69" s="223">
        <v>-7422.34</v>
      </c>
      <c r="F69" s="224">
        <f t="shared" ref="F69:F72" si="25">SUM(B69:E69)</f>
        <v>-7422.34</v>
      </c>
      <c r="G69" s="224">
        <f>ROUND(F69/24*12,2)</f>
        <v>-3711.17</v>
      </c>
    </row>
    <row r="70" spans="1:7" s="46" customFormat="1" x14ac:dyDescent="0.35">
      <c r="A70" s="20" t="s">
        <v>108</v>
      </c>
      <c r="B70" s="223">
        <v>0</v>
      </c>
      <c r="C70" s="223">
        <v>0</v>
      </c>
      <c r="D70" s="223">
        <v>0</v>
      </c>
      <c r="E70" s="223">
        <v>1875.39</v>
      </c>
      <c r="F70" s="224">
        <f t="shared" si="25"/>
        <v>1875.39</v>
      </c>
      <c r="G70" s="224">
        <f>ROUND(F70/24*12,2)</f>
        <v>937.7</v>
      </c>
    </row>
    <row r="71" spans="1:7" s="46" customFormat="1" x14ac:dyDescent="0.35">
      <c r="A71" s="20" t="s">
        <v>109</v>
      </c>
      <c r="B71" s="25">
        <v>0</v>
      </c>
      <c r="C71" s="25">
        <v>0</v>
      </c>
      <c r="D71" s="25">
        <v>0</v>
      </c>
      <c r="E71" s="25">
        <v>-1646.59</v>
      </c>
      <c r="F71" s="224">
        <f t="shared" si="25"/>
        <v>-1646.59</v>
      </c>
      <c r="G71" s="224">
        <f>ROUND(F71/24*12,2)</f>
        <v>-823.3</v>
      </c>
    </row>
    <row r="72" spans="1:7" s="46" customFormat="1" x14ac:dyDescent="0.35">
      <c r="A72" s="20" t="s">
        <v>110</v>
      </c>
      <c r="B72" s="223">
        <v>0</v>
      </c>
      <c r="C72" s="223">
        <v>0</v>
      </c>
      <c r="D72" s="223">
        <v>0</v>
      </c>
      <c r="E72" s="223">
        <v>3141.65</v>
      </c>
      <c r="F72" s="224">
        <f t="shared" si="25"/>
        <v>3141.65</v>
      </c>
      <c r="G72" s="224">
        <f>ROUND(F72/24*12,2)</f>
        <v>1570.83</v>
      </c>
    </row>
    <row r="73" spans="1:7" s="46" customFormat="1" x14ac:dyDescent="0.35">
      <c r="A73" s="30" t="s">
        <v>112</v>
      </c>
      <c r="B73" s="224">
        <f>SUM(B69:B72)</f>
        <v>0</v>
      </c>
      <c r="C73" s="224">
        <f>SUM(C69:C72)</f>
        <v>0</v>
      </c>
      <c r="D73" s="224">
        <f t="shared" ref="D73:G73" si="26">SUM(D69:D72)</f>
        <v>0</v>
      </c>
      <c r="E73" s="224">
        <f t="shared" si="26"/>
        <v>-4051.89</v>
      </c>
      <c r="F73" s="224">
        <f t="shared" si="26"/>
        <v>-4051.89</v>
      </c>
      <c r="G73" s="224">
        <f t="shared" si="26"/>
        <v>-2025.9400000000005</v>
      </c>
    </row>
    <row r="74" spans="1:7" s="46" customFormat="1" x14ac:dyDescent="0.35">
      <c r="E74" s="4"/>
    </row>
    <row r="75" spans="1:7" s="46" customFormat="1" ht="14.25" customHeight="1" x14ac:dyDescent="0.35">
      <c r="A75" s="253" t="s">
        <v>182</v>
      </c>
    </row>
    <row r="76" spans="1:7" s="46" customFormat="1" x14ac:dyDescent="0.35">
      <c r="A76" s="20" t="s">
        <v>24</v>
      </c>
      <c r="B76" s="25">
        <v>0</v>
      </c>
      <c r="C76" s="25">
        <v>0</v>
      </c>
      <c r="D76" s="25">
        <v>0</v>
      </c>
      <c r="E76" s="25">
        <v>-13938.6</v>
      </c>
      <c r="F76" s="224">
        <f>SUM(B76:E76)</f>
        <v>-13938.6</v>
      </c>
      <c r="G76" s="224">
        <f>ROUND(F76/24*12,2)</f>
        <v>-6969.3</v>
      </c>
    </row>
    <row r="77" spans="1:7" s="46" customFormat="1" x14ac:dyDescent="0.35">
      <c r="A77" s="20" t="s">
        <v>25</v>
      </c>
      <c r="B77" s="223">
        <v>0</v>
      </c>
      <c r="C77" s="223">
        <f>SUM(C80:C83)</f>
        <v>0</v>
      </c>
      <c r="D77" s="223">
        <f t="shared" ref="D77" si="27">SUM(D80:D83)</f>
        <v>0</v>
      </c>
      <c r="E77" s="223">
        <v>-8224.73</v>
      </c>
      <c r="F77" s="224">
        <f>SUM(B77:E77)</f>
        <v>-8224.73</v>
      </c>
      <c r="G77" s="224">
        <f t="shared" ref="G77" si="28">SUM(G80:G83)</f>
        <v>-4112.37</v>
      </c>
    </row>
    <row r="78" spans="1:7" s="46" customFormat="1" x14ac:dyDescent="0.35">
      <c r="A78" s="20" t="s">
        <v>5</v>
      </c>
      <c r="B78" s="224">
        <f t="shared" ref="B78:G78" si="29">SUM(B76:B77)</f>
        <v>0</v>
      </c>
      <c r="C78" s="224">
        <f t="shared" si="29"/>
        <v>0</v>
      </c>
      <c r="D78" s="224">
        <f t="shared" si="29"/>
        <v>0</v>
      </c>
      <c r="E78" s="224">
        <f t="shared" si="29"/>
        <v>-22163.33</v>
      </c>
      <c r="F78" s="224">
        <f t="shared" si="29"/>
        <v>-22163.33</v>
      </c>
      <c r="G78" s="224">
        <f t="shared" si="29"/>
        <v>-11081.67</v>
      </c>
    </row>
    <row r="79" spans="1:7" s="46" customFormat="1" x14ac:dyDescent="0.35">
      <c r="B79" s="221"/>
      <c r="C79" s="221"/>
      <c r="D79" s="222"/>
    </row>
    <row r="80" spans="1:7" s="46" customFormat="1" x14ac:dyDescent="0.35">
      <c r="A80" s="20" t="s">
        <v>107</v>
      </c>
      <c r="B80" s="25">
        <v>0</v>
      </c>
      <c r="C80" s="25">
        <v>0</v>
      </c>
      <c r="D80" s="25">
        <v>0</v>
      </c>
      <c r="E80" s="223">
        <v>-4401.96</v>
      </c>
      <c r="F80" s="224">
        <f t="shared" ref="F80:F83" si="30">SUM(B80:E80)</f>
        <v>-4401.96</v>
      </c>
      <c r="G80" s="224">
        <f>ROUND(F80/24*12,2)</f>
        <v>-2200.98</v>
      </c>
    </row>
    <row r="81" spans="1:7" s="46" customFormat="1" x14ac:dyDescent="0.35">
      <c r="A81" s="20" t="s">
        <v>108</v>
      </c>
      <c r="B81" s="223">
        <v>0</v>
      </c>
      <c r="C81" s="223">
        <v>0</v>
      </c>
      <c r="D81" s="223">
        <v>0</v>
      </c>
      <c r="E81" s="223">
        <v>-1933.52</v>
      </c>
      <c r="F81" s="224">
        <f t="shared" si="30"/>
        <v>-1933.52</v>
      </c>
      <c r="G81" s="224">
        <f>ROUND(F81/24*12,2)</f>
        <v>-966.76</v>
      </c>
    </row>
    <row r="82" spans="1:7" s="46" customFormat="1" x14ac:dyDescent="0.35">
      <c r="A82" s="20" t="s">
        <v>109</v>
      </c>
      <c r="B82" s="25">
        <v>0</v>
      </c>
      <c r="C82" s="25">
        <v>0</v>
      </c>
      <c r="D82" s="25">
        <v>0</v>
      </c>
      <c r="E82" s="25">
        <v>-3197.51</v>
      </c>
      <c r="F82" s="224">
        <f t="shared" si="30"/>
        <v>-3197.51</v>
      </c>
      <c r="G82" s="224">
        <f>ROUND(F82/24*12,2)</f>
        <v>-1598.76</v>
      </c>
    </row>
    <row r="83" spans="1:7" s="46" customFormat="1" x14ac:dyDescent="0.35">
      <c r="A83" s="20" t="s">
        <v>110</v>
      </c>
      <c r="B83" s="223">
        <v>0</v>
      </c>
      <c r="C83" s="223">
        <v>0</v>
      </c>
      <c r="D83" s="223">
        <v>0</v>
      </c>
      <c r="E83" s="223">
        <v>1308.26</v>
      </c>
      <c r="F83" s="224">
        <f t="shared" si="30"/>
        <v>1308.26</v>
      </c>
      <c r="G83" s="224">
        <f>ROUND(F83/24*12,2)</f>
        <v>654.13</v>
      </c>
    </row>
    <row r="84" spans="1:7" s="46" customFormat="1" x14ac:dyDescent="0.35">
      <c r="A84" s="30" t="s">
        <v>112</v>
      </c>
      <c r="B84" s="224">
        <f>SUM(B80:B83)</f>
        <v>0</v>
      </c>
      <c r="C84" s="224">
        <f>SUM(C80:C83)</f>
        <v>0</v>
      </c>
      <c r="D84" s="224">
        <f t="shared" ref="D84:G84" si="31">SUM(D80:D83)</f>
        <v>0</v>
      </c>
      <c r="E84" s="224">
        <f t="shared" si="31"/>
        <v>-8224.73</v>
      </c>
      <c r="F84" s="224">
        <f t="shared" si="31"/>
        <v>-8224.73</v>
      </c>
      <c r="G84" s="224">
        <f t="shared" si="31"/>
        <v>-4112.37</v>
      </c>
    </row>
    <row r="85" spans="1:7" s="46" customFormat="1" x14ac:dyDescent="0.35">
      <c r="E85" s="4"/>
    </row>
    <row r="86" spans="1:7" s="46" customFormat="1" ht="14.25" customHeight="1" x14ac:dyDescent="0.35">
      <c r="A86" s="298" t="s">
        <v>199</v>
      </c>
    </row>
    <row r="87" spans="1:7" s="46" customFormat="1" x14ac:dyDescent="0.35">
      <c r="A87" s="20" t="s">
        <v>24</v>
      </c>
      <c r="B87" s="25">
        <v>0</v>
      </c>
      <c r="C87" s="25">
        <f>ROUND('[13]TD EO Ex Post Gross Adj'!$CE$363+'[14]TD EO Ex Post Gross Adj'!$CE$363,2)</f>
        <v>36065.919999999998</v>
      </c>
      <c r="D87" s="25">
        <f>ROUND('[13]TD EO NTG Adj'!$CE$370+'[14]TD EO NTG Adj'!$CE$370,2)</f>
        <v>-61464.7</v>
      </c>
      <c r="E87" s="25">
        <f>ROUND(SUM('[13]EO TD Carrying Costs'!$CC$55:$CE$55)+SUM('[14]EO TD Carrying Costs'!$CC$55:$CE$55),2)</f>
        <v>-4088.89</v>
      </c>
      <c r="F87" s="224">
        <f>SUM(B87:E87)</f>
        <v>-29487.67</v>
      </c>
      <c r="G87" s="224">
        <f>ROUND(F87/24*11,2)</f>
        <v>-13515.18</v>
      </c>
    </row>
    <row r="88" spans="1:7" s="46" customFormat="1" x14ac:dyDescent="0.35">
      <c r="A88" s="20" t="s">
        <v>25</v>
      </c>
      <c r="B88" s="223">
        <v>0</v>
      </c>
      <c r="C88" s="223">
        <f>SUM(C91:C94)</f>
        <v>23858.46</v>
      </c>
      <c r="D88" s="223">
        <f t="shared" ref="D88:E88" si="32">SUM(D91:D94)</f>
        <v>-27911.409999999996</v>
      </c>
      <c r="E88" s="223">
        <f t="shared" si="32"/>
        <v>-7100.4899999999989</v>
      </c>
      <c r="F88" s="224">
        <f>SUM(B88:E88)</f>
        <v>-11153.439999999995</v>
      </c>
      <c r="G88" s="224">
        <f t="shared" ref="G88" si="33">SUM(G91:G94)</f>
        <v>-5112.01</v>
      </c>
    </row>
    <row r="89" spans="1:7" s="46" customFormat="1" x14ac:dyDescent="0.35">
      <c r="A89" s="20" t="s">
        <v>5</v>
      </c>
      <c r="B89" s="224">
        <f t="shared" ref="B89:G89" si="34">SUM(B87:B88)</f>
        <v>0</v>
      </c>
      <c r="C89" s="224">
        <f t="shared" si="34"/>
        <v>59924.38</v>
      </c>
      <c r="D89" s="224">
        <f t="shared" si="34"/>
        <v>-89376.109999999986</v>
      </c>
      <c r="E89" s="224">
        <f t="shared" si="34"/>
        <v>-11189.38</v>
      </c>
      <c r="F89" s="224">
        <f t="shared" si="34"/>
        <v>-40641.109999999993</v>
      </c>
      <c r="G89" s="224">
        <f t="shared" si="34"/>
        <v>-18627.190000000002</v>
      </c>
    </row>
    <row r="90" spans="1:7" s="46" customFormat="1" x14ac:dyDescent="0.35">
      <c r="B90" s="221"/>
      <c r="C90" s="221"/>
      <c r="D90" s="222"/>
    </row>
    <row r="91" spans="1:7" s="46" customFormat="1" x14ac:dyDescent="0.35">
      <c r="A91" s="20" t="s">
        <v>107</v>
      </c>
      <c r="B91" s="25">
        <v>0</v>
      </c>
      <c r="C91" s="25">
        <f>ROUND('[13]TD EO Ex Post Gross Adj'!$CE364+'[14]TD EO Ex Post Gross Adj'!$CE364,2)</f>
        <v>496.58</v>
      </c>
      <c r="D91" s="25">
        <f>ROUND('[13]TD EO NTG Adj'!$CE371+'[14]TD EO NTG Adj'!$CE371,2)</f>
        <v>-11885.85</v>
      </c>
      <c r="E91" s="223">
        <f>ROUND(SUM('[13]EO TD Carrying Costs'!$CC56:$CE56)+SUM('[14]EO TD Carrying Costs'!$CC56:$CE56),2)</f>
        <v>-1963.49</v>
      </c>
      <c r="F91" s="224">
        <f t="shared" ref="F91:F94" si="35">SUM(B91:E91)</f>
        <v>-13352.76</v>
      </c>
      <c r="G91" s="224">
        <f>ROUND(F91/24*11,2)</f>
        <v>-6120.02</v>
      </c>
    </row>
    <row r="92" spans="1:7" s="46" customFormat="1" x14ac:dyDescent="0.35">
      <c r="A92" s="20" t="s">
        <v>108</v>
      </c>
      <c r="B92" s="223">
        <v>0</v>
      </c>
      <c r="C92" s="223">
        <f>ROUND('[13]TD EO Ex Post Gross Adj'!$CE365+'[14]TD EO Ex Post Gross Adj'!$CE365,2)</f>
        <v>9401.91</v>
      </c>
      <c r="D92" s="223">
        <f>ROUND('[13]TD EO NTG Adj'!$CE372+'[14]TD EO NTG Adj'!$CE372,2)</f>
        <v>-5085</v>
      </c>
      <c r="E92" s="223">
        <f>ROUND(SUM('[13]EO TD Carrying Costs'!$CC57:$CE57)+SUM('[14]EO TD Carrying Costs'!$CC57:$CE57),2)</f>
        <v>-2647.33</v>
      </c>
      <c r="F92" s="224">
        <f t="shared" si="35"/>
        <v>1669.58</v>
      </c>
      <c r="G92" s="224">
        <f t="shared" ref="G92:G94" si="36">ROUND(F92/24*11,2)</f>
        <v>765.22</v>
      </c>
    </row>
    <row r="93" spans="1:7" s="46" customFormat="1" x14ac:dyDescent="0.35">
      <c r="A93" s="20" t="s">
        <v>109</v>
      </c>
      <c r="B93" s="25">
        <v>0</v>
      </c>
      <c r="C93" s="25">
        <f>ROUND('[13]TD EO Ex Post Gross Adj'!$CE366+'[14]TD EO Ex Post Gross Adj'!$CE366,2)</f>
        <v>4271.79</v>
      </c>
      <c r="D93" s="25">
        <f>ROUND('[13]TD EO NTG Adj'!$CE373+'[14]TD EO NTG Adj'!$CE373,2)</f>
        <v>-6644.92</v>
      </c>
      <c r="E93" s="25">
        <f>ROUND(SUM('[13]EO TD Carrying Costs'!$CC58:$CE58)+SUM('[14]EO TD Carrying Costs'!$CC58:$CE58),2)</f>
        <v>-2719.64</v>
      </c>
      <c r="F93" s="224">
        <f t="shared" si="35"/>
        <v>-5092.7700000000004</v>
      </c>
      <c r="G93" s="224">
        <f t="shared" si="36"/>
        <v>-2334.19</v>
      </c>
    </row>
    <row r="94" spans="1:7" s="46" customFormat="1" x14ac:dyDescent="0.35">
      <c r="A94" s="20" t="s">
        <v>110</v>
      </c>
      <c r="B94" s="223">
        <v>0</v>
      </c>
      <c r="C94" s="223">
        <f>ROUND('[13]TD EO Ex Post Gross Adj'!$CE367+'[14]TD EO Ex Post Gross Adj'!$CE367,2)</f>
        <v>9688.18</v>
      </c>
      <c r="D94" s="223">
        <f>ROUND('[13]TD EO NTG Adj'!$CE374+'[14]TD EO NTG Adj'!$CE374,2)</f>
        <v>-4295.6400000000003</v>
      </c>
      <c r="E94" s="223">
        <f>ROUND(SUM('[13]EO TD Carrying Costs'!$CC59:$CE59)+SUM('[14]EO TD Carrying Costs'!$CC59:$CE59),2)</f>
        <v>229.97</v>
      </c>
      <c r="F94" s="224">
        <f t="shared" si="35"/>
        <v>5622.51</v>
      </c>
      <c r="G94" s="224">
        <f t="shared" si="36"/>
        <v>2576.98</v>
      </c>
    </row>
    <row r="95" spans="1:7" s="46" customFormat="1" x14ac:dyDescent="0.35">
      <c r="A95" s="30" t="s">
        <v>112</v>
      </c>
      <c r="B95" s="224">
        <f>SUM(B91:B94)</f>
        <v>0</v>
      </c>
      <c r="C95" s="224">
        <f>SUM(C91:C94)</f>
        <v>23858.46</v>
      </c>
      <c r="D95" s="224">
        <f t="shared" ref="D95:G95" si="37">SUM(D91:D94)</f>
        <v>-27911.409999999996</v>
      </c>
      <c r="E95" s="224">
        <f t="shared" si="37"/>
        <v>-7100.4899999999989</v>
      </c>
      <c r="F95" s="224">
        <f t="shared" si="37"/>
        <v>-11153.44</v>
      </c>
      <c r="G95" s="224">
        <f t="shared" si="37"/>
        <v>-5112.01</v>
      </c>
    </row>
    <row r="96" spans="1:7" s="46" customFormat="1" x14ac:dyDescent="0.35">
      <c r="E96" s="4"/>
    </row>
    <row r="97" spans="1:7" x14ac:dyDescent="0.35">
      <c r="A97" s="46"/>
      <c r="B97" s="46"/>
      <c r="D97" s="46"/>
      <c r="E97" s="46"/>
    </row>
    <row r="98" spans="1:7" x14ac:dyDescent="0.35">
      <c r="A98" s="53" t="s">
        <v>11</v>
      </c>
      <c r="B98" s="46"/>
      <c r="D98" s="46"/>
      <c r="E98" s="46"/>
    </row>
    <row r="99" spans="1:7" x14ac:dyDescent="0.35">
      <c r="A99" s="3" t="s">
        <v>158</v>
      </c>
      <c r="B99" s="46"/>
      <c r="D99" s="46"/>
      <c r="E99" s="46"/>
    </row>
    <row r="100" spans="1:7" s="46" customFormat="1" x14ac:dyDescent="0.35">
      <c r="A100" s="3" t="s">
        <v>211</v>
      </c>
    </row>
    <row r="101" spans="1:7" s="46" customFormat="1" x14ac:dyDescent="0.35">
      <c r="A101" s="3" t="s">
        <v>212</v>
      </c>
    </row>
    <row r="102" spans="1:7" x14ac:dyDescent="0.35">
      <c r="A102" s="3" t="s">
        <v>210</v>
      </c>
      <c r="B102" s="46"/>
      <c r="D102" s="46"/>
      <c r="E102" s="46"/>
    </row>
    <row r="103" spans="1:7" s="46" customFormat="1" x14ac:dyDescent="0.35">
      <c r="A103" s="3" t="s">
        <v>159</v>
      </c>
    </row>
    <row r="104" spans="1:7" ht="92.25" customHeight="1" x14ac:dyDescent="0.35">
      <c r="A104" s="309" t="s">
        <v>200</v>
      </c>
      <c r="B104" s="309"/>
      <c r="C104" s="309"/>
      <c r="D104" s="309"/>
      <c r="E104" s="309"/>
      <c r="F104" s="309"/>
      <c r="G104" s="309"/>
    </row>
  </sheetData>
  <mergeCells count="2">
    <mergeCell ref="B3:D3"/>
    <mergeCell ref="A104:G10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pageSetUpPr fitToPage="1"/>
  </sheetPr>
  <dimension ref="A1:G84"/>
  <sheetViews>
    <sheetView workbookViewId="0">
      <pane xSplit="1" ySplit="4" topLeftCell="B5" activePane="bottomRight" state="frozen"/>
      <selection pane="topRight" activeCell="B1" sqref="B1"/>
      <selection pane="bottomLeft" activeCell="A5" sqref="A5"/>
      <selection pane="bottomRight" activeCell="G9" sqref="G9"/>
    </sheetView>
  </sheetViews>
  <sheetFormatPr defaultColWidth="8.7265625" defaultRowHeight="14.5" outlineLevelRow="1" x14ac:dyDescent="0.35"/>
  <cols>
    <col min="1" max="1" width="22.453125" style="46" customWidth="1"/>
    <col min="2" max="2" width="15.26953125" style="46" bestFit="1" customWidth="1"/>
    <col min="3" max="3" width="14.26953125" style="46" customWidth="1"/>
    <col min="4" max="4" width="13.26953125" style="46" bestFit="1" customWidth="1"/>
    <col min="5" max="5" width="10.81640625" style="46" bestFit="1" customWidth="1"/>
    <col min="6" max="6" width="11.54296875" style="46" bestFit="1" customWidth="1"/>
    <col min="7" max="7" width="13.1796875" style="46" customWidth="1"/>
    <col min="8" max="16384" width="8.7265625" style="46"/>
  </cols>
  <sheetData>
    <row r="1" spans="1:7" x14ac:dyDescent="0.35">
      <c r="A1" s="63" t="str">
        <f>+'PPC Cycle 3'!A1</f>
        <v>Evergy Metro, Inc. - DSIM Rider Update Filed 06/01/2023</v>
      </c>
    </row>
    <row r="2" spans="1:7" x14ac:dyDescent="0.35">
      <c r="A2" s="9" t="str">
        <f>+'PPC Cycle 3'!A2</f>
        <v>Projections for Cycle 3 July 2023 - June 2024 DSIM</v>
      </c>
    </row>
    <row r="3" spans="1:7" ht="45.75" customHeight="1" x14ac:dyDescent="0.35">
      <c r="B3" s="310" t="s">
        <v>163</v>
      </c>
      <c r="C3" s="310"/>
      <c r="D3" s="310"/>
    </row>
    <row r="4" spans="1:7" ht="87" x14ac:dyDescent="0.35">
      <c r="B4" s="70" t="s">
        <v>100</v>
      </c>
      <c r="C4" s="70" t="s">
        <v>101</v>
      </c>
      <c r="D4" s="70" t="s">
        <v>104</v>
      </c>
      <c r="E4" s="70" t="s">
        <v>102</v>
      </c>
      <c r="F4" s="70" t="s">
        <v>99</v>
      </c>
      <c r="G4" s="70" t="s">
        <v>164</v>
      </c>
    </row>
    <row r="5" spans="1:7" x14ac:dyDescent="0.35">
      <c r="B5" s="70"/>
      <c r="C5" s="70"/>
      <c r="D5" s="70"/>
      <c r="E5" s="70"/>
      <c r="F5" s="70"/>
      <c r="G5" s="70"/>
    </row>
    <row r="6" spans="1:7" x14ac:dyDescent="0.35">
      <c r="A6" s="253" t="s">
        <v>161</v>
      </c>
      <c r="B6" s="70"/>
      <c r="C6" s="70"/>
      <c r="D6" s="155"/>
    </row>
    <row r="7" spans="1:7" x14ac:dyDescent="0.35">
      <c r="A7" s="20" t="s">
        <v>24</v>
      </c>
      <c r="B7" s="224">
        <f t="shared" ref="B7:E7" si="0">+B19+B31+B43+B55+B67</f>
        <v>2548264.87</v>
      </c>
      <c r="C7" s="224">
        <f t="shared" si="0"/>
        <v>233386.22000000003</v>
      </c>
      <c r="D7" s="224">
        <f t="shared" si="0"/>
        <v>-1067487.02</v>
      </c>
      <c r="E7" s="224">
        <f t="shared" si="0"/>
        <v>-94259.64</v>
      </c>
      <c r="F7" s="224">
        <f>SUM(B7:E7)</f>
        <v>1619904.4300000004</v>
      </c>
      <c r="G7" s="224">
        <f>+G19+G31+G43+G55+G67</f>
        <v>699676.43</v>
      </c>
    </row>
    <row r="8" spans="1:7" x14ac:dyDescent="0.35">
      <c r="A8" s="20" t="s">
        <v>25</v>
      </c>
      <c r="B8" s="224">
        <f t="shared" ref="B8:E8" si="1">+B20+B32+B44+B56+B68</f>
        <v>1762821.8599999999</v>
      </c>
      <c r="C8" s="224">
        <f t="shared" si="1"/>
        <v>299567.78000000003</v>
      </c>
      <c r="D8" s="224">
        <f t="shared" si="1"/>
        <v>-245236.38</v>
      </c>
      <c r="E8" s="224">
        <f t="shared" si="1"/>
        <v>3749.3399999999997</v>
      </c>
      <c r="F8" s="224">
        <f>SUM(B8:E8)</f>
        <v>1820902.5999999999</v>
      </c>
      <c r="G8" s="224">
        <f>+G20+G32+G44+G56+G68</f>
        <v>766206.63</v>
      </c>
    </row>
    <row r="9" spans="1:7" x14ac:dyDescent="0.35">
      <c r="A9" s="20" t="s">
        <v>5</v>
      </c>
      <c r="B9" s="224">
        <f t="shared" ref="B9:E9" si="2">SUM(B7:B8)</f>
        <v>4311086.7300000004</v>
      </c>
      <c r="C9" s="224">
        <f t="shared" si="2"/>
        <v>532954</v>
      </c>
      <c r="D9" s="224">
        <f t="shared" si="2"/>
        <v>-1312723.3999999999</v>
      </c>
      <c r="E9" s="224">
        <f t="shared" si="2"/>
        <v>-90510.3</v>
      </c>
      <c r="F9" s="224">
        <f t="shared" ref="F9:G9" si="3">SUM(F7:F8)</f>
        <v>3440807.0300000003</v>
      </c>
      <c r="G9" s="224">
        <f t="shared" si="3"/>
        <v>1465883.06</v>
      </c>
    </row>
    <row r="11" spans="1:7" x14ac:dyDescent="0.35">
      <c r="A11" s="20" t="s">
        <v>107</v>
      </c>
      <c r="B11" s="224">
        <f t="shared" ref="B11:E14" si="4">+B23+B35+B47+B59+B71</f>
        <v>165915.01</v>
      </c>
      <c r="C11" s="224">
        <f t="shared" si="4"/>
        <v>63279.62</v>
      </c>
      <c r="D11" s="224">
        <f t="shared" si="4"/>
        <v>-56482.25</v>
      </c>
      <c r="E11" s="224">
        <f t="shared" si="4"/>
        <v>-708.2800000000002</v>
      </c>
      <c r="F11" s="224">
        <f t="shared" ref="F11:F14" si="5">SUM(B11:E11)</f>
        <v>172004.1</v>
      </c>
      <c r="G11" s="224">
        <f t="shared" ref="G11:G14" si="6">+G23+G35+G47+G59+G71</f>
        <v>60774.400000000001</v>
      </c>
    </row>
    <row r="12" spans="1:7" x14ac:dyDescent="0.35">
      <c r="A12" s="20" t="s">
        <v>108</v>
      </c>
      <c r="B12" s="224">
        <f t="shared" si="4"/>
        <v>516695.95999999996</v>
      </c>
      <c r="C12" s="224">
        <f t="shared" si="4"/>
        <v>101408.24</v>
      </c>
      <c r="D12" s="224">
        <f t="shared" si="4"/>
        <v>-100687.75</v>
      </c>
      <c r="E12" s="224">
        <f t="shared" si="4"/>
        <v>438.50000000000045</v>
      </c>
      <c r="F12" s="224">
        <f t="shared" si="5"/>
        <v>517854.94999999995</v>
      </c>
      <c r="G12" s="224">
        <f t="shared" si="6"/>
        <v>136071.73000000001</v>
      </c>
    </row>
    <row r="13" spans="1:7" x14ac:dyDescent="0.35">
      <c r="A13" s="20" t="s">
        <v>109</v>
      </c>
      <c r="B13" s="224">
        <f t="shared" si="4"/>
        <v>970173.09</v>
      </c>
      <c r="C13" s="224">
        <f t="shared" si="4"/>
        <v>122935.56</v>
      </c>
      <c r="D13" s="224">
        <f t="shared" si="4"/>
        <v>-86104.25</v>
      </c>
      <c r="E13" s="224">
        <f t="shared" si="4"/>
        <v>2809.7000000000003</v>
      </c>
      <c r="F13" s="224">
        <f t="shared" si="5"/>
        <v>1009814.0999999999</v>
      </c>
      <c r="G13" s="224">
        <f t="shared" si="6"/>
        <v>485687.7</v>
      </c>
    </row>
    <row r="14" spans="1:7" x14ac:dyDescent="0.35">
      <c r="A14" s="20" t="s">
        <v>110</v>
      </c>
      <c r="B14" s="224">
        <f t="shared" si="4"/>
        <v>110037.8</v>
      </c>
      <c r="C14" s="224">
        <f t="shared" si="4"/>
        <v>11944.36</v>
      </c>
      <c r="D14" s="224">
        <f t="shared" si="4"/>
        <v>-1962.13</v>
      </c>
      <c r="E14" s="224">
        <f t="shared" si="4"/>
        <v>1209.42</v>
      </c>
      <c r="F14" s="224">
        <f t="shared" si="5"/>
        <v>121229.45</v>
      </c>
      <c r="G14" s="224">
        <f t="shared" si="6"/>
        <v>48382.14</v>
      </c>
    </row>
    <row r="15" spans="1:7" x14ac:dyDescent="0.35">
      <c r="A15" s="30" t="s">
        <v>112</v>
      </c>
      <c r="B15" s="224">
        <f t="shared" ref="B15:E15" si="7">SUM(B11:B14)</f>
        <v>1762821.86</v>
      </c>
      <c r="C15" s="224">
        <f t="shared" si="7"/>
        <v>299567.78000000003</v>
      </c>
      <c r="D15" s="224">
        <f t="shared" si="7"/>
        <v>-245236.38</v>
      </c>
      <c r="E15" s="224">
        <f t="shared" si="7"/>
        <v>3749.3400000000006</v>
      </c>
      <c r="F15" s="224">
        <f t="shared" ref="F15:G15" si="8">SUM(F11:F14)</f>
        <v>1820902.5999999999</v>
      </c>
      <c r="G15" s="224">
        <f t="shared" si="8"/>
        <v>730915.97000000009</v>
      </c>
    </row>
    <row r="16" spans="1:7" x14ac:dyDescent="0.35">
      <c r="E16" s="4"/>
    </row>
    <row r="17" spans="1:7" x14ac:dyDescent="0.35">
      <c r="A17" s="20"/>
      <c r="B17" s="70"/>
      <c r="C17" s="70"/>
      <c r="D17" s="154"/>
    </row>
    <row r="18" spans="1:7" x14ac:dyDescent="0.35">
      <c r="A18" s="253" t="s">
        <v>169</v>
      </c>
      <c r="B18" s="70"/>
      <c r="C18" s="70"/>
      <c r="D18" s="154"/>
    </row>
    <row r="19" spans="1:7" x14ac:dyDescent="0.35">
      <c r="A19" s="20" t="s">
        <v>24</v>
      </c>
      <c r="B19" s="25">
        <f>ROUND('[15]EO Matrix @Meter'!$R$20,2)</f>
        <v>1163217.68</v>
      </c>
      <c r="C19" s="25">
        <f>ROUND(SUM('[16]Ex Post Gross TD Calc'!$E$571:$Z$571),2)</f>
        <v>331067.99</v>
      </c>
      <c r="D19" s="25">
        <f>ROUND(SUM('[16]NTG TD Calc'!$E$436:$Z$436),2)</f>
        <v>-686548</v>
      </c>
      <c r="E19" s="25">
        <f>ROUND(SUM('[16]EO TD Carrying Costs'!$C$55:$X$55),2)</f>
        <v>-17626.7</v>
      </c>
      <c r="F19" s="224">
        <f>SUM(B19:E19)</f>
        <v>790110.97</v>
      </c>
      <c r="G19" s="224">
        <f>ROUND(F19/12*0,2)</f>
        <v>0</v>
      </c>
    </row>
    <row r="20" spans="1:7" x14ac:dyDescent="0.35">
      <c r="A20" s="20" t="s">
        <v>25</v>
      </c>
      <c r="B20" s="223">
        <f>ROUND(SUM(B23:B26),2)</f>
        <v>923233.23</v>
      </c>
      <c r="C20" s="223">
        <f>SUM(C23:C26)</f>
        <v>137591.55000000002</v>
      </c>
      <c r="D20" s="223">
        <f t="shared" ref="D20:G20" si="9">SUM(D23:D26)</f>
        <v>-89366.98</v>
      </c>
      <c r="E20" s="223">
        <f t="shared" si="9"/>
        <v>2905.83</v>
      </c>
      <c r="F20" s="224">
        <f>SUM(B20:E20)</f>
        <v>974363.63</v>
      </c>
      <c r="G20" s="224">
        <f t="shared" si="9"/>
        <v>0</v>
      </c>
    </row>
    <row r="21" spans="1:7" x14ac:dyDescent="0.35">
      <c r="A21" s="20" t="s">
        <v>5</v>
      </c>
      <c r="B21" s="224">
        <f t="shared" ref="B21:G21" si="10">SUM(B19:B20)</f>
        <v>2086450.91</v>
      </c>
      <c r="C21" s="224">
        <f t="shared" si="10"/>
        <v>468659.54000000004</v>
      </c>
      <c r="D21" s="224">
        <f t="shared" si="10"/>
        <v>-775914.98</v>
      </c>
      <c r="E21" s="224">
        <f t="shared" si="10"/>
        <v>-14720.87</v>
      </c>
      <c r="F21" s="224">
        <f t="shared" si="10"/>
        <v>1764474.6</v>
      </c>
      <c r="G21" s="224">
        <f t="shared" si="10"/>
        <v>0</v>
      </c>
    </row>
    <row r="22" spans="1:7" x14ac:dyDescent="0.35">
      <c r="B22" s="221"/>
      <c r="C22" s="221"/>
      <c r="D22" s="222"/>
    </row>
    <row r="23" spans="1:7" x14ac:dyDescent="0.35">
      <c r="A23" s="20" t="s">
        <v>107</v>
      </c>
      <c r="B23" s="25">
        <f>ROUND('[15]EO Matrix @Meter'!$V$20,2)</f>
        <v>89861.64</v>
      </c>
      <c r="C23" s="25">
        <f>ROUND(SUM('[16]Ex Post Gross TD Calc'!$E$572:$Z$572),2)</f>
        <v>30571.68</v>
      </c>
      <c r="D23" s="25">
        <f>ROUND(SUM('[16]NTG TD Calc'!$E$437:$Z$437),2)</f>
        <v>-25048.27</v>
      </c>
      <c r="E23" s="223">
        <f>ROUND(SUM('[16]EO TD Carrying Costs'!$C$56:$X$56),2)</f>
        <v>150.27000000000001</v>
      </c>
      <c r="F23" s="224">
        <f t="shared" ref="F23:F26" si="11">SUM(B23:E23)</f>
        <v>95535.32</v>
      </c>
      <c r="G23" s="224">
        <f>ROUND(F23/12*0,2)</f>
        <v>0</v>
      </c>
    </row>
    <row r="24" spans="1:7" x14ac:dyDescent="0.35">
      <c r="A24" s="20" t="s">
        <v>108</v>
      </c>
      <c r="B24" s="223">
        <f>ROUND('[15]EO Matrix @Meter'!$W$20,2)</f>
        <v>329114.67</v>
      </c>
      <c r="C24" s="223">
        <f>ROUND(SUM('[16]Ex Post Gross TD Calc'!$E$573:$Z$573),2)</f>
        <v>56526.62</v>
      </c>
      <c r="D24" s="223">
        <f>ROUND(SUM('[16]NTG TD Calc'!$E$438:$Z$438),2)</f>
        <v>-39695.9</v>
      </c>
      <c r="E24" s="223">
        <f>ROUND(SUM('[16]EO TD Carrying Costs'!$C$57:$X$57),2)</f>
        <v>964.19</v>
      </c>
      <c r="F24" s="224">
        <f t="shared" si="11"/>
        <v>346909.57999999996</v>
      </c>
      <c r="G24" s="224">
        <f t="shared" ref="G24:G26" si="12">ROUND(F24/12*0,2)</f>
        <v>0</v>
      </c>
    </row>
    <row r="25" spans="1:7" x14ac:dyDescent="0.35">
      <c r="A25" s="20" t="s">
        <v>109</v>
      </c>
      <c r="B25" s="25">
        <f>ROUND('[15]EO Matrix @Meter'!$X$20,2)</f>
        <v>441576.37</v>
      </c>
      <c r="C25" s="25">
        <f>ROUND(SUM('[16]Ex Post Gross TD Calc'!$E$574:$Z$574),2)</f>
        <v>44928.09</v>
      </c>
      <c r="D25" s="25">
        <f>ROUND(SUM('[16]NTG TD Calc'!$E$439:$Z$439),2)</f>
        <v>-23708.22</v>
      </c>
      <c r="E25" s="25">
        <f>ROUND(SUM('[16]EO TD Carrying Costs'!$C$58:$X$58),2)</f>
        <v>1389.19</v>
      </c>
      <c r="F25" s="224">
        <f t="shared" si="11"/>
        <v>464185.43</v>
      </c>
      <c r="G25" s="224">
        <f t="shared" si="12"/>
        <v>0</v>
      </c>
    </row>
    <row r="26" spans="1:7" x14ac:dyDescent="0.35">
      <c r="A26" s="20" t="s">
        <v>110</v>
      </c>
      <c r="B26" s="223">
        <f>ROUND('[15]EO Matrix @Meter'!$Y$20,2)</f>
        <v>62680.55</v>
      </c>
      <c r="C26" s="223">
        <f>ROUND(SUM('[16]Ex Post Gross TD Calc'!$E$575:$Z$575),2)</f>
        <v>5565.16</v>
      </c>
      <c r="D26" s="223">
        <f>ROUND(SUM('[16]NTG TD Calc'!$E$440:$Z$440),2)</f>
        <v>-914.59</v>
      </c>
      <c r="E26" s="223">
        <f>ROUND(SUM('[16]EO TD Carrying Costs'!$C$59:$X$59),2)</f>
        <v>402.18</v>
      </c>
      <c r="F26" s="224">
        <f t="shared" si="11"/>
        <v>67733.3</v>
      </c>
      <c r="G26" s="224">
        <f t="shared" si="12"/>
        <v>0</v>
      </c>
    </row>
    <row r="27" spans="1:7" x14ac:dyDescent="0.35">
      <c r="A27" s="30" t="s">
        <v>112</v>
      </c>
      <c r="B27" s="224">
        <f>SUM(B23:B26)</f>
        <v>923233.23</v>
      </c>
      <c r="C27" s="224">
        <f>SUM(C23:C26)</f>
        <v>137591.55000000002</v>
      </c>
      <c r="D27" s="224">
        <f t="shared" ref="D27:G27" si="13">SUM(D23:D26)</f>
        <v>-89366.98</v>
      </c>
      <c r="E27" s="224">
        <f t="shared" si="13"/>
        <v>2905.83</v>
      </c>
      <c r="F27" s="224">
        <f t="shared" si="13"/>
        <v>974363.63</v>
      </c>
      <c r="G27" s="224">
        <f t="shared" si="13"/>
        <v>0</v>
      </c>
    </row>
    <row r="28" spans="1:7" x14ac:dyDescent="0.35">
      <c r="E28" s="4"/>
    </row>
    <row r="29" spans="1:7" x14ac:dyDescent="0.35">
      <c r="E29" s="4"/>
    </row>
    <row r="30" spans="1:7" x14ac:dyDescent="0.35">
      <c r="A30" s="253" t="s">
        <v>172</v>
      </c>
    </row>
    <row r="31" spans="1:7" x14ac:dyDescent="0.35">
      <c r="A31" s="20" t="s">
        <v>24</v>
      </c>
      <c r="B31" s="25">
        <f>ROUND(0,2)</f>
        <v>0</v>
      </c>
      <c r="C31" s="25">
        <f>ROUND(SUM('[16]Ex Post Gross TD Calc'!$AA$571:$AF$571),2)</f>
        <v>121182.9</v>
      </c>
      <c r="D31" s="25">
        <f>ROUND(SUM('[16]NTG TD Calc'!$AA$436:$AF$436),2)</f>
        <v>-87029.97</v>
      </c>
      <c r="E31" s="25">
        <f>ROUND(SUM('[16]EO TD Carrying Costs'!$Y$55:$AD$55),2)</f>
        <v>-12821.55</v>
      </c>
      <c r="F31" s="224">
        <f>SUM(B31:E31)</f>
        <v>21331.379999999994</v>
      </c>
      <c r="G31" s="224">
        <f>ROUND(F31/12*1,2)</f>
        <v>1777.62</v>
      </c>
    </row>
    <row r="32" spans="1:7" x14ac:dyDescent="0.35">
      <c r="A32" s="20" t="s">
        <v>25</v>
      </c>
      <c r="B32" s="223">
        <f>SUM(B35:B38)</f>
        <v>0</v>
      </c>
      <c r="C32" s="223">
        <f>SUM(C35:C38)</f>
        <v>37872.939999999995</v>
      </c>
      <c r="D32" s="223">
        <f t="shared" ref="D32:E32" si="14">SUM(D35:D38)</f>
        <v>-10592.6</v>
      </c>
      <c r="E32" s="223">
        <f t="shared" si="14"/>
        <v>2081.9299999999998</v>
      </c>
      <c r="F32" s="224">
        <f>SUM(B32:E32)</f>
        <v>29362.269999999997</v>
      </c>
      <c r="G32" s="224">
        <f>ROUND(F32/12*7,2)</f>
        <v>17127.990000000002</v>
      </c>
    </row>
    <row r="33" spans="1:7" x14ac:dyDescent="0.35">
      <c r="A33" s="20" t="s">
        <v>5</v>
      </c>
      <c r="B33" s="224">
        <f t="shared" ref="B33:G33" si="15">SUM(B31:B32)</f>
        <v>0</v>
      </c>
      <c r="C33" s="224">
        <f t="shared" si="15"/>
        <v>159055.84</v>
      </c>
      <c r="D33" s="224">
        <f t="shared" si="15"/>
        <v>-97622.57</v>
      </c>
      <c r="E33" s="224">
        <f t="shared" si="15"/>
        <v>-10739.619999999999</v>
      </c>
      <c r="F33" s="224">
        <f t="shared" si="15"/>
        <v>50693.649999999994</v>
      </c>
      <c r="G33" s="224">
        <f t="shared" si="15"/>
        <v>18905.61</v>
      </c>
    </row>
    <row r="34" spans="1:7" x14ac:dyDescent="0.35">
      <c r="B34" s="221"/>
      <c r="C34" s="221"/>
      <c r="D34" s="222"/>
    </row>
    <row r="35" spans="1:7" x14ac:dyDescent="0.35">
      <c r="A35" s="20" t="s">
        <v>107</v>
      </c>
      <c r="B35" s="25">
        <f>ROUND(0,2)</f>
        <v>0</v>
      </c>
      <c r="C35" s="25">
        <f>ROUND(SUM('[16]Ex Post Gross TD Calc'!$AA572:$AF572),2)</f>
        <v>7589.27</v>
      </c>
      <c r="D35" s="25">
        <f>ROUND(SUM('[16]NTG TD Calc'!$AA437:$AF437),2)</f>
        <v>-2344.38</v>
      </c>
      <c r="E35" s="223">
        <f>ROUND(SUM('[16]EO TD Carrying Costs'!$Y56:$AD56),2)</f>
        <v>256.27999999999997</v>
      </c>
      <c r="F35" s="224">
        <f t="shared" ref="F35:F38" si="16">SUM(B35:E35)</f>
        <v>5501.17</v>
      </c>
      <c r="G35" s="224">
        <f>ROUND(F35/12*1,2)</f>
        <v>458.43</v>
      </c>
    </row>
    <row r="36" spans="1:7" x14ac:dyDescent="0.35">
      <c r="A36" s="20" t="s">
        <v>108</v>
      </c>
      <c r="B36" s="223">
        <f>ROUND(0,2)</f>
        <v>0</v>
      </c>
      <c r="C36" s="223">
        <f>ROUND(SUM('[16]Ex Post Gross TD Calc'!$AA573:$AF573),2)</f>
        <v>17892.060000000001</v>
      </c>
      <c r="D36" s="223">
        <f>ROUND(SUM('[16]NTG TD Calc'!$AA438:$AF438),2)</f>
        <v>-5102.96</v>
      </c>
      <c r="E36" s="223">
        <f>ROUND(SUM('[16]EO TD Carrying Costs'!$Y57:$AD57),2)</f>
        <v>766.86</v>
      </c>
      <c r="F36" s="224">
        <f t="shared" si="16"/>
        <v>13555.960000000003</v>
      </c>
      <c r="G36" s="224">
        <f t="shared" ref="G36:G38" si="17">ROUND(F36/12*1,2)</f>
        <v>1129.6600000000001</v>
      </c>
    </row>
    <row r="37" spans="1:7" x14ac:dyDescent="0.35">
      <c r="A37" s="20" t="s">
        <v>109</v>
      </c>
      <c r="B37" s="25">
        <f>ROUND(0,2)</f>
        <v>0</v>
      </c>
      <c r="C37" s="25">
        <f>ROUND(SUM('[16]Ex Post Gross TD Calc'!$AA574:$AF574),2)</f>
        <v>11918.09</v>
      </c>
      <c r="D37" s="25">
        <f>ROUND(SUM('[16]NTG TD Calc'!$AA439:$AF439),2)</f>
        <v>-2977.22</v>
      </c>
      <c r="E37" s="25">
        <f>ROUND(SUM('[16]EO TD Carrying Costs'!$Y58:$AD58),2)</f>
        <v>884.23</v>
      </c>
      <c r="F37" s="224">
        <f t="shared" si="16"/>
        <v>9825.1</v>
      </c>
      <c r="G37" s="224">
        <f t="shared" si="17"/>
        <v>818.76</v>
      </c>
    </row>
    <row r="38" spans="1:7" x14ac:dyDescent="0.35">
      <c r="A38" s="20" t="s">
        <v>110</v>
      </c>
      <c r="B38" s="223">
        <f>ROUND(0,2)</f>
        <v>0</v>
      </c>
      <c r="C38" s="223">
        <f>ROUND(SUM('[16]Ex Post Gross TD Calc'!$AA575:$AF575),2)</f>
        <v>473.52</v>
      </c>
      <c r="D38" s="223">
        <f>ROUND(SUM('[16]NTG TD Calc'!$AA440:$AF440),2)</f>
        <v>-168.04</v>
      </c>
      <c r="E38" s="223">
        <f>ROUND(SUM('[16]EO TD Carrying Costs'!$Y59:$AD59),2)</f>
        <v>174.56</v>
      </c>
      <c r="F38" s="224">
        <f t="shared" si="16"/>
        <v>480.04</v>
      </c>
      <c r="G38" s="224">
        <f t="shared" si="17"/>
        <v>40</v>
      </c>
    </row>
    <row r="39" spans="1:7" x14ac:dyDescent="0.35">
      <c r="A39" s="30" t="s">
        <v>112</v>
      </c>
      <c r="B39" s="224">
        <f>SUM(B35:B38)</f>
        <v>0</v>
      </c>
      <c r="C39" s="224">
        <f>SUM(C35:C38)</f>
        <v>37872.939999999995</v>
      </c>
      <c r="D39" s="224">
        <f t="shared" ref="D39:G39" si="18">SUM(D35:D38)</f>
        <v>-10592.6</v>
      </c>
      <c r="E39" s="224">
        <f t="shared" si="18"/>
        <v>2081.9299999999998</v>
      </c>
      <c r="F39" s="224">
        <f t="shared" si="18"/>
        <v>29362.270000000004</v>
      </c>
      <c r="G39" s="224">
        <f t="shared" si="18"/>
        <v>2446.8500000000004</v>
      </c>
    </row>
    <row r="40" spans="1:7" x14ac:dyDescent="0.35">
      <c r="E40" s="4"/>
    </row>
    <row r="42" spans="1:7" x14ac:dyDescent="0.35">
      <c r="A42" s="253" t="s">
        <v>183</v>
      </c>
    </row>
    <row r="43" spans="1:7" x14ac:dyDescent="0.35">
      <c r="A43" s="20" t="s">
        <v>24</v>
      </c>
      <c r="B43" s="25">
        <f>ROUND(0,2)</f>
        <v>0</v>
      </c>
      <c r="C43" s="25">
        <f>ROUND(SUM('[16]Ex Post Gross TD Calc'!$AG$571:$AM$571),2)</f>
        <v>137657.76</v>
      </c>
      <c r="D43" s="25">
        <f>ROUND(SUM('[16]NTG TD Calc'!$AG$436:$AM$436),2)</f>
        <v>0.03</v>
      </c>
      <c r="E43" s="25">
        <f>ROUND(SUM('[16]EO TD Carrying Costs'!$AE$55:$AK$55),2)</f>
        <v>-8083.49</v>
      </c>
      <c r="F43" s="224">
        <f>SUM(B43:E43)</f>
        <v>129574.3</v>
      </c>
      <c r="G43" s="224">
        <f>ROUND(F43/12*7,2)</f>
        <v>75585.009999999995</v>
      </c>
    </row>
    <row r="44" spans="1:7" x14ac:dyDescent="0.35">
      <c r="A44" s="20" t="s">
        <v>25</v>
      </c>
      <c r="B44" s="223">
        <f>SUM(B47:B50)</f>
        <v>0</v>
      </c>
      <c r="C44" s="223">
        <f>SUM(C47:C50)</f>
        <v>59053.65</v>
      </c>
      <c r="D44" s="223">
        <f t="shared" ref="D44:E44" si="19">SUM(D47:D50)</f>
        <v>0.01</v>
      </c>
      <c r="E44" s="223">
        <f t="shared" si="19"/>
        <v>2774.88</v>
      </c>
      <c r="F44" s="224">
        <f>SUM(B44:E44)</f>
        <v>61828.54</v>
      </c>
      <c r="G44" s="224">
        <f>ROUND(F44/12*11,2)</f>
        <v>56676.160000000003</v>
      </c>
    </row>
    <row r="45" spans="1:7" x14ac:dyDescent="0.35">
      <c r="A45" s="20" t="s">
        <v>5</v>
      </c>
      <c r="B45" s="224">
        <f t="shared" ref="B45:G45" si="20">SUM(B43:B44)</f>
        <v>0</v>
      </c>
      <c r="C45" s="224">
        <f t="shared" si="20"/>
        <v>196711.41</v>
      </c>
      <c r="D45" s="224">
        <f t="shared" si="20"/>
        <v>0.04</v>
      </c>
      <c r="E45" s="224">
        <f t="shared" si="20"/>
        <v>-5308.61</v>
      </c>
      <c r="F45" s="224">
        <f t="shared" si="20"/>
        <v>191402.84</v>
      </c>
      <c r="G45" s="224">
        <f t="shared" si="20"/>
        <v>132261.16999999998</v>
      </c>
    </row>
    <row r="46" spans="1:7" x14ac:dyDescent="0.35">
      <c r="B46" s="221"/>
      <c r="C46" s="221"/>
      <c r="D46" s="222"/>
    </row>
    <row r="47" spans="1:7" x14ac:dyDescent="0.35">
      <c r="A47" s="20" t="s">
        <v>107</v>
      </c>
      <c r="B47" s="25">
        <f>ROUND(0,2)</f>
        <v>0</v>
      </c>
      <c r="C47" s="25">
        <f>ROUND(SUM('[16]Ex Post Gross TD Calc'!$AG572:$AM572),2)</f>
        <v>13769.16</v>
      </c>
      <c r="D47" s="25">
        <f>ROUND(SUM('[16]NTG TD Calc'!$AG437:$AM437),2)</f>
        <v>0.02</v>
      </c>
      <c r="E47" s="223">
        <f>ROUND(SUM('[16]EO TD Carrying Costs'!$AE56:$AK56),2)</f>
        <v>443.83</v>
      </c>
      <c r="F47" s="224">
        <f t="shared" ref="F47:F50" si="21">SUM(B47:E47)</f>
        <v>14213.01</v>
      </c>
      <c r="G47" s="224">
        <f>ROUND(F47/12*7,2)</f>
        <v>8290.92</v>
      </c>
    </row>
    <row r="48" spans="1:7" x14ac:dyDescent="0.35">
      <c r="A48" s="20" t="s">
        <v>108</v>
      </c>
      <c r="B48" s="223">
        <f>ROUND(0,2)</f>
        <v>0</v>
      </c>
      <c r="C48" s="223">
        <f>ROUND(SUM('[16]Ex Post Gross TD Calc'!$AG573:$AM573),2)</f>
        <v>26875.279999999999</v>
      </c>
      <c r="D48" s="223">
        <f>ROUND(SUM('[16]NTG TD Calc'!$AG438:$AM438),2)</f>
        <v>0</v>
      </c>
      <c r="E48" s="223">
        <f>ROUND(SUM('[16]EO TD Carrying Costs'!$AE57:$AK57),2)</f>
        <v>1119.3900000000001</v>
      </c>
      <c r="F48" s="224">
        <f t="shared" si="21"/>
        <v>27994.67</v>
      </c>
      <c r="G48" s="224">
        <f t="shared" ref="G48:G50" si="22">ROUND(F48/12*7,2)</f>
        <v>16330.22</v>
      </c>
    </row>
    <row r="49" spans="1:7" x14ac:dyDescent="0.35">
      <c r="A49" s="20" t="s">
        <v>109</v>
      </c>
      <c r="B49" s="25">
        <f>ROUND(0,2)</f>
        <v>0</v>
      </c>
      <c r="C49" s="25">
        <f>ROUND(SUM('[16]Ex Post Gross TD Calc'!$AG574:$AM574),2)</f>
        <v>17796.580000000002</v>
      </c>
      <c r="D49" s="25">
        <f>ROUND(SUM('[16]NTG TD Calc'!$AG439:$AM439),2)</f>
        <v>-0.02</v>
      </c>
      <c r="E49" s="25">
        <f>ROUND(SUM('[16]EO TD Carrying Costs'!$AE58:$AK58),2)</f>
        <v>1056.42</v>
      </c>
      <c r="F49" s="224">
        <f t="shared" si="21"/>
        <v>18852.980000000003</v>
      </c>
      <c r="G49" s="224">
        <f t="shared" si="22"/>
        <v>10997.57</v>
      </c>
    </row>
    <row r="50" spans="1:7" x14ac:dyDescent="0.35">
      <c r="A50" s="20" t="s">
        <v>110</v>
      </c>
      <c r="B50" s="223">
        <f>ROUND(0,2)</f>
        <v>0</v>
      </c>
      <c r="C50" s="223">
        <f>ROUND(SUM('[16]Ex Post Gross TD Calc'!$AG575:$AM575),2)</f>
        <v>612.63</v>
      </c>
      <c r="D50" s="223">
        <f>ROUND(SUM('[16]NTG TD Calc'!$AG440:$AM440),2)</f>
        <v>0.01</v>
      </c>
      <c r="E50" s="223">
        <f>ROUND(SUM('[16]EO TD Carrying Costs'!$AE59:$AK59),2)</f>
        <v>155.24</v>
      </c>
      <c r="F50" s="224">
        <f t="shared" si="21"/>
        <v>767.88</v>
      </c>
      <c r="G50" s="224">
        <f t="shared" si="22"/>
        <v>447.93</v>
      </c>
    </row>
    <row r="51" spans="1:7" x14ac:dyDescent="0.35">
      <c r="A51" s="30" t="s">
        <v>112</v>
      </c>
      <c r="B51" s="224">
        <f>SUM(B47:B50)</f>
        <v>0</v>
      </c>
      <c r="C51" s="224">
        <f>SUM(C47:C50)</f>
        <v>59053.65</v>
      </c>
      <c r="D51" s="224">
        <f t="shared" ref="D51:G51" si="23">SUM(D47:D50)</f>
        <v>0.01</v>
      </c>
      <c r="E51" s="224">
        <f t="shared" si="23"/>
        <v>2774.88</v>
      </c>
      <c r="F51" s="224">
        <f t="shared" si="23"/>
        <v>61828.54</v>
      </c>
      <c r="G51" s="224">
        <f t="shared" si="23"/>
        <v>36066.639999999999</v>
      </c>
    </row>
    <row r="52" spans="1:7" x14ac:dyDescent="0.35">
      <c r="E52" s="4"/>
    </row>
    <row r="54" spans="1:7" x14ac:dyDescent="0.35">
      <c r="A54" s="253" t="s">
        <v>190</v>
      </c>
    </row>
    <row r="55" spans="1:7" x14ac:dyDescent="0.35">
      <c r="A55" s="20" t="s">
        <v>24</v>
      </c>
      <c r="B55" s="25">
        <f>ROUND('[17]EO Matrix @Meter'!$AL$20,2)</f>
        <v>1385047.19</v>
      </c>
      <c r="C55" s="25">
        <f>ROUND(SUM('[18]Ex Post Gross TD Calc'!$Q$571:$AN$571),2)</f>
        <v>-356522.43</v>
      </c>
      <c r="D55" s="25">
        <f>ROUND(SUM('[18]NTG TD Calc'!$Q$436:$AN$436),2)</f>
        <v>-293909.08</v>
      </c>
      <c r="E55" s="25">
        <f>ROUND(SUM('[18]EO TD Carrying Costs'!$O$55:$AL$55),2)</f>
        <v>-55727.9</v>
      </c>
      <c r="F55" s="224">
        <f>SUM(B55:E55)</f>
        <v>678887.77999999991</v>
      </c>
      <c r="G55" s="224">
        <f>ROUND(F55/12*11,2)</f>
        <v>622313.80000000005</v>
      </c>
    </row>
    <row r="56" spans="1:7" x14ac:dyDescent="0.35">
      <c r="A56" s="20" t="s">
        <v>25</v>
      </c>
      <c r="B56" s="223">
        <f>SUM(B59:B62)</f>
        <v>839588.63</v>
      </c>
      <c r="C56" s="223">
        <f>SUM(C59:C62)</f>
        <v>65049.640000000007</v>
      </c>
      <c r="D56" s="223">
        <f t="shared" ref="D56:E56" si="24">SUM(D59:D62)</f>
        <v>-145276.81</v>
      </c>
      <c r="E56" s="223">
        <f t="shared" si="24"/>
        <v>-4013.3000000000006</v>
      </c>
      <c r="F56" s="224">
        <f>SUM(B56:E56)</f>
        <v>755348.15999999992</v>
      </c>
      <c r="G56" s="224">
        <f>ROUND(F56/12*11,2)</f>
        <v>692402.48</v>
      </c>
    </row>
    <row r="57" spans="1:7" x14ac:dyDescent="0.35">
      <c r="A57" s="20" t="s">
        <v>5</v>
      </c>
      <c r="B57" s="224">
        <f t="shared" ref="B57:G57" si="25">SUM(B55:B56)</f>
        <v>2224635.8199999998</v>
      </c>
      <c r="C57" s="224">
        <f t="shared" si="25"/>
        <v>-291472.78999999998</v>
      </c>
      <c r="D57" s="224">
        <f t="shared" si="25"/>
        <v>-439185.89</v>
      </c>
      <c r="E57" s="224">
        <f t="shared" si="25"/>
        <v>-59741.200000000004</v>
      </c>
      <c r="F57" s="224">
        <f t="shared" si="25"/>
        <v>1434235.94</v>
      </c>
      <c r="G57" s="224">
        <f t="shared" si="25"/>
        <v>1314716.28</v>
      </c>
    </row>
    <row r="58" spans="1:7" x14ac:dyDescent="0.35">
      <c r="B58" s="221"/>
      <c r="C58" s="221"/>
      <c r="D58" s="222"/>
    </row>
    <row r="59" spans="1:7" x14ac:dyDescent="0.35">
      <c r="A59" s="20" t="s">
        <v>107</v>
      </c>
      <c r="B59" s="25">
        <f>ROUND('[17]EO Matrix @Meter'!$AP$20,2)</f>
        <v>76053.37</v>
      </c>
      <c r="C59" s="25">
        <f>ROUND(SUM('[18]Ex Post Gross TD Calc'!$Q572:$AN572),2)</f>
        <v>11349.51</v>
      </c>
      <c r="D59" s="25">
        <f>ROUND(SUM('[18]NTG TD Calc'!$Q437:$AN437),2)</f>
        <v>-29089.62</v>
      </c>
      <c r="E59" s="223">
        <f>ROUND(SUM('[18]EO TD Carrying Costs'!$O56:$AL56),2)</f>
        <v>-1558.66</v>
      </c>
      <c r="F59" s="224">
        <f t="shared" ref="F59:F62" si="26">SUM(B59:E59)</f>
        <v>56754.599999999991</v>
      </c>
      <c r="G59" s="224">
        <f t="shared" ref="G59:G62" si="27">ROUND(F59/12*11,2)</f>
        <v>52025.05</v>
      </c>
    </row>
    <row r="60" spans="1:7" x14ac:dyDescent="0.35">
      <c r="A60" s="20" t="s">
        <v>108</v>
      </c>
      <c r="B60" s="223">
        <f>ROUND('[17]EO Matrix @Meter'!$AQ$20,2)</f>
        <v>187581.29</v>
      </c>
      <c r="C60" s="223">
        <f>ROUND(SUM('[18]Ex Post Gross TD Calc'!$Q573:$AN573),2)</f>
        <v>114.28</v>
      </c>
      <c r="D60" s="223">
        <f>ROUND(SUM('[18]NTG TD Calc'!$Q438:$AN438),2)</f>
        <v>-55888.89</v>
      </c>
      <c r="E60" s="223">
        <f>ROUND(SUM('[18]EO TD Carrying Costs'!$O57:$AL57),2)</f>
        <v>-2411.94</v>
      </c>
      <c r="F60" s="224">
        <f t="shared" si="26"/>
        <v>129394.73999999999</v>
      </c>
      <c r="G60" s="224">
        <f t="shared" si="27"/>
        <v>118611.85</v>
      </c>
    </row>
    <row r="61" spans="1:7" x14ac:dyDescent="0.35">
      <c r="A61" s="20" t="s">
        <v>109</v>
      </c>
      <c r="B61" s="25">
        <f>ROUND('[17]EO Matrix @Meter'!$AR$20,2)</f>
        <v>528596.72</v>
      </c>
      <c r="C61" s="25">
        <f>ROUND(SUM('[18]Ex Post Gross TD Calc'!$Q574:$AN574),2)</f>
        <v>48292.800000000003</v>
      </c>
      <c r="D61" s="25">
        <f>ROUND(SUM('[18]NTG TD Calc'!$Q439:$AN439),2)</f>
        <v>-59418.79</v>
      </c>
      <c r="E61" s="25">
        <f>ROUND(SUM('[18]EO TD Carrying Costs'!$O58:$AL58),2)</f>
        <v>-520.14</v>
      </c>
      <c r="F61" s="224">
        <f t="shared" si="26"/>
        <v>516950.59</v>
      </c>
      <c r="G61" s="224">
        <f t="shared" si="27"/>
        <v>473871.37</v>
      </c>
    </row>
    <row r="62" spans="1:7" x14ac:dyDescent="0.35">
      <c r="A62" s="20" t="s">
        <v>110</v>
      </c>
      <c r="B62" s="223">
        <f>ROUND('[17]EO Matrix @Meter'!$AS$20,2)</f>
        <v>47357.25</v>
      </c>
      <c r="C62" s="223">
        <f>ROUND(SUM('[18]Ex Post Gross TD Calc'!$Q575:$AN575),2)</f>
        <v>5293.05</v>
      </c>
      <c r="D62" s="223">
        <f>ROUND(SUM('[18]NTG TD Calc'!$Q440:$AN440),2)</f>
        <v>-879.51</v>
      </c>
      <c r="E62" s="223">
        <f>ROUND(SUM('[18]EO TD Carrying Costs'!$O59:$AL59),2)</f>
        <v>477.44</v>
      </c>
      <c r="F62" s="224">
        <f t="shared" si="26"/>
        <v>52248.23</v>
      </c>
      <c r="G62" s="224">
        <f t="shared" si="27"/>
        <v>47894.21</v>
      </c>
    </row>
    <row r="63" spans="1:7" x14ac:dyDescent="0.35">
      <c r="A63" s="30" t="s">
        <v>112</v>
      </c>
      <c r="B63" s="224">
        <f>SUM(B59:B62)</f>
        <v>839588.63</v>
      </c>
      <c r="C63" s="224">
        <f>SUM(C59:C62)</f>
        <v>65049.640000000007</v>
      </c>
      <c r="D63" s="224">
        <f t="shared" ref="D63:G63" si="28">SUM(D59:D62)</f>
        <v>-145276.81</v>
      </c>
      <c r="E63" s="224">
        <f t="shared" si="28"/>
        <v>-4013.3000000000006</v>
      </c>
      <c r="F63" s="224">
        <f t="shared" si="28"/>
        <v>755348.15999999992</v>
      </c>
      <c r="G63" s="224">
        <f t="shared" si="28"/>
        <v>692402.48</v>
      </c>
    </row>
    <row r="64" spans="1:7" x14ac:dyDescent="0.35">
      <c r="E64" s="4"/>
    </row>
    <row r="65" spans="1:7" hidden="1" outlineLevel="1" x14ac:dyDescent="0.35"/>
    <row r="66" spans="1:7" hidden="1" outlineLevel="1" x14ac:dyDescent="0.35">
      <c r="A66" s="253" t="s">
        <v>162</v>
      </c>
    </row>
    <row r="67" spans="1:7" hidden="1" outlineLevel="1" x14ac:dyDescent="0.35">
      <c r="A67" s="20" t="s">
        <v>24</v>
      </c>
      <c r="B67" s="25">
        <v>0</v>
      </c>
      <c r="C67" s="25">
        <f>ROUND(0,2)</f>
        <v>0</v>
      </c>
      <c r="D67" s="25">
        <f>ROUND(0,2)</f>
        <v>0</v>
      </c>
      <c r="E67" s="25">
        <f>ROUND(0,2)</f>
        <v>0</v>
      </c>
      <c r="F67" s="224">
        <f>SUM(B67:E67)</f>
        <v>0</v>
      </c>
      <c r="G67" s="224">
        <f>ROUND(F67/12*12,2)</f>
        <v>0</v>
      </c>
    </row>
    <row r="68" spans="1:7" hidden="1" outlineLevel="1" x14ac:dyDescent="0.35">
      <c r="A68" s="20" t="s">
        <v>25</v>
      </c>
      <c r="B68" s="223">
        <f>SUM(B71:B74)</f>
        <v>0</v>
      </c>
      <c r="C68" s="223">
        <f>SUM(C71:C74)</f>
        <v>0</v>
      </c>
      <c r="D68" s="223">
        <f t="shared" ref="D68:E68" si="29">SUM(D71:D74)</f>
        <v>0</v>
      </c>
      <c r="E68" s="223">
        <f t="shared" si="29"/>
        <v>0</v>
      </c>
      <c r="F68" s="224">
        <f>SUM(B68:E68)</f>
        <v>0</v>
      </c>
      <c r="G68" s="224">
        <f>ROUND(F68/12*12,2)</f>
        <v>0</v>
      </c>
    </row>
    <row r="69" spans="1:7" hidden="1" outlineLevel="1" x14ac:dyDescent="0.35">
      <c r="A69" s="20" t="s">
        <v>5</v>
      </c>
      <c r="B69" s="224">
        <f t="shared" ref="B69:G69" si="30">SUM(B67:B68)</f>
        <v>0</v>
      </c>
      <c r="C69" s="224">
        <f t="shared" si="30"/>
        <v>0</v>
      </c>
      <c r="D69" s="224">
        <f t="shared" si="30"/>
        <v>0</v>
      </c>
      <c r="E69" s="224">
        <f t="shared" si="30"/>
        <v>0</v>
      </c>
      <c r="F69" s="224">
        <f t="shared" si="30"/>
        <v>0</v>
      </c>
      <c r="G69" s="224">
        <f t="shared" si="30"/>
        <v>0</v>
      </c>
    </row>
    <row r="70" spans="1:7" hidden="1" outlineLevel="1" x14ac:dyDescent="0.35">
      <c r="B70" s="221"/>
      <c r="C70" s="221"/>
      <c r="D70" s="222"/>
    </row>
    <row r="71" spans="1:7" hidden="1" outlineLevel="1" x14ac:dyDescent="0.35">
      <c r="A71" s="20" t="s">
        <v>107</v>
      </c>
      <c r="B71" s="25">
        <v>0</v>
      </c>
      <c r="C71" s="25">
        <f>ROUND(0,2)</f>
        <v>0</v>
      </c>
      <c r="D71" s="25">
        <f>ROUND(0,2)</f>
        <v>0</v>
      </c>
      <c r="E71" s="223">
        <f>ROUND(0,2)</f>
        <v>0</v>
      </c>
      <c r="F71" s="224">
        <f t="shared" ref="F71:F74" si="31">SUM(B71:E71)</f>
        <v>0</v>
      </c>
      <c r="G71" s="224">
        <f>ROUND(F71/12*12,2)</f>
        <v>0</v>
      </c>
    </row>
    <row r="72" spans="1:7" hidden="1" outlineLevel="1" x14ac:dyDescent="0.35">
      <c r="A72" s="20" t="s">
        <v>108</v>
      </c>
      <c r="B72" s="223">
        <v>0</v>
      </c>
      <c r="C72" s="223">
        <f t="shared" ref="C72:E74" si="32">ROUND(0,2)</f>
        <v>0</v>
      </c>
      <c r="D72" s="223">
        <f t="shared" si="32"/>
        <v>0</v>
      </c>
      <c r="E72" s="223">
        <f t="shared" si="32"/>
        <v>0</v>
      </c>
      <c r="F72" s="224">
        <f t="shared" si="31"/>
        <v>0</v>
      </c>
      <c r="G72" s="224">
        <f>ROUND(F72/12*12,2)</f>
        <v>0</v>
      </c>
    </row>
    <row r="73" spans="1:7" hidden="1" outlineLevel="1" x14ac:dyDescent="0.35">
      <c r="A73" s="20" t="s">
        <v>109</v>
      </c>
      <c r="B73" s="25">
        <v>0</v>
      </c>
      <c r="C73" s="25">
        <f t="shared" si="32"/>
        <v>0</v>
      </c>
      <c r="D73" s="25">
        <f t="shared" si="32"/>
        <v>0</v>
      </c>
      <c r="E73" s="25">
        <f t="shared" si="32"/>
        <v>0</v>
      </c>
      <c r="F73" s="224">
        <f t="shared" si="31"/>
        <v>0</v>
      </c>
      <c r="G73" s="224">
        <f>ROUND(F73/12*12,2)</f>
        <v>0</v>
      </c>
    </row>
    <row r="74" spans="1:7" hidden="1" outlineLevel="1" x14ac:dyDescent="0.35">
      <c r="A74" s="20" t="s">
        <v>110</v>
      </c>
      <c r="B74" s="223">
        <v>0</v>
      </c>
      <c r="C74" s="223">
        <f t="shared" si="32"/>
        <v>0</v>
      </c>
      <c r="D74" s="223">
        <f t="shared" si="32"/>
        <v>0</v>
      </c>
      <c r="E74" s="223">
        <f t="shared" si="32"/>
        <v>0</v>
      </c>
      <c r="F74" s="224">
        <f t="shared" si="31"/>
        <v>0</v>
      </c>
      <c r="G74" s="224">
        <f>ROUND(F74/12*12,2)</f>
        <v>0</v>
      </c>
    </row>
    <row r="75" spans="1:7" hidden="1" outlineLevel="1" x14ac:dyDescent="0.35">
      <c r="A75" s="30" t="s">
        <v>112</v>
      </c>
      <c r="B75" s="224">
        <f>SUM(B71:B74)</f>
        <v>0</v>
      </c>
      <c r="C75" s="224">
        <f>SUM(C71:C74)</f>
        <v>0</v>
      </c>
      <c r="D75" s="224">
        <f t="shared" ref="D75:G75" si="33">SUM(D71:D74)</f>
        <v>0</v>
      </c>
      <c r="E75" s="224">
        <f t="shared" si="33"/>
        <v>0</v>
      </c>
      <c r="F75" s="224">
        <f t="shared" si="33"/>
        <v>0</v>
      </c>
      <c r="G75" s="224">
        <f t="shared" si="33"/>
        <v>0</v>
      </c>
    </row>
    <row r="76" spans="1:7" hidden="1" outlineLevel="1" x14ac:dyDescent="0.35">
      <c r="E76" s="4"/>
    </row>
    <row r="77" spans="1:7" collapsed="1" x14ac:dyDescent="0.35"/>
    <row r="78" spans="1:7" x14ac:dyDescent="0.35">
      <c r="A78" s="53" t="s">
        <v>11</v>
      </c>
    </row>
    <row r="79" spans="1:7" x14ac:dyDescent="0.35">
      <c r="A79" s="3" t="s">
        <v>192</v>
      </c>
    </row>
    <row r="80" spans="1:7" x14ac:dyDescent="0.35">
      <c r="A80" s="3" t="s">
        <v>193</v>
      </c>
    </row>
    <row r="81" spans="1:7" x14ac:dyDescent="0.35">
      <c r="A81" s="3" t="s">
        <v>194</v>
      </c>
    </row>
    <row r="82" spans="1:7" x14ac:dyDescent="0.35">
      <c r="A82" s="3" t="s">
        <v>195</v>
      </c>
    </row>
    <row r="83" spans="1:7" x14ac:dyDescent="0.35">
      <c r="A83" s="3" t="s">
        <v>159</v>
      </c>
    </row>
    <row r="84" spans="1:7" ht="60" customHeight="1" x14ac:dyDescent="0.35">
      <c r="A84" s="309" t="s">
        <v>191</v>
      </c>
      <c r="B84" s="309"/>
      <c r="C84" s="309"/>
      <c r="D84" s="309"/>
      <c r="E84" s="309"/>
      <c r="F84" s="309"/>
      <c r="G84" s="309"/>
    </row>
  </sheetData>
  <mergeCells count="2">
    <mergeCell ref="B3:D3"/>
    <mergeCell ref="A84:G8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workbookViewId="0">
      <selection activeCell="L73" sqref="L73"/>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2.453125" style="46" customWidth="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142</v>
      </c>
    </row>
    <row r="3" spans="1:35" ht="29" x14ac:dyDescent="0.35">
      <c r="E3" s="48" t="s">
        <v>46</v>
      </c>
      <c r="F3" s="70" t="s">
        <v>58</v>
      </c>
      <c r="G3" s="48" t="s">
        <v>3</v>
      </c>
      <c r="H3" s="70" t="s">
        <v>55</v>
      </c>
      <c r="I3" s="48" t="s">
        <v>10</v>
      </c>
      <c r="J3" s="48" t="s">
        <v>59</v>
      </c>
      <c r="S3" s="48"/>
    </row>
    <row r="4" spans="1:35" x14ac:dyDescent="0.35">
      <c r="A4" s="20" t="s">
        <v>24</v>
      </c>
      <c r="B4" s="20"/>
      <c r="C4" s="20"/>
      <c r="D4" s="20"/>
      <c r="E4" s="22">
        <f>SUM(C19:M19)</f>
        <v>-130568.37198000001</v>
      </c>
      <c r="F4" s="22">
        <f>SUM(C26:L26)</f>
        <v>-236278.66999999998</v>
      </c>
      <c r="G4" s="22">
        <f>F4-E4</f>
        <v>-105710.29801999997</v>
      </c>
      <c r="H4" s="22">
        <f>+B42</f>
        <v>19405.493919999983</v>
      </c>
      <c r="I4" s="22">
        <f>SUM(C50:L50)</f>
        <v>-2089.7799999999997</v>
      </c>
      <c r="J4" s="25">
        <f>SUM(G4:I4)</f>
        <v>-88394.584099999993</v>
      </c>
      <c r="K4" s="47">
        <f>+J4-M42</f>
        <v>0</v>
      </c>
      <c r="N4" s="47"/>
    </row>
    <row r="5" spans="1:35" ht="15" thickBot="1" x14ac:dyDescent="0.4">
      <c r="A5" s="20" t="s">
        <v>25</v>
      </c>
      <c r="B5" s="20"/>
      <c r="C5" s="20"/>
      <c r="D5" s="20"/>
      <c r="E5" s="22">
        <f>SUM(C20:M23)</f>
        <v>174452.53688999996</v>
      </c>
      <c r="F5" s="22">
        <f>SUM(C27:L30)</f>
        <v>-361.01999999999589</v>
      </c>
      <c r="G5" s="22">
        <f>F5-E5</f>
        <v>-174813.55688999995</v>
      </c>
      <c r="H5" s="22">
        <f>SUM(B43:B46)</f>
        <v>331628.6333499999</v>
      </c>
      <c r="I5" s="22">
        <f>SUM(C51:L54)</f>
        <v>8755.1500000000015</v>
      </c>
      <c r="J5" s="25">
        <f>SUM(G5:I5)</f>
        <v>165570.22645999995</v>
      </c>
      <c r="K5" s="47">
        <f>+J5-SUM(M43:M46)</f>
        <v>0</v>
      </c>
      <c r="N5" s="47"/>
    </row>
    <row r="6" spans="1:35" ht="15.5" thickTop="1" thickBot="1" x14ac:dyDescent="0.4">
      <c r="E6" s="27">
        <f t="shared" ref="E6:J6" si="0">SUM(E4:E5)</f>
        <v>43884.164909999949</v>
      </c>
      <c r="F6" s="27">
        <f t="shared" si="0"/>
        <v>-236639.68999999997</v>
      </c>
      <c r="G6" s="27">
        <f t="shared" si="0"/>
        <v>-280523.85490999994</v>
      </c>
      <c r="H6" s="27">
        <f t="shared" si="0"/>
        <v>351034.12726999988</v>
      </c>
      <c r="I6" s="27">
        <f t="shared" si="0"/>
        <v>6665.3700000000017</v>
      </c>
      <c r="J6" s="27">
        <f t="shared" si="0"/>
        <v>77175.642359999954</v>
      </c>
      <c r="T6" s="5"/>
    </row>
    <row r="7" spans="1:35" ht="44" thickTop="1" x14ac:dyDescent="0.35">
      <c r="J7" s="230"/>
      <c r="K7" s="229" t="s">
        <v>123</v>
      </c>
    </row>
    <row r="8" spans="1:35" ht="17.25" customHeight="1" x14ac:dyDescent="0.35">
      <c r="A8" s="20" t="s">
        <v>107</v>
      </c>
      <c r="J8" s="25">
        <f>ROUND($J$5*K8,2)</f>
        <v>22478.55</v>
      </c>
      <c r="K8" s="227">
        <f>+'PCR Cycle 2'!L8</f>
        <v>0.13576441564001979</v>
      </c>
    </row>
    <row r="9" spans="1:35" ht="17.25" customHeight="1" x14ac:dyDescent="0.35">
      <c r="A9" s="20" t="s">
        <v>108</v>
      </c>
      <c r="J9" s="25">
        <f t="shared" ref="J9:J11" si="1">ROUND($J$5*K9,2)</f>
        <v>58962.16</v>
      </c>
      <c r="K9" s="227">
        <f>+'PCR Cycle 2'!L9</f>
        <v>0.35611574316442379</v>
      </c>
    </row>
    <row r="10" spans="1:35" ht="17.25" customHeight="1" x14ac:dyDescent="0.35">
      <c r="A10" s="20" t="s">
        <v>109</v>
      </c>
      <c r="J10" s="25">
        <f t="shared" si="1"/>
        <v>69261.100000000006</v>
      </c>
      <c r="K10" s="227">
        <f>+'PCR Cycle 2'!L10</f>
        <v>0.4183185730547726</v>
      </c>
    </row>
    <row r="11" spans="1:35" ht="17.25" customHeight="1" thickBot="1" x14ac:dyDescent="0.4">
      <c r="A11" s="20" t="s">
        <v>110</v>
      </c>
      <c r="J11" s="25">
        <f t="shared" si="1"/>
        <v>14868.42</v>
      </c>
      <c r="K11" s="227">
        <f>+'PCR Cycle 2'!L11</f>
        <v>8.9801268140783777E-2</v>
      </c>
    </row>
    <row r="12" spans="1:35" ht="17.25" customHeight="1" thickTop="1" thickBot="1" x14ac:dyDescent="0.4">
      <c r="A12" s="20" t="s">
        <v>112</v>
      </c>
      <c r="J12" s="27">
        <f>SUM(J8:J11)</f>
        <v>165570.23000000001</v>
      </c>
      <c r="K12" s="228">
        <f>SUM(K8:K11)</f>
        <v>1</v>
      </c>
    </row>
    <row r="13" spans="1:35" ht="15.5" thickTop="1" thickBot="1" x14ac:dyDescent="0.4">
      <c r="V13" s="4"/>
      <c r="W13" s="5"/>
    </row>
    <row r="14" spans="1:35" ht="116.5" thickBot="1" x14ac:dyDescent="0.4">
      <c r="B14" s="118" t="str">
        <f>+'PCR Cycle 2'!B14</f>
        <v>Cumulative Over/Under Carryover From 12/01/2022 Filing</v>
      </c>
      <c r="C14" s="274" t="str">
        <f>+'PCR Cycle 2'!C14</f>
        <v>Reverse November 2022 - January 2023 Forecast From 12/01/2022 Filing</v>
      </c>
      <c r="D14" s="274"/>
      <c r="E14" s="317" t="s">
        <v>33</v>
      </c>
      <c r="F14" s="317"/>
      <c r="G14" s="318"/>
      <c r="H14" s="323" t="s">
        <v>33</v>
      </c>
      <c r="I14" s="324"/>
      <c r="J14" s="325"/>
      <c r="K14" s="313" t="s">
        <v>8</v>
      </c>
      <c r="L14" s="314"/>
      <c r="M14" s="315"/>
    </row>
    <row r="15" spans="1:35" x14ac:dyDescent="0.35">
      <c r="A15" s="46" t="s">
        <v>86</v>
      </c>
      <c r="C15" s="105"/>
      <c r="D15" s="272"/>
      <c r="E15" s="19">
        <f>+'PCR Cycle 2'!E15</f>
        <v>44895</v>
      </c>
      <c r="F15" s="19">
        <f t="shared" ref="F15:M15" si="2">EOMONTH(E15,1)</f>
        <v>44926</v>
      </c>
      <c r="G15" s="19">
        <f t="shared" si="2"/>
        <v>44957</v>
      </c>
      <c r="H15" s="14">
        <f t="shared" si="2"/>
        <v>44985</v>
      </c>
      <c r="I15" s="19">
        <f t="shared" si="2"/>
        <v>45016</v>
      </c>
      <c r="J15" s="15">
        <f t="shared" si="2"/>
        <v>45046</v>
      </c>
      <c r="K15" s="19">
        <f t="shared" si="2"/>
        <v>45077</v>
      </c>
      <c r="L15" s="19">
        <f t="shared" si="2"/>
        <v>45107</v>
      </c>
      <c r="M15" s="15">
        <f t="shared" si="2"/>
        <v>45138</v>
      </c>
      <c r="Z15" s="1"/>
      <c r="AA15" s="1"/>
      <c r="AB15" s="1"/>
      <c r="AC15" s="1"/>
      <c r="AD15" s="1"/>
      <c r="AE15" s="1"/>
      <c r="AF15" s="1"/>
      <c r="AG15" s="1"/>
      <c r="AH15" s="1"/>
      <c r="AI15" s="1"/>
    </row>
    <row r="16" spans="1:35" x14ac:dyDescent="0.35">
      <c r="A16" s="46" t="s">
        <v>5</v>
      </c>
      <c r="C16" s="97">
        <v>82227.680000000008</v>
      </c>
      <c r="D16" s="97"/>
      <c r="E16" s="109">
        <f t="shared" ref="E16:L16" si="3">SUM(E26:E30)</f>
        <v>-41113.840000000004</v>
      </c>
      <c r="F16" s="109">
        <f t="shared" si="3"/>
        <v>-41113.840000000004</v>
      </c>
      <c r="G16" s="110">
        <f t="shared" si="3"/>
        <v>-41113.840000000004</v>
      </c>
      <c r="H16" s="16">
        <f t="shared" si="3"/>
        <v>-39105.170000000006</v>
      </c>
      <c r="I16" s="55">
        <f t="shared" si="3"/>
        <v>-39105.170000000006</v>
      </c>
      <c r="J16" s="166">
        <f t="shared" si="3"/>
        <v>-39105.170000000006</v>
      </c>
      <c r="K16" s="159">
        <f t="shared" si="3"/>
        <v>-39105.170000000006</v>
      </c>
      <c r="L16" s="78">
        <f t="shared" si="3"/>
        <v>-39105.170000000006</v>
      </c>
      <c r="M16" s="79"/>
    </row>
    <row r="17" spans="1:15" x14ac:dyDescent="0.35">
      <c r="C17" s="99"/>
      <c r="D17" s="99"/>
      <c r="E17" s="17"/>
      <c r="F17" s="17"/>
      <c r="G17" s="17"/>
      <c r="H17" s="10"/>
      <c r="I17" s="17"/>
      <c r="J17" s="11"/>
      <c r="K17" s="31"/>
      <c r="L17" s="31"/>
      <c r="M17" s="29"/>
    </row>
    <row r="18" spans="1:15" x14ac:dyDescent="0.35">
      <c r="A18" s="46" t="s">
        <v>87</v>
      </c>
      <c r="C18" s="99"/>
      <c r="D18" s="99"/>
      <c r="E18" s="18"/>
      <c r="F18" s="18"/>
      <c r="G18" s="18"/>
      <c r="H18" s="91"/>
      <c r="I18" s="18"/>
      <c r="J18" s="167"/>
      <c r="K18" s="31"/>
      <c r="L18" s="31"/>
      <c r="M18" s="29"/>
      <c r="N18" s="3" t="s">
        <v>50</v>
      </c>
      <c r="O18" s="39"/>
    </row>
    <row r="19" spans="1:15" x14ac:dyDescent="0.35">
      <c r="A19" s="46" t="s">
        <v>24</v>
      </c>
      <c r="C19" s="97">
        <v>106646.37391999998</v>
      </c>
      <c r="D19" s="97"/>
      <c r="E19" s="136">
        <f>ROUND('[4]Nov 2022'!$F70,2)</f>
        <v>-25731.71</v>
      </c>
      <c r="F19" s="136">
        <f>ROUND('[4]Dec 2022'!$F70,2)</f>
        <v>-35729.65</v>
      </c>
      <c r="G19" s="136">
        <f>ROUND('[4]Jan 2023'!$F70,2)</f>
        <v>-43329.55</v>
      </c>
      <c r="H19" s="187">
        <f>ROUND('[4]Feb 2023'!$F70,2)</f>
        <v>-31669.02</v>
      </c>
      <c r="I19" s="121">
        <f>ROUND('[4]Mar 2023'!$F70,2)</f>
        <v>-19868.97</v>
      </c>
      <c r="J19" s="168">
        <f>ROUND('[4]Apr 2023'!$F70,2)</f>
        <v>-17111.41</v>
      </c>
      <c r="K19" s="123">
        <f>'PCR Cycle 2'!K27*$N19</f>
        <v>-15666.380000000001</v>
      </c>
      <c r="L19" s="41">
        <f>'PCR Cycle 2'!L27*$N19</f>
        <v>-19648.5409</v>
      </c>
      <c r="M19" s="61">
        <f>'PCR Cycle 2'!M27*$N19</f>
        <v>-28459.515000000003</v>
      </c>
      <c r="N19" s="72">
        <v>-1E-4</v>
      </c>
      <c r="O19" s="4"/>
    </row>
    <row r="20" spans="1:15" x14ac:dyDescent="0.35">
      <c r="A20" s="46" t="s">
        <v>135</v>
      </c>
      <c r="C20" s="97">
        <v>30666.667460000001</v>
      </c>
      <c r="D20" s="97"/>
      <c r="E20" s="136">
        <f>ROUND('[4]Nov 2022'!$F71,2)</f>
        <v>-9696.91</v>
      </c>
      <c r="F20" s="136">
        <f>ROUND('[4]Dec 2022'!$F71,2)</f>
        <v>-11211.86</v>
      </c>
      <c r="G20" s="136">
        <f>ROUND('[4]Jan 2023'!$F71,2)</f>
        <v>-12860.36</v>
      </c>
      <c r="H20" s="187">
        <f>ROUND('[4]Feb 2023'!$F71,2)</f>
        <v>-8042.21</v>
      </c>
      <c r="I20" s="121">
        <f>ROUND('[4]Mar 2023'!$F71,2)</f>
        <v>-2430.48</v>
      </c>
      <c r="J20" s="168">
        <f>ROUND('[4]Apr 2023'!$F71,2)</f>
        <v>-2218.6799999999998</v>
      </c>
      <c r="K20" s="123">
        <f>'PCR Cycle 2'!K28*$N20</f>
        <v>-2258.398349999999</v>
      </c>
      <c r="L20" s="41">
        <f>'PCR Cycle 2'!L28*$N20</f>
        <v>-2484.1551499999991</v>
      </c>
      <c r="M20" s="61">
        <f>'PCR Cycle 2'!M28*$N20</f>
        <v>-2782.8075999999992</v>
      </c>
      <c r="N20" s="72">
        <v>-4.9999999999999982E-5</v>
      </c>
      <c r="O20" s="4"/>
    </row>
    <row r="21" spans="1:15" x14ac:dyDescent="0.35">
      <c r="A21" s="46" t="s">
        <v>136</v>
      </c>
      <c r="C21" s="97">
        <v>-83898.732300000003</v>
      </c>
      <c r="D21" s="97"/>
      <c r="E21" s="136">
        <f>ROUND('[4]Nov 2022'!$F72,2)</f>
        <v>25188.95</v>
      </c>
      <c r="F21" s="136">
        <f>ROUND('[4]Dec 2022'!$F72,2)</f>
        <v>26980.9</v>
      </c>
      <c r="G21" s="136">
        <f>ROUND('[4]Jan 2023'!$F72,2)</f>
        <v>30594.639999999999</v>
      </c>
      <c r="H21" s="187">
        <f>ROUND('[4]Feb 2023'!$F72,2)</f>
        <v>22765.37</v>
      </c>
      <c r="I21" s="121">
        <f>ROUND('[4]Mar 2023'!$F72,2)</f>
        <v>11218.03</v>
      </c>
      <c r="J21" s="168">
        <f>ROUND('[4]Apr 2023'!$F72,2)</f>
        <v>10493.26</v>
      </c>
      <c r="K21" s="123">
        <f>'PCR Cycle 2'!K29*$N21</f>
        <v>10797.081750000001</v>
      </c>
      <c r="L21" s="41">
        <f>'PCR Cycle 2'!L29*$N21</f>
        <v>11876.392970000001</v>
      </c>
      <c r="M21" s="61">
        <f>'PCR Cycle 2'!M29*$N21</f>
        <v>13304.207800000002</v>
      </c>
      <c r="N21" s="72">
        <v>1.3000000000000002E-4</v>
      </c>
      <c r="O21" s="4"/>
    </row>
    <row r="22" spans="1:15" x14ac:dyDescent="0.35">
      <c r="A22" s="46" t="s">
        <v>137</v>
      </c>
      <c r="C22" s="97">
        <v>-75640.807759999996</v>
      </c>
      <c r="D22" s="97"/>
      <c r="E22" s="136">
        <f>ROUND('[4]Nov 2022'!$F73,2)</f>
        <v>24877.42</v>
      </c>
      <c r="F22" s="136">
        <f>ROUND('[4]Dec 2022'!$F73,2)</f>
        <v>25914.28</v>
      </c>
      <c r="G22" s="136">
        <f>ROUND('[4]Jan 2023'!$F73,2)</f>
        <v>27767.55</v>
      </c>
      <c r="H22" s="187">
        <f>ROUND('[4]Feb 2023'!$F73,2)</f>
        <v>20239.86</v>
      </c>
      <c r="I22" s="121">
        <f>ROUND('[4]Mar 2023'!$F73,2)</f>
        <v>11316.15</v>
      </c>
      <c r="J22" s="168">
        <f>ROUND('[4]Apr 2023'!$F73,2)</f>
        <v>11097.53</v>
      </c>
      <c r="K22" s="123">
        <f>'PCR Cycle 2'!K30*$N22</f>
        <v>10756.124320000001</v>
      </c>
      <c r="L22" s="41">
        <f>'PCR Cycle 2'!L30*$N22</f>
        <v>11831.341200000001</v>
      </c>
      <c r="M22" s="61">
        <f>'PCR Cycle 2'!M30*$N22</f>
        <v>13253.73984</v>
      </c>
      <c r="N22" s="72">
        <v>8.0000000000000007E-5</v>
      </c>
      <c r="O22" s="4"/>
    </row>
    <row r="23" spans="1:15" x14ac:dyDescent="0.35">
      <c r="A23" s="46" t="s">
        <v>138</v>
      </c>
      <c r="C23" s="97">
        <v>-41618.84405</v>
      </c>
      <c r="D23" s="97"/>
      <c r="E23" s="136">
        <f>ROUND('[4]Nov 2022'!$F74,2)</f>
        <v>14782.2</v>
      </c>
      <c r="F23" s="136">
        <f>ROUND('[4]Dec 2022'!$F74,2)</f>
        <v>13557.49</v>
      </c>
      <c r="G23" s="136">
        <f>ROUND('[4]Jan 2023'!$F74,2)</f>
        <v>14443.94</v>
      </c>
      <c r="H23" s="187">
        <f>ROUND('[4]Feb 2023'!$F74,2)</f>
        <v>9072.01</v>
      </c>
      <c r="I23" s="121">
        <f>ROUND('[4]Mar 2023'!$F74,2)</f>
        <v>4040.11</v>
      </c>
      <c r="J23" s="168">
        <f>ROUND('[4]Apr 2023'!$F74,2)</f>
        <v>6447.99</v>
      </c>
      <c r="K23" s="123">
        <f>'PCR Cycle 2'!K31*$N23</f>
        <v>4895.7766200000005</v>
      </c>
      <c r="L23" s="41">
        <f>'PCR Cycle 2'!L31*$N23</f>
        <v>5385.1743400000005</v>
      </c>
      <c r="M23" s="61">
        <f>'PCR Cycle 2'!M31*$N23</f>
        <v>6032.595800000001</v>
      </c>
      <c r="N23" s="72">
        <v>1.4000000000000001E-4</v>
      </c>
      <c r="O23" s="4"/>
    </row>
    <row r="24" spans="1:15" x14ac:dyDescent="0.35">
      <c r="C24" s="67"/>
      <c r="D24" s="67"/>
      <c r="E24" s="68"/>
      <c r="F24" s="68"/>
      <c r="G24" s="68"/>
      <c r="H24" s="67"/>
      <c r="I24" s="68"/>
      <c r="J24" s="169"/>
      <c r="K24" s="56"/>
      <c r="L24" s="56"/>
      <c r="M24" s="13"/>
      <c r="O24" s="4"/>
    </row>
    <row r="25" spans="1:15" x14ac:dyDescent="0.35">
      <c r="A25" s="46" t="s">
        <v>89</v>
      </c>
      <c r="C25" s="36"/>
      <c r="D25" s="36"/>
      <c r="E25" s="37"/>
      <c r="F25" s="37"/>
      <c r="G25" s="37"/>
      <c r="H25" s="36"/>
      <c r="I25" s="37"/>
      <c r="J25" s="172"/>
      <c r="K25" s="52"/>
      <c r="L25" s="52"/>
      <c r="M25" s="38"/>
    </row>
    <row r="26" spans="1:15" x14ac:dyDescent="0.35">
      <c r="A26" s="46" t="s">
        <v>24</v>
      </c>
      <c r="C26" s="97">
        <v>137475.54</v>
      </c>
      <c r="D26" s="97"/>
      <c r="E26" s="109">
        <f>ROUND(+'EO Cycle 2'!$F$31/24+'EO Cycle 2'!$F$43/24+'EO Cycle 2'!$F$54/24+'EO Cycle 2'!$F$65/24,2)</f>
        <v>-68737.77</v>
      </c>
      <c r="F26" s="109">
        <f>ROUND(+'EO Cycle 2'!$F$31/24+'EO Cycle 2'!$F$43/24+'EO Cycle 2'!$F$54/24+'EO Cycle 2'!$F$65/24,2)</f>
        <v>-68737.77</v>
      </c>
      <c r="G26" s="110">
        <f>ROUND(+'EO Cycle 2'!$F$31/24+'EO Cycle 2'!$F$43/24+'EO Cycle 2'!$F$54/24+'EO Cycle 2'!$F$65/24,2)</f>
        <v>-68737.77</v>
      </c>
      <c r="H26" s="16">
        <f>ROUND('EO Cycle 2'!$F$43/24+'EO Cycle 2'!$F$54/24+'EO Cycle 2'!$F$65/24+'EO Cycle 2'!$F$76/24,2)</f>
        <v>-33508.18</v>
      </c>
      <c r="I26" s="55">
        <f>ROUND('EO Cycle 2'!$F$43/24+'EO Cycle 2'!$F$54/24+'EO Cycle 2'!$F$65/24+'EO Cycle 2'!$F$76/24,2)</f>
        <v>-33508.18</v>
      </c>
      <c r="J26" s="166">
        <f>ROUND('EO Cycle 2'!$F$43/24+'EO Cycle 2'!$F$54/24+'EO Cycle 2'!$F$65/24+'EO Cycle 2'!$F$76/24,2)</f>
        <v>-33508.18</v>
      </c>
      <c r="K26" s="161">
        <f>ROUND('EO Cycle 2'!$F$43/24+'EO Cycle 2'!$F$54/24+'EO Cycle 2'!$F$65/24+'EO Cycle 2'!$F$76/24,2)</f>
        <v>-33508.18</v>
      </c>
      <c r="L26" s="143">
        <f>ROUND('EO Cycle 2'!$F$43/24+'EO Cycle 2'!$F$54/24+'EO Cycle 2'!$F$65/24+'EO Cycle 2'!$F$76/24,2)</f>
        <v>-33508.18</v>
      </c>
      <c r="M26" s="79"/>
    </row>
    <row r="27" spans="1:15" x14ac:dyDescent="0.35">
      <c r="A27" s="46" t="s">
        <v>135</v>
      </c>
      <c r="C27" s="97">
        <v>45834.68</v>
      </c>
      <c r="D27" s="97"/>
      <c r="E27" s="109">
        <f>ROUND(+'EO Cycle 2'!$F35/24+'EO Cycle 2'!$F47/24+'EO Cycle 2'!$F58/24+'EO Cycle 2'!$F69/24,2)</f>
        <v>-22917.34</v>
      </c>
      <c r="F27" s="109">
        <f>ROUND(+'EO Cycle 2'!$F35/24+'EO Cycle 2'!$F47/24+'EO Cycle 2'!$F58/24+'EO Cycle 2'!$F69/24,2)</f>
        <v>-22917.34</v>
      </c>
      <c r="G27" s="110">
        <f>ROUND(+'EO Cycle 2'!$F35/24+'EO Cycle 2'!$F47/24+'EO Cycle 2'!$F58/24+'EO Cycle 2'!$F69/24,2)</f>
        <v>-22917.34</v>
      </c>
      <c r="H27" s="16">
        <f>ROUND(+'EO Cycle 2'!$F47/24+'EO Cycle 2'!$F58/24+'EO Cycle 2'!$F69/24+'EO Cycle 2'!$F80/24,2)</f>
        <v>-7903.97</v>
      </c>
      <c r="I27" s="55">
        <f>ROUND(+'EO Cycle 2'!$F47/24+'EO Cycle 2'!$F58/24+'EO Cycle 2'!$F69/24+'EO Cycle 2'!$F80/24,2)</f>
        <v>-7903.97</v>
      </c>
      <c r="J27" s="166">
        <f>ROUND(+'EO Cycle 2'!$F47/24+'EO Cycle 2'!$F58/24+'EO Cycle 2'!$F69/24+'EO Cycle 2'!$F80/24,2)</f>
        <v>-7903.97</v>
      </c>
      <c r="K27" s="161">
        <f>ROUND(+'EO Cycle 2'!$F47/24+'EO Cycle 2'!$F58/24+'EO Cycle 2'!$F69/24+'EO Cycle 2'!$F80/24,2)</f>
        <v>-7903.97</v>
      </c>
      <c r="L27" s="143">
        <f>ROUND(+'EO Cycle 2'!$F47/24+'EO Cycle 2'!$F58/24+'EO Cycle 2'!$F69/24+'EO Cycle 2'!$F80/24,2)</f>
        <v>-7903.97</v>
      </c>
      <c r="M27" s="79"/>
    </row>
    <row r="28" spans="1:15" x14ac:dyDescent="0.35">
      <c r="A28" s="46" t="s">
        <v>136</v>
      </c>
      <c r="C28" s="97">
        <v>-41951.46</v>
      </c>
      <c r="D28" s="97"/>
      <c r="E28" s="109">
        <f>ROUND(+'EO Cycle 2'!$F36/24+'EO Cycle 2'!$F48/24+'EO Cycle 2'!$F59/24+'EO Cycle 2'!$F70/24,2)</f>
        <v>20975.73</v>
      </c>
      <c r="F28" s="109">
        <f>ROUND(+'EO Cycle 2'!$F36/24+'EO Cycle 2'!$F48/24+'EO Cycle 2'!$F59/24+'EO Cycle 2'!$F70/24,2)</f>
        <v>20975.73</v>
      </c>
      <c r="G28" s="110">
        <f>ROUND(+'EO Cycle 2'!$F36/24+'EO Cycle 2'!$F48/24+'EO Cycle 2'!$F59/24+'EO Cycle 2'!$F70/24,2)</f>
        <v>20975.73</v>
      </c>
      <c r="H28" s="16">
        <f>ROUND(+'EO Cycle 2'!$F48/24+'EO Cycle 2'!$F59/24+'EO Cycle 2'!$F70/24+'EO Cycle 2'!$F81/24,2)</f>
        <v>1384.89</v>
      </c>
      <c r="I28" s="55">
        <f>ROUND(+'EO Cycle 2'!$F48/24+'EO Cycle 2'!$F59/24+'EO Cycle 2'!$F70/24+'EO Cycle 2'!$F81/24,2)</f>
        <v>1384.89</v>
      </c>
      <c r="J28" s="166">
        <f>ROUND(+'EO Cycle 2'!$F48/24+'EO Cycle 2'!$F59/24+'EO Cycle 2'!$F70/24+'EO Cycle 2'!$F81/24,2)</f>
        <v>1384.89</v>
      </c>
      <c r="K28" s="161">
        <f>ROUND(+'EO Cycle 2'!$F48/24+'EO Cycle 2'!$F59/24+'EO Cycle 2'!$F70/24+'EO Cycle 2'!$F81/24,2)</f>
        <v>1384.89</v>
      </c>
      <c r="L28" s="143">
        <f>ROUND(+'EO Cycle 2'!$F48/24+'EO Cycle 2'!$F59/24+'EO Cycle 2'!$F70/24+'EO Cycle 2'!$F81/24,2)</f>
        <v>1384.89</v>
      </c>
      <c r="M28" s="79"/>
    </row>
    <row r="29" spans="1:15" x14ac:dyDescent="0.35">
      <c r="A29" s="46" t="s">
        <v>137</v>
      </c>
      <c r="C29" s="97">
        <v>-29300.36</v>
      </c>
      <c r="D29" s="97"/>
      <c r="E29" s="109">
        <f>ROUND(+'EO Cycle 2'!$F37/24+'EO Cycle 2'!$F49/24+'EO Cycle 2'!$F60/24+'EO Cycle 2'!$F71/24,2)</f>
        <v>14650.18</v>
      </c>
      <c r="F29" s="109">
        <f>ROUND(+'EO Cycle 2'!$F37/24+'EO Cycle 2'!$F49/24+'EO Cycle 2'!$F60/24+'EO Cycle 2'!$F71/24,2)</f>
        <v>14650.18</v>
      </c>
      <c r="G29" s="110">
        <f>ROUND(+'EO Cycle 2'!$F37/24+'EO Cycle 2'!$F49/24+'EO Cycle 2'!$F60/24+'EO Cycle 2'!$F71/24,2)</f>
        <v>14650.18</v>
      </c>
      <c r="H29" s="16">
        <f>ROUND(+'EO Cycle 2'!$F49/24+'EO Cycle 2'!$F60/24+'EO Cycle 2'!$F71/24+'EO Cycle 2'!$F82/24,2)</f>
        <v>-2302.69</v>
      </c>
      <c r="I29" s="55">
        <f>ROUND(+'EO Cycle 2'!$F49/24+'EO Cycle 2'!$F60/24+'EO Cycle 2'!$F71/24+'EO Cycle 2'!$F82/24,2)</f>
        <v>-2302.69</v>
      </c>
      <c r="J29" s="166">
        <f>ROUND(+'EO Cycle 2'!$F49/24+'EO Cycle 2'!$F60/24+'EO Cycle 2'!$F71/24+'EO Cycle 2'!$F82/24,2)</f>
        <v>-2302.69</v>
      </c>
      <c r="K29" s="161">
        <f>ROUND(+'EO Cycle 2'!$F49/24+'EO Cycle 2'!$F60/24+'EO Cycle 2'!$F71/24+'EO Cycle 2'!$F82/24,2)</f>
        <v>-2302.69</v>
      </c>
      <c r="L29" s="143">
        <f>ROUND(+'EO Cycle 2'!$F49/24+'EO Cycle 2'!$F60/24+'EO Cycle 2'!$F71/24+'EO Cycle 2'!$F82/24,2)</f>
        <v>-2302.69</v>
      </c>
      <c r="M29" s="79"/>
    </row>
    <row r="30" spans="1:15" x14ac:dyDescent="0.35">
      <c r="A30" s="46" t="s">
        <v>138</v>
      </c>
      <c r="C30" s="97">
        <v>-29830.720000000001</v>
      </c>
      <c r="D30" s="97"/>
      <c r="E30" s="109">
        <f>ROUND(+'EO Cycle 2'!$F38/24+'EO Cycle 2'!$F50/24+'EO Cycle 2'!$F61/24+'EO Cycle 2'!$F72/24,2)</f>
        <v>14915.36</v>
      </c>
      <c r="F30" s="109">
        <f>ROUND(+'EO Cycle 2'!$F38/24+'EO Cycle 2'!$F50/24+'EO Cycle 2'!$F61/24+'EO Cycle 2'!$F72/24,2)</f>
        <v>14915.36</v>
      </c>
      <c r="G30" s="110">
        <f>ROUND(+'EO Cycle 2'!$F38/24+'EO Cycle 2'!$F50/24+'EO Cycle 2'!$F61/24+'EO Cycle 2'!$F72/24,2)</f>
        <v>14915.36</v>
      </c>
      <c r="H30" s="16">
        <f>ROUND(+'EO Cycle 2'!$F50/24+'EO Cycle 2'!$F61/24+'EO Cycle 2'!$F72/24+'EO Cycle 2'!$F83/24,2)</f>
        <v>3224.78</v>
      </c>
      <c r="I30" s="55">
        <f>ROUND(+'EO Cycle 2'!$F50/24+'EO Cycle 2'!$F61/24+'EO Cycle 2'!$F72/24+'EO Cycle 2'!$F83/24,2)</f>
        <v>3224.78</v>
      </c>
      <c r="J30" s="166">
        <f>ROUND(+'EO Cycle 2'!$F50/24+'EO Cycle 2'!$F61/24+'EO Cycle 2'!$F72/24+'EO Cycle 2'!$F83/24,2)</f>
        <v>3224.78</v>
      </c>
      <c r="K30" s="161">
        <f>ROUND(+'EO Cycle 2'!$F50/24+'EO Cycle 2'!$F61/24+'EO Cycle 2'!$F72/24+'EO Cycle 2'!$F83/24,2)</f>
        <v>3224.78</v>
      </c>
      <c r="L30" s="143">
        <f>ROUND(+'EO Cycle 2'!$F50/24+'EO Cycle 2'!$F61/24+'EO Cycle 2'!$F72/24+'EO Cycle 2'!$F83/24,2)</f>
        <v>3224.78</v>
      </c>
      <c r="M30" s="79"/>
      <c r="O30" s="47"/>
    </row>
    <row r="31" spans="1:15" x14ac:dyDescent="0.35">
      <c r="C31" s="99"/>
      <c r="D31" s="99"/>
      <c r="E31" s="18"/>
      <c r="F31" s="18"/>
      <c r="G31" s="18"/>
      <c r="H31" s="91"/>
      <c r="I31" s="18"/>
      <c r="J31" s="167"/>
      <c r="K31" s="56"/>
      <c r="L31" s="56"/>
      <c r="M31" s="13"/>
    </row>
    <row r="32" spans="1:15" ht="15" thickBot="1" x14ac:dyDescent="0.4">
      <c r="A32" s="3" t="s">
        <v>14</v>
      </c>
      <c r="B32" s="3"/>
      <c r="C32" s="103">
        <v>-3182.51</v>
      </c>
      <c r="D32" s="103"/>
      <c r="E32" s="136">
        <v>1888.96</v>
      </c>
      <c r="F32" s="136">
        <v>1749.53</v>
      </c>
      <c r="G32" s="137">
        <v>1539.55</v>
      </c>
      <c r="H32" s="26">
        <v>1326.8400000000001</v>
      </c>
      <c r="I32" s="122">
        <v>1147.18</v>
      </c>
      <c r="J32" s="173">
        <v>963.10000000000014</v>
      </c>
      <c r="K32" s="162">
        <v>730.87000000000012</v>
      </c>
      <c r="L32" s="145">
        <v>501.84999999999985</v>
      </c>
      <c r="M32" s="82"/>
    </row>
    <row r="33" spans="1:13" x14ac:dyDescent="0.35">
      <c r="C33" s="64"/>
      <c r="D33" s="64"/>
      <c r="E33" s="149"/>
      <c r="F33" s="149"/>
      <c r="G33" s="150"/>
      <c r="H33" s="64"/>
      <c r="I33" s="33"/>
      <c r="J33" s="174"/>
      <c r="K33" s="34"/>
      <c r="L33" s="34"/>
      <c r="M33" s="60"/>
    </row>
    <row r="34" spans="1:13" x14ac:dyDescent="0.35">
      <c r="A34" s="46" t="s">
        <v>52</v>
      </c>
      <c r="C34" s="65"/>
      <c r="D34" s="65"/>
      <c r="E34" s="150"/>
      <c r="F34" s="150"/>
      <c r="G34" s="150"/>
      <c r="H34" s="65"/>
      <c r="I34" s="35"/>
      <c r="J34" s="175"/>
      <c r="K34" s="34"/>
      <c r="L34" s="34"/>
      <c r="M34" s="60"/>
    </row>
    <row r="35" spans="1:13" x14ac:dyDescent="0.35">
      <c r="A35" s="46" t="s">
        <v>24</v>
      </c>
      <c r="C35" s="100">
        <f t="shared" ref="C35:M35" si="4">C26-C19</f>
        <v>30829.166080000025</v>
      </c>
      <c r="D35" s="100"/>
      <c r="E35" s="41">
        <f t="shared" si="4"/>
        <v>-43006.060000000005</v>
      </c>
      <c r="F35" s="41">
        <f t="shared" si="4"/>
        <v>-33008.120000000003</v>
      </c>
      <c r="G35" s="108">
        <f t="shared" si="4"/>
        <v>-25408.22</v>
      </c>
      <c r="H35" s="40">
        <f t="shared" si="4"/>
        <v>-1839.1599999999999</v>
      </c>
      <c r="I35" s="41">
        <f t="shared" si="4"/>
        <v>-13639.21</v>
      </c>
      <c r="J35" s="61">
        <f t="shared" si="4"/>
        <v>-16396.77</v>
      </c>
      <c r="K35" s="123">
        <f t="shared" si="4"/>
        <v>-17841.8</v>
      </c>
      <c r="L35" s="41">
        <f t="shared" si="4"/>
        <v>-13859.6391</v>
      </c>
      <c r="M35" s="61">
        <f t="shared" si="4"/>
        <v>28459.515000000003</v>
      </c>
    </row>
    <row r="36" spans="1:13" x14ac:dyDescent="0.35">
      <c r="A36" s="46" t="s">
        <v>135</v>
      </c>
      <c r="C36" s="100">
        <f t="shared" ref="C36:M36" si="5">C27-C20</f>
        <v>15168.01254</v>
      </c>
      <c r="D36" s="100"/>
      <c r="E36" s="41">
        <f t="shared" si="5"/>
        <v>-13220.43</v>
      </c>
      <c r="F36" s="41">
        <f t="shared" si="5"/>
        <v>-11705.48</v>
      </c>
      <c r="G36" s="108">
        <f t="shared" si="5"/>
        <v>-10056.98</v>
      </c>
      <c r="H36" s="40">
        <f t="shared" si="5"/>
        <v>138.23999999999978</v>
      </c>
      <c r="I36" s="41">
        <f t="shared" si="5"/>
        <v>-5473.49</v>
      </c>
      <c r="J36" s="61">
        <f t="shared" si="5"/>
        <v>-5685.2900000000009</v>
      </c>
      <c r="K36" s="123">
        <f t="shared" si="5"/>
        <v>-5645.5716500000017</v>
      </c>
      <c r="L36" s="41">
        <f t="shared" si="5"/>
        <v>-5419.8148500000007</v>
      </c>
      <c r="M36" s="61">
        <f t="shared" si="5"/>
        <v>2782.8075999999992</v>
      </c>
    </row>
    <row r="37" spans="1:13" x14ac:dyDescent="0.35">
      <c r="A37" s="46" t="s">
        <v>136</v>
      </c>
      <c r="C37" s="100">
        <f t="shared" ref="C37:M37" si="6">C28-C21</f>
        <v>41947.272300000004</v>
      </c>
      <c r="D37" s="100"/>
      <c r="E37" s="41">
        <f t="shared" si="6"/>
        <v>-4213.2200000000012</v>
      </c>
      <c r="F37" s="41">
        <f t="shared" si="6"/>
        <v>-6005.1700000000019</v>
      </c>
      <c r="G37" s="108">
        <f t="shared" si="6"/>
        <v>-9618.91</v>
      </c>
      <c r="H37" s="40">
        <f t="shared" si="6"/>
        <v>-21380.48</v>
      </c>
      <c r="I37" s="41">
        <f t="shared" si="6"/>
        <v>-9833.1400000000012</v>
      </c>
      <c r="J37" s="61">
        <f t="shared" si="6"/>
        <v>-9108.3700000000008</v>
      </c>
      <c r="K37" s="123">
        <f t="shared" si="6"/>
        <v>-9412.1917500000018</v>
      </c>
      <c r="L37" s="41">
        <f t="shared" si="6"/>
        <v>-10491.502970000001</v>
      </c>
      <c r="M37" s="61">
        <f t="shared" si="6"/>
        <v>-13304.207800000002</v>
      </c>
    </row>
    <row r="38" spans="1:13" x14ac:dyDescent="0.35">
      <c r="A38" s="46" t="s">
        <v>137</v>
      </c>
      <c r="C38" s="100">
        <f t="shared" ref="C38:M38" si="7">C29-C22</f>
        <v>46340.447759999995</v>
      </c>
      <c r="D38" s="100"/>
      <c r="E38" s="41">
        <f t="shared" si="7"/>
        <v>-10227.239999999998</v>
      </c>
      <c r="F38" s="41">
        <f t="shared" si="7"/>
        <v>-11264.099999999999</v>
      </c>
      <c r="G38" s="108">
        <f t="shared" si="7"/>
        <v>-13117.369999999999</v>
      </c>
      <c r="H38" s="40">
        <f t="shared" si="7"/>
        <v>-22542.55</v>
      </c>
      <c r="I38" s="41">
        <f t="shared" si="7"/>
        <v>-13618.84</v>
      </c>
      <c r="J38" s="61">
        <f t="shared" si="7"/>
        <v>-13400.220000000001</v>
      </c>
      <c r="K38" s="123">
        <f t="shared" si="7"/>
        <v>-13058.814320000001</v>
      </c>
      <c r="L38" s="41">
        <f t="shared" si="7"/>
        <v>-14134.031200000001</v>
      </c>
      <c r="M38" s="61">
        <f t="shared" si="7"/>
        <v>-13253.73984</v>
      </c>
    </row>
    <row r="39" spans="1:13" x14ac:dyDescent="0.35">
      <c r="A39" s="46" t="s">
        <v>138</v>
      </c>
      <c r="C39" s="100">
        <f t="shared" ref="C39:M39" si="8">C30-C23</f>
        <v>11788.124049999999</v>
      </c>
      <c r="D39" s="100"/>
      <c r="E39" s="41">
        <f t="shared" si="8"/>
        <v>133.15999999999985</v>
      </c>
      <c r="F39" s="41">
        <f t="shared" si="8"/>
        <v>1357.8700000000008</v>
      </c>
      <c r="G39" s="108">
        <f t="shared" si="8"/>
        <v>471.42000000000007</v>
      </c>
      <c r="H39" s="40">
        <f t="shared" si="8"/>
        <v>-5847.23</v>
      </c>
      <c r="I39" s="41">
        <f t="shared" si="8"/>
        <v>-815.32999999999993</v>
      </c>
      <c r="J39" s="61">
        <f t="shared" si="8"/>
        <v>-3223.2099999999996</v>
      </c>
      <c r="K39" s="123">
        <f t="shared" si="8"/>
        <v>-1670.9966200000003</v>
      </c>
      <c r="L39" s="41">
        <f t="shared" si="8"/>
        <v>-2160.3943400000003</v>
      </c>
      <c r="M39" s="61">
        <f t="shared" si="8"/>
        <v>-6032.595800000001</v>
      </c>
    </row>
    <row r="40" spans="1:13" x14ac:dyDescent="0.35">
      <c r="C40" s="99"/>
      <c r="D40" s="99"/>
      <c r="E40" s="17"/>
      <c r="F40" s="17"/>
      <c r="G40" s="17"/>
      <c r="H40" s="10"/>
      <c r="I40" s="17"/>
      <c r="J40" s="11"/>
      <c r="K40" s="17"/>
      <c r="L40" s="17"/>
      <c r="M40" s="11"/>
    </row>
    <row r="41" spans="1:13" x14ac:dyDescent="0.35">
      <c r="A41" s="46" t="s">
        <v>53</v>
      </c>
      <c r="C41" s="99"/>
      <c r="D41" s="99"/>
      <c r="E41" s="17"/>
      <c r="F41" s="17"/>
      <c r="G41" s="17"/>
      <c r="H41" s="10"/>
      <c r="I41" s="17"/>
      <c r="J41" s="11"/>
      <c r="K41" s="17"/>
      <c r="L41" s="17"/>
      <c r="M41" s="11"/>
    </row>
    <row r="42" spans="1:13" x14ac:dyDescent="0.35">
      <c r="A42" s="46" t="s">
        <v>24</v>
      </c>
      <c r="B42" s="61">
        <v>19405.493919999983</v>
      </c>
      <c r="C42" s="100">
        <f t="shared" ref="C42:M42" si="9">B42+C35+B50</f>
        <v>50234.66</v>
      </c>
      <c r="D42" s="100"/>
      <c r="E42" s="41">
        <f>C42+E35+C50+D50</f>
        <v>7151.8099999999986</v>
      </c>
      <c r="F42" s="41">
        <f t="shared" si="9"/>
        <v>-25738.300000000007</v>
      </c>
      <c r="G42" s="108">
        <f t="shared" si="9"/>
        <v>-51187.420000000006</v>
      </c>
      <c r="H42" s="40">
        <f t="shared" si="9"/>
        <v>-53202.11</v>
      </c>
      <c r="I42" s="41">
        <f t="shared" si="9"/>
        <v>-67085.170000000013</v>
      </c>
      <c r="J42" s="61">
        <f t="shared" si="9"/>
        <v>-83771.960000000021</v>
      </c>
      <c r="K42" s="123">
        <f t="shared" si="9"/>
        <v>-101989.07000000002</v>
      </c>
      <c r="L42" s="41">
        <f t="shared" si="9"/>
        <v>-116310.89910000002</v>
      </c>
      <c r="M42" s="61">
        <f t="shared" si="9"/>
        <v>-88394.584100000022</v>
      </c>
    </row>
    <row r="43" spans="1:13" x14ac:dyDescent="0.35">
      <c r="A43" s="46" t="s">
        <v>135</v>
      </c>
      <c r="B43" s="61">
        <v>-125763.63254000005</v>
      </c>
      <c r="C43" s="100">
        <f t="shared" ref="C43:M43" si="10">B43+C36+B51</f>
        <v>-110595.62000000005</v>
      </c>
      <c r="D43" s="100"/>
      <c r="E43" s="41">
        <f t="shared" ref="E43:E46" si="11">C43+E36+C51+D51</f>
        <v>-122901.26000000005</v>
      </c>
      <c r="F43" s="41">
        <f t="shared" si="10"/>
        <v>-135085.68000000005</v>
      </c>
      <c r="G43" s="108">
        <f t="shared" si="10"/>
        <v>-145715.11000000007</v>
      </c>
      <c r="H43" s="40">
        <f t="shared" si="10"/>
        <v>-146218.55000000008</v>
      </c>
      <c r="I43" s="41">
        <f t="shared" si="10"/>
        <v>-152374.34000000005</v>
      </c>
      <c r="J43" s="61">
        <f t="shared" si="10"/>
        <v>-158779.74000000005</v>
      </c>
      <c r="K43" s="123">
        <f t="shared" si="10"/>
        <v>-165199.72165000005</v>
      </c>
      <c r="L43" s="41">
        <f t="shared" si="10"/>
        <v>-171425.92650000006</v>
      </c>
      <c r="M43" s="61">
        <f t="shared" si="10"/>
        <v>-169480.98890000005</v>
      </c>
    </row>
    <row r="44" spans="1:13" x14ac:dyDescent="0.35">
      <c r="A44" s="46" t="s">
        <v>136</v>
      </c>
      <c r="B44" s="61">
        <v>203231.62769999992</v>
      </c>
      <c r="C44" s="100">
        <f t="shared" ref="C44:M44" si="12">B44+C37+B52</f>
        <v>245178.89999999994</v>
      </c>
      <c r="D44" s="100"/>
      <c r="E44" s="41">
        <f t="shared" si="11"/>
        <v>239195.84999999995</v>
      </c>
      <c r="F44" s="41">
        <f t="shared" si="12"/>
        <v>234184.47999999992</v>
      </c>
      <c r="G44" s="108">
        <f t="shared" si="12"/>
        <v>225616.20999999993</v>
      </c>
      <c r="H44" s="40">
        <f t="shared" si="12"/>
        <v>205286.71999999991</v>
      </c>
      <c r="I44" s="41">
        <f t="shared" si="12"/>
        <v>196460.9199999999</v>
      </c>
      <c r="J44" s="61">
        <f t="shared" si="12"/>
        <v>188321.65999999989</v>
      </c>
      <c r="K44" s="123">
        <f t="shared" si="12"/>
        <v>179867.31824999989</v>
      </c>
      <c r="L44" s="41">
        <f t="shared" si="12"/>
        <v>170292.43527999989</v>
      </c>
      <c r="M44" s="61">
        <f t="shared" si="12"/>
        <v>157859.97747999988</v>
      </c>
    </row>
    <row r="45" spans="1:13" x14ac:dyDescent="0.35">
      <c r="A45" s="46" t="s">
        <v>137</v>
      </c>
      <c r="B45" s="61">
        <v>139839.24224000005</v>
      </c>
      <c r="C45" s="100">
        <f t="shared" ref="C45:M45" si="13">B45+C38+B53</f>
        <v>186179.69000000006</v>
      </c>
      <c r="D45" s="100"/>
      <c r="E45" s="41">
        <f t="shared" si="11"/>
        <v>174646.23000000007</v>
      </c>
      <c r="F45" s="41">
        <f t="shared" si="13"/>
        <v>164122.47000000006</v>
      </c>
      <c r="G45" s="108">
        <f t="shared" si="13"/>
        <v>151757.04000000007</v>
      </c>
      <c r="H45" s="40">
        <f t="shared" si="13"/>
        <v>129936.58000000006</v>
      </c>
      <c r="I45" s="41">
        <f t="shared" si="13"/>
        <v>116976.35000000006</v>
      </c>
      <c r="J45" s="61">
        <f t="shared" si="13"/>
        <v>104171.84000000007</v>
      </c>
      <c r="K45" s="123">
        <f t="shared" si="13"/>
        <v>91663.635680000065</v>
      </c>
      <c r="L45" s="41">
        <f t="shared" si="13"/>
        <v>78017.244480000067</v>
      </c>
      <c r="M45" s="61">
        <f t="shared" si="13"/>
        <v>65186.044640000066</v>
      </c>
    </row>
    <row r="46" spans="1:13" x14ac:dyDescent="0.35">
      <c r="A46" s="46" t="s">
        <v>138</v>
      </c>
      <c r="B46" s="61">
        <v>114321.39595000001</v>
      </c>
      <c r="C46" s="100">
        <f>B46+C39+B54</f>
        <v>126109.52</v>
      </c>
      <c r="D46" s="100"/>
      <c r="E46" s="41">
        <f t="shared" si="11"/>
        <v>125298.22</v>
      </c>
      <c r="F46" s="41">
        <f t="shared" ref="F46:M46" si="14">E46+F39+E54</f>
        <v>127171.84999999999</v>
      </c>
      <c r="G46" s="108">
        <f t="shared" si="14"/>
        <v>128203.57999999999</v>
      </c>
      <c r="H46" s="40">
        <f t="shared" si="14"/>
        <v>122940.01999999999</v>
      </c>
      <c r="I46" s="41">
        <f t="shared" si="14"/>
        <v>122711.72999999998</v>
      </c>
      <c r="J46" s="61">
        <f t="shared" si="14"/>
        <v>120081.01999999997</v>
      </c>
      <c r="K46" s="123">
        <f t="shared" si="14"/>
        <v>119014.36337999997</v>
      </c>
      <c r="L46" s="41">
        <f t="shared" si="14"/>
        <v>117449.15903999997</v>
      </c>
      <c r="M46" s="61">
        <f t="shared" si="14"/>
        <v>112005.19323999998</v>
      </c>
    </row>
    <row r="47" spans="1:13" x14ac:dyDescent="0.35">
      <c r="C47" s="99"/>
      <c r="D47" s="99"/>
      <c r="E47" s="17"/>
      <c r="F47" s="17"/>
      <c r="G47" s="17"/>
      <c r="H47" s="10"/>
      <c r="I47" s="17"/>
      <c r="J47" s="11"/>
      <c r="K47" s="17"/>
      <c r="L47" s="17"/>
      <c r="M47" s="11"/>
    </row>
    <row r="48" spans="1:13" x14ac:dyDescent="0.35">
      <c r="A48" s="39" t="s">
        <v>88</v>
      </c>
      <c r="B48" s="39"/>
      <c r="C48" s="104"/>
      <c r="D48" s="104"/>
      <c r="E48" s="83">
        <f>+'PCR Cycle 2'!E50</f>
        <v>4.1184699999999999E-3</v>
      </c>
      <c r="F48" s="83">
        <f>+'PCR Cycle 2'!F50</f>
        <v>4.4295699999999999E-3</v>
      </c>
      <c r="G48" s="83">
        <f>+'PCR Cycle 2'!G50</f>
        <v>4.5610700000000004E-3</v>
      </c>
      <c r="H48" s="84">
        <f>+'PCR Cycle 2'!H50</f>
        <v>4.66411E-3</v>
      </c>
      <c r="I48" s="83">
        <f>+'PCR Cycle 2'!I50</f>
        <v>4.8123899999999997E-3</v>
      </c>
      <c r="J48" s="92">
        <f>+'PCR Cycle 2'!J50</f>
        <v>4.9661499999999999E-3</v>
      </c>
      <c r="K48" s="83">
        <f>+'PCR Cycle 2'!K50</f>
        <v>4.9661499999999999E-3</v>
      </c>
      <c r="L48" s="83">
        <f>+'PCR Cycle 2'!L50</f>
        <v>4.9661499999999999E-3</v>
      </c>
      <c r="M48" s="85"/>
    </row>
    <row r="49" spans="1:13" x14ac:dyDescent="0.35">
      <c r="A49" s="39" t="s">
        <v>37</v>
      </c>
      <c r="B49" s="39"/>
      <c r="C49" s="106"/>
      <c r="D49" s="106"/>
      <c r="E49" s="83"/>
      <c r="F49" s="83"/>
      <c r="G49" s="83"/>
      <c r="H49" s="84"/>
      <c r="I49" s="83"/>
      <c r="J49" s="85"/>
      <c r="K49" s="83"/>
      <c r="L49" s="83"/>
      <c r="M49" s="85"/>
    </row>
    <row r="50" spans="1:13" x14ac:dyDescent="0.35">
      <c r="A50" s="46" t="s">
        <v>24</v>
      </c>
      <c r="C50" s="100">
        <v>-76.790000000000006</v>
      </c>
      <c r="D50" s="100"/>
      <c r="E50" s="41">
        <f>ROUND((C42+C50+D50+E35/2)*E$48,2)</f>
        <v>118.01</v>
      </c>
      <c r="F50" s="41">
        <f t="shared" ref="F50:M50" si="15">ROUND((E42+E50+F35/2)*F$48,2)</f>
        <v>-40.9</v>
      </c>
      <c r="G50" s="108">
        <f t="shared" si="15"/>
        <v>-175.53</v>
      </c>
      <c r="H50" s="40">
        <f t="shared" si="15"/>
        <v>-243.85</v>
      </c>
      <c r="I50" s="123">
        <f t="shared" si="15"/>
        <v>-290.02</v>
      </c>
      <c r="J50" s="49">
        <f t="shared" si="15"/>
        <v>-375.31</v>
      </c>
      <c r="K50" s="163">
        <f t="shared" si="15"/>
        <v>-462.19</v>
      </c>
      <c r="L50" s="108">
        <f t="shared" si="15"/>
        <v>-543.20000000000005</v>
      </c>
      <c r="M50" s="61">
        <f t="shared" si="15"/>
        <v>0</v>
      </c>
    </row>
    <row r="51" spans="1:13" x14ac:dyDescent="0.35">
      <c r="A51" s="46" t="s">
        <v>135</v>
      </c>
      <c r="C51" s="100">
        <v>914.79</v>
      </c>
      <c r="D51" s="100"/>
      <c r="E51" s="41">
        <f t="shared" ref="E51:E54" si="16">ROUND((C43+C51+D51+E36/2)*E$48,2)</f>
        <v>-478.94</v>
      </c>
      <c r="F51" s="41">
        <f t="shared" ref="F51:M51" si="17">ROUND((E43+E51+F36/2)*F$48,2)</f>
        <v>-572.45000000000005</v>
      </c>
      <c r="G51" s="108">
        <f t="shared" si="17"/>
        <v>-641.67999999999995</v>
      </c>
      <c r="H51" s="40">
        <f t="shared" si="17"/>
        <v>-682.3</v>
      </c>
      <c r="I51" s="123">
        <f t="shared" si="17"/>
        <v>-720.11</v>
      </c>
      <c r="J51" s="49">
        <f t="shared" si="17"/>
        <v>-774.41</v>
      </c>
      <c r="K51" s="163">
        <f t="shared" si="17"/>
        <v>-806.39</v>
      </c>
      <c r="L51" s="108">
        <f t="shared" si="17"/>
        <v>-837.87</v>
      </c>
      <c r="M51" s="61">
        <f t="shared" si="17"/>
        <v>0</v>
      </c>
    </row>
    <row r="52" spans="1:13" x14ac:dyDescent="0.35">
      <c r="A52" s="46" t="s">
        <v>136</v>
      </c>
      <c r="C52" s="100">
        <v>-1769.83</v>
      </c>
      <c r="D52" s="100"/>
      <c r="E52" s="41">
        <f t="shared" si="16"/>
        <v>993.8</v>
      </c>
      <c r="F52" s="41">
        <f>ROUND((E44+E52+F37/2)*F$48,2)</f>
        <v>1050.6400000000001</v>
      </c>
      <c r="G52" s="108">
        <f t="shared" ref="G52:M52" si="18">ROUND((F44+F52+G37/2)*G$48,2)</f>
        <v>1050.99</v>
      </c>
      <c r="H52" s="40">
        <f t="shared" si="18"/>
        <v>1007.34</v>
      </c>
      <c r="I52" s="123">
        <f t="shared" si="18"/>
        <v>969.11</v>
      </c>
      <c r="J52" s="49">
        <f t="shared" si="18"/>
        <v>957.85</v>
      </c>
      <c r="K52" s="163">
        <f t="shared" si="18"/>
        <v>916.62</v>
      </c>
      <c r="L52" s="108">
        <f t="shared" si="18"/>
        <v>871.75</v>
      </c>
      <c r="M52" s="61">
        <f t="shared" si="18"/>
        <v>0</v>
      </c>
    </row>
    <row r="53" spans="1:13" x14ac:dyDescent="0.35">
      <c r="A53" s="46" t="s">
        <v>137</v>
      </c>
      <c r="C53" s="100">
        <v>-1306.22</v>
      </c>
      <c r="D53" s="100"/>
      <c r="E53" s="41">
        <f t="shared" si="16"/>
        <v>740.34</v>
      </c>
      <c r="F53" s="41">
        <f t="shared" ref="F53:M53" si="19">ROUND((E45+E53+F38/2)*F$48,2)</f>
        <v>751.94</v>
      </c>
      <c r="G53" s="108">
        <f t="shared" si="19"/>
        <v>722.09</v>
      </c>
      <c r="H53" s="40">
        <f t="shared" si="19"/>
        <v>658.61</v>
      </c>
      <c r="I53" s="123">
        <f t="shared" si="19"/>
        <v>595.71</v>
      </c>
      <c r="J53" s="49">
        <f t="shared" si="19"/>
        <v>550.61</v>
      </c>
      <c r="K53" s="163">
        <f t="shared" si="19"/>
        <v>487.64</v>
      </c>
      <c r="L53" s="108">
        <f t="shared" si="19"/>
        <v>422.54</v>
      </c>
      <c r="M53" s="61">
        <f t="shared" si="19"/>
        <v>0</v>
      </c>
    </row>
    <row r="54" spans="1:13" ht="15" thickBot="1" x14ac:dyDescent="0.4">
      <c r="A54" s="46" t="s">
        <v>138</v>
      </c>
      <c r="C54" s="100">
        <v>-944.46</v>
      </c>
      <c r="D54" s="100"/>
      <c r="E54" s="41">
        <f t="shared" si="16"/>
        <v>515.76</v>
      </c>
      <c r="F54" s="41">
        <f t="shared" ref="F54:M54" si="20">ROUND((E46+E54+F39/2)*F$48,2)</f>
        <v>560.30999999999995</v>
      </c>
      <c r="G54" s="108">
        <f t="shared" si="20"/>
        <v>583.66999999999996</v>
      </c>
      <c r="H54" s="40">
        <f t="shared" si="20"/>
        <v>587.04</v>
      </c>
      <c r="I54" s="123">
        <f t="shared" si="20"/>
        <v>592.5</v>
      </c>
      <c r="J54" s="49">
        <f t="shared" si="20"/>
        <v>604.34</v>
      </c>
      <c r="K54" s="163">
        <f t="shared" si="20"/>
        <v>595.19000000000005</v>
      </c>
      <c r="L54" s="108">
        <f t="shared" si="20"/>
        <v>588.63</v>
      </c>
      <c r="M54" s="61">
        <f t="shared" si="20"/>
        <v>0</v>
      </c>
    </row>
    <row r="55" spans="1:13" ht="15.5" thickTop="1" thickBot="1" x14ac:dyDescent="0.4">
      <c r="A55" s="54" t="s">
        <v>22</v>
      </c>
      <c r="B55" s="54"/>
      <c r="C55" s="107">
        <v>0</v>
      </c>
      <c r="D55" s="107"/>
      <c r="E55" s="42">
        <f t="shared" ref="E55:J55" si="21">SUM(E50:E54)+SUM(E42:E46)-E58</f>
        <v>0</v>
      </c>
      <c r="F55" s="42">
        <f t="shared" si="21"/>
        <v>0</v>
      </c>
      <c r="G55" s="50">
        <f t="shared" ref="G55:I55" si="22">SUM(G50:G54)+SUM(G42:G46)-G58</f>
        <v>0</v>
      </c>
      <c r="H55" s="147">
        <f t="shared" si="22"/>
        <v>0</v>
      </c>
      <c r="I55" s="50">
        <f t="shared" si="22"/>
        <v>0</v>
      </c>
      <c r="J55" s="62">
        <f t="shared" si="21"/>
        <v>0</v>
      </c>
      <c r="K55" s="164">
        <f t="shared" ref="K55:M55" si="23">SUM(K50:K54)+SUM(K42:K46)-K58</f>
        <v>0</v>
      </c>
      <c r="L55" s="50">
        <f t="shared" si="23"/>
        <v>0</v>
      </c>
      <c r="M55" s="62">
        <f t="shared" si="23"/>
        <v>0</v>
      </c>
    </row>
    <row r="56" spans="1:13" ht="15.5" thickTop="1" thickBot="1" x14ac:dyDescent="0.4">
      <c r="A56" s="54" t="s">
        <v>23</v>
      </c>
      <c r="B56" s="54"/>
      <c r="C56" s="107">
        <v>0</v>
      </c>
      <c r="D56" s="107"/>
      <c r="E56" s="42">
        <f t="shared" ref="E56:J56" si="24">SUM(E50:E54)-E32</f>
        <v>9.9999999999909051E-3</v>
      </c>
      <c r="F56" s="42">
        <f t="shared" si="24"/>
        <v>9.9999999999909051E-3</v>
      </c>
      <c r="G56" s="50">
        <f t="shared" ref="G56:I56" si="25">SUM(G50:G54)-G32</f>
        <v>-9.9999999999909051E-3</v>
      </c>
      <c r="H56" s="147">
        <f t="shared" si="25"/>
        <v>0</v>
      </c>
      <c r="I56" s="50">
        <f t="shared" si="25"/>
        <v>9.9999999999909051E-3</v>
      </c>
      <c r="J56" s="62">
        <f t="shared" si="24"/>
        <v>-2.0000000000095497E-2</v>
      </c>
      <c r="K56" s="165">
        <f t="shared" ref="K56:M56" si="26">SUM(K50:K54)-K32</f>
        <v>0</v>
      </c>
      <c r="L56" s="42">
        <f t="shared" si="26"/>
        <v>0</v>
      </c>
      <c r="M56" s="42">
        <f t="shared" si="26"/>
        <v>0</v>
      </c>
    </row>
    <row r="57" spans="1:13" ht="15.5" thickTop="1" thickBot="1" x14ac:dyDescent="0.4">
      <c r="C57" s="99"/>
      <c r="D57" s="99"/>
      <c r="E57" s="17"/>
      <c r="F57" s="17"/>
      <c r="G57" s="17"/>
      <c r="H57" s="10"/>
      <c r="I57" s="17"/>
      <c r="J57" s="11"/>
      <c r="K57" s="17"/>
      <c r="L57" s="17"/>
      <c r="M57" s="11"/>
    </row>
    <row r="58" spans="1:13" ht="15" thickBot="1" x14ac:dyDescent="0.4">
      <c r="A58" s="46" t="s">
        <v>36</v>
      </c>
      <c r="B58" s="119">
        <f>SUM(B42:B46)</f>
        <v>351034.12726999994</v>
      </c>
      <c r="C58" s="100">
        <f t="shared" ref="C58:M58" si="27">(C16-SUM(C19:C23))+SUM(C50:C54)+B58</f>
        <v>493924.63999999996</v>
      </c>
      <c r="D58" s="100"/>
      <c r="E58" s="41">
        <f>(E16-SUM(E19:E23))+SUM(D50:E54)+C58</f>
        <v>425279.81999999995</v>
      </c>
      <c r="F58" s="41">
        <f t="shared" si="27"/>
        <v>366404.35999999993</v>
      </c>
      <c r="G58" s="108">
        <f t="shared" si="27"/>
        <v>310213.83999999991</v>
      </c>
      <c r="H58" s="40">
        <f t="shared" si="27"/>
        <v>260069.49999999991</v>
      </c>
      <c r="I58" s="41">
        <f t="shared" si="27"/>
        <v>217836.67999999991</v>
      </c>
      <c r="J58" s="61">
        <f t="shared" si="27"/>
        <v>170985.89999999991</v>
      </c>
      <c r="K58" s="163">
        <f t="shared" si="27"/>
        <v>124087.39565999989</v>
      </c>
      <c r="L58" s="108">
        <f t="shared" si="27"/>
        <v>78523.863199999876</v>
      </c>
      <c r="M58" s="61">
        <f t="shared" si="27"/>
        <v>77175.642359999882</v>
      </c>
    </row>
    <row r="59" spans="1:13" x14ac:dyDescent="0.35">
      <c r="A59" s="46" t="s">
        <v>12</v>
      </c>
      <c r="C59" s="120"/>
      <c r="D59" s="17"/>
      <c r="E59" s="17"/>
      <c r="F59" s="17"/>
      <c r="G59" s="17"/>
      <c r="H59" s="10"/>
      <c r="I59" s="17"/>
      <c r="J59" s="11"/>
      <c r="K59" s="17"/>
      <c r="L59" s="17"/>
      <c r="M59" s="11"/>
    </row>
    <row r="60" spans="1:13" ht="15" thickBot="1" x14ac:dyDescent="0.4">
      <c r="A60" s="37"/>
      <c r="B60" s="37"/>
      <c r="C60" s="148"/>
      <c r="D60" s="273"/>
      <c r="E60" s="44"/>
      <c r="F60" s="44"/>
      <c r="G60" s="44"/>
      <c r="H60" s="43"/>
      <c r="I60" s="44"/>
      <c r="J60" s="45"/>
      <c r="K60" s="44"/>
      <c r="L60" s="44"/>
      <c r="M60" s="45"/>
    </row>
    <row r="62" spans="1:13" x14ac:dyDescent="0.35">
      <c r="A62" s="69" t="s">
        <v>11</v>
      </c>
      <c r="B62" s="69"/>
      <c r="C62" s="69"/>
      <c r="D62" s="69"/>
    </row>
    <row r="63" spans="1:13" ht="31.5" customHeight="1" x14ac:dyDescent="0.35">
      <c r="A63" s="316" t="s">
        <v>160</v>
      </c>
      <c r="B63" s="316"/>
      <c r="C63" s="316"/>
      <c r="D63" s="316"/>
      <c r="E63" s="316"/>
      <c r="F63" s="316"/>
      <c r="G63" s="316"/>
      <c r="H63" s="316"/>
      <c r="I63" s="316"/>
      <c r="J63" s="316"/>
      <c r="K63" s="237"/>
      <c r="L63" s="237"/>
      <c r="M63" s="237"/>
    </row>
    <row r="64" spans="1:13" ht="63" customHeight="1" x14ac:dyDescent="0.35">
      <c r="A64" s="316" t="s">
        <v>224</v>
      </c>
      <c r="B64" s="316"/>
      <c r="C64" s="316"/>
      <c r="D64" s="316"/>
      <c r="E64" s="316"/>
      <c r="F64" s="316"/>
      <c r="G64" s="316"/>
      <c r="H64" s="316"/>
      <c r="I64" s="316"/>
      <c r="J64" s="316"/>
      <c r="K64" s="316"/>
      <c r="L64" s="237"/>
    </row>
    <row r="65" spans="1:13" ht="18.75" customHeight="1" x14ac:dyDescent="0.35">
      <c r="A65" s="316" t="s">
        <v>214</v>
      </c>
      <c r="B65" s="316"/>
      <c r="C65" s="316"/>
      <c r="D65" s="316"/>
      <c r="E65" s="316"/>
      <c r="F65" s="316"/>
      <c r="G65" s="316"/>
      <c r="H65" s="316"/>
      <c r="I65" s="316"/>
      <c r="J65" s="316"/>
      <c r="K65" s="237"/>
      <c r="L65" s="237"/>
      <c r="M65" s="237"/>
    </row>
    <row r="66" spans="1:13" x14ac:dyDescent="0.35">
      <c r="A66" s="63" t="s">
        <v>31</v>
      </c>
      <c r="B66" s="63"/>
      <c r="C66" s="63"/>
      <c r="D66" s="63"/>
      <c r="E66" s="39"/>
      <c r="F66" s="39"/>
      <c r="G66" s="39"/>
      <c r="H66" s="39"/>
      <c r="I66" s="39"/>
      <c r="J66" s="39"/>
    </row>
    <row r="67" spans="1:13" x14ac:dyDescent="0.35">
      <c r="A67" s="63" t="s">
        <v>201</v>
      </c>
      <c r="B67" s="63"/>
      <c r="C67" s="63"/>
      <c r="D67" s="63"/>
      <c r="E67" s="39"/>
      <c r="F67" s="39"/>
      <c r="G67" s="39"/>
      <c r="H67" s="39"/>
      <c r="I67" s="39"/>
      <c r="J67" s="39"/>
    </row>
    <row r="68" spans="1:13" x14ac:dyDescent="0.35">
      <c r="A68" s="63" t="s">
        <v>95</v>
      </c>
      <c r="B68" s="63"/>
      <c r="C68" s="63"/>
      <c r="D68" s="63"/>
      <c r="E68" s="39"/>
      <c r="F68" s="39"/>
      <c r="G68" s="39"/>
      <c r="H68" s="39"/>
      <c r="I68" s="39"/>
      <c r="J68" s="39"/>
    </row>
    <row r="69" spans="1:13" x14ac:dyDescent="0.35">
      <c r="A69" s="3" t="s">
        <v>202</v>
      </c>
      <c r="B69" s="3"/>
      <c r="C69" s="3"/>
      <c r="D69" s="3"/>
    </row>
    <row r="71" spans="1:13" ht="36" customHeight="1" x14ac:dyDescent="0.35">
      <c r="A71" s="312"/>
      <c r="B71" s="312"/>
      <c r="C71" s="312"/>
      <c r="D71" s="312"/>
      <c r="E71" s="312"/>
      <c r="F71" s="312"/>
      <c r="G71" s="312"/>
    </row>
  </sheetData>
  <mergeCells count="7">
    <mergeCell ref="A71:G71"/>
    <mergeCell ref="A65:J65"/>
    <mergeCell ref="E14:G14"/>
    <mergeCell ref="H14:J14"/>
    <mergeCell ref="K14:M14"/>
    <mergeCell ref="A63:J63"/>
    <mergeCell ref="A64:K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pageSetUpPr fitToPage="1"/>
  </sheetPr>
  <dimension ref="A1:AI68"/>
  <sheetViews>
    <sheetView topLeftCell="A31" workbookViewId="0">
      <selection activeCell="P40" sqref="P1:P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2.453125" style="46" customWidth="1"/>
    <col min="5" max="5" width="15.453125" style="46" customWidth="1"/>
    <col min="6" max="6" width="15.81640625" style="46" bestFit="1" customWidth="1"/>
    <col min="7" max="7" width="12.26953125" style="46" bestFit="1" customWidth="1"/>
    <col min="8" max="9" width="13.26953125" style="46" bestFit="1" customWidth="1"/>
    <col min="10" max="10" width="12.26953125" style="46" bestFit="1" customWidth="1"/>
    <col min="11" max="11" width="12.54296875" style="46"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170</v>
      </c>
    </row>
    <row r="3" spans="1:35" ht="29" x14ac:dyDescent="0.35">
      <c r="E3" s="48" t="s">
        <v>46</v>
      </c>
      <c r="F3" s="70" t="s">
        <v>58</v>
      </c>
      <c r="G3" s="48" t="s">
        <v>3</v>
      </c>
      <c r="H3" s="70" t="s">
        <v>55</v>
      </c>
      <c r="I3" s="48" t="s">
        <v>10</v>
      </c>
      <c r="J3" s="48" t="s">
        <v>59</v>
      </c>
      <c r="S3" s="48"/>
    </row>
    <row r="4" spans="1:35" x14ac:dyDescent="0.35">
      <c r="A4" s="20" t="s">
        <v>24</v>
      </c>
      <c r="B4" s="20"/>
      <c r="C4" s="20"/>
      <c r="D4" s="20"/>
      <c r="E4" s="22">
        <f>SUM(C16:M16)</f>
        <v>164779.01437999998</v>
      </c>
      <c r="F4" s="22">
        <f>SUM(C23:L23)</f>
        <v>130497.55</v>
      </c>
      <c r="G4" s="22">
        <f>F4-E4</f>
        <v>-34281.464379999976</v>
      </c>
      <c r="H4" s="22">
        <f>+B39</f>
        <v>141182.49771</v>
      </c>
      <c r="I4" s="22">
        <f>SUM(C47:L47)</f>
        <v>5354.4400000000005</v>
      </c>
      <c r="J4" s="25">
        <f>SUM(G4:I4)</f>
        <v>112255.47333000002</v>
      </c>
      <c r="K4" s="47">
        <f>+J4-M39</f>
        <v>0</v>
      </c>
      <c r="N4" s="47"/>
    </row>
    <row r="5" spans="1:35" x14ac:dyDescent="0.35">
      <c r="A5" s="20" t="s">
        <v>107</v>
      </c>
      <c r="B5" s="20"/>
      <c r="C5" s="20"/>
      <c r="D5" s="20"/>
      <c r="E5" s="22">
        <f t="shared" ref="E5:E8" si="0">SUM(C17:M17)</f>
        <v>20437.76902</v>
      </c>
      <c r="F5" s="22">
        <f t="shared" ref="F5:F8" si="1">SUM(C24:L24)</f>
        <v>16633.96</v>
      </c>
      <c r="G5" s="22">
        <f t="shared" ref="G5:G8" si="2">F5-E5</f>
        <v>-3803.8090200000006</v>
      </c>
      <c r="H5" s="22">
        <f t="shared" ref="H5:H8" si="3">+B40</f>
        <v>12875.045699999991</v>
      </c>
      <c r="I5" s="22">
        <f t="shared" ref="I5:I8" si="4">SUM(C48:L48)</f>
        <v>483.82000000000005</v>
      </c>
      <c r="J5" s="25">
        <f t="shared" ref="J5:J8" si="5">SUM(G5:I5)</f>
        <v>9555.0566799999906</v>
      </c>
      <c r="K5" s="47">
        <f>+J5-M40</f>
        <v>0</v>
      </c>
      <c r="N5" s="47"/>
    </row>
    <row r="6" spans="1:35" x14ac:dyDescent="0.35">
      <c r="A6" s="20" t="s">
        <v>108</v>
      </c>
      <c r="B6" s="20"/>
      <c r="C6" s="20"/>
      <c r="D6" s="20"/>
      <c r="E6" s="22">
        <f t="shared" si="0"/>
        <v>68449.68028</v>
      </c>
      <c r="F6" s="22">
        <f t="shared" si="1"/>
        <v>47351.55000000001</v>
      </c>
      <c r="G6" s="22">
        <f t="shared" si="2"/>
        <v>-21098.13027999999</v>
      </c>
      <c r="H6" s="22">
        <f t="shared" si="3"/>
        <v>74373.711800000005</v>
      </c>
      <c r="I6" s="22">
        <f t="shared" si="4"/>
        <v>2619.1199999999994</v>
      </c>
      <c r="J6" s="25">
        <f t="shared" si="5"/>
        <v>55894.701520000017</v>
      </c>
      <c r="K6" s="47">
        <f>+J6-M41</f>
        <v>0</v>
      </c>
      <c r="N6" s="47"/>
    </row>
    <row r="7" spans="1:35" x14ac:dyDescent="0.35">
      <c r="A7" s="20" t="s">
        <v>109</v>
      </c>
      <c r="B7" s="20"/>
      <c r="C7" s="20"/>
      <c r="D7" s="20"/>
      <c r="E7" s="22">
        <f t="shared" si="0"/>
        <v>88289.567550000022</v>
      </c>
      <c r="F7" s="22">
        <f t="shared" si="1"/>
        <v>51450.079999999987</v>
      </c>
      <c r="G7" s="22">
        <f t="shared" si="2"/>
        <v>-36839.487550000034</v>
      </c>
      <c r="H7" s="22">
        <f t="shared" si="3"/>
        <v>98377.781520000004</v>
      </c>
      <c r="I7" s="22">
        <f t="shared" si="4"/>
        <v>3246.03</v>
      </c>
      <c r="J7" s="25">
        <f t="shared" si="5"/>
        <v>64784.323969999969</v>
      </c>
      <c r="K7" s="47">
        <f>+J7-M42</f>
        <v>0</v>
      </c>
      <c r="N7" s="47"/>
    </row>
    <row r="8" spans="1:35" ht="15" thickBot="1" x14ac:dyDescent="0.4">
      <c r="A8" s="20" t="s">
        <v>110</v>
      </c>
      <c r="B8" s="20"/>
      <c r="C8" s="20"/>
      <c r="D8" s="20"/>
      <c r="E8" s="22">
        <f t="shared" si="0"/>
        <v>12243.868059999999</v>
      </c>
      <c r="F8" s="22">
        <f t="shared" si="1"/>
        <v>6204.3999999999987</v>
      </c>
      <c r="G8" s="22">
        <f t="shared" si="2"/>
        <v>-6039.4680600000002</v>
      </c>
      <c r="H8" s="22">
        <f t="shared" si="3"/>
        <v>16754.691359999997</v>
      </c>
      <c r="I8" s="22">
        <f t="shared" si="4"/>
        <v>543.18999999999994</v>
      </c>
      <c r="J8" s="25">
        <f t="shared" si="5"/>
        <v>11258.413299999998</v>
      </c>
      <c r="K8" s="47">
        <f>+J8-M43</f>
        <v>0</v>
      </c>
      <c r="N8" s="47"/>
    </row>
    <row r="9" spans="1:35" ht="15.5" thickTop="1" thickBot="1" x14ac:dyDescent="0.4">
      <c r="E9" s="27">
        <f t="shared" ref="E9:J9" si="6">SUM(E4:E8)</f>
        <v>354199.89929000003</v>
      </c>
      <c r="F9" s="27">
        <f t="shared" si="6"/>
        <v>252137.54</v>
      </c>
      <c r="G9" s="27">
        <f t="shared" si="6"/>
        <v>-102062.35929000001</v>
      </c>
      <c r="H9" s="27">
        <f t="shared" si="6"/>
        <v>343563.72808999999</v>
      </c>
      <c r="I9" s="27">
        <f t="shared" si="6"/>
        <v>12246.6</v>
      </c>
      <c r="J9" s="27">
        <f t="shared" si="6"/>
        <v>253747.9688</v>
      </c>
      <c r="T9" s="5"/>
    </row>
    <row r="10" spans="1:35" ht="15.5" thickTop="1" thickBot="1" x14ac:dyDescent="0.4">
      <c r="V10" s="4"/>
      <c r="W10" s="5"/>
    </row>
    <row r="11" spans="1:35" ht="116.5" thickBot="1" x14ac:dyDescent="0.4">
      <c r="B11" s="118" t="str">
        <f>+'PCR Cycle 2'!B14</f>
        <v>Cumulative Over/Under Carryover From 12/01/2022 Filing</v>
      </c>
      <c r="C11" s="274" t="str">
        <f>+'PCR Cycle 2'!C14</f>
        <v>Reverse November 2022 - January 2023 Forecast From 12/01/2022 Filing</v>
      </c>
      <c r="D11" s="274"/>
      <c r="E11" s="317" t="s">
        <v>33</v>
      </c>
      <c r="F11" s="317"/>
      <c r="G11" s="318"/>
      <c r="H11" s="323" t="s">
        <v>33</v>
      </c>
      <c r="I11" s="324"/>
      <c r="J11" s="325"/>
      <c r="K11" s="313" t="s">
        <v>8</v>
      </c>
      <c r="L11" s="314"/>
      <c r="M11" s="315"/>
    </row>
    <row r="12" spans="1:35" x14ac:dyDescent="0.35">
      <c r="A12" s="46" t="s">
        <v>86</v>
      </c>
      <c r="C12" s="105"/>
      <c r="D12" s="272"/>
      <c r="E12" s="19">
        <f>+'PCR Cycle 2'!E15</f>
        <v>44895</v>
      </c>
      <c r="F12" s="19">
        <f t="shared" ref="F12:M12" si="7">EOMONTH(E12,1)</f>
        <v>44926</v>
      </c>
      <c r="G12" s="19">
        <f t="shared" si="7"/>
        <v>44957</v>
      </c>
      <c r="H12" s="14">
        <f t="shared" si="7"/>
        <v>44985</v>
      </c>
      <c r="I12" s="19">
        <f t="shared" si="7"/>
        <v>45016</v>
      </c>
      <c r="J12" s="15">
        <f t="shared" si="7"/>
        <v>45046</v>
      </c>
      <c r="K12" s="19">
        <f t="shared" si="7"/>
        <v>45077</v>
      </c>
      <c r="L12" s="19">
        <f t="shared" si="7"/>
        <v>45107</v>
      </c>
      <c r="M12" s="15">
        <f t="shared" si="7"/>
        <v>45138</v>
      </c>
      <c r="Z12" s="1"/>
      <c r="AA12" s="1"/>
      <c r="AB12" s="1"/>
      <c r="AC12" s="1"/>
      <c r="AD12" s="1"/>
      <c r="AE12" s="1"/>
      <c r="AF12" s="1"/>
      <c r="AG12" s="1"/>
      <c r="AH12" s="1"/>
      <c r="AI12" s="1"/>
    </row>
    <row r="13" spans="1:35" x14ac:dyDescent="0.35">
      <c r="A13" s="46" t="s">
        <v>5</v>
      </c>
      <c r="C13" s="97">
        <v>-302528.08</v>
      </c>
      <c r="D13" s="97"/>
      <c r="E13" s="109">
        <f t="shared" ref="E13:L13" si="8">SUM(E23:E27)</f>
        <v>151264.04</v>
      </c>
      <c r="F13" s="109">
        <f t="shared" si="8"/>
        <v>151264.04</v>
      </c>
      <c r="G13" s="110">
        <f t="shared" si="8"/>
        <v>151264.04</v>
      </c>
      <c r="H13" s="16">
        <f t="shared" si="8"/>
        <v>20174.7</v>
      </c>
      <c r="I13" s="55">
        <f t="shared" si="8"/>
        <v>20174.7</v>
      </c>
      <c r="J13" s="166">
        <f t="shared" si="8"/>
        <v>20174.7</v>
      </c>
      <c r="K13" s="159">
        <f t="shared" si="8"/>
        <v>20174.7</v>
      </c>
      <c r="L13" s="78">
        <f t="shared" si="8"/>
        <v>20174.7</v>
      </c>
      <c r="M13" s="79"/>
    </row>
    <row r="14" spans="1:35" x14ac:dyDescent="0.35">
      <c r="C14" s="99"/>
      <c r="D14" s="99"/>
      <c r="E14" s="17"/>
      <c r="F14" s="17"/>
      <c r="G14" s="17"/>
      <c r="H14" s="10"/>
      <c r="I14" s="17"/>
      <c r="J14" s="11"/>
      <c r="K14" s="31"/>
      <c r="L14" s="31"/>
      <c r="M14" s="29"/>
    </row>
    <row r="15" spans="1:35" x14ac:dyDescent="0.35">
      <c r="A15" s="46" t="s">
        <v>87</v>
      </c>
      <c r="C15" s="99"/>
      <c r="D15" s="99"/>
      <c r="E15" s="18"/>
      <c r="F15" s="18"/>
      <c r="G15" s="18"/>
      <c r="H15" s="91"/>
      <c r="I15" s="18"/>
      <c r="J15" s="167"/>
      <c r="K15" s="31"/>
      <c r="L15" s="31"/>
      <c r="M15" s="29"/>
      <c r="N15" s="3" t="s">
        <v>50</v>
      </c>
      <c r="O15" s="39"/>
    </row>
    <row r="16" spans="1:35" x14ac:dyDescent="0.35">
      <c r="A16" s="46" t="s">
        <v>24</v>
      </c>
      <c r="C16" s="97">
        <v>-113311.77229000001</v>
      </c>
      <c r="D16" s="97"/>
      <c r="E16" s="136">
        <f>ROUND('[4]Nov 2022'!$F112,2)</f>
        <v>27319.09</v>
      </c>
      <c r="F16" s="136">
        <f>ROUND('[4]Dec 2022'!$F112,2)</f>
        <v>37961.68</v>
      </c>
      <c r="G16" s="136">
        <f>ROUND('[4]Jan 2023'!$F120,2)</f>
        <v>46032</v>
      </c>
      <c r="H16" s="187">
        <f>ROUND('[4]Feb 2023'!$F120,2)</f>
        <v>35806.019999999997</v>
      </c>
      <c r="I16" s="121">
        <f>ROUND('[4]Mar 2023'!$F120,2)</f>
        <v>25831.94</v>
      </c>
      <c r="J16" s="168">
        <f>ROUND('[4]Apr 2023'!$F120,2)</f>
        <v>22233.29</v>
      </c>
      <c r="K16" s="123">
        <f>'PCR Cycle 2'!K27*$N16</f>
        <v>20366.293999999998</v>
      </c>
      <c r="L16" s="41">
        <f>'PCR Cycle 2'!L27*$N16</f>
        <v>25543.103169999998</v>
      </c>
      <c r="M16" s="61">
        <f>'PCR Cycle 2'!M27*$N16</f>
        <v>36997.369499999993</v>
      </c>
      <c r="N16" s="72">
        <v>1.2999999999999999E-4</v>
      </c>
      <c r="O16" s="4"/>
    </row>
    <row r="17" spans="1:15" x14ac:dyDescent="0.35">
      <c r="A17" s="46" t="s">
        <v>135</v>
      </c>
      <c r="C17" s="97">
        <v>-13939.3943</v>
      </c>
      <c r="D17" s="97"/>
      <c r="E17" s="136">
        <f>ROUND('[4]Nov 2022'!$F113,2)</f>
        <v>4406.71</v>
      </c>
      <c r="F17" s="136">
        <f>ROUND('[4]Dec 2022'!$F113,2)</f>
        <v>5099.3599999999997</v>
      </c>
      <c r="G17" s="136">
        <f>ROUND('[4]Jan 2023'!$F121,2)</f>
        <v>5844.26</v>
      </c>
      <c r="H17" s="187">
        <f>ROUND('[4]Feb 2023'!$F121,2)</f>
        <v>4437.8</v>
      </c>
      <c r="I17" s="121">
        <f>ROUND('[4]Mar 2023'!$F121,2)</f>
        <v>2897.03</v>
      </c>
      <c r="J17" s="168">
        <f>ROUND('[4]Apr 2023'!$F121,2)</f>
        <v>2661.57</v>
      </c>
      <c r="K17" s="123">
        <f>'PCR Cycle 2'!K28*$N17</f>
        <v>2710.0780200000004</v>
      </c>
      <c r="L17" s="41">
        <f>'PCR Cycle 2'!L28*$N17</f>
        <v>2980.9861800000003</v>
      </c>
      <c r="M17" s="61">
        <f>'PCR Cycle 2'!M28*$N17</f>
        <v>3339.3691200000003</v>
      </c>
      <c r="N17" s="72">
        <v>6.0000000000000008E-5</v>
      </c>
      <c r="O17" s="4"/>
    </row>
    <row r="18" spans="1:15" x14ac:dyDescent="0.35">
      <c r="A18" s="46" t="s">
        <v>136</v>
      </c>
      <c r="C18" s="97">
        <v>-55932.488200000007</v>
      </c>
      <c r="D18" s="97"/>
      <c r="E18" s="136">
        <f>ROUND('[4]Nov 2022'!$F114,2)</f>
        <v>16706.580000000002</v>
      </c>
      <c r="F18" s="136">
        <f>ROUND('[4]Dec 2022'!$F114,2)</f>
        <v>17998.75</v>
      </c>
      <c r="G18" s="136">
        <f>ROUND('[4]Jan 2023'!$F122,2)</f>
        <v>20385.740000000002</v>
      </c>
      <c r="H18" s="187">
        <f>ROUND('[4]Feb 2023'!$F122,2)</f>
        <v>16076.37</v>
      </c>
      <c r="I18" s="121">
        <f>ROUND('[4]Mar 2023'!$F122,2)</f>
        <v>10318.84</v>
      </c>
      <c r="J18" s="168">
        <f>ROUND('[4]Apr 2023'!$F122,2)</f>
        <v>9685.7199999999993</v>
      </c>
      <c r="K18" s="123">
        <f>'PCR Cycle 2'!K29*$N18</f>
        <v>9966.5369999999984</v>
      </c>
      <c r="L18" s="41">
        <f>'PCR Cycle 2'!L29*$N18</f>
        <v>10962.824279999999</v>
      </c>
      <c r="M18" s="61">
        <f>'PCR Cycle 2'!M29*$N18</f>
        <v>12280.807199999999</v>
      </c>
      <c r="N18" s="72">
        <v>1.1999999999999999E-4</v>
      </c>
      <c r="O18" s="4"/>
    </row>
    <row r="19" spans="1:15" x14ac:dyDescent="0.35">
      <c r="A19" s="46" t="s">
        <v>137</v>
      </c>
      <c r="C19" s="97">
        <v>-71191.348479999986</v>
      </c>
      <c r="D19" s="97"/>
      <c r="E19" s="136">
        <f>ROUND('[4]Nov 2022'!$F115,2)</f>
        <v>23449.71</v>
      </c>
      <c r="F19" s="136">
        <f>ROUND('[4]Dec 2022'!$F115,2)</f>
        <v>24389.91</v>
      </c>
      <c r="G19" s="136">
        <f>ROUND('[4]Jan 2023'!$F123,2)</f>
        <v>26134.16</v>
      </c>
      <c r="H19" s="187">
        <f>ROUND('[4]Feb 2023'!$F123,2)</f>
        <v>19949.79</v>
      </c>
      <c r="I19" s="121">
        <f>ROUND('[4]Mar 2023'!$F123,2)</f>
        <v>12750.53</v>
      </c>
      <c r="J19" s="168">
        <f>ROUND('[4]Apr 2023'!$F123,2)</f>
        <v>12485.46</v>
      </c>
      <c r="K19" s="123">
        <f>'PCR Cycle 2'!K30*$N19</f>
        <v>12100.639860000001</v>
      </c>
      <c r="L19" s="41">
        <f>'PCR Cycle 2'!L30*$N19</f>
        <v>13310.25885</v>
      </c>
      <c r="M19" s="61">
        <f>'PCR Cycle 2'!M30*$N19</f>
        <v>14910.457320000001</v>
      </c>
      <c r="N19" s="72">
        <v>9.0000000000000006E-5</v>
      </c>
      <c r="O19" s="4"/>
    </row>
    <row r="20" spans="1:15" x14ac:dyDescent="0.35">
      <c r="A20" s="46" t="s">
        <v>138</v>
      </c>
      <c r="C20" s="97">
        <v>-9512.8786400000008</v>
      </c>
      <c r="D20" s="97"/>
      <c r="E20" s="136">
        <f>ROUND('[4]Nov 2022'!$F116,2)</f>
        <v>3378.79</v>
      </c>
      <c r="F20" s="136">
        <f>ROUND('[4]Dec 2022'!$F116,2)</f>
        <v>3098.86</v>
      </c>
      <c r="G20" s="136">
        <f>ROUND('[4]Jan 2023'!$F124,2)</f>
        <v>3301.47</v>
      </c>
      <c r="H20" s="187">
        <f>ROUND('[4]Feb 2023'!$F124,2)</f>
        <v>2405.6</v>
      </c>
      <c r="I20" s="121">
        <f>ROUND('[4]Mar 2023'!$F124,2)</f>
        <v>1442.9</v>
      </c>
      <c r="J20" s="168">
        <f>ROUND('[4]Apr 2023'!$F124,2)</f>
        <v>2302.86</v>
      </c>
      <c r="K20" s="123">
        <f>'PCR Cycle 2'!K31*$N20</f>
        <v>1748.4916500000002</v>
      </c>
      <c r="L20" s="41">
        <f>'PCR Cycle 2'!L31*$N20</f>
        <v>1923.27655</v>
      </c>
      <c r="M20" s="61">
        <f>'PCR Cycle 2'!M31*$N20</f>
        <v>2154.4985000000001</v>
      </c>
      <c r="N20" s="72">
        <v>5.0000000000000002E-5</v>
      </c>
      <c r="O20" s="4"/>
    </row>
    <row r="21" spans="1:15" x14ac:dyDescent="0.35">
      <c r="C21" s="67"/>
      <c r="D21" s="67"/>
      <c r="E21" s="68"/>
      <c r="F21" s="68"/>
      <c r="G21" s="68"/>
      <c r="H21" s="67"/>
      <c r="I21" s="68"/>
      <c r="J21" s="169"/>
      <c r="K21" s="56"/>
      <c r="L21" s="56"/>
      <c r="M21" s="13"/>
      <c r="O21" s="4"/>
    </row>
    <row r="22" spans="1:15" x14ac:dyDescent="0.35">
      <c r="A22" s="46" t="s">
        <v>89</v>
      </c>
      <c r="C22" s="36"/>
      <c r="D22" s="36"/>
      <c r="E22" s="37"/>
      <c r="F22" s="37"/>
      <c r="G22" s="37"/>
      <c r="H22" s="36"/>
      <c r="I22" s="37"/>
      <c r="J22" s="172"/>
      <c r="K22" s="52"/>
      <c r="L22" s="52"/>
      <c r="M22" s="38"/>
    </row>
    <row r="23" spans="1:15" x14ac:dyDescent="0.35">
      <c r="A23" s="46" t="s">
        <v>24</v>
      </c>
      <c r="C23" s="97">
        <v>-135240.4</v>
      </c>
      <c r="D23" s="97"/>
      <c r="E23" s="109">
        <f>ROUND('EO Cycle 3'!$F19/12+'EO Cycle 3'!$F31/12,2)</f>
        <v>67620.2</v>
      </c>
      <c r="F23" s="109">
        <f>ROUND('EO Cycle 3'!$F19/12+'EO Cycle 3'!$F31/12,2)</f>
        <v>67620.2</v>
      </c>
      <c r="G23" s="110">
        <f>ROUND('EO Cycle 3'!$F19/12+'EO Cycle 3'!$F31/12,2)</f>
        <v>67620.2</v>
      </c>
      <c r="H23" s="16">
        <f>ROUND(+'EO Cycle 3'!$F31/12+'EO Cycle 3'!$F43/12,2)</f>
        <v>12575.47</v>
      </c>
      <c r="I23" s="55">
        <f>ROUND(+'EO Cycle 3'!$F31/12+'EO Cycle 3'!$F43/12,2)</f>
        <v>12575.47</v>
      </c>
      <c r="J23" s="166">
        <f>ROUND(+'EO Cycle 3'!$F31/12+'EO Cycle 3'!$F43/12,2)</f>
        <v>12575.47</v>
      </c>
      <c r="K23" s="161">
        <f>ROUND(+'EO Cycle 3'!$F31/12+'EO Cycle 3'!$F43/12,2)</f>
        <v>12575.47</v>
      </c>
      <c r="L23" s="143">
        <f>ROUND(+'EO Cycle 3'!$F31/12+'EO Cycle 3'!$F43/12,2)</f>
        <v>12575.47</v>
      </c>
      <c r="M23" s="79"/>
    </row>
    <row r="24" spans="1:15" x14ac:dyDescent="0.35">
      <c r="A24" s="46" t="s">
        <v>135</v>
      </c>
      <c r="C24" s="97">
        <v>-16839.419999999998</v>
      </c>
      <c r="D24" s="97"/>
      <c r="E24" s="109">
        <f>ROUND('EO Cycle 3'!$F23/12+'EO Cycle 3'!$F35/12,2)</f>
        <v>8419.7099999999991</v>
      </c>
      <c r="F24" s="109">
        <f>ROUND('EO Cycle 3'!$F23/12+'EO Cycle 3'!$F35/12,2)</f>
        <v>8419.7099999999991</v>
      </c>
      <c r="G24" s="110">
        <f>ROUND('EO Cycle 3'!$F23/12+'EO Cycle 3'!$F35/12,2)</f>
        <v>8419.7099999999991</v>
      </c>
      <c r="H24" s="16">
        <f>ROUND(+'EO Cycle 3'!$F35/12+'EO Cycle 3'!$F47/12,2)</f>
        <v>1642.85</v>
      </c>
      <c r="I24" s="55">
        <f>ROUND(+'EO Cycle 3'!$F35/12+'EO Cycle 3'!$F47/12,2)</f>
        <v>1642.85</v>
      </c>
      <c r="J24" s="166">
        <f>ROUND(+'EO Cycle 3'!$F35/12+'EO Cycle 3'!$F47/12,2)</f>
        <v>1642.85</v>
      </c>
      <c r="K24" s="161">
        <f>ROUND(+'EO Cycle 3'!$F35/12+'EO Cycle 3'!$F47/12,2)</f>
        <v>1642.85</v>
      </c>
      <c r="L24" s="143">
        <f>ROUND(+'EO Cycle 3'!$F35/12+'EO Cycle 3'!$F47/12,2)</f>
        <v>1642.85</v>
      </c>
      <c r="M24" s="79"/>
    </row>
    <row r="25" spans="1:15" x14ac:dyDescent="0.35">
      <c r="A25" s="46" t="s">
        <v>136</v>
      </c>
      <c r="C25" s="97">
        <v>-60077.599999999999</v>
      </c>
      <c r="D25" s="97"/>
      <c r="E25" s="109">
        <f>ROUND('EO Cycle 3'!$F24/12+'EO Cycle 3'!$F36/12,2)</f>
        <v>30038.799999999999</v>
      </c>
      <c r="F25" s="109">
        <f>ROUND('EO Cycle 3'!$F24/12+'EO Cycle 3'!$F36/12,2)</f>
        <v>30038.799999999999</v>
      </c>
      <c r="G25" s="110">
        <f>ROUND('EO Cycle 3'!$F24/12+'EO Cycle 3'!$F36/12,2)</f>
        <v>30038.799999999999</v>
      </c>
      <c r="H25" s="16">
        <f>ROUND(+'EO Cycle 3'!$F36/12+'EO Cycle 3'!$F48/12,2)</f>
        <v>3462.55</v>
      </c>
      <c r="I25" s="55">
        <f>ROUND(+'EO Cycle 3'!$F36/12+'EO Cycle 3'!$F48/12,2)</f>
        <v>3462.55</v>
      </c>
      <c r="J25" s="166">
        <f>ROUND(+'EO Cycle 3'!$F36/12+'EO Cycle 3'!$F48/12,2)</f>
        <v>3462.55</v>
      </c>
      <c r="K25" s="161">
        <f>ROUND(+'EO Cycle 3'!$F36/12+'EO Cycle 3'!$F48/12,2)</f>
        <v>3462.55</v>
      </c>
      <c r="L25" s="143">
        <f>ROUND(+'EO Cycle 3'!$F36/12+'EO Cycle 3'!$F48/12,2)</f>
        <v>3462.55</v>
      </c>
      <c r="M25" s="79"/>
    </row>
    <row r="26" spans="1:15" x14ac:dyDescent="0.35">
      <c r="A26" s="46" t="s">
        <v>137</v>
      </c>
      <c r="C26" s="97">
        <v>-79001.759999999995</v>
      </c>
      <c r="D26" s="97"/>
      <c r="E26" s="109">
        <f>ROUND('EO Cycle 3'!$F25/12+'EO Cycle 3'!$F37/12,2)</f>
        <v>39500.879999999997</v>
      </c>
      <c r="F26" s="109">
        <f>ROUND('EO Cycle 3'!$F25/12+'EO Cycle 3'!$F37/12,2)</f>
        <v>39500.879999999997</v>
      </c>
      <c r="G26" s="110">
        <f>ROUND('EO Cycle 3'!$F25/12+'EO Cycle 3'!$F37/12,2)</f>
        <v>39500.879999999997</v>
      </c>
      <c r="H26" s="16">
        <f>ROUND(+'EO Cycle 3'!$F37/12+'EO Cycle 3'!$F49/12,2)</f>
        <v>2389.84</v>
      </c>
      <c r="I26" s="55">
        <f>ROUND(+'EO Cycle 3'!$F37/12+'EO Cycle 3'!$F49/12,2)</f>
        <v>2389.84</v>
      </c>
      <c r="J26" s="166">
        <f>ROUND(+'EO Cycle 3'!$F37/12+'EO Cycle 3'!$F49/12,2)</f>
        <v>2389.84</v>
      </c>
      <c r="K26" s="161">
        <f>ROUND(+'EO Cycle 3'!$F37/12+'EO Cycle 3'!$F49/12,2)</f>
        <v>2389.84</v>
      </c>
      <c r="L26" s="143">
        <f>ROUND(+'EO Cycle 3'!$F37/12+'EO Cycle 3'!$F49/12,2)</f>
        <v>2389.84</v>
      </c>
      <c r="M26" s="79"/>
    </row>
    <row r="27" spans="1:15" x14ac:dyDescent="0.35">
      <c r="A27" s="46" t="s">
        <v>138</v>
      </c>
      <c r="C27" s="97">
        <v>-11368.9</v>
      </c>
      <c r="D27" s="97"/>
      <c r="E27" s="109">
        <f>ROUND('EO Cycle 3'!$F26/12+'EO Cycle 3'!$F38/12,2)</f>
        <v>5684.45</v>
      </c>
      <c r="F27" s="109">
        <f>ROUND('EO Cycle 3'!$F26/12+'EO Cycle 3'!$F38/12,2)</f>
        <v>5684.45</v>
      </c>
      <c r="G27" s="110">
        <f>ROUND('EO Cycle 3'!$F26/12+'EO Cycle 3'!$F38/12,2)</f>
        <v>5684.45</v>
      </c>
      <c r="H27" s="16">
        <f>ROUND(+'EO Cycle 3'!$F38/12+'EO Cycle 3'!$F50/12,2)</f>
        <v>103.99</v>
      </c>
      <c r="I27" s="55">
        <f>ROUND(+'EO Cycle 3'!$F38/12+'EO Cycle 3'!$F50/12,2)</f>
        <v>103.99</v>
      </c>
      <c r="J27" s="166">
        <f>ROUND(+'EO Cycle 3'!$F38/12+'EO Cycle 3'!$F50/12,2)</f>
        <v>103.99</v>
      </c>
      <c r="K27" s="161">
        <f>ROUND(+'EO Cycle 3'!$F38/12+'EO Cycle 3'!$F50/12,2)</f>
        <v>103.99</v>
      </c>
      <c r="L27" s="143">
        <f>ROUND(+'EO Cycle 3'!$F38/12+'EO Cycle 3'!$F50/12,2)</f>
        <v>103.99</v>
      </c>
      <c r="M27" s="79"/>
      <c r="O27" s="47"/>
    </row>
    <row r="28" spans="1:15" x14ac:dyDescent="0.35">
      <c r="C28" s="99"/>
      <c r="D28" s="99"/>
      <c r="E28" s="18"/>
      <c r="F28" s="18"/>
      <c r="G28" s="18"/>
      <c r="H28" s="91"/>
      <c r="I28" s="18"/>
      <c r="J28" s="167"/>
      <c r="K28" s="56"/>
      <c r="L28" s="56"/>
      <c r="M28" s="13"/>
    </row>
    <row r="29" spans="1:15" ht="15" thickBot="1" x14ac:dyDescent="0.4">
      <c r="A29" s="3" t="s">
        <v>14</v>
      </c>
      <c r="B29" s="3"/>
      <c r="C29" s="103">
        <v>-2790.12</v>
      </c>
      <c r="D29" s="103"/>
      <c r="E29" s="136">
        <v>1400.83</v>
      </c>
      <c r="F29" s="136">
        <v>1820.0900000000001</v>
      </c>
      <c r="G29" s="137">
        <v>2138.5</v>
      </c>
      <c r="H29" s="26">
        <v>2175.94</v>
      </c>
      <c r="I29" s="122">
        <v>2035.26</v>
      </c>
      <c r="J29" s="173">
        <v>1955.7899999999997</v>
      </c>
      <c r="K29" s="162">
        <v>1826.68</v>
      </c>
      <c r="L29" s="145">
        <v>1683.6299999999999</v>
      </c>
      <c r="M29" s="82"/>
    </row>
    <row r="30" spans="1:15" x14ac:dyDescent="0.35">
      <c r="C30" s="64"/>
      <c r="D30" s="64"/>
      <c r="E30" s="149"/>
      <c r="F30" s="149"/>
      <c r="G30" s="150"/>
      <c r="H30" s="64"/>
      <c r="I30" s="33"/>
      <c r="J30" s="174"/>
      <c r="K30" s="34"/>
      <c r="L30" s="34"/>
      <c r="M30" s="60"/>
    </row>
    <row r="31" spans="1:15" x14ac:dyDescent="0.35">
      <c r="A31" s="46" t="s">
        <v>52</v>
      </c>
      <c r="C31" s="65"/>
      <c r="D31" s="65"/>
      <c r="E31" s="150"/>
      <c r="F31" s="150"/>
      <c r="G31" s="150"/>
      <c r="H31" s="65"/>
      <c r="I31" s="35"/>
      <c r="J31" s="175"/>
      <c r="K31" s="34"/>
      <c r="L31" s="34"/>
      <c r="M31" s="60"/>
    </row>
    <row r="32" spans="1:15" x14ac:dyDescent="0.35">
      <c r="A32" s="46" t="s">
        <v>24</v>
      </c>
      <c r="C32" s="100">
        <f t="shared" ref="C32:M36" si="9">C23-C16</f>
        <v>-21928.627709999986</v>
      </c>
      <c r="D32" s="100"/>
      <c r="E32" s="41">
        <f t="shared" si="9"/>
        <v>40301.11</v>
      </c>
      <c r="F32" s="41">
        <f t="shared" si="9"/>
        <v>29658.519999999997</v>
      </c>
      <c r="G32" s="108">
        <f t="shared" si="9"/>
        <v>21588.199999999997</v>
      </c>
      <c r="H32" s="40">
        <f t="shared" si="9"/>
        <v>-23230.549999999996</v>
      </c>
      <c r="I32" s="41">
        <f t="shared" si="9"/>
        <v>-13256.47</v>
      </c>
      <c r="J32" s="61">
        <f t="shared" si="9"/>
        <v>-9657.8200000000015</v>
      </c>
      <c r="K32" s="123">
        <f t="shared" si="9"/>
        <v>-7790.8239999999987</v>
      </c>
      <c r="L32" s="41">
        <f t="shared" si="9"/>
        <v>-12967.633169999999</v>
      </c>
      <c r="M32" s="61">
        <f t="shared" si="9"/>
        <v>-36997.369499999993</v>
      </c>
    </row>
    <row r="33" spans="1:13" x14ac:dyDescent="0.35">
      <c r="A33" s="46" t="s">
        <v>135</v>
      </c>
      <c r="C33" s="100">
        <f t="shared" si="9"/>
        <v>-2900.0256999999983</v>
      </c>
      <c r="D33" s="100"/>
      <c r="E33" s="41">
        <f t="shared" si="9"/>
        <v>4012.9999999999991</v>
      </c>
      <c r="F33" s="41">
        <f t="shared" si="9"/>
        <v>3320.3499999999995</v>
      </c>
      <c r="G33" s="108">
        <f t="shared" si="9"/>
        <v>2575.4499999999989</v>
      </c>
      <c r="H33" s="40">
        <f t="shared" si="9"/>
        <v>-2794.9500000000003</v>
      </c>
      <c r="I33" s="41">
        <f t="shared" si="9"/>
        <v>-1254.1800000000003</v>
      </c>
      <c r="J33" s="61">
        <f t="shared" si="9"/>
        <v>-1018.7200000000003</v>
      </c>
      <c r="K33" s="123">
        <f t="shared" si="9"/>
        <v>-1067.2280200000005</v>
      </c>
      <c r="L33" s="41">
        <f t="shared" si="9"/>
        <v>-1338.1361800000004</v>
      </c>
      <c r="M33" s="61">
        <f t="shared" si="9"/>
        <v>-3339.3691200000003</v>
      </c>
    </row>
    <row r="34" spans="1:13" x14ac:dyDescent="0.35">
      <c r="A34" s="46" t="s">
        <v>136</v>
      </c>
      <c r="C34" s="100">
        <f t="shared" si="9"/>
        <v>-4145.1117999999915</v>
      </c>
      <c r="D34" s="100"/>
      <c r="E34" s="41">
        <f t="shared" si="9"/>
        <v>13332.219999999998</v>
      </c>
      <c r="F34" s="41">
        <f t="shared" si="9"/>
        <v>12040.05</v>
      </c>
      <c r="G34" s="108">
        <f t="shared" si="9"/>
        <v>9653.0599999999977</v>
      </c>
      <c r="H34" s="40">
        <f t="shared" si="9"/>
        <v>-12613.82</v>
      </c>
      <c r="I34" s="41">
        <f t="shared" si="9"/>
        <v>-6856.29</v>
      </c>
      <c r="J34" s="61">
        <f t="shared" si="9"/>
        <v>-6223.1699999999992</v>
      </c>
      <c r="K34" s="123">
        <f t="shared" si="9"/>
        <v>-6503.9869999999983</v>
      </c>
      <c r="L34" s="41">
        <f t="shared" si="9"/>
        <v>-7500.2742799999987</v>
      </c>
      <c r="M34" s="61">
        <f t="shared" si="9"/>
        <v>-12280.807199999999</v>
      </c>
    </row>
    <row r="35" spans="1:13" x14ac:dyDescent="0.35">
      <c r="A35" s="46" t="s">
        <v>137</v>
      </c>
      <c r="C35" s="100">
        <f t="shared" si="9"/>
        <v>-7810.4115200000087</v>
      </c>
      <c r="D35" s="100"/>
      <c r="E35" s="41">
        <f t="shared" si="9"/>
        <v>16051.169999999998</v>
      </c>
      <c r="F35" s="41">
        <f t="shared" si="9"/>
        <v>15110.969999999998</v>
      </c>
      <c r="G35" s="108">
        <f t="shared" si="9"/>
        <v>13366.719999999998</v>
      </c>
      <c r="H35" s="40">
        <f t="shared" si="9"/>
        <v>-17559.95</v>
      </c>
      <c r="I35" s="41">
        <f t="shared" si="9"/>
        <v>-10360.69</v>
      </c>
      <c r="J35" s="61">
        <f t="shared" si="9"/>
        <v>-10095.619999999999</v>
      </c>
      <c r="K35" s="123">
        <f t="shared" si="9"/>
        <v>-9710.799860000001</v>
      </c>
      <c r="L35" s="41">
        <f t="shared" si="9"/>
        <v>-10920.41885</v>
      </c>
      <c r="M35" s="61">
        <f t="shared" si="9"/>
        <v>-14910.457320000001</v>
      </c>
    </row>
    <row r="36" spans="1:13" x14ac:dyDescent="0.35">
      <c r="A36" s="46" t="s">
        <v>138</v>
      </c>
      <c r="C36" s="100">
        <f t="shared" si="9"/>
        <v>-1856.0213599999988</v>
      </c>
      <c r="D36" s="100"/>
      <c r="E36" s="41">
        <f t="shared" si="9"/>
        <v>2305.66</v>
      </c>
      <c r="F36" s="41">
        <f t="shared" si="9"/>
        <v>2585.5899999999997</v>
      </c>
      <c r="G36" s="108">
        <f t="shared" si="9"/>
        <v>2382.98</v>
      </c>
      <c r="H36" s="40">
        <f t="shared" si="9"/>
        <v>-2301.61</v>
      </c>
      <c r="I36" s="41">
        <f t="shared" si="9"/>
        <v>-1338.91</v>
      </c>
      <c r="J36" s="61">
        <f t="shared" si="9"/>
        <v>-2198.8700000000003</v>
      </c>
      <c r="K36" s="123">
        <f t="shared" si="9"/>
        <v>-1644.5016500000002</v>
      </c>
      <c r="L36" s="41">
        <f t="shared" si="9"/>
        <v>-1819.28655</v>
      </c>
      <c r="M36" s="61">
        <f t="shared" si="9"/>
        <v>-2154.4985000000001</v>
      </c>
    </row>
    <row r="37" spans="1:13" x14ac:dyDescent="0.35">
      <c r="C37" s="99"/>
      <c r="D37" s="99"/>
      <c r="E37" s="17"/>
      <c r="F37" s="17"/>
      <c r="G37" s="17"/>
      <c r="H37" s="10"/>
      <c r="I37" s="17"/>
      <c r="J37" s="11"/>
      <c r="K37" s="17"/>
      <c r="L37" s="17"/>
      <c r="M37" s="11"/>
    </row>
    <row r="38" spans="1:13" x14ac:dyDescent="0.35">
      <c r="A38" s="46" t="s">
        <v>53</v>
      </c>
      <c r="C38" s="99"/>
      <c r="D38" s="99"/>
      <c r="E38" s="17"/>
      <c r="F38" s="17"/>
      <c r="G38" s="17"/>
      <c r="H38" s="10"/>
      <c r="I38" s="17"/>
      <c r="J38" s="11"/>
      <c r="K38" s="17"/>
      <c r="L38" s="17"/>
      <c r="M38" s="11"/>
    </row>
    <row r="39" spans="1:13" x14ac:dyDescent="0.35">
      <c r="A39" s="46" t="s">
        <v>24</v>
      </c>
      <c r="B39" s="61">
        <v>141182.49771</v>
      </c>
      <c r="C39" s="100">
        <f t="shared" ref="C39:M43" si="10">B39+C32+B47</f>
        <v>119253.87000000001</v>
      </c>
      <c r="D39" s="100"/>
      <c r="E39" s="41">
        <f>C39+E32+C47+D47</f>
        <v>158399.61000000002</v>
      </c>
      <c r="F39" s="41">
        <f t="shared" si="10"/>
        <v>188627.5</v>
      </c>
      <c r="G39" s="108">
        <f t="shared" si="10"/>
        <v>210985.55000000002</v>
      </c>
      <c r="H39" s="40">
        <f t="shared" si="10"/>
        <v>188668.09000000003</v>
      </c>
      <c r="I39" s="41">
        <f t="shared" si="10"/>
        <v>176345.76000000004</v>
      </c>
      <c r="J39" s="61">
        <f t="shared" si="10"/>
        <v>167568.48000000004</v>
      </c>
      <c r="K39" s="123">
        <f t="shared" si="10"/>
        <v>160633.80600000004</v>
      </c>
      <c r="L39" s="41">
        <f t="shared" si="10"/>
        <v>148483.25283000004</v>
      </c>
      <c r="M39" s="61">
        <f t="shared" si="10"/>
        <v>112255.47333000004</v>
      </c>
    </row>
    <row r="40" spans="1:13" x14ac:dyDescent="0.35">
      <c r="A40" s="46" t="s">
        <v>135</v>
      </c>
      <c r="B40" s="61">
        <v>12875.045699999991</v>
      </c>
      <c r="C40" s="100">
        <f t="shared" si="10"/>
        <v>9975.0199999999932</v>
      </c>
      <c r="D40" s="100"/>
      <c r="E40" s="41">
        <f t="shared" ref="E40:E43" si="11">C40+E33+C48+D48</f>
        <v>13885.039999999994</v>
      </c>
      <c r="F40" s="41">
        <f t="shared" si="10"/>
        <v>17254.30999999999</v>
      </c>
      <c r="G40" s="108">
        <f t="shared" si="10"/>
        <v>19898.839999999989</v>
      </c>
      <c r="H40" s="40">
        <f t="shared" si="10"/>
        <v>17188.779999999988</v>
      </c>
      <c r="I40" s="41">
        <f t="shared" si="10"/>
        <v>16021.289999999988</v>
      </c>
      <c r="J40" s="61">
        <f t="shared" si="10"/>
        <v>15082.68999999999</v>
      </c>
      <c r="K40" s="123">
        <f t="shared" si="10"/>
        <v>14092.891979999989</v>
      </c>
      <c r="L40" s="41">
        <f t="shared" si="10"/>
        <v>12827.395799999988</v>
      </c>
      <c r="M40" s="61">
        <f t="shared" si="10"/>
        <v>9555.0566799999888</v>
      </c>
    </row>
    <row r="41" spans="1:13" x14ac:dyDescent="0.35">
      <c r="A41" s="46" t="s">
        <v>136</v>
      </c>
      <c r="B41" s="61">
        <v>74373.711800000005</v>
      </c>
      <c r="C41" s="100">
        <f t="shared" si="10"/>
        <v>70228.600000000006</v>
      </c>
      <c r="D41" s="100"/>
      <c r="E41" s="41">
        <f t="shared" si="11"/>
        <v>82951.88</v>
      </c>
      <c r="F41" s="41">
        <f t="shared" si="10"/>
        <v>95306.11</v>
      </c>
      <c r="G41" s="108">
        <f t="shared" si="10"/>
        <v>105354.67</v>
      </c>
      <c r="H41" s="40">
        <f t="shared" si="10"/>
        <v>93199.37000000001</v>
      </c>
      <c r="I41" s="41">
        <f t="shared" si="10"/>
        <v>86807.190000000017</v>
      </c>
      <c r="J41" s="61">
        <f t="shared" si="10"/>
        <v>81018.270000000019</v>
      </c>
      <c r="K41" s="123">
        <f t="shared" si="10"/>
        <v>74932.083000000028</v>
      </c>
      <c r="L41" s="41">
        <f t="shared" si="10"/>
        <v>67820.078720000034</v>
      </c>
      <c r="M41" s="61">
        <f t="shared" si="10"/>
        <v>55894.701520000039</v>
      </c>
    </row>
    <row r="42" spans="1:13" x14ac:dyDescent="0.35">
      <c r="A42" s="46" t="s">
        <v>137</v>
      </c>
      <c r="B42" s="61">
        <v>98377.781520000004</v>
      </c>
      <c r="C42" s="100">
        <f t="shared" si="10"/>
        <v>90567.37</v>
      </c>
      <c r="D42" s="100"/>
      <c r="E42" s="41">
        <f t="shared" si="11"/>
        <v>105825.39</v>
      </c>
      <c r="F42" s="41">
        <f t="shared" si="10"/>
        <v>121339.15</v>
      </c>
      <c r="G42" s="108">
        <f t="shared" si="10"/>
        <v>135209.88</v>
      </c>
      <c r="H42" s="40">
        <f t="shared" si="10"/>
        <v>118236.15000000001</v>
      </c>
      <c r="I42" s="41">
        <f t="shared" si="10"/>
        <v>108467.88</v>
      </c>
      <c r="J42" s="61">
        <f t="shared" si="10"/>
        <v>98919.180000000008</v>
      </c>
      <c r="K42" s="123">
        <f t="shared" si="10"/>
        <v>89724.700140000015</v>
      </c>
      <c r="L42" s="41">
        <f t="shared" si="10"/>
        <v>79273.981290000011</v>
      </c>
      <c r="M42" s="61">
        <f t="shared" si="10"/>
        <v>64784.323970000012</v>
      </c>
    </row>
    <row r="43" spans="1:13" x14ac:dyDescent="0.35">
      <c r="A43" s="46" t="s">
        <v>138</v>
      </c>
      <c r="B43" s="61">
        <v>16754.691359999997</v>
      </c>
      <c r="C43" s="100">
        <f>B43+C36+B51</f>
        <v>14898.669999999998</v>
      </c>
      <c r="D43" s="100"/>
      <c r="E43" s="41">
        <f t="shared" si="11"/>
        <v>17074.649999999998</v>
      </c>
      <c r="F43" s="41">
        <f t="shared" si="10"/>
        <v>19725.809999999998</v>
      </c>
      <c r="G43" s="108">
        <f t="shared" si="10"/>
        <v>22190.44</v>
      </c>
      <c r="H43" s="40">
        <f t="shared" si="10"/>
        <v>19984.609999999997</v>
      </c>
      <c r="I43" s="41">
        <f t="shared" si="10"/>
        <v>18744.28</v>
      </c>
      <c r="J43" s="61">
        <f t="shared" si="10"/>
        <v>16638.84</v>
      </c>
      <c r="K43" s="123">
        <f t="shared" si="10"/>
        <v>15082.42835</v>
      </c>
      <c r="L43" s="41">
        <f t="shared" si="10"/>
        <v>13342.131799999999</v>
      </c>
      <c r="M43" s="61">
        <f t="shared" si="10"/>
        <v>11258.4133</v>
      </c>
    </row>
    <row r="44" spans="1:13" x14ac:dyDescent="0.35">
      <c r="C44" s="99"/>
      <c r="D44" s="99"/>
      <c r="E44" s="17"/>
      <c r="F44" s="17"/>
      <c r="G44" s="17"/>
      <c r="H44" s="10"/>
      <c r="I44" s="17"/>
      <c r="J44" s="11"/>
      <c r="K44" s="17"/>
      <c r="L44" s="17"/>
      <c r="M44" s="11"/>
    </row>
    <row r="45" spans="1:13" x14ac:dyDescent="0.35">
      <c r="A45" s="39" t="s">
        <v>88</v>
      </c>
      <c r="B45" s="39"/>
      <c r="C45" s="104"/>
      <c r="D45" s="104"/>
      <c r="E45" s="83">
        <f>+'PCR Cycle 2'!E50</f>
        <v>4.1184699999999999E-3</v>
      </c>
      <c r="F45" s="83">
        <f>+'PCR Cycle 2'!F50</f>
        <v>4.4295699999999999E-3</v>
      </c>
      <c r="G45" s="83">
        <f>+'PCR Cycle 2'!G50</f>
        <v>4.5610700000000004E-3</v>
      </c>
      <c r="H45" s="84">
        <f>+'PCR Cycle 2'!H50</f>
        <v>4.66411E-3</v>
      </c>
      <c r="I45" s="83">
        <f>+'PCR Cycle 2'!I50</f>
        <v>4.8123899999999997E-3</v>
      </c>
      <c r="J45" s="92">
        <f>+'PCR Cycle 2'!J50</f>
        <v>4.9661499999999999E-3</v>
      </c>
      <c r="K45" s="83">
        <f>+'PCR Cycle 2'!K50</f>
        <v>4.9661499999999999E-3</v>
      </c>
      <c r="L45" s="83">
        <f>+'PCR Cycle 2'!L50</f>
        <v>4.9661499999999999E-3</v>
      </c>
      <c r="M45" s="85"/>
    </row>
    <row r="46" spans="1:13" x14ac:dyDescent="0.35">
      <c r="A46" s="39" t="s">
        <v>37</v>
      </c>
      <c r="B46" s="39"/>
      <c r="C46" s="106"/>
      <c r="D46" s="106"/>
      <c r="E46" s="83"/>
      <c r="F46" s="83"/>
      <c r="G46" s="83"/>
      <c r="H46" s="84"/>
      <c r="I46" s="83"/>
      <c r="J46" s="85"/>
      <c r="K46" s="83"/>
      <c r="L46" s="83"/>
      <c r="M46" s="85"/>
    </row>
    <row r="47" spans="1:13" x14ac:dyDescent="0.35">
      <c r="A47" s="46" t="s">
        <v>24</v>
      </c>
      <c r="C47" s="100">
        <v>-1155.3699999999999</v>
      </c>
      <c r="D47" s="100"/>
      <c r="E47" s="41">
        <f>ROUND((C39+C47+D47+E32/2)*E$45,2)</f>
        <v>569.37</v>
      </c>
      <c r="F47" s="41">
        <f t="shared" ref="F47:M51" si="12">ROUND((E39+E47+F32/2)*F$45,2)</f>
        <v>769.85</v>
      </c>
      <c r="G47" s="108">
        <f t="shared" si="12"/>
        <v>913.09</v>
      </c>
      <c r="H47" s="40">
        <f t="shared" si="12"/>
        <v>934.14</v>
      </c>
      <c r="I47" s="123">
        <f t="shared" si="12"/>
        <v>880.54</v>
      </c>
      <c r="J47" s="49">
        <f t="shared" si="12"/>
        <v>856.15</v>
      </c>
      <c r="K47" s="163">
        <f t="shared" si="12"/>
        <v>817.08</v>
      </c>
      <c r="L47" s="108">
        <f t="shared" si="12"/>
        <v>769.59</v>
      </c>
      <c r="M47" s="61">
        <f t="shared" si="12"/>
        <v>0</v>
      </c>
    </row>
    <row r="48" spans="1:13" x14ac:dyDescent="0.35">
      <c r="A48" s="46" t="s">
        <v>135</v>
      </c>
      <c r="C48" s="100">
        <v>-102.97999999999999</v>
      </c>
      <c r="D48" s="100"/>
      <c r="E48" s="41">
        <f t="shared" ref="E48:E51" si="13">ROUND((C40+C48+D48+E33/2)*E$45,2)</f>
        <v>48.92</v>
      </c>
      <c r="F48" s="41">
        <f t="shared" si="12"/>
        <v>69.08</v>
      </c>
      <c r="G48" s="108">
        <f t="shared" si="12"/>
        <v>84.89</v>
      </c>
      <c r="H48" s="40">
        <f t="shared" si="12"/>
        <v>86.69</v>
      </c>
      <c r="I48" s="123">
        <f t="shared" si="12"/>
        <v>80.12</v>
      </c>
      <c r="J48" s="49">
        <f t="shared" si="12"/>
        <v>77.430000000000007</v>
      </c>
      <c r="K48" s="163">
        <f t="shared" si="12"/>
        <v>72.64</v>
      </c>
      <c r="L48" s="108">
        <f t="shared" si="12"/>
        <v>67.03</v>
      </c>
      <c r="M48" s="61">
        <f t="shared" si="12"/>
        <v>0</v>
      </c>
    </row>
    <row r="49" spans="1:13" x14ac:dyDescent="0.35">
      <c r="A49" s="46" t="s">
        <v>136</v>
      </c>
      <c r="C49" s="100">
        <v>-608.94000000000005</v>
      </c>
      <c r="D49" s="100"/>
      <c r="E49" s="41">
        <f t="shared" si="13"/>
        <v>314.18</v>
      </c>
      <c r="F49" s="41">
        <f t="shared" si="12"/>
        <v>395.5</v>
      </c>
      <c r="G49" s="108">
        <f t="shared" si="12"/>
        <v>458.52</v>
      </c>
      <c r="H49" s="40">
        <f t="shared" si="12"/>
        <v>464.11</v>
      </c>
      <c r="I49" s="123">
        <f t="shared" si="12"/>
        <v>434.25</v>
      </c>
      <c r="J49" s="49">
        <f t="shared" si="12"/>
        <v>417.8</v>
      </c>
      <c r="K49" s="163">
        <f t="shared" si="12"/>
        <v>388.27</v>
      </c>
      <c r="L49" s="108">
        <f t="shared" si="12"/>
        <v>355.43</v>
      </c>
      <c r="M49" s="61">
        <f t="shared" si="12"/>
        <v>0</v>
      </c>
    </row>
    <row r="50" spans="1:13" x14ac:dyDescent="0.35">
      <c r="A50" s="46" t="s">
        <v>137</v>
      </c>
      <c r="C50" s="100">
        <v>-793.15000000000009</v>
      </c>
      <c r="D50" s="100"/>
      <c r="E50" s="41">
        <f t="shared" si="13"/>
        <v>402.79</v>
      </c>
      <c r="F50" s="41">
        <f t="shared" si="12"/>
        <v>504.01</v>
      </c>
      <c r="G50" s="108">
        <f t="shared" si="12"/>
        <v>586.22</v>
      </c>
      <c r="H50" s="40">
        <f t="shared" si="12"/>
        <v>592.41999999999996</v>
      </c>
      <c r="I50" s="123">
        <f t="shared" si="12"/>
        <v>546.91999999999996</v>
      </c>
      <c r="J50" s="49">
        <f t="shared" si="12"/>
        <v>516.32000000000005</v>
      </c>
      <c r="K50" s="163">
        <f t="shared" si="12"/>
        <v>469.7</v>
      </c>
      <c r="L50" s="108">
        <f t="shared" si="12"/>
        <v>420.8</v>
      </c>
      <c r="M50" s="61">
        <f t="shared" si="12"/>
        <v>0</v>
      </c>
    </row>
    <row r="51" spans="1:13" ht="15" thickBot="1" x14ac:dyDescent="0.4">
      <c r="A51" s="46" t="s">
        <v>138</v>
      </c>
      <c r="C51" s="100">
        <v>-129.68</v>
      </c>
      <c r="D51" s="100"/>
      <c r="E51" s="41">
        <f t="shared" si="13"/>
        <v>65.569999999999993</v>
      </c>
      <c r="F51" s="41">
        <f t="shared" si="12"/>
        <v>81.650000000000006</v>
      </c>
      <c r="G51" s="108">
        <f t="shared" si="12"/>
        <v>95.78</v>
      </c>
      <c r="H51" s="40">
        <f t="shared" si="12"/>
        <v>98.58</v>
      </c>
      <c r="I51" s="123">
        <f t="shared" si="12"/>
        <v>93.43</v>
      </c>
      <c r="J51" s="49">
        <f t="shared" si="12"/>
        <v>88.09</v>
      </c>
      <c r="K51" s="163">
        <f t="shared" si="12"/>
        <v>78.989999999999995</v>
      </c>
      <c r="L51" s="108">
        <f t="shared" si="12"/>
        <v>70.78</v>
      </c>
      <c r="M51" s="61">
        <f t="shared" si="12"/>
        <v>0</v>
      </c>
    </row>
    <row r="52" spans="1:13" ht="15.5" thickTop="1" thickBot="1" x14ac:dyDescent="0.4">
      <c r="A52" s="54" t="s">
        <v>22</v>
      </c>
      <c r="B52" s="54"/>
      <c r="C52" s="107">
        <v>0</v>
      </c>
      <c r="D52" s="107"/>
      <c r="E52" s="42">
        <f t="shared" ref="E52:J52" si="14">SUM(E47:E51)+SUM(E39:E43)-E55</f>
        <v>0</v>
      </c>
      <c r="F52" s="42">
        <f t="shared" si="14"/>
        <v>0</v>
      </c>
      <c r="G52" s="50">
        <f t="shared" ref="G52:I52" si="15">SUM(G47:G51)+SUM(G39:G43)-G55</f>
        <v>0</v>
      </c>
      <c r="H52" s="147">
        <f t="shared" si="15"/>
        <v>0</v>
      </c>
      <c r="I52" s="50">
        <f t="shared" si="15"/>
        <v>0</v>
      </c>
      <c r="J52" s="62">
        <f t="shared" si="14"/>
        <v>0</v>
      </c>
      <c r="K52" s="164">
        <f t="shared" ref="K52:M52" si="16">SUM(K47:K51)+SUM(K39:K43)-K55</f>
        <v>0</v>
      </c>
      <c r="L52" s="50">
        <f t="shared" si="16"/>
        <v>0</v>
      </c>
      <c r="M52" s="62">
        <f t="shared" si="16"/>
        <v>0</v>
      </c>
    </row>
    <row r="53" spans="1:13" ht="15.5" thickTop="1" thickBot="1" x14ac:dyDescent="0.4">
      <c r="A53" s="54" t="s">
        <v>23</v>
      </c>
      <c r="B53" s="54"/>
      <c r="C53" s="107">
        <v>0</v>
      </c>
      <c r="D53" s="107"/>
      <c r="E53" s="42">
        <f t="shared" ref="E53:J53" si="17">SUM(E47:E51)-E29</f>
        <v>0</v>
      </c>
      <c r="F53" s="42">
        <f t="shared" si="17"/>
        <v>0</v>
      </c>
      <c r="G53" s="50">
        <f t="shared" ref="G53:I53" si="18">SUM(G47:G51)-G29</f>
        <v>0</v>
      </c>
      <c r="H53" s="147">
        <f t="shared" si="18"/>
        <v>0</v>
      </c>
      <c r="I53" s="50">
        <f t="shared" si="18"/>
        <v>0</v>
      </c>
      <c r="J53" s="62">
        <f t="shared" si="17"/>
        <v>0</v>
      </c>
      <c r="K53" s="165">
        <f t="shared" ref="K53:M53" si="19">SUM(K47:K51)-K29</f>
        <v>0</v>
      </c>
      <c r="L53" s="42">
        <f t="shared" si="19"/>
        <v>0</v>
      </c>
      <c r="M53" s="42">
        <f t="shared" si="19"/>
        <v>0</v>
      </c>
    </row>
    <row r="54" spans="1:13" ht="15.5" thickTop="1" thickBot="1" x14ac:dyDescent="0.4">
      <c r="C54" s="99"/>
      <c r="D54" s="99"/>
      <c r="E54" s="17"/>
      <c r="F54" s="17"/>
      <c r="G54" s="17"/>
      <c r="H54" s="10"/>
      <c r="I54" s="17"/>
      <c r="J54" s="11"/>
      <c r="K54" s="17"/>
      <c r="L54" s="17"/>
      <c r="M54" s="11"/>
    </row>
    <row r="55" spans="1:13" ht="15" thickBot="1" x14ac:dyDescent="0.4">
      <c r="A55" s="46" t="s">
        <v>36</v>
      </c>
      <c r="B55" s="119">
        <f>SUM(B39:B43)</f>
        <v>343563.72808999999</v>
      </c>
      <c r="C55" s="100">
        <f t="shared" ref="C55:M55" si="20">(C13-SUM(C16:C20))+SUM(C47:C51)+B55</f>
        <v>302133.40999999997</v>
      </c>
      <c r="D55" s="100"/>
      <c r="E55" s="41">
        <f>(E13-SUM(E16:E20))+SUM(D47:E51)+C55</f>
        <v>379537.4</v>
      </c>
      <c r="F55" s="41">
        <f t="shared" si="20"/>
        <v>444072.97000000003</v>
      </c>
      <c r="G55" s="108">
        <f t="shared" si="20"/>
        <v>495777.88</v>
      </c>
      <c r="H55" s="40">
        <f t="shared" si="20"/>
        <v>439452.94</v>
      </c>
      <c r="I55" s="41">
        <f t="shared" si="20"/>
        <v>408421.66000000003</v>
      </c>
      <c r="J55" s="61">
        <f t="shared" si="20"/>
        <v>381183.25000000006</v>
      </c>
      <c r="K55" s="163">
        <f t="shared" si="20"/>
        <v>356292.58947000006</v>
      </c>
      <c r="L55" s="108">
        <f t="shared" si="20"/>
        <v>323430.47044000006</v>
      </c>
      <c r="M55" s="61">
        <f t="shared" si="20"/>
        <v>253747.96880000006</v>
      </c>
    </row>
    <row r="56" spans="1:13" x14ac:dyDescent="0.35">
      <c r="A56" s="46" t="s">
        <v>12</v>
      </c>
      <c r="C56" s="120"/>
      <c r="D56" s="17"/>
      <c r="E56" s="17"/>
      <c r="F56" s="17"/>
      <c r="G56" s="17"/>
      <c r="H56" s="10"/>
      <c r="I56" s="17"/>
      <c r="J56" s="11"/>
      <c r="K56" s="17"/>
      <c r="L56" s="17"/>
      <c r="M56" s="11"/>
    </row>
    <row r="57" spans="1:13" ht="15" thickBot="1" x14ac:dyDescent="0.4">
      <c r="A57" s="37"/>
      <c r="B57" s="37"/>
      <c r="C57" s="148"/>
      <c r="D57" s="273"/>
      <c r="E57" s="44"/>
      <c r="F57" s="44"/>
      <c r="G57" s="44"/>
      <c r="H57" s="43"/>
      <c r="I57" s="44"/>
      <c r="J57" s="45"/>
      <c r="K57" s="44"/>
      <c r="L57" s="44"/>
      <c r="M57" s="45"/>
    </row>
    <row r="59" spans="1:13" x14ac:dyDescent="0.35">
      <c r="A59" s="69" t="s">
        <v>11</v>
      </c>
      <c r="B59" s="69"/>
      <c r="C59" s="69"/>
      <c r="D59" s="69"/>
    </row>
    <row r="60" spans="1:13" ht="31.5" customHeight="1" x14ac:dyDescent="0.35">
      <c r="A60" s="316" t="s">
        <v>160</v>
      </c>
      <c r="B60" s="316"/>
      <c r="C60" s="316"/>
      <c r="D60" s="316"/>
      <c r="E60" s="316"/>
      <c r="F60" s="316"/>
      <c r="G60" s="316"/>
      <c r="H60" s="316"/>
      <c r="I60" s="316"/>
      <c r="J60" s="316"/>
      <c r="K60" s="285"/>
      <c r="L60" s="285"/>
      <c r="M60" s="285"/>
    </row>
    <row r="61" spans="1:13" ht="57.75" customHeight="1" x14ac:dyDescent="0.35">
      <c r="A61" s="316" t="s">
        <v>224</v>
      </c>
      <c r="B61" s="316"/>
      <c r="C61" s="316"/>
      <c r="D61" s="316"/>
      <c r="E61" s="316"/>
      <c r="F61" s="316"/>
      <c r="G61" s="316"/>
      <c r="H61" s="316"/>
      <c r="I61" s="316"/>
      <c r="J61" s="316"/>
      <c r="K61" s="316"/>
      <c r="L61" s="285"/>
    </row>
    <row r="62" spans="1:13" ht="18.75" customHeight="1" x14ac:dyDescent="0.35">
      <c r="A62" s="316" t="s">
        <v>215</v>
      </c>
      <c r="B62" s="316"/>
      <c r="C62" s="316"/>
      <c r="D62" s="316"/>
      <c r="E62" s="316"/>
      <c r="F62" s="316"/>
      <c r="G62" s="316"/>
      <c r="H62" s="316"/>
      <c r="I62" s="316"/>
      <c r="J62" s="316"/>
      <c r="K62" s="285"/>
      <c r="L62" s="285"/>
      <c r="M62" s="285"/>
    </row>
    <row r="63" spans="1:13" x14ac:dyDescent="0.35">
      <c r="A63" s="63" t="s">
        <v>31</v>
      </c>
      <c r="B63" s="63"/>
      <c r="C63" s="63"/>
      <c r="D63" s="63"/>
      <c r="E63" s="39"/>
      <c r="F63" s="39"/>
      <c r="G63" s="39"/>
      <c r="H63" s="39"/>
      <c r="I63" s="39"/>
      <c r="J63" s="39"/>
    </row>
    <row r="64" spans="1:13" x14ac:dyDescent="0.35">
      <c r="A64" s="63" t="s">
        <v>201</v>
      </c>
      <c r="B64" s="63"/>
      <c r="C64" s="63"/>
      <c r="D64" s="63"/>
      <c r="E64" s="39"/>
      <c r="F64" s="39"/>
      <c r="G64" s="39"/>
      <c r="H64" s="39"/>
      <c r="I64" s="39"/>
      <c r="J64" s="39"/>
    </row>
    <row r="65" spans="1:10" x14ac:dyDescent="0.35">
      <c r="A65" s="63" t="s">
        <v>95</v>
      </c>
      <c r="B65" s="63"/>
      <c r="C65" s="63"/>
      <c r="D65" s="63"/>
      <c r="E65" s="39"/>
      <c r="F65" s="39"/>
      <c r="G65" s="39"/>
      <c r="H65" s="39"/>
      <c r="I65" s="39"/>
      <c r="J65" s="39"/>
    </row>
    <row r="66" spans="1:10" x14ac:dyDescent="0.35">
      <c r="A66" s="3"/>
      <c r="B66" s="3"/>
      <c r="C66" s="3"/>
      <c r="D66" s="3"/>
    </row>
    <row r="68" spans="1:10" ht="36" customHeight="1" x14ac:dyDescent="0.35">
      <c r="A68" s="312"/>
      <c r="B68" s="312"/>
      <c r="C68" s="312"/>
      <c r="D68" s="312"/>
      <c r="E68" s="312"/>
      <c r="F68" s="312"/>
      <c r="G68" s="312"/>
    </row>
  </sheetData>
  <mergeCells count="7">
    <mergeCell ref="A68:G68"/>
    <mergeCell ref="E11:G11"/>
    <mergeCell ref="H11:J11"/>
    <mergeCell ref="K11:M11"/>
    <mergeCell ref="A60:J60"/>
    <mergeCell ref="A62:J62"/>
    <mergeCell ref="A61:K61"/>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34"/>
  <sheetViews>
    <sheetView workbookViewId="0">
      <selection activeCell="C8" sqref="C8"/>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2.453125" style="46" bestFit="1" customWidth="1"/>
    <col min="6" max="6" width="13.54296875" style="46" bestFit="1" customWidth="1"/>
    <col min="7" max="16384" width="9.1796875" style="46"/>
  </cols>
  <sheetData>
    <row r="1" spans="1:4" x14ac:dyDescent="0.35">
      <c r="A1" s="63" t="str">
        <f>+'PPC Cycle 3'!A1</f>
        <v>Evergy Metro, Inc. - DSIM Rider Update Filed 06/01/2023</v>
      </c>
    </row>
    <row r="2" spans="1:4" x14ac:dyDescent="0.35">
      <c r="A2" s="9" t="str">
        <f>+'PPC Cycle 3'!A2</f>
        <v>Projections for Cycle 3 July 2023 - June 2024 DSIM</v>
      </c>
    </row>
    <row r="3" spans="1:4" ht="45.75" customHeight="1" x14ac:dyDescent="0.35">
      <c r="B3" s="310" t="s">
        <v>97</v>
      </c>
      <c r="C3" s="310"/>
      <c r="D3" s="310"/>
    </row>
    <row r="4" spans="1:4" x14ac:dyDescent="0.35">
      <c r="B4" s="48" t="s">
        <v>17</v>
      </c>
    </row>
    <row r="5" spans="1:4" x14ac:dyDescent="0.35">
      <c r="A5" s="20" t="s">
        <v>84</v>
      </c>
      <c r="B5" s="288">
        <f>+B8</f>
        <v>0</v>
      </c>
    </row>
    <row r="6" spans="1:4" x14ac:dyDescent="0.35">
      <c r="A6" s="20" t="s">
        <v>85</v>
      </c>
      <c r="B6" s="288">
        <f>+C8</f>
        <v>0</v>
      </c>
    </row>
    <row r="7" spans="1:4" ht="29" x14ac:dyDescent="0.35">
      <c r="A7" s="20"/>
      <c r="B7" s="276" t="s">
        <v>84</v>
      </c>
      <c r="C7" s="277" t="s">
        <v>85</v>
      </c>
      <c r="D7" s="3" t="s">
        <v>5</v>
      </c>
    </row>
    <row r="8" spans="1:4" x14ac:dyDescent="0.35">
      <c r="A8" s="20" t="s">
        <v>24</v>
      </c>
      <c r="B8" s="218">
        <v>0</v>
      </c>
      <c r="C8" s="218">
        <v>0</v>
      </c>
      <c r="D8" s="218">
        <f>SUM(B8:C8)</f>
        <v>0</v>
      </c>
    </row>
    <row r="9" spans="1:4" x14ac:dyDescent="0.35">
      <c r="A9" s="20" t="s">
        <v>25</v>
      </c>
      <c r="B9" s="218">
        <v>0</v>
      </c>
      <c r="C9" s="218">
        <v>0</v>
      </c>
      <c r="D9" s="218">
        <f>SUM(B9:C9)</f>
        <v>0</v>
      </c>
    </row>
    <row r="10" spans="1:4" ht="15" thickBot="1" x14ac:dyDescent="0.4">
      <c r="A10" s="20" t="s">
        <v>5</v>
      </c>
      <c r="B10" s="219">
        <f>SUM(B8:B9)</f>
        <v>0</v>
      </c>
      <c r="C10" s="219">
        <f>SUM(C8:C9)</f>
        <v>0</v>
      </c>
      <c r="D10" s="219">
        <f>SUM(D8:D9)</f>
        <v>0</v>
      </c>
    </row>
    <row r="11" spans="1:4" ht="15.5" thickTop="1" thickBot="1" x14ac:dyDescent="0.4">
      <c r="B11" s="220">
        <f>+B10-B5</f>
        <v>0</v>
      </c>
      <c r="C11" s="220">
        <f>+C10-B6</f>
        <v>0</v>
      </c>
      <c r="D11" s="220">
        <f>ROUND(B5+B6,2)-D10</f>
        <v>0</v>
      </c>
    </row>
    <row r="12" spans="1:4" ht="29.5" thickTop="1" x14ac:dyDescent="0.35">
      <c r="B12" s="230"/>
      <c r="C12" s="229" t="s">
        <v>111</v>
      </c>
    </row>
    <row r="13" spans="1:4" x14ac:dyDescent="0.35">
      <c r="A13" s="20" t="s">
        <v>107</v>
      </c>
      <c r="B13" s="218">
        <v>0</v>
      </c>
      <c r="C13" s="227">
        <f>+'PCR Cycle 2'!L8</f>
        <v>0.13576441564001979</v>
      </c>
    </row>
    <row r="14" spans="1:4" x14ac:dyDescent="0.35">
      <c r="A14" s="20" t="s">
        <v>108</v>
      </c>
      <c r="B14" s="218">
        <v>0</v>
      </c>
      <c r="C14" s="227">
        <f>+'PCR Cycle 2'!L9</f>
        <v>0.35611574316442379</v>
      </c>
    </row>
    <row r="15" spans="1:4" x14ac:dyDescent="0.35">
      <c r="A15" s="20" t="s">
        <v>109</v>
      </c>
      <c r="B15" s="278">
        <v>0</v>
      </c>
      <c r="C15" s="227">
        <f>+'PCR Cycle 2'!L10</f>
        <v>0.4183185730547726</v>
      </c>
    </row>
    <row r="16" spans="1:4" ht="15" thickBot="1" x14ac:dyDescent="0.4">
      <c r="A16" s="20" t="s">
        <v>110</v>
      </c>
      <c r="B16" s="218">
        <v>0</v>
      </c>
      <c r="C16" s="227">
        <f>+'PCR Cycle 2'!L11</f>
        <v>8.9801268140783777E-2</v>
      </c>
    </row>
    <row r="17" spans="1:4" ht="15.5" thickTop="1" thickBot="1" x14ac:dyDescent="0.4">
      <c r="A17" s="20" t="s">
        <v>112</v>
      </c>
      <c r="B17" s="32">
        <f>SUM(B13:B16)</f>
        <v>0</v>
      </c>
      <c r="C17" s="228">
        <f>SUM(C13:C16)</f>
        <v>1</v>
      </c>
    </row>
    <row r="18" spans="1:4" ht="15" thickTop="1" x14ac:dyDescent="0.35"/>
    <row r="19" spans="1:4" x14ac:dyDescent="0.35">
      <c r="A19" s="53" t="s">
        <v>11</v>
      </c>
    </row>
    <row r="20" spans="1:4" s="39" customFormat="1" x14ac:dyDescent="0.35">
      <c r="A20" s="3" t="s">
        <v>265</v>
      </c>
      <c r="B20" s="46"/>
      <c r="C20" s="46"/>
      <c r="D20" s="46"/>
    </row>
    <row r="21" spans="1:4" s="39" customFormat="1" x14ac:dyDescent="0.35">
      <c r="A21" s="3" t="s">
        <v>266</v>
      </c>
      <c r="B21" s="46"/>
      <c r="C21" s="46"/>
      <c r="D21" s="46"/>
    </row>
    <row r="22" spans="1:4" s="39" customFormat="1" x14ac:dyDescent="0.35">
      <c r="A22" s="3"/>
      <c r="B22" s="46"/>
      <c r="C22" s="46"/>
      <c r="D22" s="46"/>
    </row>
    <row r="24" spans="1:4" x14ac:dyDescent="0.35">
      <c r="A24" s="3"/>
      <c r="D24" s="191"/>
    </row>
    <row r="25" spans="1:4" x14ac:dyDescent="0.35">
      <c r="D25" s="191"/>
    </row>
    <row r="26" spans="1:4" x14ac:dyDescent="0.35">
      <c r="B26" s="70"/>
      <c r="D26" s="191"/>
    </row>
    <row r="27" spans="1:4" x14ac:dyDescent="0.35">
      <c r="A27" s="215"/>
      <c r="B27" s="216"/>
      <c r="D27" s="191"/>
    </row>
    <row r="28" spans="1:4" x14ac:dyDescent="0.35">
      <c r="A28" s="215"/>
      <c r="B28" s="216"/>
      <c r="D28" s="191"/>
    </row>
    <row r="29" spans="1:4" x14ac:dyDescent="0.35">
      <c r="A29" s="215"/>
      <c r="B29" s="216"/>
      <c r="D29" s="191"/>
    </row>
    <row r="30" spans="1:4" x14ac:dyDescent="0.35">
      <c r="A30" s="215"/>
      <c r="B30" s="216"/>
      <c r="D30" s="191"/>
    </row>
    <row r="31" spans="1:4" x14ac:dyDescent="0.35">
      <c r="A31" s="215"/>
      <c r="B31" s="192"/>
      <c r="D31" s="191"/>
    </row>
    <row r="32" spans="1:4" x14ac:dyDescent="0.35">
      <c r="A32" s="215"/>
      <c r="B32" s="192"/>
      <c r="D32" s="191"/>
    </row>
    <row r="33" spans="1:4" ht="16" x14ac:dyDescent="0.5">
      <c r="A33" s="215"/>
      <c r="B33" s="192"/>
      <c r="D33" s="217"/>
    </row>
    <row r="34" spans="1:4" x14ac:dyDescent="0.35">
      <c r="A34" s="215"/>
      <c r="D34" s="191"/>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pageSetUpPr fitToPage="1"/>
  </sheetPr>
  <dimension ref="A1:E35"/>
  <sheetViews>
    <sheetView topLeftCell="A10" workbookViewId="0">
      <selection activeCell="E24" sqref="E24"/>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54296875" style="46" bestFit="1" customWidth="1"/>
    <col min="5" max="5" width="13.453125" style="46" bestFit="1" customWidth="1"/>
    <col min="6" max="6" width="13.54296875" style="46" bestFit="1" customWidth="1"/>
    <col min="7" max="16384" width="9.1796875" style="46"/>
  </cols>
  <sheetData>
    <row r="1" spans="1:5" x14ac:dyDescent="0.35">
      <c r="A1" s="63" t="str">
        <f>+'PPC Cycle 3'!A1</f>
        <v>Evergy Metro, Inc. - DSIM Rider Update Filed 06/01/2023</v>
      </c>
    </row>
    <row r="2" spans="1:5" x14ac:dyDescent="0.35">
      <c r="A2" s="9" t="str">
        <f>+'PPC Cycle 3'!A2</f>
        <v>Projections for Cycle 3 July 2023 - June 2024 DSIM</v>
      </c>
    </row>
    <row r="3" spans="1:5" ht="45.75" customHeight="1" x14ac:dyDescent="0.35">
      <c r="B3" s="310" t="s">
        <v>176</v>
      </c>
      <c r="C3" s="310"/>
      <c r="D3" s="310"/>
    </row>
    <row r="4" spans="1:5" x14ac:dyDescent="0.35">
      <c r="B4" s="48" t="s">
        <v>17</v>
      </c>
    </row>
    <row r="5" spans="1:5" x14ac:dyDescent="0.35">
      <c r="A5" s="20" t="s">
        <v>179</v>
      </c>
      <c r="B5" s="288">
        <f>+B11</f>
        <v>0</v>
      </c>
    </row>
    <row r="6" spans="1:5" x14ac:dyDescent="0.35">
      <c r="A6" s="20" t="s">
        <v>180</v>
      </c>
      <c r="B6" s="288">
        <f>+C11</f>
        <v>0</v>
      </c>
    </row>
    <row r="7" spans="1:5" x14ac:dyDescent="0.35">
      <c r="A7" s="20" t="s">
        <v>181</v>
      </c>
      <c r="B7" s="288">
        <f>+D11</f>
        <v>0</v>
      </c>
    </row>
    <row r="8" spans="1:5" ht="58" x14ac:dyDescent="0.35">
      <c r="A8" s="20"/>
      <c r="B8" s="276" t="s">
        <v>179</v>
      </c>
      <c r="C8" s="276" t="s">
        <v>180</v>
      </c>
      <c r="D8" s="277" t="s">
        <v>85</v>
      </c>
      <c r="E8" s="3" t="s">
        <v>5</v>
      </c>
    </row>
    <row r="9" spans="1:5" x14ac:dyDescent="0.35">
      <c r="A9" s="20" t="s">
        <v>24</v>
      </c>
      <c r="B9" s="218">
        <v>0</v>
      </c>
      <c r="C9" s="218">
        <v>0</v>
      </c>
      <c r="D9" s="218">
        <v>0</v>
      </c>
      <c r="E9" s="218">
        <f>SUM(B9:D9)</f>
        <v>0</v>
      </c>
    </row>
    <row r="10" spans="1:5" x14ac:dyDescent="0.35">
      <c r="A10" s="20" t="s">
        <v>25</v>
      </c>
      <c r="B10" s="218">
        <v>0</v>
      </c>
      <c r="C10" s="218">
        <v>0</v>
      </c>
      <c r="D10" s="218">
        <v>0</v>
      </c>
      <c r="E10" s="218">
        <f>SUM(B10:D10)</f>
        <v>0</v>
      </c>
    </row>
    <row r="11" spans="1:5" ht="15" thickBot="1" x14ac:dyDescent="0.4">
      <c r="A11" s="20" t="s">
        <v>5</v>
      </c>
      <c r="B11" s="219">
        <f>SUM(B9:B10)</f>
        <v>0</v>
      </c>
      <c r="C11" s="219">
        <f>SUM(C9:C10)</f>
        <v>0</v>
      </c>
      <c r="D11" s="219">
        <f>SUM(D9:D10)</f>
        <v>0</v>
      </c>
      <c r="E11" s="219">
        <f>SUM(E9:E10)</f>
        <v>0</v>
      </c>
    </row>
    <row r="12" spans="1:5" ht="15.5" thickTop="1" thickBot="1" x14ac:dyDescent="0.4">
      <c r="B12" s="220">
        <f>+B11-B5</f>
        <v>0</v>
      </c>
      <c r="C12" s="220">
        <f>+C11-B6</f>
        <v>0</v>
      </c>
      <c r="D12" s="220">
        <f>+D11-B7</f>
        <v>0</v>
      </c>
      <c r="E12" s="220">
        <f>ROUND(B5+B6+B7,2)-E11</f>
        <v>0</v>
      </c>
    </row>
    <row r="13" spans="1:5" ht="15" thickTop="1" x14ac:dyDescent="0.35">
      <c r="B13" s="230"/>
      <c r="C13" s="230"/>
      <c r="D13" s="295" t="s">
        <v>184</v>
      </c>
    </row>
    <row r="14" spans="1:5" x14ac:dyDescent="0.35">
      <c r="A14" s="20" t="s">
        <v>107</v>
      </c>
      <c r="B14" s="218">
        <f>ROUND($E$10*D14,2)</f>
        <v>0</v>
      </c>
      <c r="C14" s="218"/>
      <c r="D14" s="227">
        <f>+'PCR Cycle 2'!L8</f>
        <v>0.13576441564001979</v>
      </c>
    </row>
    <row r="15" spans="1:5" x14ac:dyDescent="0.35">
      <c r="A15" s="20" t="s">
        <v>108</v>
      </c>
      <c r="B15" s="218">
        <f t="shared" ref="B15:B17" si="0">ROUND($E$10*D15,2)</f>
        <v>0</v>
      </c>
      <c r="C15" s="218"/>
      <c r="D15" s="227">
        <f>+'PCR Cycle 2'!L9</f>
        <v>0.35611574316442379</v>
      </c>
    </row>
    <row r="16" spans="1:5" x14ac:dyDescent="0.35">
      <c r="A16" s="20" t="s">
        <v>109</v>
      </c>
      <c r="B16" s="218">
        <f t="shared" si="0"/>
        <v>0</v>
      </c>
      <c r="C16" s="278"/>
      <c r="D16" s="227">
        <f>+'PCR Cycle 2'!L10</f>
        <v>0.4183185730547726</v>
      </c>
    </row>
    <row r="17" spans="1:4" ht="15" thickBot="1" x14ac:dyDescent="0.4">
      <c r="A17" s="20" t="s">
        <v>110</v>
      </c>
      <c r="B17" s="218">
        <f t="shared" si="0"/>
        <v>0</v>
      </c>
      <c r="C17" s="218"/>
      <c r="D17" s="227">
        <f>+'PCR Cycle 2'!L11</f>
        <v>8.9801268140783777E-2</v>
      </c>
    </row>
    <row r="18" spans="1:4" ht="15.5" thickTop="1" thickBot="1" x14ac:dyDescent="0.4">
      <c r="A18" s="20" t="s">
        <v>112</v>
      </c>
      <c r="B18" s="32">
        <f>SUM(B14:B17)</f>
        <v>0</v>
      </c>
      <c r="C18" s="32"/>
      <c r="D18" s="228">
        <f>SUM(D14:D17)</f>
        <v>1</v>
      </c>
    </row>
    <row r="19" spans="1:4" ht="15" thickTop="1" x14ac:dyDescent="0.35"/>
    <row r="20" spans="1:4" x14ac:dyDescent="0.35">
      <c r="A20" s="53" t="s">
        <v>11</v>
      </c>
    </row>
    <row r="21" spans="1:4" s="39" customFormat="1" x14ac:dyDescent="0.35">
      <c r="A21" s="3" t="s">
        <v>281</v>
      </c>
      <c r="B21" s="46"/>
      <c r="C21" s="46"/>
      <c r="D21" s="46"/>
    </row>
    <row r="22" spans="1:4" s="39" customFormat="1" x14ac:dyDescent="0.35">
      <c r="A22" s="3" t="s">
        <v>282</v>
      </c>
      <c r="B22" s="46"/>
      <c r="C22" s="46"/>
      <c r="D22" s="46"/>
    </row>
    <row r="23" spans="1:4" s="39" customFormat="1" x14ac:dyDescent="0.35">
      <c r="A23" s="3" t="s">
        <v>283</v>
      </c>
      <c r="B23" s="46"/>
      <c r="C23" s="46"/>
      <c r="D23" s="46"/>
    </row>
    <row r="25" spans="1:4" x14ac:dyDescent="0.35">
      <c r="A25" s="3"/>
      <c r="D25" s="191"/>
    </row>
    <row r="26" spans="1:4" x14ac:dyDescent="0.35">
      <c r="D26" s="191"/>
    </row>
    <row r="27" spans="1:4" x14ac:dyDescent="0.35">
      <c r="B27" s="70"/>
      <c r="D27" s="191"/>
    </row>
    <row r="28" spans="1:4" x14ac:dyDescent="0.35">
      <c r="A28" s="215"/>
      <c r="B28" s="216"/>
      <c r="D28" s="191"/>
    </row>
    <row r="29" spans="1:4" x14ac:dyDescent="0.35">
      <c r="A29" s="215"/>
      <c r="B29" s="216"/>
      <c r="D29" s="191"/>
    </row>
    <row r="30" spans="1:4" x14ac:dyDescent="0.35">
      <c r="A30" s="215"/>
      <c r="B30" s="216"/>
      <c r="D30" s="191"/>
    </row>
    <row r="31" spans="1:4" x14ac:dyDescent="0.35">
      <c r="A31" s="215"/>
      <c r="B31" s="216"/>
      <c r="D31" s="191"/>
    </row>
    <row r="32" spans="1:4" x14ac:dyDescent="0.35">
      <c r="A32" s="215"/>
      <c r="B32" s="192"/>
      <c r="D32" s="191"/>
    </row>
    <row r="33" spans="1:4" x14ac:dyDescent="0.35">
      <c r="A33" s="215"/>
      <c r="B33" s="192"/>
      <c r="D33" s="191"/>
    </row>
    <row r="34" spans="1:4" ht="16" x14ac:dyDescent="0.5">
      <c r="A34" s="215"/>
      <c r="B34" s="192"/>
      <c r="D34" s="217"/>
    </row>
    <row r="35" spans="1:4" x14ac:dyDescent="0.35">
      <c r="A35" s="215"/>
      <c r="D35" s="191"/>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4"/>
  <sheetViews>
    <sheetView topLeftCell="A4" workbookViewId="0">
      <selection activeCell="O4"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06/01/2023</v>
      </c>
      <c r="B1" s="3"/>
      <c r="C1" s="3"/>
    </row>
    <row r="2" spans="1:34" x14ac:dyDescent="0.35">
      <c r="D2" s="3" t="s">
        <v>96</v>
      </c>
    </row>
    <row r="3" spans="1:34" ht="29" x14ac:dyDescent="0.35">
      <c r="D3" s="48" t="s">
        <v>46</v>
      </c>
      <c r="E3" s="70" t="s">
        <v>17</v>
      </c>
      <c r="F3" s="48" t="s">
        <v>3</v>
      </c>
      <c r="G3" s="70" t="s">
        <v>55</v>
      </c>
      <c r="H3" s="48" t="s">
        <v>10</v>
      </c>
      <c r="I3" s="48" t="s">
        <v>18</v>
      </c>
      <c r="R3" s="48"/>
    </row>
    <row r="4" spans="1:34" x14ac:dyDescent="0.35">
      <c r="A4" s="20" t="s">
        <v>24</v>
      </c>
      <c r="B4" s="20"/>
      <c r="C4" s="20"/>
      <c r="D4" s="22">
        <f>SUM(C19:L19)</f>
        <v>-38122.827289999994</v>
      </c>
      <c r="E4" s="22">
        <f>SUM(C23:K23)</f>
        <v>0</v>
      </c>
      <c r="F4" s="22">
        <f>E4-D4</f>
        <v>38122.827289999994</v>
      </c>
      <c r="G4" s="22">
        <f>+B33</f>
        <v>-71316.226519999997</v>
      </c>
      <c r="H4" s="22">
        <f>SUM(C38:K38)</f>
        <v>-1827.7</v>
      </c>
      <c r="I4" s="25">
        <f>SUM(F4:H4)</f>
        <v>-35021.09923</v>
      </c>
      <c r="J4" s="47">
        <f>+I4-L33</f>
        <v>0</v>
      </c>
      <c r="M4" s="47"/>
    </row>
    <row r="5" spans="1:34" ht="15" thickBot="1" x14ac:dyDescent="0.4">
      <c r="A5" s="20" t="s">
        <v>25</v>
      </c>
      <c r="B5" s="20"/>
      <c r="C5" s="20"/>
      <c r="D5" s="22">
        <f>SUM(C20:L20)</f>
        <v>0</v>
      </c>
      <c r="E5" s="22">
        <f>SUM(C24:K24)</f>
        <v>0</v>
      </c>
      <c r="F5" s="22">
        <f>E5-D5</f>
        <v>0</v>
      </c>
      <c r="G5" s="22">
        <f>+B34</f>
        <v>0</v>
      </c>
      <c r="H5" s="22">
        <f>SUM(C39:K39)</f>
        <v>0</v>
      </c>
      <c r="I5" s="25">
        <f>SUM(F5:H5)</f>
        <v>0</v>
      </c>
      <c r="J5" s="47">
        <f>+I5-L34</f>
        <v>0</v>
      </c>
      <c r="M5" s="47"/>
    </row>
    <row r="6" spans="1:34" ht="15.5" thickTop="1" thickBot="1" x14ac:dyDescent="0.4">
      <c r="D6" s="27">
        <f t="shared" ref="D6" si="0">SUM(D4:D5)</f>
        <v>-38122.827289999994</v>
      </c>
      <c r="E6" s="27">
        <f>SUM(E4:E5)</f>
        <v>0</v>
      </c>
      <c r="F6" s="27">
        <f>SUM(F4:F5)</f>
        <v>38122.827289999994</v>
      </c>
      <c r="G6" s="27">
        <f>SUM(G4:G5)</f>
        <v>-71316.226519999997</v>
      </c>
      <c r="H6" s="27">
        <f>SUM(H4:H5)</f>
        <v>-1827.7</v>
      </c>
      <c r="I6" s="27">
        <f>SUM(I4:I5)</f>
        <v>-35021.09923</v>
      </c>
      <c r="S6" s="5"/>
    </row>
    <row r="7" spans="1:34" ht="44" thickTop="1" x14ac:dyDescent="0.35">
      <c r="I7" s="230"/>
      <c r="J7" s="229" t="s">
        <v>123</v>
      </c>
    </row>
    <row r="8" spans="1:34" x14ac:dyDescent="0.35">
      <c r="A8" s="20" t="s">
        <v>107</v>
      </c>
      <c r="I8" s="25">
        <f>ROUND($I$5*J8,2)</f>
        <v>0</v>
      </c>
      <c r="J8" s="227">
        <f>+'PCR Cycle 2'!L8</f>
        <v>0.13576441564001979</v>
      </c>
    </row>
    <row r="9" spans="1:34" x14ac:dyDescent="0.35">
      <c r="A9" s="20" t="s">
        <v>108</v>
      </c>
      <c r="I9" s="25">
        <f t="shared" ref="I9:I11" si="1">ROUND($I$5*J9,2)</f>
        <v>0</v>
      </c>
      <c r="J9" s="227">
        <f>+'PCR Cycle 2'!L9</f>
        <v>0.35611574316442379</v>
      </c>
    </row>
    <row r="10" spans="1:34" x14ac:dyDescent="0.35">
      <c r="A10" s="20" t="s">
        <v>109</v>
      </c>
      <c r="I10" s="25">
        <f t="shared" si="1"/>
        <v>0</v>
      </c>
      <c r="J10" s="227">
        <f>+'PCR Cycle 2'!L10</f>
        <v>0.4183185730547726</v>
      </c>
    </row>
    <row r="11" spans="1:34" ht="15" thickBot="1" x14ac:dyDescent="0.4">
      <c r="A11" s="20" t="s">
        <v>110</v>
      </c>
      <c r="I11" s="25">
        <f t="shared" si="1"/>
        <v>0</v>
      </c>
      <c r="J11" s="227">
        <f>+'PCR Cycle 2'!L11</f>
        <v>8.9801268140783777E-2</v>
      </c>
    </row>
    <row r="12" spans="1:34" ht="15.5" thickTop="1" thickBot="1" x14ac:dyDescent="0.4">
      <c r="A12" s="20" t="s">
        <v>112</v>
      </c>
      <c r="I12" s="27">
        <f>SUM(I8:I11)</f>
        <v>0</v>
      </c>
      <c r="J12" s="228">
        <f>SUM(J8:J11)</f>
        <v>1</v>
      </c>
      <c r="U12" s="4"/>
    </row>
    <row r="13" spans="1:34" ht="15.5" thickTop="1" thickBot="1" x14ac:dyDescent="0.4">
      <c r="U13" s="4"/>
      <c r="V13" s="5"/>
    </row>
    <row r="14" spans="1:34" ht="116.5" thickBot="1" x14ac:dyDescent="0.4">
      <c r="B14" s="118" t="str">
        <f>+'PCR Cycle 2'!B14</f>
        <v>Cumulative Over/Under Carryover From 12/01/2022 Filing</v>
      </c>
      <c r="C14" s="153" t="str">
        <f>+'PCR Cycle 2'!C14</f>
        <v>Reverse November 2022 - January 2023 Forecast From 12/01/2022 Filing</v>
      </c>
      <c r="D14" s="317" t="s">
        <v>33</v>
      </c>
      <c r="E14" s="317"/>
      <c r="F14" s="318"/>
      <c r="G14" s="323" t="s">
        <v>33</v>
      </c>
      <c r="H14" s="324"/>
      <c r="I14" s="325"/>
      <c r="J14" s="313" t="s">
        <v>8</v>
      </c>
      <c r="K14" s="314"/>
      <c r="L14" s="315"/>
    </row>
    <row r="15" spans="1:34" x14ac:dyDescent="0.35">
      <c r="A15" s="46" t="s">
        <v>91</v>
      </c>
      <c r="C15" s="105"/>
      <c r="D15" s="19">
        <f>+'PCR Cycle 2'!E15</f>
        <v>44895</v>
      </c>
      <c r="E15" s="19">
        <f t="shared" ref="E15:L15" si="2">EOMONTH(D15,1)</f>
        <v>44926</v>
      </c>
      <c r="F15" s="19">
        <f t="shared" si="2"/>
        <v>44957</v>
      </c>
      <c r="G15" s="14">
        <f t="shared" si="2"/>
        <v>44985</v>
      </c>
      <c r="H15" s="19">
        <f t="shared" si="2"/>
        <v>45016</v>
      </c>
      <c r="I15" s="15">
        <f t="shared" si="2"/>
        <v>45046</v>
      </c>
      <c r="J15" s="19">
        <f t="shared" si="2"/>
        <v>45077</v>
      </c>
      <c r="K15" s="19">
        <f t="shared" si="2"/>
        <v>45107</v>
      </c>
      <c r="L15" s="15">
        <f t="shared" si="2"/>
        <v>45138</v>
      </c>
      <c r="Y15" s="1"/>
      <c r="Z15" s="1"/>
      <c r="AA15" s="1"/>
      <c r="AB15" s="1"/>
      <c r="AC15" s="1"/>
      <c r="AD15" s="1"/>
      <c r="AE15" s="1"/>
      <c r="AF15" s="1"/>
      <c r="AG15" s="1"/>
      <c r="AH15" s="1"/>
    </row>
    <row r="16" spans="1:34" x14ac:dyDescent="0.35">
      <c r="A16" s="46" t="s">
        <v>5</v>
      </c>
      <c r="C16" s="97">
        <v>0</v>
      </c>
      <c r="D16" s="109">
        <f>SUM(D23:D24)</f>
        <v>0</v>
      </c>
      <c r="E16" s="109">
        <f t="shared" ref="E16:H16" si="3">SUM(E23:E24)</f>
        <v>0</v>
      </c>
      <c r="F16" s="110">
        <f t="shared" si="3"/>
        <v>0</v>
      </c>
      <c r="G16" s="16">
        <f t="shared" si="3"/>
        <v>0</v>
      </c>
      <c r="H16" s="55">
        <f t="shared" si="3"/>
        <v>0</v>
      </c>
      <c r="I16" s="166">
        <f>+I23+I24</f>
        <v>0</v>
      </c>
      <c r="J16" s="159">
        <f t="shared" ref="J16:K16" si="4">+J23+J24</f>
        <v>0</v>
      </c>
      <c r="K16" s="78">
        <f t="shared" si="4"/>
        <v>0</v>
      </c>
      <c r="L16" s="79"/>
    </row>
    <row r="17" spans="1:14" x14ac:dyDescent="0.35">
      <c r="C17" s="99"/>
      <c r="D17" s="17"/>
      <c r="E17" s="17"/>
      <c r="F17" s="17"/>
      <c r="G17" s="10"/>
      <c r="H17" s="17"/>
      <c r="I17" s="11"/>
      <c r="J17" s="31"/>
      <c r="K17" s="31"/>
      <c r="L17" s="29"/>
    </row>
    <row r="18" spans="1:14" x14ac:dyDescent="0.35">
      <c r="A18" s="46" t="s">
        <v>90</v>
      </c>
      <c r="C18" s="99"/>
      <c r="D18" s="18"/>
      <c r="E18" s="18"/>
      <c r="F18" s="18"/>
      <c r="G18" s="91"/>
      <c r="H18" s="18"/>
      <c r="I18" s="167"/>
      <c r="J18" s="31"/>
      <c r="K18" s="31"/>
      <c r="L18" s="29"/>
      <c r="M18" s="3" t="s">
        <v>50</v>
      </c>
      <c r="N18" s="39"/>
    </row>
    <row r="19" spans="1:14" x14ac:dyDescent="0.35">
      <c r="A19" s="46" t="s">
        <v>24</v>
      </c>
      <c r="C19" s="97">
        <v>26661.593480000003</v>
      </c>
      <c r="D19" s="136">
        <f>ROUND('[4]Nov 2022'!$F79,2)</f>
        <v>-6427.19</v>
      </c>
      <c r="E19" s="136">
        <f>ROUND('[4]Dec 2022'!$F79,2)</f>
        <v>-8932.64</v>
      </c>
      <c r="F19" s="188">
        <f>ROUND('[4]Jan 2023'!$F79,2)</f>
        <v>-10828.73</v>
      </c>
      <c r="G19" s="16">
        <f>ROUND('[4]Feb 2023'!$F79,2)</f>
        <v>-8370.75</v>
      </c>
      <c r="H19" s="121">
        <f>ROUND('[4]Mar 2023'!$F79,2)</f>
        <v>-5960.65</v>
      </c>
      <c r="I19" s="168">
        <f>ROUND('[4]Apr 2023'!$F79,2)</f>
        <v>-5132.13</v>
      </c>
      <c r="J19" s="123">
        <f>'PCR Cycle 2'!K27*$M19</f>
        <v>-4699.9139999999998</v>
      </c>
      <c r="K19" s="41">
        <f>'PCR Cycle 2'!L27*$M19</f>
        <v>-5894.5622700000004</v>
      </c>
      <c r="L19" s="61">
        <f>'PCR Cycle 2'!M27*$M19</f>
        <v>-8537.8544999999995</v>
      </c>
      <c r="M19" s="72">
        <v>-3.0000000000000001E-5</v>
      </c>
      <c r="N19" s="4"/>
    </row>
    <row r="20" spans="1:14" x14ac:dyDescent="0.35">
      <c r="A20" s="46" t="s">
        <v>25</v>
      </c>
      <c r="C20" s="97">
        <v>0</v>
      </c>
      <c r="D20" s="136">
        <f>ROUND('[4]Nov 2022'!$F84,2)</f>
        <v>0</v>
      </c>
      <c r="E20" s="136">
        <f>ROUND('[4]Dec 2022'!$F84,2)</f>
        <v>0</v>
      </c>
      <c r="F20" s="188">
        <f>ROUND('[4]Jan 2023'!$F84,2)</f>
        <v>0</v>
      </c>
      <c r="G20" s="16">
        <f>ROUND('[4]Feb 2023'!$F84,2)</f>
        <v>0</v>
      </c>
      <c r="H20" s="121">
        <f>ROUND('[4]Mar 2023'!$F84,2)</f>
        <v>0</v>
      </c>
      <c r="I20" s="168">
        <f>ROUND('[4]Apr 2023'!$F84,2)</f>
        <v>0</v>
      </c>
      <c r="J20" s="123">
        <f>SUM('PCR Cycle 2'!K28:K31)*$M20</f>
        <v>0</v>
      </c>
      <c r="K20" s="41">
        <f>SUM('PCR Cycle 2'!L28:L31)*$M20</f>
        <v>0</v>
      </c>
      <c r="L20" s="61">
        <f>SUM('PCR Cycle 2'!M28:M31)*$M20</f>
        <v>0</v>
      </c>
      <c r="M20" s="72">
        <v>0</v>
      </c>
      <c r="N20" s="4"/>
    </row>
    <row r="21" spans="1:14" x14ac:dyDescent="0.35">
      <c r="C21" s="67"/>
      <c r="D21" s="68"/>
      <c r="E21" s="68"/>
      <c r="F21" s="68"/>
      <c r="G21" s="98"/>
      <c r="H21" s="68"/>
      <c r="I21" s="169"/>
      <c r="J21" s="56"/>
      <c r="K21" s="56"/>
      <c r="L21" s="13"/>
      <c r="N21" s="4"/>
    </row>
    <row r="22" spans="1:14" x14ac:dyDescent="0.35">
      <c r="A22" s="46" t="s">
        <v>92</v>
      </c>
      <c r="C22" s="36"/>
      <c r="D22" s="37"/>
      <c r="E22" s="37"/>
      <c r="F22" s="37"/>
      <c r="G22" s="36"/>
      <c r="H22" s="37"/>
      <c r="I22" s="172"/>
      <c r="J22" s="52"/>
      <c r="K22" s="52"/>
      <c r="L22" s="38"/>
    </row>
    <row r="23" spans="1:14" x14ac:dyDescent="0.35">
      <c r="A23" s="46" t="s">
        <v>24</v>
      </c>
      <c r="C23" s="97">
        <v>0</v>
      </c>
      <c r="D23" s="109">
        <v>0</v>
      </c>
      <c r="E23" s="109">
        <v>0</v>
      </c>
      <c r="F23" s="110">
        <v>0</v>
      </c>
      <c r="G23" s="16">
        <v>0</v>
      </c>
      <c r="H23" s="55">
        <v>0</v>
      </c>
      <c r="I23" s="166">
        <v>0</v>
      </c>
      <c r="J23" s="161">
        <v>0</v>
      </c>
      <c r="K23" s="143">
        <v>0</v>
      </c>
      <c r="L23" s="79"/>
    </row>
    <row r="24" spans="1:14" x14ac:dyDescent="0.35">
      <c r="A24" s="46" t="s">
        <v>25</v>
      </c>
      <c r="C24" s="97">
        <v>0</v>
      </c>
      <c r="D24" s="109">
        <v>0</v>
      </c>
      <c r="E24" s="109">
        <v>0</v>
      </c>
      <c r="F24" s="110">
        <v>0</v>
      </c>
      <c r="G24" s="16">
        <v>0</v>
      </c>
      <c r="H24" s="55">
        <v>0</v>
      </c>
      <c r="I24" s="166">
        <v>0</v>
      </c>
      <c r="J24" s="161">
        <v>0</v>
      </c>
      <c r="K24" s="143">
        <v>0</v>
      </c>
      <c r="L24" s="79"/>
      <c r="N24" s="47"/>
    </row>
    <row r="25" spans="1:14" x14ac:dyDescent="0.35">
      <c r="C25" s="99"/>
      <c r="D25" s="18"/>
      <c r="E25" s="18"/>
      <c r="F25" s="18"/>
      <c r="G25" s="91"/>
      <c r="H25" s="18"/>
      <c r="I25" s="167"/>
      <c r="J25" s="56"/>
      <c r="K25" s="56"/>
      <c r="L25" s="13"/>
    </row>
    <row r="26" spans="1:14" ht="15" thickBot="1" x14ac:dyDescent="0.4">
      <c r="A26" s="3" t="s">
        <v>14</v>
      </c>
      <c r="B26" s="3"/>
      <c r="C26" s="103">
        <v>671.46</v>
      </c>
      <c r="D26" s="136">
        <v>-387.51</v>
      </c>
      <c r="E26" s="136">
        <v>-384.49</v>
      </c>
      <c r="F26" s="137">
        <v>-352.59</v>
      </c>
      <c r="G26" s="26">
        <v>-317.43</v>
      </c>
      <c r="H26" s="122">
        <v>-294.56</v>
      </c>
      <c r="I26" s="173">
        <v>-277.89</v>
      </c>
      <c r="J26" s="162">
        <v>-254.86</v>
      </c>
      <c r="K26" s="145">
        <v>-229.82</v>
      </c>
      <c r="L26" s="82"/>
    </row>
    <row r="27" spans="1:14" x14ac:dyDescent="0.35">
      <c r="C27" s="64"/>
      <c r="D27" s="149"/>
      <c r="E27" s="149"/>
      <c r="F27" s="150"/>
      <c r="G27" s="64"/>
      <c r="H27" s="33"/>
      <c r="I27" s="174"/>
      <c r="J27" s="34"/>
      <c r="K27" s="34"/>
      <c r="L27" s="60"/>
    </row>
    <row r="28" spans="1:14" x14ac:dyDescent="0.35">
      <c r="A28" s="46" t="s">
        <v>52</v>
      </c>
      <c r="C28" s="65"/>
      <c r="D28" s="150"/>
      <c r="E28" s="150"/>
      <c r="F28" s="150"/>
      <c r="G28" s="65"/>
      <c r="H28" s="35"/>
      <c r="I28" s="175"/>
      <c r="J28" s="34"/>
      <c r="K28" s="34"/>
      <c r="L28" s="60"/>
    </row>
    <row r="29" spans="1:14" x14ac:dyDescent="0.35">
      <c r="A29" s="46" t="s">
        <v>24</v>
      </c>
      <c r="C29" s="100">
        <f t="shared" ref="C29:L29" si="5">C23-C19</f>
        <v>-26661.593480000003</v>
      </c>
      <c r="D29" s="41">
        <f t="shared" si="5"/>
        <v>6427.19</v>
      </c>
      <c r="E29" s="41">
        <f t="shared" si="5"/>
        <v>8932.64</v>
      </c>
      <c r="F29" s="108">
        <f t="shared" si="5"/>
        <v>10828.73</v>
      </c>
      <c r="G29" s="40">
        <f t="shared" si="5"/>
        <v>8370.75</v>
      </c>
      <c r="H29" s="41">
        <f t="shared" si="5"/>
        <v>5960.65</v>
      </c>
      <c r="I29" s="61">
        <f t="shared" si="5"/>
        <v>5132.13</v>
      </c>
      <c r="J29" s="123">
        <f t="shared" si="5"/>
        <v>4699.9139999999998</v>
      </c>
      <c r="K29" s="41">
        <f t="shared" si="5"/>
        <v>5894.5622700000004</v>
      </c>
      <c r="L29" s="61">
        <f t="shared" si="5"/>
        <v>8537.8544999999995</v>
      </c>
    </row>
    <row r="30" spans="1:14" x14ac:dyDescent="0.35">
      <c r="A30" s="46" t="s">
        <v>25</v>
      </c>
      <c r="C30" s="100">
        <f t="shared" ref="C30:L30" si="6">C24-C20</f>
        <v>0</v>
      </c>
      <c r="D30" s="41">
        <f t="shared" si="6"/>
        <v>0</v>
      </c>
      <c r="E30" s="41">
        <f t="shared" si="6"/>
        <v>0</v>
      </c>
      <c r="F30" s="108">
        <f t="shared" si="6"/>
        <v>0</v>
      </c>
      <c r="G30" s="40">
        <f t="shared" si="6"/>
        <v>0</v>
      </c>
      <c r="H30" s="41">
        <f t="shared" si="6"/>
        <v>0</v>
      </c>
      <c r="I30" s="61">
        <f t="shared" si="6"/>
        <v>0</v>
      </c>
      <c r="J30" s="123">
        <f t="shared" si="6"/>
        <v>0</v>
      </c>
      <c r="K30" s="41">
        <f t="shared" si="6"/>
        <v>0</v>
      </c>
      <c r="L30" s="61">
        <f t="shared" si="6"/>
        <v>0</v>
      </c>
    </row>
    <row r="31" spans="1:14" x14ac:dyDescent="0.35">
      <c r="C31" s="99"/>
      <c r="D31" s="17"/>
      <c r="E31" s="17"/>
      <c r="F31" s="17"/>
      <c r="G31" s="10"/>
      <c r="H31" s="17"/>
      <c r="I31" s="11"/>
      <c r="J31" s="17"/>
      <c r="K31" s="17"/>
      <c r="L31" s="11"/>
    </row>
    <row r="32" spans="1:14" ht="15" thickBot="1" x14ac:dyDescent="0.4">
      <c r="A32" s="46" t="s">
        <v>53</v>
      </c>
      <c r="C32" s="99"/>
      <c r="D32" s="17"/>
      <c r="E32" s="17"/>
      <c r="F32" s="17"/>
      <c r="G32" s="10"/>
      <c r="H32" s="17"/>
      <c r="I32" s="11"/>
      <c r="J32" s="17"/>
      <c r="K32" s="17"/>
      <c r="L32" s="11"/>
    </row>
    <row r="33" spans="1:12" x14ac:dyDescent="0.35">
      <c r="A33" s="46" t="s">
        <v>24</v>
      </c>
      <c r="B33" s="116">
        <v>-71316.226519999997</v>
      </c>
      <c r="C33" s="100">
        <f>B33+C29+B38</f>
        <v>-97977.82</v>
      </c>
      <c r="D33" s="41">
        <f t="shared" ref="D33:L34" si="7">C33+D29+C38</f>
        <v>-90879.17</v>
      </c>
      <c r="E33" s="41">
        <f t="shared" si="7"/>
        <v>-82334.05</v>
      </c>
      <c r="F33" s="108">
        <f t="shared" si="7"/>
        <v>-71889.810000000012</v>
      </c>
      <c r="G33" s="40">
        <f t="shared" si="7"/>
        <v>-63871.650000000009</v>
      </c>
      <c r="H33" s="41">
        <f t="shared" si="7"/>
        <v>-58228.430000000008</v>
      </c>
      <c r="I33" s="61">
        <f t="shared" si="7"/>
        <v>-53390.860000000008</v>
      </c>
      <c r="J33" s="123">
        <f t="shared" si="7"/>
        <v>-48968.83600000001</v>
      </c>
      <c r="K33" s="41">
        <f t="shared" si="7"/>
        <v>-43329.133730000009</v>
      </c>
      <c r="L33" s="61">
        <f t="shared" si="7"/>
        <v>-35021.099230000007</v>
      </c>
    </row>
    <row r="34" spans="1:12" ht="15" thickBot="1" x14ac:dyDescent="0.4">
      <c r="A34" s="46" t="s">
        <v>25</v>
      </c>
      <c r="B34" s="117">
        <v>0</v>
      </c>
      <c r="C34" s="100">
        <f>B34+C30+B39</f>
        <v>0</v>
      </c>
      <c r="D34" s="41">
        <f t="shared" si="7"/>
        <v>0</v>
      </c>
      <c r="E34" s="41">
        <f t="shared" si="7"/>
        <v>0</v>
      </c>
      <c r="F34" s="108">
        <f t="shared" si="7"/>
        <v>0</v>
      </c>
      <c r="G34" s="40">
        <f t="shared" si="7"/>
        <v>0</v>
      </c>
      <c r="H34" s="41">
        <f t="shared" si="7"/>
        <v>0</v>
      </c>
      <c r="I34" s="61">
        <f t="shared" si="7"/>
        <v>0</v>
      </c>
      <c r="J34" s="123">
        <f t="shared" si="7"/>
        <v>0</v>
      </c>
      <c r="K34" s="41">
        <f t="shared" si="7"/>
        <v>0</v>
      </c>
      <c r="L34" s="61">
        <f t="shared" si="7"/>
        <v>0</v>
      </c>
    </row>
    <row r="35" spans="1:12" x14ac:dyDescent="0.35">
      <c r="C35" s="99"/>
      <c r="D35" s="17"/>
      <c r="E35" s="17"/>
      <c r="F35" s="17"/>
      <c r="G35" s="10"/>
      <c r="H35" s="17"/>
      <c r="I35" s="11"/>
      <c r="J35" s="17"/>
      <c r="K35" s="17"/>
      <c r="L35" s="11"/>
    </row>
    <row r="36" spans="1:12" x14ac:dyDescent="0.35">
      <c r="A36" s="39" t="s">
        <v>49</v>
      </c>
      <c r="B36" s="39"/>
      <c r="C36" s="104"/>
      <c r="D36" s="83">
        <f>+'PCR Cycle 2'!E50</f>
        <v>4.1184699999999999E-3</v>
      </c>
      <c r="E36" s="83">
        <f>+'PCR Cycle 2'!F50</f>
        <v>4.4295699999999999E-3</v>
      </c>
      <c r="F36" s="83">
        <f>+'PCR Cycle 2'!G50</f>
        <v>4.5610700000000004E-3</v>
      </c>
      <c r="G36" s="84">
        <f>+'PCR Cycle 2'!H50</f>
        <v>4.66411E-3</v>
      </c>
      <c r="H36" s="83">
        <f>+'PCR Cycle 2'!I50</f>
        <v>4.8123899999999997E-3</v>
      </c>
      <c r="I36" s="92">
        <f>+'PCR Cycle 2'!J50</f>
        <v>4.9661499999999999E-3</v>
      </c>
      <c r="J36" s="83">
        <f>+'PCR Cycle 2'!K50</f>
        <v>4.9661499999999999E-3</v>
      </c>
      <c r="K36" s="83">
        <f>+'PCR Cycle 2'!L50</f>
        <v>4.9661499999999999E-3</v>
      </c>
      <c r="L36" s="85"/>
    </row>
    <row r="37" spans="1:12" x14ac:dyDescent="0.35">
      <c r="A37" s="39" t="s">
        <v>37</v>
      </c>
      <c r="B37" s="39"/>
      <c r="C37" s="106"/>
      <c r="D37" s="83"/>
      <c r="E37" s="83"/>
      <c r="F37" s="83"/>
      <c r="G37" s="84"/>
      <c r="H37" s="83"/>
      <c r="I37" s="85"/>
      <c r="J37" s="83"/>
      <c r="K37" s="83"/>
      <c r="L37" s="85"/>
    </row>
    <row r="38" spans="1:12" x14ac:dyDescent="0.35">
      <c r="A38" s="46" t="s">
        <v>24</v>
      </c>
      <c r="C38" s="100">
        <v>671.46</v>
      </c>
      <c r="D38" s="41">
        <f t="shared" ref="D38:L39" si="8">ROUND((C33+C38+D29/2)*D$36,2)</f>
        <v>-387.52</v>
      </c>
      <c r="E38" s="41">
        <f t="shared" si="8"/>
        <v>-384.49</v>
      </c>
      <c r="F38" s="108">
        <f t="shared" si="8"/>
        <v>-352.59</v>
      </c>
      <c r="G38" s="40">
        <f t="shared" ref="G38:G39" si="9">ROUND((F33+F38+G29/2)*G$36,2)</f>
        <v>-317.43</v>
      </c>
      <c r="H38" s="123">
        <f t="shared" ref="H38:H39" si="10">ROUND((G33+G38+H29/2)*H$36,2)</f>
        <v>-294.56</v>
      </c>
      <c r="I38" s="49">
        <f t="shared" ref="I38:I39" si="11">ROUND((H33+H38+I29/2)*I$36,2)</f>
        <v>-277.89</v>
      </c>
      <c r="J38" s="163">
        <f t="shared" ref="J38:J39" si="12">ROUND((I33+I38+J29/2)*J$36,2)</f>
        <v>-254.86</v>
      </c>
      <c r="K38" s="108">
        <f t="shared" ref="K38:K39" si="13">ROUND((J33+J38+K29/2)*K$36,2)</f>
        <v>-229.82</v>
      </c>
      <c r="L38" s="61">
        <f t="shared" si="8"/>
        <v>0</v>
      </c>
    </row>
    <row r="39" spans="1:12" ht="15" thickBot="1" x14ac:dyDescent="0.4">
      <c r="A39" s="46" t="s">
        <v>25</v>
      </c>
      <c r="C39" s="100">
        <v>0</v>
      </c>
      <c r="D39" s="41">
        <f t="shared" si="8"/>
        <v>0</v>
      </c>
      <c r="E39" s="41">
        <f t="shared" si="8"/>
        <v>0</v>
      </c>
      <c r="F39" s="108">
        <f t="shared" si="8"/>
        <v>0</v>
      </c>
      <c r="G39" s="40">
        <f t="shared" si="9"/>
        <v>0</v>
      </c>
      <c r="H39" s="123">
        <f t="shared" si="10"/>
        <v>0</v>
      </c>
      <c r="I39" s="49">
        <f t="shared" si="11"/>
        <v>0</v>
      </c>
      <c r="J39" s="163">
        <f t="shared" si="12"/>
        <v>0</v>
      </c>
      <c r="K39" s="108">
        <f t="shared" si="13"/>
        <v>0</v>
      </c>
      <c r="L39" s="61">
        <f t="shared" si="8"/>
        <v>0</v>
      </c>
    </row>
    <row r="40" spans="1:12" ht="15.5" thickTop="1" thickBot="1" x14ac:dyDescent="0.4">
      <c r="A40" s="54" t="s">
        <v>22</v>
      </c>
      <c r="B40" s="54"/>
      <c r="C40" s="107">
        <v>0</v>
      </c>
      <c r="D40" s="42">
        <f t="shared" ref="D40:I40" si="14">SUM(D38:D39)+SUM(D33:D34)-D43</f>
        <v>0</v>
      </c>
      <c r="E40" s="42">
        <f t="shared" si="14"/>
        <v>0</v>
      </c>
      <c r="F40" s="50">
        <f t="shared" ref="F40:H40" si="15">SUM(F38:F39)+SUM(F33:F34)-F43</f>
        <v>0</v>
      </c>
      <c r="G40" s="147">
        <f t="shared" si="15"/>
        <v>0</v>
      </c>
      <c r="H40" s="50">
        <f t="shared" si="15"/>
        <v>0</v>
      </c>
      <c r="I40" s="62">
        <f t="shared" si="14"/>
        <v>0</v>
      </c>
      <c r="J40" s="164">
        <f t="shared" ref="J40:L40" si="16">SUM(J38:J39)+SUM(J33:J34)-J43</f>
        <v>0</v>
      </c>
      <c r="K40" s="50">
        <f t="shared" si="16"/>
        <v>0</v>
      </c>
      <c r="L40" s="62">
        <f t="shared" si="16"/>
        <v>0</v>
      </c>
    </row>
    <row r="41" spans="1:12" ht="15.5" thickTop="1" thickBot="1" x14ac:dyDescent="0.4">
      <c r="A41" s="54" t="s">
        <v>23</v>
      </c>
      <c r="B41" s="54"/>
      <c r="C41" s="107">
        <v>0</v>
      </c>
      <c r="D41" s="42">
        <f t="shared" ref="D41:I41" si="17">SUM(D38:D39)-D26</f>
        <v>-9.9999999999909051E-3</v>
      </c>
      <c r="E41" s="42">
        <f t="shared" si="17"/>
        <v>0</v>
      </c>
      <c r="F41" s="50">
        <f t="shared" ref="F41:H41" si="18">SUM(F38:F39)-F26</f>
        <v>0</v>
      </c>
      <c r="G41" s="147">
        <f t="shared" si="18"/>
        <v>0</v>
      </c>
      <c r="H41" s="50">
        <f t="shared" si="18"/>
        <v>0</v>
      </c>
      <c r="I41" s="62">
        <f t="shared" si="17"/>
        <v>0</v>
      </c>
      <c r="J41" s="165">
        <f t="shared" ref="J41:L41" si="19">SUM(J38:J39)-J26</f>
        <v>0</v>
      </c>
      <c r="K41" s="42">
        <f t="shared" si="19"/>
        <v>0</v>
      </c>
      <c r="L41" s="42">
        <f t="shared" si="19"/>
        <v>0</v>
      </c>
    </row>
    <row r="42" spans="1:12" ht="15.5" thickTop="1" thickBot="1" x14ac:dyDescent="0.4">
      <c r="C42" s="99"/>
      <c r="D42" s="17"/>
      <c r="E42" s="17"/>
      <c r="F42" s="17"/>
      <c r="G42" s="10"/>
      <c r="H42" s="17"/>
      <c r="I42" s="11"/>
      <c r="J42" s="17"/>
      <c r="K42" s="17"/>
      <c r="L42" s="11"/>
    </row>
    <row r="43" spans="1:12" ht="15" thickBot="1" x14ac:dyDescent="0.4">
      <c r="A43" s="46" t="s">
        <v>36</v>
      </c>
      <c r="B43" s="119">
        <f>SUM(B33:B34)</f>
        <v>-71316.226519999997</v>
      </c>
      <c r="C43" s="100">
        <f t="shared" ref="C43:L43" si="20">(C16-SUM(C19:C20))+SUM(C38:C39)+B43</f>
        <v>-97306.36</v>
      </c>
      <c r="D43" s="41">
        <f t="shared" si="20"/>
        <v>-91266.69</v>
      </c>
      <c r="E43" s="41">
        <f t="shared" si="20"/>
        <v>-82718.540000000008</v>
      </c>
      <c r="F43" s="108">
        <f t="shared" si="20"/>
        <v>-72242.400000000009</v>
      </c>
      <c r="G43" s="40">
        <f t="shared" si="20"/>
        <v>-64189.080000000009</v>
      </c>
      <c r="H43" s="41">
        <f t="shared" si="20"/>
        <v>-58522.990000000013</v>
      </c>
      <c r="I43" s="61">
        <f t="shared" si="20"/>
        <v>-53668.750000000015</v>
      </c>
      <c r="J43" s="163">
        <f t="shared" si="20"/>
        <v>-49223.696000000011</v>
      </c>
      <c r="K43" s="108">
        <f t="shared" si="20"/>
        <v>-43558.953730000008</v>
      </c>
      <c r="L43" s="61">
        <f t="shared" si="20"/>
        <v>-35021.099230000007</v>
      </c>
    </row>
    <row r="44" spans="1:12" x14ac:dyDescent="0.35">
      <c r="A44" s="46" t="s">
        <v>12</v>
      </c>
      <c r="C44" s="120"/>
      <c r="D44" s="17"/>
      <c r="E44" s="17"/>
      <c r="F44" s="17"/>
      <c r="G44" s="10"/>
      <c r="H44" s="17"/>
      <c r="I44" s="11"/>
      <c r="J44" s="17"/>
      <c r="K44" s="17"/>
      <c r="L44" s="11"/>
    </row>
    <row r="45" spans="1:12" ht="15" thickBot="1" x14ac:dyDescent="0.4">
      <c r="A45" s="37"/>
      <c r="B45" s="37"/>
      <c r="C45" s="148"/>
      <c r="D45" s="44"/>
      <c r="E45" s="44"/>
      <c r="F45" s="44"/>
      <c r="G45" s="43"/>
      <c r="H45" s="44"/>
      <c r="I45" s="45"/>
      <c r="J45" s="44"/>
      <c r="K45" s="44"/>
      <c r="L45" s="45"/>
    </row>
    <row r="47" spans="1:12" x14ac:dyDescent="0.35">
      <c r="A47" s="69" t="s">
        <v>11</v>
      </c>
      <c r="B47" s="69"/>
      <c r="C47" s="69"/>
    </row>
    <row r="48" spans="1:12" x14ac:dyDescent="0.35">
      <c r="A48" s="326" t="s">
        <v>175</v>
      </c>
      <c r="B48" s="326"/>
      <c r="C48" s="326"/>
      <c r="D48" s="326"/>
      <c r="E48" s="326"/>
      <c r="F48" s="326"/>
      <c r="G48" s="326"/>
      <c r="H48" s="326"/>
      <c r="I48" s="326"/>
      <c r="J48" s="182"/>
      <c r="K48" s="182"/>
      <c r="L48" s="182"/>
    </row>
    <row r="49" spans="1:12" ht="58.5" customHeight="1" x14ac:dyDescent="0.35">
      <c r="A49" s="316" t="s">
        <v>225</v>
      </c>
      <c r="B49" s="316"/>
      <c r="C49" s="316"/>
      <c r="D49" s="316"/>
      <c r="E49" s="316"/>
      <c r="F49" s="316"/>
      <c r="G49" s="316"/>
      <c r="H49" s="316"/>
      <c r="I49" s="316"/>
      <c r="J49" s="316"/>
      <c r="K49" s="316"/>
    </row>
    <row r="50" spans="1:12" ht="18.75" customHeight="1" x14ac:dyDescent="0.35">
      <c r="A50" s="3" t="s">
        <v>216</v>
      </c>
      <c r="B50" s="3"/>
      <c r="C50" s="3"/>
      <c r="I50" s="4"/>
      <c r="J50" s="182"/>
      <c r="K50" s="182"/>
      <c r="L50" s="182"/>
    </row>
    <row r="51" spans="1:12" x14ac:dyDescent="0.35">
      <c r="A51" s="3" t="s">
        <v>201</v>
      </c>
      <c r="B51" s="3"/>
      <c r="C51" s="3"/>
      <c r="I51" s="4"/>
    </row>
    <row r="52" spans="1:12" x14ac:dyDescent="0.35">
      <c r="A52" s="3" t="s">
        <v>126</v>
      </c>
      <c r="B52" s="3"/>
      <c r="C52" s="3"/>
      <c r="I52" s="4"/>
    </row>
    <row r="53" spans="1:12" x14ac:dyDescent="0.35">
      <c r="A53" s="3" t="s">
        <v>202</v>
      </c>
      <c r="B53" s="63"/>
      <c r="C53" s="63"/>
      <c r="D53" s="39"/>
      <c r="E53" s="39"/>
      <c r="F53" s="39"/>
      <c r="G53" s="39"/>
      <c r="H53" s="39"/>
      <c r="I53" s="39"/>
    </row>
    <row r="54" spans="1:12" x14ac:dyDescent="0.35">
      <c r="A54" s="3"/>
      <c r="B54" s="3"/>
      <c r="C54" s="3"/>
    </row>
  </sheetData>
  <mergeCells count="5">
    <mergeCell ref="D14:F14"/>
    <mergeCell ref="G14:I14"/>
    <mergeCell ref="J14:L14"/>
    <mergeCell ref="A48:I48"/>
    <mergeCell ref="A49:K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pageSetUpPr fitToPage="1"/>
  </sheetPr>
  <dimension ref="A1:AH66"/>
  <sheetViews>
    <sheetView workbookViewId="0">
      <selection activeCell="O1"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Metro, Inc. - DSIM Rider Update Filed 06/01/2023</v>
      </c>
      <c r="B1" s="3"/>
      <c r="C1" s="3"/>
    </row>
    <row r="2" spans="1:34" x14ac:dyDescent="0.35">
      <c r="D2" s="3" t="s">
        <v>177</v>
      </c>
    </row>
    <row r="3" spans="1:34" ht="29" x14ac:dyDescent="0.35">
      <c r="D3" s="48" t="s">
        <v>46</v>
      </c>
      <c r="E3" s="70" t="s">
        <v>17</v>
      </c>
      <c r="F3" s="48" t="s">
        <v>3</v>
      </c>
      <c r="G3" s="70" t="s">
        <v>55</v>
      </c>
      <c r="H3" s="48" t="s">
        <v>10</v>
      </c>
      <c r="I3" s="48" t="s">
        <v>18</v>
      </c>
      <c r="R3" s="48"/>
    </row>
    <row r="4" spans="1:34" x14ac:dyDescent="0.35">
      <c r="A4" s="20" t="s">
        <v>24</v>
      </c>
      <c r="B4" s="20"/>
      <c r="C4" s="20"/>
      <c r="D4" s="22">
        <f>SUM(C16:L16)</f>
        <v>-197811.51462</v>
      </c>
      <c r="E4" s="22">
        <f>SUM(C23:K23)</f>
        <v>0</v>
      </c>
      <c r="F4" s="22">
        <f>E4-D4</f>
        <v>197811.51462</v>
      </c>
      <c r="G4" s="22">
        <f>+B39</f>
        <v>-490740.28999999992</v>
      </c>
      <c r="H4" s="22">
        <f>SUM(C47:K47)</f>
        <v>-13259.949999999999</v>
      </c>
      <c r="I4" s="25">
        <f>SUM(F4:H4)</f>
        <v>-306188.7253799999</v>
      </c>
      <c r="J4" s="47">
        <f>+I4-L39</f>
        <v>0</v>
      </c>
      <c r="M4" s="47"/>
    </row>
    <row r="5" spans="1:34" x14ac:dyDescent="0.35">
      <c r="A5" s="20" t="s">
        <v>107</v>
      </c>
      <c r="B5" s="20"/>
      <c r="C5" s="20"/>
      <c r="D5" s="22">
        <f t="shared" ref="D5:D7" si="0">SUM(C17:L17)</f>
        <v>-755.28</v>
      </c>
      <c r="E5" s="22">
        <f t="shared" ref="E5:E7" si="1">SUM(C24:K24)</f>
        <v>0</v>
      </c>
      <c r="F5" s="22">
        <f t="shared" ref="F5:F7" si="2">E5-D5</f>
        <v>755.28</v>
      </c>
      <c r="G5" s="22">
        <f t="shared" ref="G5:G7" si="3">+B40</f>
        <v>-1054.1300000000006</v>
      </c>
      <c r="H5" s="22">
        <f t="shared" ref="H5:H7" si="4">SUM(C48:K48)</f>
        <v>-12.029999999999998</v>
      </c>
      <c r="I5" s="25">
        <f t="shared" ref="I5:I7" si="5">SUM(F5:H5)</f>
        <v>-310.88000000000056</v>
      </c>
      <c r="J5" s="47">
        <f t="shared" ref="J5:J7" si="6">+I5-L40</f>
        <v>0</v>
      </c>
      <c r="M5" s="47"/>
    </row>
    <row r="6" spans="1:34" x14ac:dyDescent="0.35">
      <c r="A6" s="20" t="s">
        <v>108</v>
      </c>
      <c r="B6" s="20"/>
      <c r="C6" s="20"/>
      <c r="D6" s="22">
        <f t="shared" si="0"/>
        <v>-2547.12</v>
      </c>
      <c r="E6" s="22">
        <f t="shared" si="1"/>
        <v>0</v>
      </c>
      <c r="F6" s="22">
        <f t="shared" si="2"/>
        <v>2547.12</v>
      </c>
      <c r="G6" s="22">
        <f t="shared" si="3"/>
        <v>-2765.01</v>
      </c>
      <c r="H6" s="22">
        <f t="shared" si="4"/>
        <v>-20.32</v>
      </c>
      <c r="I6" s="25">
        <f t="shared" si="5"/>
        <v>-238.21000000000032</v>
      </c>
      <c r="J6" s="47">
        <f t="shared" si="6"/>
        <v>0</v>
      </c>
      <c r="M6" s="47"/>
    </row>
    <row r="7" spans="1:34" x14ac:dyDescent="0.35">
      <c r="A7" s="20" t="s">
        <v>109</v>
      </c>
      <c r="B7" s="20"/>
      <c r="C7" s="20"/>
      <c r="D7" s="22">
        <f t="shared" si="0"/>
        <v>-4160.9399999999996</v>
      </c>
      <c r="E7" s="22">
        <f t="shared" si="1"/>
        <v>0</v>
      </c>
      <c r="F7" s="22">
        <f t="shared" si="2"/>
        <v>4160.9399999999996</v>
      </c>
      <c r="G7" s="22">
        <f t="shared" si="3"/>
        <v>-3247.9899999999993</v>
      </c>
      <c r="H7" s="22">
        <f t="shared" si="4"/>
        <v>-0.65999999999999659</v>
      </c>
      <c r="I7" s="25">
        <f t="shared" si="5"/>
        <v>912.2900000000003</v>
      </c>
      <c r="J7" s="47">
        <f t="shared" si="6"/>
        <v>0</v>
      </c>
      <c r="M7" s="47"/>
    </row>
    <row r="8" spans="1:34" ht="15" thickBot="1" x14ac:dyDescent="0.4">
      <c r="A8" s="20" t="s">
        <v>110</v>
      </c>
      <c r="B8" s="20"/>
      <c r="C8" s="20"/>
      <c r="D8" s="22">
        <f>SUM(C20:L20)</f>
        <v>-345.06</v>
      </c>
      <c r="E8" s="22">
        <f>SUM(C27:K27)</f>
        <v>0</v>
      </c>
      <c r="F8" s="22">
        <f>E8-D8</f>
        <v>345.06</v>
      </c>
      <c r="G8" s="22">
        <f>+B43</f>
        <v>-697.24000000000012</v>
      </c>
      <c r="H8" s="22">
        <f>SUM(C51:K51)</f>
        <v>-11.030000000000001</v>
      </c>
      <c r="I8" s="25">
        <f>SUM(F8:H8)</f>
        <v>-363.21000000000015</v>
      </c>
      <c r="J8" s="47">
        <f>+I8-L43</f>
        <v>0</v>
      </c>
      <c r="M8" s="47"/>
    </row>
    <row r="9" spans="1:34" ht="15.5" thickTop="1" thickBot="1" x14ac:dyDescent="0.4">
      <c r="D9" s="27">
        <f t="shared" ref="D9" si="7">SUM(D4:D8)</f>
        <v>-205619.91462</v>
      </c>
      <c r="E9" s="27">
        <f>SUM(E4:E8)</f>
        <v>0</v>
      </c>
      <c r="F9" s="27">
        <f>SUM(F4:F8)</f>
        <v>205619.91462</v>
      </c>
      <c r="G9" s="27">
        <f>SUM(G4:G8)</f>
        <v>-498504.65999999992</v>
      </c>
      <c r="H9" s="27">
        <f>SUM(H4:H8)</f>
        <v>-13303.99</v>
      </c>
      <c r="I9" s="27">
        <f>SUM(I4:I8)</f>
        <v>-306188.73537999997</v>
      </c>
      <c r="S9" s="5"/>
    </row>
    <row r="10" spans="1:34" ht="15.5" thickTop="1" thickBot="1" x14ac:dyDescent="0.4">
      <c r="U10" s="4"/>
      <c r="V10" s="5"/>
    </row>
    <row r="11" spans="1:34" ht="116.5" thickBot="1" x14ac:dyDescent="0.4">
      <c r="B11" s="118" t="str">
        <f>+'PCR Cycle 2'!B14</f>
        <v>Cumulative Over/Under Carryover From 12/01/2022 Filing</v>
      </c>
      <c r="C11" s="153" t="str">
        <f>+'PCR Cycle 2'!C14</f>
        <v>Reverse November 2022 - January 2023 Forecast From 12/01/2022 Filing</v>
      </c>
      <c r="D11" s="317" t="s">
        <v>33</v>
      </c>
      <c r="E11" s="317"/>
      <c r="F11" s="318"/>
      <c r="G11" s="323" t="s">
        <v>33</v>
      </c>
      <c r="H11" s="324"/>
      <c r="I11" s="325"/>
      <c r="J11" s="313" t="s">
        <v>8</v>
      </c>
      <c r="K11" s="314"/>
      <c r="L11" s="315"/>
    </row>
    <row r="12" spans="1:34" x14ac:dyDescent="0.35">
      <c r="A12" s="46" t="s">
        <v>91</v>
      </c>
      <c r="C12" s="105"/>
      <c r="D12" s="19">
        <f>+'PCR Cycle 2'!E15</f>
        <v>44895</v>
      </c>
      <c r="E12" s="19">
        <f t="shared" ref="E12:L12" si="8">EOMONTH(D12,1)</f>
        <v>44926</v>
      </c>
      <c r="F12" s="19">
        <f t="shared" si="8"/>
        <v>44957</v>
      </c>
      <c r="G12" s="14">
        <f t="shared" si="8"/>
        <v>44985</v>
      </c>
      <c r="H12" s="19">
        <f t="shared" si="8"/>
        <v>45016</v>
      </c>
      <c r="I12" s="15">
        <f t="shared" si="8"/>
        <v>45046</v>
      </c>
      <c r="J12" s="19">
        <f t="shared" si="8"/>
        <v>45077</v>
      </c>
      <c r="K12" s="19">
        <f t="shared" si="8"/>
        <v>45107</v>
      </c>
      <c r="L12" s="15">
        <f t="shared" si="8"/>
        <v>45138</v>
      </c>
      <c r="Y12" s="1"/>
      <c r="Z12" s="1"/>
      <c r="AA12" s="1"/>
      <c r="AB12" s="1"/>
      <c r="AC12" s="1"/>
      <c r="AD12" s="1"/>
      <c r="AE12" s="1"/>
      <c r="AF12" s="1"/>
      <c r="AG12" s="1"/>
      <c r="AH12" s="1"/>
    </row>
    <row r="13" spans="1:34" x14ac:dyDescent="0.35">
      <c r="A13" s="46" t="s">
        <v>5</v>
      </c>
      <c r="C13" s="97">
        <v>0</v>
      </c>
      <c r="D13" s="109">
        <f>SUM(D23:D27)</f>
        <v>0</v>
      </c>
      <c r="E13" s="109">
        <f t="shared" ref="E13:H13" si="9">SUM(E23:E27)</f>
        <v>0</v>
      </c>
      <c r="F13" s="110">
        <f t="shared" si="9"/>
        <v>0</v>
      </c>
      <c r="G13" s="16">
        <f t="shared" si="9"/>
        <v>0</v>
      </c>
      <c r="H13" s="55">
        <f t="shared" si="9"/>
        <v>0</v>
      </c>
      <c r="I13" s="166">
        <f>+I23+I27</f>
        <v>0</v>
      </c>
      <c r="J13" s="159">
        <f t="shared" ref="J13:K13" si="10">+J23+J27</f>
        <v>0</v>
      </c>
      <c r="K13" s="78">
        <f t="shared" si="10"/>
        <v>0</v>
      </c>
      <c r="L13" s="79"/>
    </row>
    <row r="14" spans="1:34" x14ac:dyDescent="0.35">
      <c r="C14" s="99"/>
      <c r="D14" s="17"/>
      <c r="E14" s="17"/>
      <c r="F14" s="17"/>
      <c r="G14" s="10"/>
      <c r="H14" s="17"/>
      <c r="I14" s="11"/>
      <c r="J14" s="31"/>
      <c r="K14" s="31"/>
      <c r="L14" s="29"/>
    </row>
    <row r="15" spans="1:34" x14ac:dyDescent="0.35">
      <c r="A15" s="46" t="s">
        <v>90</v>
      </c>
      <c r="C15" s="99"/>
      <c r="D15" s="18"/>
      <c r="E15" s="18"/>
      <c r="F15" s="18"/>
      <c r="G15" s="91"/>
      <c r="H15" s="18"/>
      <c r="I15" s="167"/>
      <c r="J15" s="31"/>
      <c r="K15" s="31"/>
      <c r="L15" s="29"/>
      <c r="M15" s="3" t="s">
        <v>50</v>
      </c>
      <c r="N15" s="39"/>
    </row>
    <row r="16" spans="1:34" x14ac:dyDescent="0.35">
      <c r="A16" s="46" t="s">
        <v>24</v>
      </c>
      <c r="C16" s="97">
        <v>0</v>
      </c>
      <c r="D16" s="136">
        <f>ROUND(0,2)</f>
        <v>0</v>
      </c>
      <c r="E16" s="136">
        <f t="shared" ref="E16:E20" si="11">ROUND(0,2)</f>
        <v>0</v>
      </c>
      <c r="F16" s="188">
        <f>ROUND('[4]Jan 2023'!$F112,2)</f>
        <v>-1.35</v>
      </c>
      <c r="G16" s="16">
        <f>ROUND('[4]Feb 2023'!$F112,2)</f>
        <v>-16476.36</v>
      </c>
      <c r="H16" s="121">
        <f>ROUND('[4]Mar 2023'!$F112,2)</f>
        <v>-35735.760000000002</v>
      </c>
      <c r="I16" s="168">
        <f>ROUND('[4]Apr 2023'!$F112,2)</f>
        <v>-30804.06</v>
      </c>
      <c r="J16" s="123">
        <f>'PCR Cycle 2'!K27*$M16</f>
        <v>-28199.484</v>
      </c>
      <c r="K16" s="41">
        <f>'PCR Cycle 2'!L27*$M16</f>
        <v>-35367.373620000006</v>
      </c>
      <c r="L16" s="61">
        <f>'PCR Cycle 2'!M27*$M16</f>
        <v>-51227.127</v>
      </c>
      <c r="M16" s="72">
        <v>-1.8000000000000001E-4</v>
      </c>
      <c r="N16" s="4"/>
    </row>
    <row r="17" spans="1:14" x14ac:dyDescent="0.35">
      <c r="A17" s="46" t="s">
        <v>135</v>
      </c>
      <c r="C17" s="97">
        <v>0</v>
      </c>
      <c r="D17" s="136">
        <f t="shared" ref="D17:D20" si="12">ROUND(0,2)</f>
        <v>0</v>
      </c>
      <c r="E17" s="136">
        <f t="shared" si="11"/>
        <v>0</v>
      </c>
      <c r="F17" s="188">
        <f>ROUND('[4]Jan 2023'!$F113,2)</f>
        <v>0</v>
      </c>
      <c r="G17" s="16">
        <f>ROUND('[4]Feb 2023'!$F113,2)</f>
        <v>-755.28</v>
      </c>
      <c r="H17" s="121">
        <f>ROUND('[4]Mar 2023'!$F113,2)</f>
        <v>0</v>
      </c>
      <c r="I17" s="168">
        <f>ROUND('[4]Apr 2023'!$F113,2)</f>
        <v>0</v>
      </c>
      <c r="J17" s="123">
        <f>'PCR Cycle 2'!K28*$M17</f>
        <v>0</v>
      </c>
      <c r="K17" s="41">
        <f>'PCR Cycle 2'!L28*$M17</f>
        <v>0</v>
      </c>
      <c r="L17" s="61">
        <f>'PCR Cycle 2'!M28*$M17</f>
        <v>0</v>
      </c>
      <c r="M17" s="72">
        <v>0</v>
      </c>
      <c r="N17" s="4"/>
    </row>
    <row r="18" spans="1:14" x14ac:dyDescent="0.35">
      <c r="A18" s="46" t="s">
        <v>136</v>
      </c>
      <c r="C18" s="97">
        <v>0</v>
      </c>
      <c r="D18" s="136">
        <f t="shared" si="12"/>
        <v>0</v>
      </c>
      <c r="E18" s="136">
        <f t="shared" si="11"/>
        <v>0</v>
      </c>
      <c r="F18" s="188">
        <f>ROUND('[4]Jan 2023'!$F114,2)</f>
        <v>0</v>
      </c>
      <c r="G18" s="16">
        <f>ROUND('[4]Feb 2023'!$F114,2)</f>
        <v>-2547.12</v>
      </c>
      <c r="H18" s="121">
        <f>ROUND('[4]Mar 2023'!$F114,2)</f>
        <v>0</v>
      </c>
      <c r="I18" s="168">
        <f>ROUND('[4]Apr 2023'!$F114,2)</f>
        <v>0</v>
      </c>
      <c r="J18" s="123">
        <f>'PCR Cycle 2'!K29*$M18</f>
        <v>0</v>
      </c>
      <c r="K18" s="41">
        <f>'PCR Cycle 2'!L29*$M18</f>
        <v>0</v>
      </c>
      <c r="L18" s="61">
        <f>'PCR Cycle 2'!M29*$M18</f>
        <v>0</v>
      </c>
      <c r="M18" s="72">
        <v>0</v>
      </c>
      <c r="N18" s="4"/>
    </row>
    <row r="19" spans="1:14" x14ac:dyDescent="0.35">
      <c r="A19" s="46" t="s">
        <v>137</v>
      </c>
      <c r="C19" s="97">
        <v>0</v>
      </c>
      <c r="D19" s="136">
        <f t="shared" si="12"/>
        <v>0</v>
      </c>
      <c r="E19" s="136">
        <f t="shared" si="11"/>
        <v>0</v>
      </c>
      <c r="F19" s="188">
        <f>ROUND('[4]Jan 2023'!$F115,2)</f>
        <v>0</v>
      </c>
      <c r="G19" s="16">
        <f>ROUND('[4]Feb 2023'!$F115,2)</f>
        <v>-4160.9399999999996</v>
      </c>
      <c r="H19" s="121">
        <f>ROUND('[4]Mar 2023'!$F115,2)</f>
        <v>0</v>
      </c>
      <c r="I19" s="168">
        <f>ROUND('[4]Apr 2023'!$F115,2)</f>
        <v>0</v>
      </c>
      <c r="J19" s="123">
        <f>'PCR Cycle 2'!K30*$M19</f>
        <v>0</v>
      </c>
      <c r="K19" s="41">
        <f>'PCR Cycle 2'!L30*$M19</f>
        <v>0</v>
      </c>
      <c r="L19" s="61">
        <f>'PCR Cycle 2'!M30*$M19</f>
        <v>0</v>
      </c>
      <c r="M19" s="72">
        <v>0</v>
      </c>
      <c r="N19" s="4"/>
    </row>
    <row r="20" spans="1:14" x14ac:dyDescent="0.35">
      <c r="A20" s="46" t="s">
        <v>138</v>
      </c>
      <c r="C20" s="97">
        <v>0</v>
      </c>
      <c r="D20" s="136">
        <f t="shared" si="12"/>
        <v>0</v>
      </c>
      <c r="E20" s="136">
        <f t="shared" si="11"/>
        <v>0</v>
      </c>
      <c r="F20" s="188">
        <f>ROUND('[4]Jan 2023'!$F116,2)</f>
        <v>0</v>
      </c>
      <c r="G20" s="16">
        <f>ROUND('[4]Feb 2023'!$F116,2)</f>
        <v>-345.06</v>
      </c>
      <c r="H20" s="121">
        <f>ROUND('[4]Mar 2023'!$F116,2)</f>
        <v>0</v>
      </c>
      <c r="I20" s="168">
        <f>ROUND('[4]Apr 2023'!$F116,2)</f>
        <v>0</v>
      </c>
      <c r="J20" s="123">
        <f>SUM('PCR Cycle 2'!K28:K31)*$M20</f>
        <v>0</v>
      </c>
      <c r="K20" s="41">
        <f>SUM('PCR Cycle 2'!L28:L31)*$M20</f>
        <v>0</v>
      </c>
      <c r="L20" s="61">
        <f>SUM('PCR Cycle 2'!M28:M31)*$M20</f>
        <v>0</v>
      </c>
      <c r="M20" s="72">
        <v>0</v>
      </c>
      <c r="N20" s="4"/>
    </row>
    <row r="21" spans="1:14" x14ac:dyDescent="0.35">
      <c r="C21" s="67"/>
      <c r="D21" s="68"/>
      <c r="E21" s="68"/>
      <c r="F21" s="68"/>
      <c r="G21" s="98"/>
      <c r="H21" s="68"/>
      <c r="I21" s="169"/>
      <c r="J21" s="56"/>
      <c r="K21" s="56"/>
      <c r="L21" s="13"/>
      <c r="N21" s="4"/>
    </row>
    <row r="22" spans="1:14" x14ac:dyDescent="0.35">
      <c r="A22" s="46" t="s">
        <v>92</v>
      </c>
      <c r="C22" s="36"/>
      <c r="D22" s="37"/>
      <c r="E22" s="37"/>
      <c r="F22" s="37"/>
      <c r="G22" s="36"/>
      <c r="H22" s="37"/>
      <c r="I22" s="172"/>
      <c r="J22" s="52"/>
      <c r="K22" s="52"/>
      <c r="L22" s="38"/>
    </row>
    <row r="23" spans="1:14" x14ac:dyDescent="0.35">
      <c r="A23" s="46" t="s">
        <v>24</v>
      </c>
      <c r="C23" s="97">
        <v>0</v>
      </c>
      <c r="D23" s="109">
        <v>0</v>
      </c>
      <c r="E23" s="109">
        <v>0</v>
      </c>
      <c r="F23" s="110">
        <v>0</v>
      </c>
      <c r="G23" s="16">
        <v>0</v>
      </c>
      <c r="H23" s="55">
        <v>0</v>
      </c>
      <c r="I23" s="166">
        <v>0</v>
      </c>
      <c r="J23" s="161">
        <v>0</v>
      </c>
      <c r="K23" s="143">
        <v>0</v>
      </c>
      <c r="L23" s="79"/>
    </row>
    <row r="24" spans="1:14" x14ac:dyDescent="0.35">
      <c r="A24" s="46" t="s">
        <v>135</v>
      </c>
      <c r="C24" s="97">
        <v>0</v>
      </c>
      <c r="D24" s="109">
        <v>0</v>
      </c>
      <c r="E24" s="109">
        <v>0</v>
      </c>
      <c r="F24" s="110">
        <v>0</v>
      </c>
      <c r="G24" s="16">
        <v>0</v>
      </c>
      <c r="H24" s="55">
        <v>0</v>
      </c>
      <c r="I24" s="166">
        <v>0</v>
      </c>
      <c r="J24" s="161">
        <v>0</v>
      </c>
      <c r="K24" s="143">
        <v>0</v>
      </c>
      <c r="L24" s="79"/>
    </row>
    <row r="25" spans="1:14" x14ac:dyDescent="0.35">
      <c r="A25" s="46" t="s">
        <v>136</v>
      </c>
      <c r="C25" s="97">
        <v>0</v>
      </c>
      <c r="D25" s="109">
        <v>0</v>
      </c>
      <c r="E25" s="109">
        <v>0</v>
      </c>
      <c r="F25" s="110">
        <v>0</v>
      </c>
      <c r="G25" s="16">
        <v>0</v>
      </c>
      <c r="H25" s="55">
        <v>0</v>
      </c>
      <c r="I25" s="166">
        <v>0</v>
      </c>
      <c r="J25" s="161">
        <v>0</v>
      </c>
      <c r="K25" s="143">
        <v>0</v>
      </c>
      <c r="L25" s="79"/>
    </row>
    <row r="26" spans="1:14" x14ac:dyDescent="0.35">
      <c r="A26" s="46" t="s">
        <v>137</v>
      </c>
      <c r="C26" s="97">
        <v>0</v>
      </c>
      <c r="D26" s="109">
        <v>0</v>
      </c>
      <c r="E26" s="109">
        <v>0</v>
      </c>
      <c r="F26" s="110">
        <v>0</v>
      </c>
      <c r="G26" s="16">
        <v>0</v>
      </c>
      <c r="H26" s="55">
        <v>0</v>
      </c>
      <c r="I26" s="166">
        <v>0</v>
      </c>
      <c r="J26" s="161">
        <v>0</v>
      </c>
      <c r="K26" s="143">
        <v>0</v>
      </c>
      <c r="L26" s="79"/>
    </row>
    <row r="27" spans="1:14" x14ac:dyDescent="0.35">
      <c r="A27" s="46" t="s">
        <v>138</v>
      </c>
      <c r="C27" s="97">
        <v>0</v>
      </c>
      <c r="D27" s="109">
        <v>0</v>
      </c>
      <c r="E27" s="109">
        <v>0</v>
      </c>
      <c r="F27" s="110">
        <v>0</v>
      </c>
      <c r="G27" s="16">
        <v>0</v>
      </c>
      <c r="H27" s="55">
        <v>0</v>
      </c>
      <c r="I27" s="166">
        <v>0</v>
      </c>
      <c r="J27" s="161">
        <v>0</v>
      </c>
      <c r="K27" s="143">
        <v>0</v>
      </c>
      <c r="L27" s="79"/>
      <c r="N27" s="47"/>
    </row>
    <row r="28" spans="1:14" x14ac:dyDescent="0.35">
      <c r="C28" s="99"/>
      <c r="D28" s="18"/>
      <c r="E28" s="18"/>
      <c r="F28" s="18"/>
      <c r="G28" s="91"/>
      <c r="H28" s="18"/>
      <c r="I28" s="167"/>
      <c r="J28" s="56"/>
      <c r="K28" s="56"/>
      <c r="L28" s="13"/>
    </row>
    <row r="29" spans="1:14" ht="15" thickBot="1" x14ac:dyDescent="0.4">
      <c r="A29" s="3" t="s">
        <v>14</v>
      </c>
      <c r="B29" s="3"/>
      <c r="C29" s="103">
        <v>3687.54</v>
      </c>
      <c r="D29" s="136">
        <v>-2037.88</v>
      </c>
      <c r="E29" s="136">
        <v>-2200.8500000000004</v>
      </c>
      <c r="F29" s="137">
        <v>-2276.2199999999998</v>
      </c>
      <c r="G29" s="26">
        <v>-2263.42</v>
      </c>
      <c r="H29" s="122">
        <v>-2220.64</v>
      </c>
      <c r="I29" s="173">
        <v>-2137.39</v>
      </c>
      <c r="J29" s="162">
        <v>-2001.5</v>
      </c>
      <c r="K29" s="145">
        <v>-1853.6</v>
      </c>
      <c r="L29" s="82"/>
    </row>
    <row r="30" spans="1:14" x14ac:dyDescent="0.35">
      <c r="C30" s="64"/>
      <c r="D30" s="149"/>
      <c r="E30" s="149"/>
      <c r="F30" s="150"/>
      <c r="G30" s="64"/>
      <c r="H30" s="33"/>
      <c r="I30" s="174"/>
      <c r="J30" s="34"/>
      <c r="K30" s="34"/>
      <c r="L30" s="60"/>
    </row>
    <row r="31" spans="1:14" x14ac:dyDescent="0.35">
      <c r="A31" s="46" t="s">
        <v>52</v>
      </c>
      <c r="C31" s="65"/>
      <c r="D31" s="150"/>
      <c r="E31" s="150"/>
      <c r="F31" s="150"/>
      <c r="G31" s="65"/>
      <c r="H31" s="35"/>
      <c r="I31" s="175"/>
      <c r="J31" s="34"/>
      <c r="K31" s="34"/>
      <c r="L31" s="60"/>
    </row>
    <row r="32" spans="1:14" x14ac:dyDescent="0.35">
      <c r="A32" s="46" t="s">
        <v>24</v>
      </c>
      <c r="C32" s="100">
        <f t="shared" ref="C32:L32" si="13">C23-C16</f>
        <v>0</v>
      </c>
      <c r="D32" s="41">
        <f t="shared" si="13"/>
        <v>0</v>
      </c>
      <c r="E32" s="41">
        <f t="shared" si="13"/>
        <v>0</v>
      </c>
      <c r="F32" s="108">
        <f t="shared" si="13"/>
        <v>1.35</v>
      </c>
      <c r="G32" s="40">
        <f t="shared" si="13"/>
        <v>16476.36</v>
      </c>
      <c r="H32" s="41">
        <f t="shared" si="13"/>
        <v>35735.760000000002</v>
      </c>
      <c r="I32" s="61">
        <f t="shared" si="13"/>
        <v>30804.06</v>
      </c>
      <c r="J32" s="123">
        <f t="shared" si="13"/>
        <v>28199.484</v>
      </c>
      <c r="K32" s="41">
        <f t="shared" si="13"/>
        <v>35367.373620000006</v>
      </c>
      <c r="L32" s="61">
        <f t="shared" si="13"/>
        <v>51227.127</v>
      </c>
    </row>
    <row r="33" spans="1:12" x14ac:dyDescent="0.35">
      <c r="A33" s="46" t="s">
        <v>135</v>
      </c>
      <c r="C33" s="100">
        <f t="shared" ref="C33:L33" si="14">C24-C17</f>
        <v>0</v>
      </c>
      <c r="D33" s="41">
        <f t="shared" si="14"/>
        <v>0</v>
      </c>
      <c r="E33" s="41">
        <f t="shared" si="14"/>
        <v>0</v>
      </c>
      <c r="F33" s="108">
        <f t="shared" si="14"/>
        <v>0</v>
      </c>
      <c r="G33" s="40">
        <f t="shared" si="14"/>
        <v>755.28</v>
      </c>
      <c r="H33" s="41">
        <f t="shared" si="14"/>
        <v>0</v>
      </c>
      <c r="I33" s="61">
        <f t="shared" si="14"/>
        <v>0</v>
      </c>
      <c r="J33" s="123">
        <f t="shared" si="14"/>
        <v>0</v>
      </c>
      <c r="K33" s="41">
        <f t="shared" si="14"/>
        <v>0</v>
      </c>
      <c r="L33" s="61">
        <f t="shared" si="14"/>
        <v>0</v>
      </c>
    </row>
    <row r="34" spans="1:12" x14ac:dyDescent="0.35">
      <c r="A34" s="46" t="s">
        <v>136</v>
      </c>
      <c r="C34" s="100">
        <f t="shared" ref="C34:L34" si="15">C25-C18</f>
        <v>0</v>
      </c>
      <c r="D34" s="41">
        <f t="shared" si="15"/>
        <v>0</v>
      </c>
      <c r="E34" s="41">
        <f t="shared" si="15"/>
        <v>0</v>
      </c>
      <c r="F34" s="108">
        <f t="shared" si="15"/>
        <v>0</v>
      </c>
      <c r="G34" s="40">
        <f t="shared" si="15"/>
        <v>2547.12</v>
      </c>
      <c r="H34" s="41">
        <f t="shared" si="15"/>
        <v>0</v>
      </c>
      <c r="I34" s="61">
        <f t="shared" si="15"/>
        <v>0</v>
      </c>
      <c r="J34" s="123">
        <f t="shared" si="15"/>
        <v>0</v>
      </c>
      <c r="K34" s="41">
        <f t="shared" si="15"/>
        <v>0</v>
      </c>
      <c r="L34" s="61">
        <f t="shared" si="15"/>
        <v>0</v>
      </c>
    </row>
    <row r="35" spans="1:12" x14ac:dyDescent="0.35">
      <c r="A35" s="46" t="s">
        <v>137</v>
      </c>
      <c r="C35" s="100">
        <f t="shared" ref="C35:L35" si="16">C26-C19</f>
        <v>0</v>
      </c>
      <c r="D35" s="41">
        <f t="shared" si="16"/>
        <v>0</v>
      </c>
      <c r="E35" s="41">
        <f t="shared" si="16"/>
        <v>0</v>
      </c>
      <c r="F35" s="108">
        <f t="shared" si="16"/>
        <v>0</v>
      </c>
      <c r="G35" s="40">
        <f t="shared" si="16"/>
        <v>4160.9399999999996</v>
      </c>
      <c r="H35" s="41">
        <f t="shared" si="16"/>
        <v>0</v>
      </c>
      <c r="I35" s="61">
        <f t="shared" si="16"/>
        <v>0</v>
      </c>
      <c r="J35" s="123">
        <f t="shared" si="16"/>
        <v>0</v>
      </c>
      <c r="K35" s="41">
        <f t="shared" si="16"/>
        <v>0</v>
      </c>
      <c r="L35" s="61">
        <f t="shared" si="16"/>
        <v>0</v>
      </c>
    </row>
    <row r="36" spans="1:12" x14ac:dyDescent="0.35">
      <c r="A36" s="46" t="s">
        <v>138</v>
      </c>
      <c r="C36" s="100">
        <f t="shared" ref="C36:L36" si="17">C27-C20</f>
        <v>0</v>
      </c>
      <c r="D36" s="41">
        <f t="shared" si="17"/>
        <v>0</v>
      </c>
      <c r="E36" s="41">
        <f t="shared" si="17"/>
        <v>0</v>
      </c>
      <c r="F36" s="108">
        <f t="shared" si="17"/>
        <v>0</v>
      </c>
      <c r="G36" s="40">
        <f t="shared" si="17"/>
        <v>345.06</v>
      </c>
      <c r="H36" s="41">
        <f t="shared" si="17"/>
        <v>0</v>
      </c>
      <c r="I36" s="61">
        <f t="shared" si="17"/>
        <v>0</v>
      </c>
      <c r="J36" s="123">
        <f t="shared" si="17"/>
        <v>0</v>
      </c>
      <c r="K36" s="41">
        <f t="shared" si="17"/>
        <v>0</v>
      </c>
      <c r="L36" s="61">
        <f t="shared" si="17"/>
        <v>0</v>
      </c>
    </row>
    <row r="37" spans="1:12" x14ac:dyDescent="0.35">
      <c r="C37" s="99"/>
      <c r="D37" s="17"/>
      <c r="E37" s="17"/>
      <c r="F37" s="17"/>
      <c r="G37" s="10"/>
      <c r="H37" s="17"/>
      <c r="I37" s="11"/>
      <c r="J37" s="17"/>
      <c r="K37" s="17"/>
      <c r="L37" s="11"/>
    </row>
    <row r="38" spans="1:12" x14ac:dyDescent="0.35">
      <c r="A38" s="46" t="s">
        <v>53</v>
      </c>
      <c r="C38" s="99"/>
      <c r="D38" s="17"/>
      <c r="E38" s="17"/>
      <c r="F38" s="17"/>
      <c r="G38" s="10"/>
      <c r="H38" s="17"/>
      <c r="I38" s="11"/>
      <c r="J38" s="17"/>
      <c r="K38" s="17"/>
      <c r="L38" s="11"/>
    </row>
    <row r="39" spans="1:12" x14ac:dyDescent="0.35">
      <c r="A39" s="46" t="s">
        <v>24</v>
      </c>
      <c r="B39" s="61">
        <v>-490740.28999999992</v>
      </c>
      <c r="C39" s="100">
        <f t="shared" ref="C39:L39" si="18">B39+C32+B47</f>
        <v>-490740.28999999992</v>
      </c>
      <c r="D39" s="41">
        <f t="shared" si="18"/>
        <v>-487110.18999999994</v>
      </c>
      <c r="E39" s="41">
        <f t="shared" si="18"/>
        <v>-489116.33999999997</v>
      </c>
      <c r="F39" s="108">
        <f t="shared" si="18"/>
        <v>-491281.57</v>
      </c>
      <c r="G39" s="40">
        <f t="shared" si="18"/>
        <v>-477045.98000000004</v>
      </c>
      <c r="H39" s="41">
        <f t="shared" si="18"/>
        <v>-443573.64</v>
      </c>
      <c r="I39" s="61">
        <f t="shared" si="18"/>
        <v>-414990.22000000003</v>
      </c>
      <c r="J39" s="123">
        <f t="shared" si="18"/>
        <v>-388928.12600000005</v>
      </c>
      <c r="K39" s="41">
        <f t="shared" si="18"/>
        <v>-355562.25238000002</v>
      </c>
      <c r="L39" s="61">
        <f t="shared" si="18"/>
        <v>-306188.72538000002</v>
      </c>
    </row>
    <row r="40" spans="1:12" x14ac:dyDescent="0.35">
      <c r="A40" s="46" t="s">
        <v>135</v>
      </c>
      <c r="B40" s="61">
        <v>-1054.1300000000006</v>
      </c>
      <c r="C40" s="100">
        <f t="shared" ref="C40:L40" si="19">B40+C33+B48</f>
        <v>-1054.1300000000006</v>
      </c>
      <c r="D40" s="41">
        <f t="shared" si="19"/>
        <v>-1046.3300000000006</v>
      </c>
      <c r="E40" s="41">
        <f t="shared" si="19"/>
        <v>-1050.6400000000006</v>
      </c>
      <c r="F40" s="108">
        <f t="shared" si="19"/>
        <v>-1055.2900000000006</v>
      </c>
      <c r="G40" s="40">
        <f t="shared" si="19"/>
        <v>-304.82000000000068</v>
      </c>
      <c r="H40" s="41">
        <f t="shared" si="19"/>
        <v>-304.82000000000068</v>
      </c>
      <c r="I40" s="61">
        <f t="shared" si="19"/>
        <v>-306.2900000000007</v>
      </c>
      <c r="J40" s="123">
        <f t="shared" si="19"/>
        <v>-307.81000000000068</v>
      </c>
      <c r="K40" s="41">
        <f t="shared" si="19"/>
        <v>-309.34000000000066</v>
      </c>
      <c r="L40" s="61">
        <f t="shared" si="19"/>
        <v>-310.88000000000068</v>
      </c>
    </row>
    <row r="41" spans="1:12" x14ac:dyDescent="0.35">
      <c r="A41" s="46" t="s">
        <v>136</v>
      </c>
      <c r="B41" s="61">
        <v>-2765.01</v>
      </c>
      <c r="C41" s="100">
        <f t="shared" ref="C41:L41" si="20">B41+C34+B49</f>
        <v>-2765.01</v>
      </c>
      <c r="D41" s="41">
        <f t="shared" si="20"/>
        <v>-2744.55</v>
      </c>
      <c r="E41" s="41">
        <f t="shared" si="20"/>
        <v>-2755.8500000000004</v>
      </c>
      <c r="F41" s="108">
        <f t="shared" si="20"/>
        <v>-2768.0600000000004</v>
      </c>
      <c r="G41" s="40">
        <f t="shared" si="20"/>
        <v>-233.5700000000005</v>
      </c>
      <c r="H41" s="41">
        <f t="shared" si="20"/>
        <v>-233.5700000000005</v>
      </c>
      <c r="I41" s="61">
        <f t="shared" si="20"/>
        <v>-234.69000000000051</v>
      </c>
      <c r="J41" s="123">
        <f t="shared" si="20"/>
        <v>-235.8600000000005</v>
      </c>
      <c r="K41" s="41">
        <f t="shared" si="20"/>
        <v>-237.03000000000048</v>
      </c>
      <c r="L41" s="61">
        <f t="shared" si="20"/>
        <v>-238.21000000000049</v>
      </c>
    </row>
    <row r="42" spans="1:12" x14ac:dyDescent="0.35">
      <c r="A42" s="46" t="s">
        <v>137</v>
      </c>
      <c r="B42" s="61">
        <v>-3247.9899999999993</v>
      </c>
      <c r="C42" s="100">
        <f t="shared" ref="C42:L42" si="21">B42+C35+B50</f>
        <v>-3247.9899999999993</v>
      </c>
      <c r="D42" s="41">
        <f t="shared" si="21"/>
        <v>-3223.9599999999991</v>
      </c>
      <c r="E42" s="41">
        <f t="shared" si="21"/>
        <v>-3237.2399999999993</v>
      </c>
      <c r="F42" s="108">
        <f t="shared" si="21"/>
        <v>-3251.5799999999995</v>
      </c>
      <c r="G42" s="40">
        <f t="shared" si="21"/>
        <v>894.53000000000009</v>
      </c>
      <c r="H42" s="41">
        <f t="shared" si="21"/>
        <v>894.53000000000009</v>
      </c>
      <c r="I42" s="61">
        <f t="shared" si="21"/>
        <v>898.83</v>
      </c>
      <c r="J42" s="123">
        <f t="shared" si="21"/>
        <v>903.29000000000008</v>
      </c>
      <c r="K42" s="41">
        <f t="shared" si="21"/>
        <v>907.78000000000009</v>
      </c>
      <c r="L42" s="61">
        <f t="shared" si="21"/>
        <v>912.29000000000008</v>
      </c>
    </row>
    <row r="43" spans="1:12" x14ac:dyDescent="0.35">
      <c r="A43" s="46" t="s">
        <v>138</v>
      </c>
      <c r="B43" s="61">
        <v>-697.24000000000012</v>
      </c>
      <c r="C43" s="100">
        <f>B43+C36+B51</f>
        <v>-697.24000000000012</v>
      </c>
      <c r="D43" s="41">
        <f t="shared" ref="D43:L43" si="22">C43+D36+C51</f>
        <v>-692.09000000000015</v>
      </c>
      <c r="E43" s="41">
        <f t="shared" si="22"/>
        <v>-694.94000000000017</v>
      </c>
      <c r="F43" s="108">
        <f t="shared" si="22"/>
        <v>-698.02000000000021</v>
      </c>
      <c r="G43" s="40">
        <f t="shared" si="22"/>
        <v>-356.14000000000021</v>
      </c>
      <c r="H43" s="41">
        <f t="shared" si="22"/>
        <v>-356.14000000000021</v>
      </c>
      <c r="I43" s="61">
        <f t="shared" si="22"/>
        <v>-357.85000000000019</v>
      </c>
      <c r="J43" s="123">
        <f t="shared" si="22"/>
        <v>-359.63000000000017</v>
      </c>
      <c r="K43" s="41">
        <f t="shared" si="22"/>
        <v>-361.42000000000019</v>
      </c>
      <c r="L43" s="61">
        <f t="shared" si="22"/>
        <v>-363.21000000000021</v>
      </c>
    </row>
    <row r="44" spans="1:12" x14ac:dyDescent="0.35">
      <c r="C44" s="99"/>
      <c r="D44" s="17"/>
      <c r="E44" s="17"/>
      <c r="F44" s="17"/>
      <c r="G44" s="10"/>
      <c r="H44" s="17"/>
      <c r="I44" s="11"/>
      <c r="J44" s="17"/>
      <c r="K44" s="17"/>
      <c r="L44" s="11"/>
    </row>
    <row r="45" spans="1:12" x14ac:dyDescent="0.35">
      <c r="A45" s="39" t="s">
        <v>49</v>
      </c>
      <c r="B45" s="39"/>
      <c r="C45" s="104"/>
      <c r="D45" s="83">
        <f>+'PCR Cycle 2'!E50</f>
        <v>4.1184699999999999E-3</v>
      </c>
      <c r="E45" s="83">
        <f>+'PCR Cycle 2'!F50</f>
        <v>4.4295699999999999E-3</v>
      </c>
      <c r="F45" s="83">
        <f>+'PCR Cycle 2'!G50</f>
        <v>4.5610700000000004E-3</v>
      </c>
      <c r="G45" s="84">
        <f>+'PCR Cycle 2'!H50</f>
        <v>4.66411E-3</v>
      </c>
      <c r="H45" s="83">
        <f>+'PCR Cycle 2'!I50</f>
        <v>4.8123899999999997E-3</v>
      </c>
      <c r="I45" s="92">
        <f>+'PCR Cycle 2'!J50</f>
        <v>4.9661499999999999E-3</v>
      </c>
      <c r="J45" s="83">
        <f>+'PCR Cycle 2'!K50</f>
        <v>4.9661499999999999E-3</v>
      </c>
      <c r="K45" s="83">
        <f>+'PCR Cycle 2'!L50</f>
        <v>4.9661499999999999E-3</v>
      </c>
      <c r="L45" s="85"/>
    </row>
    <row r="46" spans="1:12" x14ac:dyDescent="0.35">
      <c r="A46" s="39" t="s">
        <v>37</v>
      </c>
      <c r="B46" s="39"/>
      <c r="C46" s="106"/>
      <c r="D46" s="83"/>
      <c r="E46" s="83"/>
      <c r="F46" s="83"/>
      <c r="G46" s="84"/>
      <c r="H46" s="83"/>
      <c r="I46" s="85"/>
      <c r="J46" s="83"/>
      <c r="K46" s="83"/>
      <c r="L46" s="85"/>
    </row>
    <row r="47" spans="1:12" x14ac:dyDescent="0.35">
      <c r="A47" s="46" t="s">
        <v>24</v>
      </c>
      <c r="C47" s="100">
        <v>3630.1000000000004</v>
      </c>
      <c r="D47" s="41">
        <f t="shared" ref="D47:L47" si="23">ROUND((C39+C47+D32/2)*D$45,2)</f>
        <v>-2006.15</v>
      </c>
      <c r="E47" s="41">
        <f t="shared" si="23"/>
        <v>-2166.58</v>
      </c>
      <c r="F47" s="108">
        <f t="shared" si="23"/>
        <v>-2240.77</v>
      </c>
      <c r="G47" s="40">
        <f t="shared" si="23"/>
        <v>-2263.42</v>
      </c>
      <c r="H47" s="123">
        <f t="shared" si="23"/>
        <v>-2220.64</v>
      </c>
      <c r="I47" s="49">
        <f t="shared" si="23"/>
        <v>-2137.39</v>
      </c>
      <c r="J47" s="163">
        <f t="shared" si="23"/>
        <v>-2001.5</v>
      </c>
      <c r="K47" s="108">
        <f t="shared" si="23"/>
        <v>-1853.6</v>
      </c>
      <c r="L47" s="61">
        <f t="shared" si="23"/>
        <v>0</v>
      </c>
    </row>
    <row r="48" spans="1:12" x14ac:dyDescent="0.35">
      <c r="A48" s="46" t="s">
        <v>135</v>
      </c>
      <c r="C48" s="100">
        <v>7.8000000000000007</v>
      </c>
      <c r="D48" s="41">
        <f t="shared" ref="D48:L48" si="24">ROUND((C40+C48+D33/2)*D$45,2)</f>
        <v>-4.3099999999999996</v>
      </c>
      <c r="E48" s="41">
        <f t="shared" si="24"/>
        <v>-4.6500000000000004</v>
      </c>
      <c r="F48" s="108">
        <f t="shared" si="24"/>
        <v>-4.8099999999999996</v>
      </c>
      <c r="G48" s="40">
        <f>ROUND((F40+F48+G33/2)*G$45,2)*0</f>
        <v>0</v>
      </c>
      <c r="H48" s="123">
        <f t="shared" si="24"/>
        <v>-1.47</v>
      </c>
      <c r="I48" s="49">
        <f t="shared" si="24"/>
        <v>-1.52</v>
      </c>
      <c r="J48" s="163">
        <f t="shared" si="24"/>
        <v>-1.53</v>
      </c>
      <c r="K48" s="108">
        <f t="shared" si="24"/>
        <v>-1.54</v>
      </c>
      <c r="L48" s="61">
        <f t="shared" si="24"/>
        <v>0</v>
      </c>
    </row>
    <row r="49" spans="1:12" x14ac:dyDescent="0.35">
      <c r="A49" s="46" t="s">
        <v>136</v>
      </c>
      <c r="C49" s="100">
        <v>20.46</v>
      </c>
      <c r="D49" s="41">
        <f t="shared" ref="D49:L49" si="25">ROUND((C41+C49+D34/2)*D$45,2)</f>
        <v>-11.3</v>
      </c>
      <c r="E49" s="41">
        <f t="shared" si="25"/>
        <v>-12.21</v>
      </c>
      <c r="F49" s="108">
        <f t="shared" si="25"/>
        <v>-12.63</v>
      </c>
      <c r="G49" s="40">
        <f t="shared" ref="G49:G51" si="26">ROUND((F41+F49+G34/2)*G$45,2)*0</f>
        <v>0</v>
      </c>
      <c r="H49" s="123">
        <f t="shared" si="25"/>
        <v>-1.1200000000000001</v>
      </c>
      <c r="I49" s="49">
        <f t="shared" si="25"/>
        <v>-1.17</v>
      </c>
      <c r="J49" s="163">
        <f t="shared" si="25"/>
        <v>-1.17</v>
      </c>
      <c r="K49" s="108">
        <f t="shared" si="25"/>
        <v>-1.18</v>
      </c>
      <c r="L49" s="61">
        <f t="shared" si="25"/>
        <v>0</v>
      </c>
    </row>
    <row r="50" spans="1:12" x14ac:dyDescent="0.35">
      <c r="A50" s="46" t="s">
        <v>137</v>
      </c>
      <c r="C50" s="100">
        <v>24.03</v>
      </c>
      <c r="D50" s="41">
        <f t="shared" ref="D50:L50" si="27">ROUND((C42+C50+D35/2)*D$45,2)</f>
        <v>-13.28</v>
      </c>
      <c r="E50" s="41">
        <f t="shared" si="27"/>
        <v>-14.34</v>
      </c>
      <c r="F50" s="108">
        <f t="shared" si="27"/>
        <v>-14.83</v>
      </c>
      <c r="G50" s="40">
        <f t="shared" si="26"/>
        <v>0</v>
      </c>
      <c r="H50" s="123">
        <f t="shared" si="27"/>
        <v>4.3</v>
      </c>
      <c r="I50" s="49">
        <f t="shared" si="27"/>
        <v>4.46</v>
      </c>
      <c r="J50" s="163">
        <f t="shared" si="27"/>
        <v>4.49</v>
      </c>
      <c r="K50" s="108">
        <f t="shared" si="27"/>
        <v>4.51</v>
      </c>
      <c r="L50" s="61">
        <f t="shared" si="27"/>
        <v>0</v>
      </c>
    </row>
    <row r="51" spans="1:12" ht="15" thickBot="1" x14ac:dyDescent="0.4">
      <c r="A51" s="46" t="s">
        <v>138</v>
      </c>
      <c r="C51" s="100">
        <v>5.15</v>
      </c>
      <c r="D51" s="41">
        <f t="shared" ref="D51:L51" si="28">ROUND((C43+C51+D36/2)*D$45,2)</f>
        <v>-2.85</v>
      </c>
      <c r="E51" s="41">
        <f t="shared" si="28"/>
        <v>-3.08</v>
      </c>
      <c r="F51" s="108">
        <f t="shared" si="28"/>
        <v>-3.18</v>
      </c>
      <c r="G51" s="40">
        <f t="shared" si="26"/>
        <v>0</v>
      </c>
      <c r="H51" s="123">
        <f t="shared" si="28"/>
        <v>-1.71</v>
      </c>
      <c r="I51" s="49">
        <f t="shared" si="28"/>
        <v>-1.78</v>
      </c>
      <c r="J51" s="163">
        <f t="shared" si="28"/>
        <v>-1.79</v>
      </c>
      <c r="K51" s="108">
        <f t="shared" si="28"/>
        <v>-1.79</v>
      </c>
      <c r="L51" s="61">
        <f t="shared" si="28"/>
        <v>0</v>
      </c>
    </row>
    <row r="52" spans="1:12" ht="15.5" thickTop="1" thickBot="1" x14ac:dyDescent="0.4">
      <c r="A52" s="54" t="s">
        <v>22</v>
      </c>
      <c r="B52" s="54"/>
      <c r="C52" s="107">
        <v>0</v>
      </c>
      <c r="D52" s="42">
        <f t="shared" ref="D52:I52" si="29">SUM(D47:D51)+SUM(D39:D43)-D55</f>
        <v>0</v>
      </c>
      <c r="E52" s="42">
        <f t="shared" si="29"/>
        <v>0</v>
      </c>
      <c r="F52" s="50">
        <f t="shared" ref="F52:H52" si="30">SUM(F47:F51)+SUM(F39:F43)-F55</f>
        <v>0</v>
      </c>
      <c r="G52" s="147">
        <f t="shared" si="30"/>
        <v>0</v>
      </c>
      <c r="H52" s="50">
        <f t="shared" si="30"/>
        <v>0</v>
      </c>
      <c r="I52" s="62">
        <f t="shared" si="29"/>
        <v>0</v>
      </c>
      <c r="J52" s="164">
        <f t="shared" ref="J52:L52" si="31">SUM(J47:J51)+SUM(J39:J43)-J55</f>
        <v>0</v>
      </c>
      <c r="K52" s="50">
        <f t="shared" si="31"/>
        <v>0</v>
      </c>
      <c r="L52" s="62">
        <f t="shared" si="31"/>
        <v>0</v>
      </c>
    </row>
    <row r="53" spans="1:12" ht="15.5" thickTop="1" thickBot="1" x14ac:dyDescent="0.4">
      <c r="A53" s="54" t="s">
        <v>23</v>
      </c>
      <c r="B53" s="54"/>
      <c r="C53" s="107">
        <v>0</v>
      </c>
      <c r="D53" s="42">
        <f t="shared" ref="D53:I53" si="32">SUM(D47:D51)-D29</f>
        <v>-9.9999999997635314E-3</v>
      </c>
      <c r="E53" s="42">
        <f t="shared" si="32"/>
        <v>-9.9999999997635314E-3</v>
      </c>
      <c r="F53" s="50">
        <f t="shared" ref="F53:H53" si="33">SUM(F47:F51)-F29</f>
        <v>0</v>
      </c>
      <c r="G53" s="147">
        <f t="shared" si="33"/>
        <v>0</v>
      </c>
      <c r="H53" s="50">
        <f t="shared" si="33"/>
        <v>0</v>
      </c>
      <c r="I53" s="62">
        <f t="shared" si="32"/>
        <v>-1.0000000000218279E-2</v>
      </c>
      <c r="J53" s="165">
        <f t="shared" ref="J53:L53" si="34">SUM(J47:J51)-J29</f>
        <v>0</v>
      </c>
      <c r="K53" s="42">
        <f t="shared" si="34"/>
        <v>0</v>
      </c>
      <c r="L53" s="42">
        <f t="shared" si="34"/>
        <v>0</v>
      </c>
    </row>
    <row r="54" spans="1:12" ht="15.5" thickTop="1" thickBot="1" x14ac:dyDescent="0.4">
      <c r="C54" s="99"/>
      <c r="D54" s="17"/>
      <c r="E54" s="17"/>
      <c r="F54" s="17"/>
      <c r="G54" s="10"/>
      <c r="H54" s="17"/>
      <c r="I54" s="11"/>
      <c r="J54" s="17"/>
      <c r="K54" s="17"/>
      <c r="L54" s="11"/>
    </row>
    <row r="55" spans="1:12" ht="15" thickBot="1" x14ac:dyDescent="0.4">
      <c r="A55" s="46" t="s">
        <v>36</v>
      </c>
      <c r="B55" s="119">
        <f>SUM(B39:B43)</f>
        <v>-498504.65999999992</v>
      </c>
      <c r="C55" s="100">
        <f t="shared" ref="C55:L55" si="35">(C13-SUM(C16:C20))+SUM(C47:C51)+B55</f>
        <v>-494817.11999999994</v>
      </c>
      <c r="D55" s="41">
        <f t="shared" si="35"/>
        <v>-496855.00999999995</v>
      </c>
      <c r="E55" s="41">
        <f t="shared" si="35"/>
        <v>-499055.86999999994</v>
      </c>
      <c r="F55" s="108">
        <f t="shared" si="35"/>
        <v>-501330.73999999993</v>
      </c>
      <c r="G55" s="40">
        <f t="shared" si="35"/>
        <v>-479309.39999999991</v>
      </c>
      <c r="H55" s="41">
        <f t="shared" si="35"/>
        <v>-445794.27999999991</v>
      </c>
      <c r="I55" s="61">
        <f t="shared" si="35"/>
        <v>-417127.61999999994</v>
      </c>
      <c r="J55" s="163">
        <f t="shared" si="35"/>
        <v>-390929.63599999994</v>
      </c>
      <c r="K55" s="108">
        <f t="shared" si="35"/>
        <v>-357415.86237999995</v>
      </c>
      <c r="L55" s="61">
        <f t="shared" si="35"/>
        <v>-306188.73537999997</v>
      </c>
    </row>
    <row r="56" spans="1:12" x14ac:dyDescent="0.35">
      <c r="A56" s="46" t="s">
        <v>12</v>
      </c>
      <c r="C56" s="120"/>
      <c r="D56" s="17"/>
      <c r="E56" s="17"/>
      <c r="F56" s="17"/>
      <c r="G56" s="10"/>
      <c r="H56" s="17"/>
      <c r="I56" s="11"/>
      <c r="J56" s="17"/>
      <c r="K56" s="17"/>
      <c r="L56" s="11"/>
    </row>
    <row r="57" spans="1:12" ht="15" thickBot="1" x14ac:dyDescent="0.4">
      <c r="A57" s="37"/>
      <c r="B57" s="37"/>
      <c r="C57" s="148"/>
      <c r="D57" s="44"/>
      <c r="E57" s="44"/>
      <c r="F57" s="44"/>
      <c r="G57" s="43"/>
      <c r="H57" s="44"/>
      <c r="I57" s="45"/>
      <c r="J57" s="44"/>
      <c r="K57" s="44"/>
      <c r="L57" s="45"/>
    </row>
    <row r="59" spans="1:12" x14ac:dyDescent="0.35">
      <c r="A59" s="69" t="s">
        <v>11</v>
      </c>
      <c r="B59" s="69"/>
      <c r="C59" s="69"/>
    </row>
    <row r="60" spans="1:12" x14ac:dyDescent="0.35">
      <c r="A60" s="326" t="s">
        <v>175</v>
      </c>
      <c r="B60" s="326"/>
      <c r="C60" s="326"/>
      <c r="D60" s="326"/>
      <c r="E60" s="326"/>
      <c r="F60" s="326"/>
      <c r="G60" s="326"/>
      <c r="H60" s="326"/>
      <c r="I60" s="326"/>
      <c r="J60" s="292"/>
      <c r="K60" s="292"/>
      <c r="L60" s="292"/>
    </row>
    <row r="61" spans="1:12" ht="63" customHeight="1" x14ac:dyDescent="0.35">
      <c r="A61" s="316" t="s">
        <v>225</v>
      </c>
      <c r="B61" s="316"/>
      <c r="C61" s="316"/>
      <c r="D61" s="316"/>
      <c r="E61" s="316"/>
      <c r="F61" s="316"/>
      <c r="G61" s="316"/>
      <c r="H61" s="316"/>
      <c r="I61" s="316"/>
      <c r="J61" s="316"/>
      <c r="K61" s="316"/>
    </row>
    <row r="62" spans="1:12" ht="18.75" customHeight="1" x14ac:dyDescent="0.35">
      <c r="A62" s="3" t="s">
        <v>216</v>
      </c>
      <c r="B62" s="3"/>
      <c r="C62" s="3"/>
      <c r="I62" s="4"/>
      <c r="J62" s="292"/>
      <c r="K62" s="292"/>
      <c r="L62" s="292"/>
    </row>
    <row r="63" spans="1:12" x14ac:dyDescent="0.35">
      <c r="A63" s="3" t="s">
        <v>201</v>
      </c>
      <c r="B63" s="3"/>
      <c r="C63" s="3"/>
      <c r="I63" s="4"/>
    </row>
    <row r="64" spans="1:12" x14ac:dyDescent="0.35">
      <c r="A64" s="3" t="s">
        <v>126</v>
      </c>
      <c r="B64" s="3"/>
      <c r="C64" s="3"/>
      <c r="I64" s="4"/>
    </row>
    <row r="65" spans="1:9" x14ac:dyDescent="0.35">
      <c r="A65" s="3"/>
      <c r="B65" s="63"/>
      <c r="C65" s="63"/>
      <c r="D65" s="39"/>
      <c r="E65" s="39"/>
      <c r="F65" s="39"/>
      <c r="G65" s="39"/>
      <c r="H65" s="39"/>
      <c r="I65" s="39"/>
    </row>
    <row r="66" spans="1:9" x14ac:dyDescent="0.35">
      <c r="A66" s="3"/>
      <c r="B66" s="3"/>
      <c r="C66" s="3"/>
    </row>
  </sheetData>
  <mergeCells count="5">
    <mergeCell ref="D11:F11"/>
    <mergeCell ref="G11:I11"/>
    <mergeCell ref="J11:L11"/>
    <mergeCell ref="A60:I60"/>
    <mergeCell ref="A61:K61"/>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zoomScale="89" zoomScaleNormal="89" workbookViewId="0">
      <pane xSplit="2" ySplit="3" topLeftCell="C4" activePane="bottomRight" state="frozen"/>
      <selection activeCell="J26" sqref="J26"/>
      <selection pane="topRight" activeCell="J26" sqref="J26"/>
      <selection pane="bottomLeft" activeCell="J26" sqref="J26"/>
      <selection pane="bottomRight" activeCell="H18" sqref="H18"/>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3.72656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bestFit="1" customWidth="1" outlineLevel="1"/>
    <col min="16" max="16" width="19.26953125" customWidth="1" outlineLevel="1"/>
    <col min="17" max="17" width="16" style="46" customWidth="1" outlineLevel="1"/>
    <col min="18" max="18" width="11.81640625" bestFit="1" customWidth="1" outlineLevel="1"/>
    <col min="19" max="20" width="16" customWidth="1" outlineLevel="1"/>
    <col min="21" max="21" width="16" style="46" customWidth="1" outlineLevel="1"/>
    <col min="22" max="22" width="16" customWidth="1" outlineLevel="1"/>
    <col min="23" max="23" width="9.1796875" customWidth="1" outlineLevel="1"/>
    <col min="24" max="27" width="16" bestFit="1" customWidth="1" outlineLevel="1"/>
    <col min="28" max="28" width="13.6328125" customWidth="1"/>
  </cols>
  <sheetData>
    <row r="1" spans="1:28" x14ac:dyDescent="0.35">
      <c r="A1" s="3" t="str">
        <f>+'PPC Cycle 3'!A1</f>
        <v>Evergy Metro, Inc. - DSIM Rider Update Filed 06/01/2023</v>
      </c>
    </row>
    <row r="2" spans="1:28" ht="15" thickBot="1" x14ac:dyDescent="0.4">
      <c r="H2" s="46"/>
      <c r="I2" s="46"/>
      <c r="J2" s="48"/>
      <c r="K2" s="48"/>
    </row>
    <row r="3" spans="1:28" ht="27.5" thickBot="1" x14ac:dyDescent="0.4">
      <c r="B3" s="87" t="s">
        <v>7</v>
      </c>
      <c r="C3" s="130" t="s">
        <v>19</v>
      </c>
      <c r="D3" s="130" t="s">
        <v>20</v>
      </c>
      <c r="E3" s="130" t="s">
        <v>57</v>
      </c>
      <c r="F3" s="130" t="s">
        <v>21</v>
      </c>
      <c r="G3" s="130" t="s">
        <v>38</v>
      </c>
      <c r="H3" s="89" t="s">
        <v>28</v>
      </c>
      <c r="I3" s="39"/>
      <c r="J3" s="88" t="s">
        <v>13</v>
      </c>
      <c r="K3" s="89" t="s">
        <v>56</v>
      </c>
      <c r="L3" s="89" t="s">
        <v>72</v>
      </c>
      <c r="M3" s="89" t="s">
        <v>73</v>
      </c>
    </row>
    <row r="4" spans="1:28" ht="15" thickBot="1" x14ac:dyDescent="0.4">
      <c r="B4" s="90" t="s">
        <v>24</v>
      </c>
      <c r="C4" s="128">
        <f t="shared" ref="C4:F8" si="0">C13+C22</f>
        <v>2578674.4899999993</v>
      </c>
      <c r="D4" s="129">
        <f t="shared" si="0"/>
        <v>2355881.2189500001</v>
      </c>
      <c r="E4" s="129">
        <f t="shared" si="0"/>
        <v>657058.77922999999</v>
      </c>
      <c r="F4" s="129">
        <f t="shared" si="0"/>
        <v>-341209.82460999989</v>
      </c>
      <c r="G4" s="132">
        <f>+'PPC Cycle 3'!B5</f>
        <v>2679944746</v>
      </c>
      <c r="H4" s="133">
        <f>ROUND(SUM(C4:F4)/G4,5)</f>
        <v>1.9599999999999999E-3</v>
      </c>
      <c r="I4" s="134"/>
      <c r="J4" s="284">
        <f>ROUND((C13+C22)/G4,5)</f>
        <v>9.6000000000000002E-4</v>
      </c>
      <c r="K4" s="262">
        <f>ROUND((D13+D22)/G4,5)</f>
        <v>8.8000000000000003E-4</v>
      </c>
      <c r="L4" s="262">
        <f>ROUND((E13+E22)/G4,5)</f>
        <v>2.5000000000000001E-4</v>
      </c>
      <c r="M4" s="135">
        <f>ROUND((F13+F22)/G4,5)</f>
        <v>-1.2999999999999999E-4</v>
      </c>
      <c r="N4" s="226">
        <f>+H4-SUM(J4:M4)</f>
        <v>0</v>
      </c>
    </row>
    <row r="5" spans="1:28" ht="15" thickBot="1" x14ac:dyDescent="0.4">
      <c r="B5" s="90" t="s">
        <v>107</v>
      </c>
      <c r="C5" s="128">
        <f t="shared" si="0"/>
        <v>585310.81000000006</v>
      </c>
      <c r="D5" s="129">
        <f t="shared" si="0"/>
        <v>276557.57233999996</v>
      </c>
      <c r="E5" s="129">
        <f t="shared" si="0"/>
        <v>77282.046679999999</v>
      </c>
      <c r="F5" s="129">
        <f t="shared" si="0"/>
        <v>-310.88000000000056</v>
      </c>
      <c r="G5" s="132">
        <f>+'PPC Cycle 3'!B6</f>
        <v>601468967</v>
      </c>
      <c r="H5" s="133">
        <f>ROUND(SUM(C5:F5)/G5,5)</f>
        <v>1.56E-3</v>
      </c>
      <c r="I5" s="134"/>
      <c r="J5" s="284">
        <f>ROUND((C14+C23)/G5,5)</f>
        <v>9.7000000000000005E-4</v>
      </c>
      <c r="K5" s="262">
        <f>ROUND((D14+D23)/G5,5)</f>
        <v>4.6000000000000001E-4</v>
      </c>
      <c r="L5" s="262">
        <f>ROUND((E14+E23)/G5,5)</f>
        <v>1.2999999999999999E-4</v>
      </c>
      <c r="M5" s="135">
        <f>ROUND((F14+F23)/G5,5)</f>
        <v>0</v>
      </c>
      <c r="N5" s="226">
        <f t="shared" ref="N5:N8" si="1">+H5-SUM(J5:M5)</f>
        <v>0</v>
      </c>
      <c r="O5" s="261"/>
      <c r="P5" s="261"/>
      <c r="Q5" s="261"/>
      <c r="R5" s="261"/>
      <c r="S5" s="261"/>
      <c r="T5" s="261"/>
    </row>
    <row r="6" spans="1:28" s="46" customFormat="1" ht="15" thickBot="1" x14ac:dyDescent="0.4">
      <c r="B6" s="90" t="s">
        <v>108</v>
      </c>
      <c r="C6" s="128">
        <f t="shared" si="0"/>
        <v>1103875.6199999999</v>
      </c>
      <c r="D6" s="129">
        <f t="shared" si="0"/>
        <v>674245.97587999993</v>
      </c>
      <c r="E6" s="129">
        <f t="shared" si="0"/>
        <v>253859.18152000004</v>
      </c>
      <c r="F6" s="129">
        <f t="shared" si="0"/>
        <v>-238.21000000000032</v>
      </c>
      <c r="G6" s="132">
        <f>+'PPC Cycle 3'!B7</f>
        <v>1105976037</v>
      </c>
      <c r="H6" s="133">
        <f>ROUND(SUM(C6:F6)/G6,5)</f>
        <v>1.8400000000000001E-3</v>
      </c>
      <c r="I6" s="134"/>
      <c r="J6" s="284">
        <f>ROUND((C15+C24)/G6,5)</f>
        <v>1E-3</v>
      </c>
      <c r="K6" s="262">
        <f>ROUND((D15+D24)/G6,5)</f>
        <v>6.0999999999999997E-4</v>
      </c>
      <c r="L6" s="262">
        <f>ROUND((E15+E24)/G6,5)</f>
        <v>2.3000000000000001E-4</v>
      </c>
      <c r="M6" s="135">
        <f>ROUND((F15+F24)/G6,5)</f>
        <v>0</v>
      </c>
      <c r="N6" s="226">
        <f t="shared" si="1"/>
        <v>0</v>
      </c>
      <c r="O6" s="261"/>
      <c r="P6" s="261"/>
      <c r="Q6" s="261"/>
      <c r="R6" s="261"/>
      <c r="S6" s="261"/>
      <c r="T6" s="261"/>
    </row>
    <row r="7" spans="1:28" s="46" customFormat="1" ht="15" thickBot="1" x14ac:dyDescent="0.4">
      <c r="B7" s="90" t="s">
        <v>109</v>
      </c>
      <c r="C7" s="128">
        <f t="shared" si="0"/>
        <v>1316889.1799999997</v>
      </c>
      <c r="D7" s="129">
        <f t="shared" si="0"/>
        <v>655713.36788999999</v>
      </c>
      <c r="E7" s="129">
        <f t="shared" si="0"/>
        <v>615461.00396999996</v>
      </c>
      <c r="F7" s="129">
        <f t="shared" si="0"/>
        <v>912.2900000000003</v>
      </c>
      <c r="G7" s="132">
        <f>+'PPC Cycle 3'!B8</f>
        <v>1790393542</v>
      </c>
      <c r="H7" s="133">
        <f>ROUND(SUM(C7:F7)/G7,5)</f>
        <v>1.4499999999999999E-3</v>
      </c>
      <c r="I7" s="134"/>
      <c r="J7" s="284">
        <f>ROUND((C16+C25)/G7,5)</f>
        <v>7.3999999999999999E-4</v>
      </c>
      <c r="K7" s="262">
        <f>ROUND((D16+D25)/G7,5)</f>
        <v>3.6999999999999999E-4</v>
      </c>
      <c r="L7" s="262">
        <f>ROUND((E16+E25)/G7,5)</f>
        <v>3.4000000000000002E-4</v>
      </c>
      <c r="M7" s="135">
        <f>ROUND((F16+F25)/G7,5)</f>
        <v>0</v>
      </c>
      <c r="N7" s="226">
        <f t="shared" si="1"/>
        <v>0</v>
      </c>
      <c r="O7" s="261"/>
      <c r="P7" s="261"/>
      <c r="Q7" s="261"/>
      <c r="R7" s="261"/>
      <c r="S7" s="261"/>
      <c r="T7" s="261"/>
    </row>
    <row r="8" spans="1:28" s="46" customFormat="1" ht="15" thickBot="1" x14ac:dyDescent="0.4">
      <c r="B8" s="90" t="s">
        <v>110</v>
      </c>
      <c r="C8" s="128">
        <f t="shared" si="0"/>
        <v>42258.620000000752</v>
      </c>
      <c r="D8" s="129">
        <f t="shared" si="0"/>
        <v>72045.32998000001</v>
      </c>
      <c r="E8" s="129">
        <f t="shared" si="0"/>
        <v>80889.983299999993</v>
      </c>
      <c r="F8" s="129">
        <f t="shared" si="0"/>
        <v>-363.21000000000015</v>
      </c>
      <c r="G8" s="132">
        <f>+'PPC Cycle 3'!B9</f>
        <v>465667834</v>
      </c>
      <c r="H8" s="133">
        <f>ROUND(SUM(C8:F8)/G8,5)</f>
        <v>4.2000000000000002E-4</v>
      </c>
      <c r="I8" s="134"/>
      <c r="J8" s="299">
        <f>ROUND((C17+C26)/G8,5)+0.00001</f>
        <v>1E-4</v>
      </c>
      <c r="K8" s="262">
        <f>ROUND((D17+D26)/G8,5)</f>
        <v>1.4999999999999999E-4</v>
      </c>
      <c r="L8" s="262">
        <f>ROUND((E17+E26)/G8,5)</f>
        <v>1.7000000000000001E-4</v>
      </c>
      <c r="M8" s="135">
        <f>ROUND((F17+F26)/G8,5)</f>
        <v>0</v>
      </c>
      <c r="N8" s="226">
        <f t="shared" si="1"/>
        <v>0</v>
      </c>
      <c r="O8" s="261"/>
      <c r="P8" s="261"/>
      <c r="Q8" s="261"/>
      <c r="R8" s="261"/>
      <c r="S8" s="261"/>
      <c r="T8" s="261"/>
    </row>
    <row r="9" spans="1:28" x14ac:dyDescent="0.35">
      <c r="C9" s="127"/>
      <c r="D9" s="127"/>
      <c r="E9" s="127"/>
      <c r="F9" s="127"/>
      <c r="G9" s="126"/>
    </row>
    <row r="10" spans="1:28" x14ac:dyDescent="0.35">
      <c r="C10" s="127"/>
      <c r="D10" s="127"/>
      <c r="E10" s="127"/>
      <c r="F10" s="127"/>
      <c r="G10" s="126"/>
      <c r="H10" s="279"/>
      <c r="I10" s="151"/>
      <c r="J10" s="279"/>
      <c r="K10" s="279"/>
      <c r="L10" s="279"/>
      <c r="M10" s="279"/>
    </row>
    <row r="11" spans="1:28" ht="15" thickBot="1" x14ac:dyDescent="0.4">
      <c r="C11" s="127"/>
      <c r="D11" s="127"/>
      <c r="E11" s="127"/>
      <c r="F11" s="127"/>
      <c r="G11" s="126"/>
      <c r="H11" s="280"/>
      <c r="I11" s="281"/>
      <c r="J11" s="280"/>
      <c r="K11" s="280"/>
      <c r="L11" s="280"/>
      <c r="M11" s="280"/>
    </row>
    <row r="12" spans="1:28" ht="15" thickBot="1" x14ac:dyDescent="0.4">
      <c r="B12" s="87" t="s">
        <v>7</v>
      </c>
      <c r="C12" s="131" t="s">
        <v>6</v>
      </c>
      <c r="D12" s="131" t="s">
        <v>16</v>
      </c>
      <c r="E12" s="131" t="s">
        <v>58</v>
      </c>
      <c r="F12" s="131" t="s">
        <v>17</v>
      </c>
      <c r="G12" s="126"/>
      <c r="H12" s="280"/>
      <c r="I12" s="281"/>
      <c r="J12" s="280"/>
      <c r="K12" s="280"/>
      <c r="L12" s="280"/>
      <c r="M12" s="280"/>
      <c r="O12" s="131" t="s">
        <v>74</v>
      </c>
      <c r="P12" s="131" t="s">
        <v>75</v>
      </c>
      <c r="Q12" s="131" t="s">
        <v>82</v>
      </c>
      <c r="R12" s="46"/>
      <c r="S12" s="131" t="s">
        <v>76</v>
      </c>
      <c r="T12" s="131" t="s">
        <v>77</v>
      </c>
      <c r="U12" s="131" t="s">
        <v>103</v>
      </c>
      <c r="V12" s="131" t="s">
        <v>93</v>
      </c>
      <c r="X12" s="131" t="s">
        <v>115</v>
      </c>
      <c r="Y12" s="131" t="s">
        <v>116</v>
      </c>
      <c r="Z12" s="131" t="s">
        <v>117</v>
      </c>
      <c r="AA12" s="131" t="s">
        <v>118</v>
      </c>
    </row>
    <row r="13" spans="1:28" ht="15" thickBot="1" x14ac:dyDescent="0.4">
      <c r="B13" s="90" t="s">
        <v>24</v>
      </c>
      <c r="C13" s="129">
        <f>+'PPC Cycle 3'!C5</f>
        <v>4147236.66</v>
      </c>
      <c r="D13" s="129">
        <f>'PTD Cycle 2'!C6+'PTD Cycle 3'!C6</f>
        <v>2131498.56</v>
      </c>
      <c r="E13" s="129">
        <f>+'EO Cycle 2'!G7+'EO Cycle 3'!G7</f>
        <v>633197.89</v>
      </c>
      <c r="F13" s="128">
        <f>+'OA Cycle 3'!F9</f>
        <v>0</v>
      </c>
      <c r="G13" s="126"/>
      <c r="H13" s="280"/>
      <c r="I13" s="281"/>
      <c r="J13" s="280"/>
      <c r="K13" s="280"/>
      <c r="L13" s="280"/>
      <c r="M13" s="280"/>
      <c r="O13" s="183">
        <v>0</v>
      </c>
      <c r="P13" s="183">
        <v>0</v>
      </c>
      <c r="Q13" s="225">
        <v>0</v>
      </c>
      <c r="R13" s="158"/>
      <c r="S13" s="190">
        <v>0</v>
      </c>
      <c r="T13" s="190">
        <f>ROUND(+'PTD Cycle 2'!C6/'Tariff Tables'!G4,5)</f>
        <v>0</v>
      </c>
      <c r="U13" s="190">
        <f>ROUND('EO Cycle 2'!G7/'Tariff Tables'!G4,5)</f>
        <v>-2.0000000000000002E-5</v>
      </c>
      <c r="V13" s="190">
        <f>ROUND(0/'Tariff Tables'!G4,5)</f>
        <v>0</v>
      </c>
      <c r="W13" s="286"/>
      <c r="X13" s="190">
        <f>ROUND('PPC Cycle 3'!C5/'Tariff Tables'!$G4,5)</f>
        <v>1.5499999999999999E-3</v>
      </c>
      <c r="Y13" s="190">
        <f>ROUND('PTD Cycle 3'!C6/'Tariff Tables'!G4,5)</f>
        <v>8.0000000000000004E-4</v>
      </c>
      <c r="Z13" s="190">
        <f>ROUND('EO Cycle 3'!G7/'Tariff Tables'!G4,5)</f>
        <v>2.5999999999999998E-4</v>
      </c>
      <c r="AA13" s="300">
        <f>ROUND('OA Cycle 3'!E9/'Tariff Tables'!G4,5)-0.00001</f>
        <v>-1.0000000000000001E-5</v>
      </c>
      <c r="AB13" s="158">
        <f>SUM(O13:AA13,O22:AA22)</f>
        <v>1.9599999999999999E-3</v>
      </c>
    </row>
    <row r="14" spans="1:28" ht="15" thickBot="1" x14ac:dyDescent="0.4">
      <c r="B14" s="90" t="s">
        <v>107</v>
      </c>
      <c r="C14" s="129">
        <f>+'PPC Cycle 3'!C6</f>
        <v>609409.79</v>
      </c>
      <c r="D14" s="129">
        <f>'PTD Cycle 2'!C10+'PTD Cycle 3'!C7</f>
        <v>322625.63</v>
      </c>
      <c r="E14" s="129">
        <f>+'EO Cycle 2'!G11+'EO Cycle 3'!G11</f>
        <v>45248.44</v>
      </c>
      <c r="F14" s="128">
        <f>+'OA Cycle 3'!F14</f>
        <v>0</v>
      </c>
      <c r="G14" s="126"/>
      <c r="H14" s="280"/>
      <c r="I14" s="281"/>
      <c r="J14" s="282"/>
      <c r="K14" s="280"/>
      <c r="L14" s="280"/>
      <c r="M14" s="280"/>
      <c r="O14" s="183">
        <v>0</v>
      </c>
      <c r="P14" s="183">
        <v>0</v>
      </c>
      <c r="Q14" s="225">
        <v>0</v>
      </c>
      <c r="R14" s="158"/>
      <c r="S14" s="190">
        <v>0</v>
      </c>
      <c r="T14" s="244">
        <f>ROUND(+'PTD Cycle 2'!C10/'Tariff Tables'!G5,5)</f>
        <v>0</v>
      </c>
      <c r="U14" s="242">
        <f>ROUND('EO Cycle 2'!G11/'Tariff Tables'!G5,5)</f>
        <v>-3.0000000000000001E-5</v>
      </c>
      <c r="V14" s="244">
        <f>ROUND('OA Cycle 2'!B13/'Tariff Tables'!G5,5)</f>
        <v>0</v>
      </c>
      <c r="W14" s="286"/>
      <c r="X14" s="190">
        <f>ROUND('PPC Cycle 3'!C6/'Tariff Tables'!$G5,5)</f>
        <v>1.01E-3</v>
      </c>
      <c r="Y14" s="190">
        <f>ROUND('PTD Cycle 3'!C7/'Tariff Tables'!G5,5)</f>
        <v>5.4000000000000001E-4</v>
      </c>
      <c r="Z14" s="190">
        <f>ROUND('EO Cycle 3'!G11/'Tariff Tables'!G5,5)</f>
        <v>1E-4</v>
      </c>
      <c r="AA14" s="190">
        <f>ROUND('OA Cycle 3'!B14/'Tariff Tables'!G5,5)</f>
        <v>0</v>
      </c>
      <c r="AB14" s="158">
        <f t="shared" ref="AB14:AB17" si="2">SUM(O14:AA14,O23:AA23)</f>
        <v>1.5600000000000002E-3</v>
      </c>
    </row>
    <row r="15" spans="1:28" s="46" customFormat="1" ht="15" thickBot="1" x14ac:dyDescent="0.4">
      <c r="B15" s="90" t="s">
        <v>108</v>
      </c>
      <c r="C15" s="129">
        <f>+'PPC Cycle 3'!C7</f>
        <v>1222642.97</v>
      </c>
      <c r="D15" s="129">
        <f>'PTD Cycle 2'!C11+'PTD Cycle 3'!C8</f>
        <v>504189.37</v>
      </c>
      <c r="E15" s="129">
        <f>+'EO Cycle 2'!G12+'EO Cycle 3'!G12</f>
        <v>139002.32</v>
      </c>
      <c r="F15" s="128">
        <f>+'OA Cycle 3'!F15</f>
        <v>0</v>
      </c>
      <c r="G15" s="126"/>
      <c r="H15" s="280"/>
      <c r="I15" s="281"/>
      <c r="J15" s="280"/>
      <c r="K15" s="280"/>
      <c r="L15" s="283"/>
      <c r="M15" s="280"/>
      <c r="O15" s="183">
        <v>0</v>
      </c>
      <c r="P15" s="183">
        <v>0</v>
      </c>
      <c r="Q15" s="225">
        <v>0</v>
      </c>
      <c r="R15" s="158"/>
      <c r="S15" s="190">
        <v>0</v>
      </c>
      <c r="T15" s="244">
        <f>ROUND(+'PTD Cycle 2'!C11/'Tariff Tables'!G6,5)</f>
        <v>0</v>
      </c>
      <c r="U15" s="242">
        <f>ROUND('EO Cycle 2'!G12/'Tariff Tables'!G6,5)</f>
        <v>0</v>
      </c>
      <c r="V15" s="244">
        <f>ROUND('OA Cycle 2'!B14/'Tariff Tables'!G6,5)</f>
        <v>0</v>
      </c>
      <c r="W15" s="286"/>
      <c r="X15" s="190">
        <f>ROUND('PPC Cycle 3'!C7/'Tariff Tables'!$G6,5)</f>
        <v>1.1100000000000001E-3</v>
      </c>
      <c r="Y15" s="190">
        <f>ROUND('PTD Cycle 3'!C8/'Tariff Tables'!G6,5)</f>
        <v>4.6000000000000001E-4</v>
      </c>
      <c r="Z15" s="190">
        <f>ROUND('EO Cycle 3'!G12/'Tariff Tables'!G6,5)</f>
        <v>1.2E-4</v>
      </c>
      <c r="AA15" s="190">
        <f>ROUND('OA Cycle 3'!B15/'Tariff Tables'!G6,5)</f>
        <v>0</v>
      </c>
      <c r="AB15" s="158">
        <f t="shared" si="2"/>
        <v>1.8400000000000001E-3</v>
      </c>
    </row>
    <row r="16" spans="1:28" s="46" customFormat="1" ht="15" thickBot="1" x14ac:dyDescent="0.4">
      <c r="B16" s="90" t="s">
        <v>109</v>
      </c>
      <c r="C16" s="129">
        <f>+'PPC Cycle 3'!C8</f>
        <v>1945238.01</v>
      </c>
      <c r="D16" s="129">
        <f>'PTD Cycle 2'!C12+'PTD Cycle 3'!C9</f>
        <v>504623.95</v>
      </c>
      <c r="E16" s="129">
        <f>+'EO Cycle 2'!G13+'EO Cycle 3'!G13</f>
        <v>481415.58</v>
      </c>
      <c r="F16" s="128">
        <f>+'OA Cycle 3'!F16</f>
        <v>0</v>
      </c>
      <c r="G16" s="126"/>
      <c r="H16" s="17"/>
      <c r="I16" s="17"/>
      <c r="J16" s="156"/>
      <c r="K16" s="17"/>
      <c r="L16" s="17"/>
      <c r="M16" s="17"/>
      <c r="O16" s="183">
        <v>0</v>
      </c>
      <c r="P16" s="183">
        <v>0</v>
      </c>
      <c r="Q16" s="242">
        <v>0</v>
      </c>
      <c r="R16" s="243"/>
      <c r="S16" s="190">
        <v>0</v>
      </c>
      <c r="T16" s="244">
        <f>ROUND(+'PTD Cycle 2'!C12/'Tariff Tables'!G7,5)</f>
        <v>0</v>
      </c>
      <c r="U16" s="242">
        <f>ROUND('EO Cycle 2'!G13/'Tariff Tables'!G7,5)</f>
        <v>0</v>
      </c>
      <c r="V16" s="244">
        <f>ROUND('OA Cycle 2'!B15/'Tariff Tables'!G7,5)</f>
        <v>0</v>
      </c>
      <c r="W16" s="286"/>
      <c r="X16" s="190">
        <f>ROUND('PPC Cycle 3'!C8/'Tariff Tables'!$G7,5)</f>
        <v>1.09E-3</v>
      </c>
      <c r="Y16" s="190">
        <f>ROUND('PTD Cycle 3'!C9/'Tariff Tables'!G7,5)</f>
        <v>2.7999999999999998E-4</v>
      </c>
      <c r="Z16" s="190">
        <f>ROUND('EO Cycle 3'!G13/'Tariff Tables'!G7,5)</f>
        <v>2.7E-4</v>
      </c>
      <c r="AA16" s="190">
        <f>ROUND('OA Cycle 3'!B16/'Tariff Tables'!G7,5)</f>
        <v>0</v>
      </c>
      <c r="AB16" s="158">
        <f t="shared" si="2"/>
        <v>1.4500000000000003E-3</v>
      </c>
    </row>
    <row r="17" spans="2:28" s="46" customFormat="1" ht="15" thickBot="1" x14ac:dyDescent="0.4">
      <c r="B17" s="90" t="s">
        <v>110</v>
      </c>
      <c r="C17" s="129">
        <f>+'PPC Cycle 3'!C9</f>
        <v>519861.34</v>
      </c>
      <c r="D17" s="129">
        <f>'PTD Cycle 2'!C13+'PTD Cycle 3'!C10</f>
        <v>40165.08</v>
      </c>
      <c r="E17" s="129">
        <f>+'EO Cycle 2'!G14+'EO Cycle 3'!G14</f>
        <v>54763.15</v>
      </c>
      <c r="F17" s="128">
        <f>+'OA Cycle 3'!F17</f>
        <v>0</v>
      </c>
      <c r="G17" s="126"/>
      <c r="J17" s="156"/>
      <c r="K17" s="17"/>
      <c r="O17" s="183">
        <v>0</v>
      </c>
      <c r="P17" s="183">
        <v>0</v>
      </c>
      <c r="Q17" s="242">
        <v>0</v>
      </c>
      <c r="R17" s="243"/>
      <c r="S17" s="190">
        <v>0</v>
      </c>
      <c r="T17" s="244">
        <f>ROUND(+'PTD Cycle 2'!C13/'Tariff Tables'!G8,5)</f>
        <v>0</v>
      </c>
      <c r="U17" s="244">
        <f>ROUND('EO Cycle 2'!G14/'Tariff Tables'!G8,5)</f>
        <v>1.0000000000000001E-5</v>
      </c>
      <c r="V17" s="244">
        <f>ROUND('OA Cycle 2'!B16/'Tariff Tables'!G8,5)</f>
        <v>0</v>
      </c>
      <c r="W17" s="286"/>
      <c r="X17" s="190">
        <f>ROUND('PPC Cycle 3'!C9/'Tariff Tables'!$G8,5)</f>
        <v>1.1199999999999999E-3</v>
      </c>
      <c r="Y17" s="190">
        <f>ROUND('PTD Cycle 3'!C10/'Tariff Tables'!G8,5)</f>
        <v>9.0000000000000006E-5</v>
      </c>
      <c r="Z17" s="190">
        <f>ROUND('EO Cycle 3'!G14/'Tariff Tables'!G8,5)</f>
        <v>1E-4</v>
      </c>
      <c r="AA17" s="190">
        <f>ROUND('OA Cycle 3'!B17/'Tariff Tables'!G8,5)</f>
        <v>0</v>
      </c>
      <c r="AB17" s="158">
        <f t="shared" si="2"/>
        <v>4.2000000000000007E-4</v>
      </c>
    </row>
    <row r="18" spans="2:28" x14ac:dyDescent="0.35">
      <c r="C18" s="127"/>
      <c r="D18" s="127"/>
      <c r="E18" s="127"/>
      <c r="F18" s="127"/>
      <c r="G18" s="126"/>
      <c r="J18" s="17"/>
      <c r="K18" s="17"/>
      <c r="O18" s="184"/>
      <c r="P18" s="184"/>
      <c r="Q18" s="245"/>
      <c r="R18" s="243"/>
      <c r="S18" s="243"/>
      <c r="T18" s="243"/>
      <c r="U18" s="243"/>
      <c r="V18" s="243"/>
      <c r="W18" s="286"/>
      <c r="X18" s="243"/>
      <c r="Y18" s="243"/>
      <c r="Z18" s="243"/>
      <c r="AA18" s="243"/>
    </row>
    <row r="19" spans="2:28" x14ac:dyDescent="0.35">
      <c r="C19" s="127"/>
      <c r="D19" s="127"/>
      <c r="E19" s="127"/>
      <c r="F19" s="127"/>
      <c r="G19" s="126"/>
      <c r="J19" s="17"/>
      <c r="K19" s="17"/>
      <c r="O19" s="184"/>
      <c r="P19" s="184"/>
      <c r="Q19" s="245"/>
      <c r="R19" s="243"/>
      <c r="S19" s="243"/>
      <c r="T19" s="243"/>
      <c r="U19" s="243"/>
      <c r="V19" s="243"/>
      <c r="W19" s="286"/>
      <c r="X19" s="243"/>
      <c r="Y19" s="243"/>
      <c r="Z19" s="243"/>
      <c r="AA19" s="243"/>
    </row>
    <row r="20" spans="2:28" ht="15" thickBot="1" x14ac:dyDescent="0.4">
      <c r="C20" s="127"/>
      <c r="D20" s="127"/>
      <c r="E20" s="127"/>
      <c r="F20" s="127"/>
      <c r="G20" s="126"/>
      <c r="J20" s="17"/>
      <c r="K20" s="17"/>
      <c r="O20" s="184"/>
      <c r="P20" s="184"/>
      <c r="Q20" s="245"/>
      <c r="R20" s="243"/>
      <c r="S20" s="243"/>
      <c r="T20" s="243"/>
      <c r="U20" s="243"/>
      <c r="V20" s="243"/>
      <c r="W20" s="286"/>
      <c r="X20" s="243"/>
      <c r="Y20" s="243"/>
      <c r="Z20" s="243"/>
      <c r="AA20" s="243"/>
    </row>
    <row r="21" spans="2:28" ht="15" thickBot="1" x14ac:dyDescent="0.4">
      <c r="B21" s="87" t="s">
        <v>7</v>
      </c>
      <c r="C21" s="131" t="s">
        <v>4</v>
      </c>
      <c r="D21" s="131" t="s">
        <v>9</v>
      </c>
      <c r="E21" s="131" t="s">
        <v>59</v>
      </c>
      <c r="F21" s="131" t="s">
        <v>18</v>
      </c>
      <c r="G21" s="126"/>
      <c r="O21" s="185" t="s">
        <v>78</v>
      </c>
      <c r="P21" s="185" t="s">
        <v>79</v>
      </c>
      <c r="Q21" s="246" t="s">
        <v>83</v>
      </c>
      <c r="R21" s="243"/>
      <c r="S21" s="247" t="s">
        <v>80</v>
      </c>
      <c r="T21" s="247" t="s">
        <v>81</v>
      </c>
      <c r="U21" s="246" t="s">
        <v>106</v>
      </c>
      <c r="V21" s="247" t="s">
        <v>94</v>
      </c>
      <c r="W21" s="286"/>
      <c r="X21" s="247" t="s">
        <v>119</v>
      </c>
      <c r="Y21" s="247" t="s">
        <v>120</v>
      </c>
      <c r="Z21" s="246" t="s">
        <v>121</v>
      </c>
      <c r="AA21" s="247" t="s">
        <v>122</v>
      </c>
    </row>
    <row r="22" spans="2:28" ht="15" thickBot="1" x14ac:dyDescent="0.4">
      <c r="B22" s="90" t="s">
        <v>24</v>
      </c>
      <c r="C22" s="129">
        <f>+'PCR Cycle 3'!K4+'PCR Cycle 2'!K4</f>
        <v>-1568562.1700000009</v>
      </c>
      <c r="D22" s="129">
        <f>'TDR Cycle 3'!K4+'TDR Cycle 2'!K4</f>
        <v>224382.65894999995</v>
      </c>
      <c r="E22" s="129">
        <f>+'EOR Cycle 2'!J4+'EOR Cycle 3'!J4</f>
        <v>23860.88923000003</v>
      </c>
      <c r="F22" s="128">
        <f>+'OAR Cycle 2'!I4+'OAR Cycle 3'!I4</f>
        <v>-341209.82460999989</v>
      </c>
      <c r="G22" s="126"/>
      <c r="O22" s="183">
        <v>0</v>
      </c>
      <c r="P22" s="183">
        <v>0</v>
      </c>
      <c r="Q22" s="244">
        <v>0</v>
      </c>
      <c r="R22" s="243"/>
      <c r="S22" s="190">
        <f>ROUND(+'PCR Cycle 2'!K4/'Tariff Tables'!G4,5)</f>
        <v>0</v>
      </c>
      <c r="T22" s="190">
        <f>ROUND(+'TDR Cycle 2'!K4/'Tariff Tables'!G4,5)</f>
        <v>2.1000000000000001E-4</v>
      </c>
      <c r="U22" s="190">
        <f>ROUND('EOR Cycle 2'!J4/'Tariff Tables'!G4,5)</f>
        <v>-3.0000000000000001E-5</v>
      </c>
      <c r="V22" s="190">
        <f>ROUND('OAR Cycle 2'!I4/'Tariff Tables'!G4,5)</f>
        <v>-1.0000000000000001E-5</v>
      </c>
      <c r="W22" s="286"/>
      <c r="X22" s="190">
        <f>ROUND('PCR Cycle 3'!K4/'Tariff Tables'!G4,5)</f>
        <v>-5.9000000000000003E-4</v>
      </c>
      <c r="Y22" s="190">
        <f>ROUND('TDR Cycle 3'!K4/'Tariff Tables'!G4,5)</f>
        <v>-1.2999999999999999E-4</v>
      </c>
      <c r="Z22" s="190">
        <f>ROUND(+'EOR Cycle 3'!J4/'Tariff Tables'!G4,5)</f>
        <v>4.0000000000000003E-5</v>
      </c>
      <c r="AA22" s="190">
        <f>ROUND(('OAR Cycle 3'!I4)/'Tariff Tables'!G4,5)</f>
        <v>-1.1E-4</v>
      </c>
    </row>
    <row r="23" spans="2:28" ht="15" thickBot="1" x14ac:dyDescent="0.4">
      <c r="B23" s="90" t="s">
        <v>107</v>
      </c>
      <c r="C23" s="129">
        <f>'PCR Cycle 3'!K5+'PCR Cycle 2'!K8</f>
        <v>-24098.979999999996</v>
      </c>
      <c r="D23" s="129">
        <f>'TDR Cycle 3'!K5+'TDR Cycle 2'!K8</f>
        <v>-46068.05766000005</v>
      </c>
      <c r="E23" s="129">
        <f>+'EOR Cycle 2'!J8+'EOR Cycle 3'!J5</f>
        <v>32033.60667999999</v>
      </c>
      <c r="F23" s="128">
        <f>+'OAR Cycle 2'!I9+'OAR Cycle 3'!I5</f>
        <v>-310.88000000000056</v>
      </c>
      <c r="G23" s="126"/>
      <c r="O23" s="183">
        <v>0</v>
      </c>
      <c r="P23" s="183">
        <v>0</v>
      </c>
      <c r="Q23" s="244">
        <v>0</v>
      </c>
      <c r="R23" s="243"/>
      <c r="S23" s="190">
        <f>ROUND(+'PCR Cycle 2'!K8/'Tariff Tables'!G5,5)</f>
        <v>0</v>
      </c>
      <c r="T23" s="190">
        <f>ROUND(+'TDR Cycle 2'!K8/'Tariff Tables'!G5,5)</f>
        <v>1.2999999999999999E-4</v>
      </c>
      <c r="U23" s="190">
        <f>ROUND('EOR Cycle 2'!J8/'Tariff Tables'!G5,5)</f>
        <v>4.0000000000000003E-5</v>
      </c>
      <c r="V23" s="190">
        <f>ROUND('OAR Cycle 2'!I8/'Tariff Tables'!G5,5)</f>
        <v>0</v>
      </c>
      <c r="W23" s="286"/>
      <c r="X23" s="190">
        <f>ROUND('PCR Cycle 3'!K5/'Tariff Tables'!G5,5)</f>
        <v>-4.0000000000000003E-5</v>
      </c>
      <c r="Y23" s="190">
        <f>ROUND('TDR Cycle 3'!K5/'Tariff Tables'!G5,5)</f>
        <v>-2.1000000000000001E-4</v>
      </c>
      <c r="Z23" s="190">
        <f>ROUND(+'EOR Cycle 3'!J5/'Tariff Tables'!G5,5)</f>
        <v>2.0000000000000002E-5</v>
      </c>
      <c r="AA23" s="190">
        <f>ROUND(('OAR Cycle 3'!I5-'OAR Cycle 3'!G5)/'Tariff Tables'!G5,5)</f>
        <v>0</v>
      </c>
    </row>
    <row r="24" spans="2:28" s="46" customFormat="1" ht="15" thickBot="1" x14ac:dyDescent="0.4">
      <c r="B24" s="90" t="s">
        <v>108</v>
      </c>
      <c r="C24" s="129">
        <f>'PCR Cycle 3'!K6+'PCR Cycle 2'!K9</f>
        <v>-118767.35000000011</v>
      </c>
      <c r="D24" s="129">
        <f>'TDR Cycle 3'!K6+'TDR Cycle 2'!K9</f>
        <v>170056.60587999996</v>
      </c>
      <c r="E24" s="129">
        <f>+'EOR Cycle 2'!J9+'EOR Cycle 3'!J6</f>
        <v>114856.86152000002</v>
      </c>
      <c r="F24" s="128">
        <f>+'OAR Cycle 2'!I10+'OAR Cycle 3'!I6</f>
        <v>-238.21000000000032</v>
      </c>
      <c r="G24" s="126"/>
      <c r="O24" s="183">
        <v>0</v>
      </c>
      <c r="P24" s="183">
        <v>0</v>
      </c>
      <c r="Q24" s="244">
        <v>0</v>
      </c>
      <c r="R24" s="243"/>
      <c r="S24" s="190">
        <f>ROUND(+'PCR Cycle 2'!K9/'Tariff Tables'!G6,5)</f>
        <v>-1.0000000000000001E-5</v>
      </c>
      <c r="T24" s="300">
        <f>ROUND(+'TDR Cycle 2'!K9/'Tariff Tables'!G6,5)-0.00001</f>
        <v>1.8000000000000001E-4</v>
      </c>
      <c r="U24" s="300">
        <f>ROUND('EOR Cycle 2'!J9/'Tariff Tables'!G6,5)+0.00001</f>
        <v>6.0000000000000002E-5</v>
      </c>
      <c r="V24" s="190">
        <f>ROUND('OAR Cycle 2'!I9/'Tariff Tables'!G6,5)</f>
        <v>0</v>
      </c>
      <c r="W24" s="286"/>
      <c r="X24" s="190">
        <f>ROUND('PCR Cycle 3'!K6/'Tariff Tables'!G6,5)</f>
        <v>-1E-4</v>
      </c>
      <c r="Y24" s="190">
        <f>ROUND('TDR Cycle 3'!K6/'Tariff Tables'!G6,5)</f>
        <v>-3.0000000000000001E-5</v>
      </c>
      <c r="Z24" s="190">
        <f>ROUND(+'EOR Cycle 3'!J6/'Tariff Tables'!G6,5)</f>
        <v>5.0000000000000002E-5</v>
      </c>
      <c r="AA24" s="190">
        <f>ROUND(('OAR Cycle 3'!I6-'OAR Cycle 3'!G6)/'Tariff Tables'!G6,5)</f>
        <v>0</v>
      </c>
    </row>
    <row r="25" spans="2:28" s="46" customFormat="1" ht="15" thickBot="1" x14ac:dyDescent="0.4">
      <c r="B25" s="90" t="s">
        <v>109</v>
      </c>
      <c r="C25" s="129">
        <f>'PCR Cycle 3'!K7+'PCR Cycle 2'!K10</f>
        <v>-628348.83000000019</v>
      </c>
      <c r="D25" s="129">
        <f>'TDR Cycle 3'!K7+'TDR Cycle 2'!K10</f>
        <v>151089.41788999998</v>
      </c>
      <c r="E25" s="129">
        <f>+'EOR Cycle 2'!J10+'EOR Cycle 3'!J7</f>
        <v>134045.42396999997</v>
      </c>
      <c r="F25" s="128">
        <f>+'OAR Cycle 2'!I11+'OAR Cycle 3'!I7</f>
        <v>912.2900000000003</v>
      </c>
      <c r="G25" s="126"/>
      <c r="O25" s="183">
        <v>0</v>
      </c>
      <c r="P25" s="183">
        <v>0</v>
      </c>
      <c r="Q25" s="244">
        <v>0</v>
      </c>
      <c r="R25" s="243"/>
      <c r="S25" s="190">
        <f>ROUND(+'PCR Cycle 2'!K10/'Tariff Tables'!G7,5)</f>
        <v>0</v>
      </c>
      <c r="T25" s="190">
        <f>ROUND(+'TDR Cycle 2'!K10/'Tariff Tables'!G7,5)</f>
        <v>1.3999999999999999E-4</v>
      </c>
      <c r="U25" s="300">
        <f>ROUND('EOR Cycle 2'!J10/'Tariff Tables'!G7,5)-0.00001</f>
        <v>3.0000000000000004E-5</v>
      </c>
      <c r="V25" s="190">
        <f>ROUND('OAR Cycle 2'!I10/'Tariff Tables'!G7,5)</f>
        <v>0</v>
      </c>
      <c r="W25" s="286"/>
      <c r="X25" s="190">
        <f>ROUND('PCR Cycle 3'!K7/'Tariff Tables'!G7,5)</f>
        <v>-3.5E-4</v>
      </c>
      <c r="Y25" s="190">
        <f>ROUND('TDR Cycle 3'!K7/'Tariff Tables'!G7,5)</f>
        <v>-5.0000000000000002E-5</v>
      </c>
      <c r="Z25" s="190">
        <f>ROUND(+'EOR Cycle 3'!J7/'Tariff Tables'!G7,5)</f>
        <v>4.0000000000000003E-5</v>
      </c>
      <c r="AA25" s="190">
        <f>ROUND(('OAR Cycle 3'!I7-'OAR Cycle 3'!G7)/'Tariff Tables'!G7,5)</f>
        <v>0</v>
      </c>
    </row>
    <row r="26" spans="2:28" s="46" customFormat="1" ht="15" thickBot="1" x14ac:dyDescent="0.4">
      <c r="B26" s="90" t="s">
        <v>110</v>
      </c>
      <c r="C26" s="129">
        <f>'PCR Cycle 3'!K8+'PCR Cycle 2'!K11</f>
        <v>-477602.71999999927</v>
      </c>
      <c r="D26" s="129">
        <f>'TDR Cycle 3'!K8+'TDR Cycle 2'!K11</f>
        <v>31880.249980000008</v>
      </c>
      <c r="E26" s="129">
        <f>+'EOR Cycle 2'!J11+'EOR Cycle 3'!J8</f>
        <v>26126.833299999998</v>
      </c>
      <c r="F26" s="128">
        <f>+'OAR Cycle 2'!I12+'OAR Cycle 3'!I8</f>
        <v>-363.21000000000015</v>
      </c>
      <c r="G26" s="126"/>
      <c r="O26" s="183">
        <v>0</v>
      </c>
      <c r="P26" s="183">
        <v>0</v>
      </c>
      <c r="Q26" s="244">
        <v>0</v>
      </c>
      <c r="R26" s="243"/>
      <c r="S26" s="190">
        <f>ROUND(+'PCR Cycle 2'!K11/'Tariff Tables'!G8,5)</f>
        <v>0</v>
      </c>
      <c r="T26" s="300">
        <f>ROUND(+'TDR Cycle 2'!K11/'Tariff Tables'!G8,5)-0.00001</f>
        <v>1E-4</v>
      </c>
      <c r="U26" s="190">
        <f>ROUND('EOR Cycle 2'!J11/'Tariff Tables'!G8,5)</f>
        <v>3.0000000000000001E-5</v>
      </c>
      <c r="V26" s="190">
        <f>ROUND('OAR Cycle 2'!I11/'Tariff Tables'!G8,5)</f>
        <v>0</v>
      </c>
      <c r="W26" s="286"/>
      <c r="X26" s="190">
        <f>ROUND('PCR Cycle 3'!K8/'Tariff Tables'!G8,5)</f>
        <v>-1.0200000000000001E-3</v>
      </c>
      <c r="Y26" s="190">
        <f>ROUND('TDR Cycle 3'!K8/'Tariff Tables'!G8,5)</f>
        <v>-4.0000000000000003E-5</v>
      </c>
      <c r="Z26" s="190">
        <f>ROUND(+'EOR Cycle 3'!J8/'Tariff Tables'!G8,5)+0.00001</f>
        <v>3.0000000000000004E-5</v>
      </c>
      <c r="AA26" s="190">
        <f>ROUND(('OAR Cycle 3'!I8-'OAR Cycle 3'!G8)/'Tariff Tables'!G8,5)</f>
        <v>0</v>
      </c>
    </row>
    <row r="27" spans="2:28" x14ac:dyDescent="0.35">
      <c r="F27" s="126"/>
      <c r="O27" s="46"/>
      <c r="P27" s="46"/>
      <c r="R27" s="46"/>
      <c r="S27" s="46"/>
      <c r="T27" s="46"/>
    </row>
    <row r="28" spans="2:28" x14ac:dyDescent="0.35">
      <c r="B28" s="93" t="s">
        <v>39</v>
      </c>
      <c r="R28" t="s">
        <v>151</v>
      </c>
      <c r="S28" s="157">
        <f>+J4-O13-O22-S13-S22-X13-X22</f>
        <v>0</v>
      </c>
      <c r="T28" s="157">
        <f t="shared" ref="S28:V32" si="3">+K4-P13-P22-T13-T22-Y13-Y22</f>
        <v>0</v>
      </c>
      <c r="U28" s="157">
        <f t="shared" si="3"/>
        <v>0</v>
      </c>
      <c r="V28" s="157">
        <f>+M4-R13-R22-V13-V22-AA13-AA22</f>
        <v>0</v>
      </c>
    </row>
    <row r="29" spans="2:28" x14ac:dyDescent="0.35">
      <c r="B29" s="94" t="s">
        <v>40</v>
      </c>
      <c r="R29" t="s">
        <v>152</v>
      </c>
      <c r="S29" s="157">
        <f t="shared" si="3"/>
        <v>0</v>
      </c>
      <c r="T29" s="157">
        <f t="shared" si="3"/>
        <v>0</v>
      </c>
      <c r="U29" s="157">
        <f t="shared" si="3"/>
        <v>0</v>
      </c>
      <c r="V29" s="157">
        <f t="shared" si="3"/>
        <v>0</v>
      </c>
    </row>
    <row r="30" spans="2:28" x14ac:dyDescent="0.35">
      <c r="B30" s="94" t="s">
        <v>43</v>
      </c>
      <c r="R30" t="s">
        <v>153</v>
      </c>
      <c r="S30" s="157">
        <f t="shared" si="3"/>
        <v>0</v>
      </c>
      <c r="T30" s="157">
        <f t="shared" si="3"/>
        <v>-7.7927031147395631E-20</v>
      </c>
      <c r="U30" s="157">
        <f t="shared" si="3"/>
        <v>0</v>
      </c>
      <c r="V30" s="157">
        <f t="shared" si="3"/>
        <v>0</v>
      </c>
    </row>
    <row r="31" spans="2:28" x14ac:dyDescent="0.35">
      <c r="B31" s="94" t="s">
        <v>144</v>
      </c>
      <c r="R31" t="s">
        <v>154</v>
      </c>
      <c r="S31" s="157">
        <f t="shared" si="3"/>
        <v>0</v>
      </c>
      <c r="T31" s="157">
        <f t="shared" si="3"/>
        <v>0</v>
      </c>
      <c r="U31" s="157">
        <f t="shared" si="3"/>
        <v>0</v>
      </c>
      <c r="V31" s="157">
        <f t="shared" si="3"/>
        <v>0</v>
      </c>
    </row>
    <row r="32" spans="2:28" x14ac:dyDescent="0.35">
      <c r="B32" s="94" t="s">
        <v>41</v>
      </c>
      <c r="R32" t="s">
        <v>155</v>
      </c>
      <c r="S32" s="157">
        <f t="shared" si="3"/>
        <v>0</v>
      </c>
      <c r="T32" s="157">
        <f t="shared" si="3"/>
        <v>0</v>
      </c>
      <c r="U32" s="157">
        <f t="shared" si="3"/>
        <v>0</v>
      </c>
      <c r="V32" s="157">
        <f t="shared" si="3"/>
        <v>0</v>
      </c>
    </row>
    <row r="33" spans="2:20" x14ac:dyDescent="0.35">
      <c r="B33" s="94" t="s">
        <v>149</v>
      </c>
      <c r="O33" s="254"/>
      <c r="P33" s="254"/>
      <c r="Q33" s="254"/>
      <c r="R33" s="151"/>
      <c r="S33" s="46"/>
      <c r="T33" s="46"/>
    </row>
    <row r="34" spans="2:20" x14ac:dyDescent="0.35">
      <c r="B34" s="94" t="s">
        <v>143</v>
      </c>
      <c r="O34" s="151"/>
      <c r="P34" s="151"/>
      <c r="Q34" s="255"/>
      <c r="R34" s="151"/>
      <c r="S34" s="46"/>
      <c r="T34" s="46"/>
    </row>
    <row r="35" spans="2:20" x14ac:dyDescent="0.35">
      <c r="B35" s="94" t="s">
        <v>48</v>
      </c>
      <c r="O35" s="256"/>
      <c r="P35" s="151"/>
      <c r="Q35" s="255"/>
      <c r="R35" s="151"/>
      <c r="S35" s="46"/>
      <c r="T35" s="46"/>
    </row>
    <row r="36" spans="2:20" x14ac:dyDescent="0.35">
      <c r="B36" s="94" t="s">
        <v>148</v>
      </c>
      <c r="O36" s="257"/>
      <c r="P36" s="258"/>
      <c r="Q36" s="255"/>
      <c r="R36" s="255"/>
      <c r="S36" s="46"/>
      <c r="T36" s="46"/>
    </row>
    <row r="37" spans="2:20" x14ac:dyDescent="0.35">
      <c r="B37" s="94" t="s">
        <v>145</v>
      </c>
      <c r="O37" s="257"/>
      <c r="P37" s="258"/>
      <c r="Q37" s="255"/>
      <c r="R37" s="255"/>
      <c r="S37" s="46"/>
      <c r="T37" s="46"/>
    </row>
    <row r="38" spans="2:20" x14ac:dyDescent="0.35">
      <c r="B38" s="94" t="s">
        <v>146</v>
      </c>
      <c r="O38" s="257"/>
      <c r="P38" s="258"/>
      <c r="Q38" s="255"/>
      <c r="R38" s="255"/>
      <c r="S38" s="46"/>
      <c r="T38" s="46"/>
    </row>
    <row r="39" spans="2:20" x14ac:dyDescent="0.35">
      <c r="B39" s="94" t="s">
        <v>150</v>
      </c>
      <c r="O39" s="257"/>
      <c r="P39" s="258"/>
      <c r="Q39" s="255"/>
      <c r="R39" s="255"/>
      <c r="S39" s="46"/>
      <c r="T39" s="46"/>
    </row>
    <row r="40" spans="2:20" x14ac:dyDescent="0.35">
      <c r="B40" s="94" t="s">
        <v>42</v>
      </c>
      <c r="O40" s="257"/>
      <c r="P40" s="258"/>
      <c r="Q40" s="255"/>
      <c r="R40" s="255"/>
      <c r="S40" s="46"/>
      <c r="T40" s="46"/>
    </row>
    <row r="41" spans="2:20" x14ac:dyDescent="0.35">
      <c r="B41" s="94" t="s">
        <v>147</v>
      </c>
      <c r="O41" s="257"/>
      <c r="P41" s="258"/>
      <c r="Q41" s="255"/>
      <c r="R41" s="255"/>
      <c r="S41" s="46"/>
      <c r="T41" s="46"/>
    </row>
    <row r="42" spans="2:20" x14ac:dyDescent="0.35">
      <c r="B42" s="94" t="s">
        <v>217</v>
      </c>
      <c r="O42" s="259"/>
      <c r="P42" s="258"/>
      <c r="Q42" s="255"/>
      <c r="R42" s="255"/>
      <c r="S42" s="46"/>
      <c r="T42" s="46"/>
    </row>
    <row r="43" spans="2:20" x14ac:dyDescent="0.35">
      <c r="B43" s="94" t="s">
        <v>218</v>
      </c>
      <c r="O43" s="151"/>
      <c r="P43" s="260"/>
      <c r="Q43" s="255"/>
      <c r="R43" s="255"/>
      <c r="S43" s="46"/>
      <c r="T43" s="46"/>
    </row>
    <row r="44" spans="2:20" x14ac:dyDescent="0.35">
      <c r="O44" s="256"/>
      <c r="P44" s="151"/>
      <c r="Q44" s="255"/>
      <c r="R44" s="255"/>
      <c r="S44" s="46"/>
      <c r="T44" s="46"/>
    </row>
    <row r="45" spans="2:20" x14ac:dyDescent="0.35">
      <c r="O45" s="257"/>
      <c r="P45" s="258"/>
      <c r="Q45" s="255"/>
      <c r="R45" s="255"/>
      <c r="S45" s="46"/>
      <c r="T45" s="46"/>
    </row>
    <row r="46" spans="2:20" x14ac:dyDescent="0.35">
      <c r="O46" s="257"/>
      <c r="P46" s="258"/>
      <c r="Q46" s="255"/>
      <c r="R46" s="255"/>
      <c r="S46" s="46"/>
      <c r="T46" s="46"/>
    </row>
    <row r="47" spans="2:20" x14ac:dyDescent="0.35">
      <c r="O47" s="257"/>
      <c r="P47" s="258"/>
      <c r="Q47" s="255"/>
      <c r="R47" s="255"/>
      <c r="S47" s="46"/>
      <c r="T47" s="46"/>
    </row>
    <row r="48" spans="2:20" x14ac:dyDescent="0.35">
      <c r="O48" s="257"/>
      <c r="P48" s="258"/>
      <c r="Q48" s="255"/>
      <c r="R48" s="255"/>
      <c r="S48" s="46"/>
      <c r="T48" s="46"/>
    </row>
    <row r="49" spans="15:20" x14ac:dyDescent="0.35">
      <c r="O49" s="257"/>
      <c r="P49" s="258"/>
      <c r="Q49" s="255"/>
      <c r="R49" s="255"/>
      <c r="S49" s="46"/>
      <c r="T49" s="46"/>
    </row>
    <row r="50" spans="15:20" x14ac:dyDescent="0.35">
      <c r="O50" s="257"/>
      <c r="P50" s="258"/>
      <c r="Q50" s="255"/>
      <c r="R50" s="255"/>
      <c r="S50" s="46"/>
      <c r="T50" s="46"/>
    </row>
    <row r="51" spans="15:20" x14ac:dyDescent="0.35">
      <c r="O51" s="259"/>
      <c r="P51" s="258"/>
      <c r="Q51" s="255"/>
      <c r="R51" s="255"/>
    </row>
    <row r="52" spans="15:20" x14ac:dyDescent="0.35">
      <c r="O52" s="151"/>
      <c r="P52" s="260"/>
      <c r="Q52" s="255"/>
      <c r="R52" s="255"/>
    </row>
    <row r="53" spans="15:20" x14ac:dyDescent="0.35">
      <c r="O53" s="151"/>
      <c r="P53" s="151"/>
      <c r="Q53" s="255"/>
      <c r="R53" s="255"/>
    </row>
    <row r="54" spans="15:20" x14ac:dyDescent="0.35">
      <c r="O54" s="151"/>
      <c r="P54" s="151"/>
      <c r="Q54" s="151"/>
      <c r="R54" s="151"/>
    </row>
    <row r="55" spans="15:20" x14ac:dyDescent="0.35">
      <c r="O55" s="151"/>
      <c r="P55" s="151"/>
      <c r="Q55" s="151"/>
      <c r="R55" s="151"/>
    </row>
    <row r="56" spans="15:20" x14ac:dyDescent="0.35">
      <c r="O56" s="151"/>
      <c r="P56" s="151"/>
      <c r="Q56" s="151"/>
      <c r="R56" s="151"/>
    </row>
    <row r="57" spans="15:20" x14ac:dyDescent="0.35">
      <c r="O57" s="151"/>
      <c r="P57" s="151"/>
      <c r="Q57" s="151"/>
      <c r="R57" s="151"/>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workbookViewId="0">
      <selection activeCell="N17" sqref="N17"/>
    </sheetView>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5" width="11" customWidth="1"/>
    <col min="6" max="6" width="10.1796875" bestFit="1" customWidth="1"/>
    <col min="7" max="7" width="8.54296875" bestFit="1" customWidth="1"/>
  </cols>
  <sheetData>
    <row r="3" spans="1:6" ht="15" thickBot="1" x14ac:dyDescent="0.4">
      <c r="A3" s="3" t="s">
        <v>127</v>
      </c>
    </row>
    <row r="4" spans="1:6" ht="27.5" thickBot="1" x14ac:dyDescent="0.4">
      <c r="A4" s="87" t="s">
        <v>134</v>
      </c>
      <c r="B4" s="130" t="s">
        <v>133</v>
      </c>
      <c r="C4" s="130" t="s">
        <v>132</v>
      </c>
      <c r="D4" s="130" t="s">
        <v>131</v>
      </c>
      <c r="E4" s="130" t="s">
        <v>130</v>
      </c>
      <c r="F4" s="89" t="s">
        <v>156</v>
      </c>
    </row>
    <row r="5" spans="1:6" ht="15" thickBot="1" x14ac:dyDescent="0.4">
      <c r="A5" s="90" t="s">
        <v>24</v>
      </c>
      <c r="B5" s="239">
        <f>+'Tariff Tables'!S13+'Tariff Tables'!S22</f>
        <v>0</v>
      </c>
      <c r="C5" s="240">
        <f>+'Tariff Tables'!T13+'Tariff Tables'!T22</f>
        <v>2.1000000000000001E-4</v>
      </c>
      <c r="D5" s="240">
        <f>+'Tariff Tables'!U13+'Tariff Tables'!U22</f>
        <v>-5.0000000000000002E-5</v>
      </c>
      <c r="E5" s="240">
        <f>+'Tariff Tables'!V13+'Tariff Tables'!V22</f>
        <v>-1.0000000000000001E-5</v>
      </c>
      <c r="F5" s="238">
        <f>SUM(B5:E5)</f>
        <v>1.5000000000000001E-4</v>
      </c>
    </row>
    <row r="6" spans="1:6" ht="15" thickBot="1" x14ac:dyDescent="0.4">
      <c r="A6" s="90" t="s">
        <v>107</v>
      </c>
      <c r="B6" s="239">
        <f>+'Tariff Tables'!S14+'Tariff Tables'!S23</f>
        <v>0</v>
      </c>
      <c r="C6" s="240">
        <f>+'Tariff Tables'!T14+'Tariff Tables'!T23</f>
        <v>1.2999999999999999E-4</v>
      </c>
      <c r="D6" s="240">
        <f>+'Tariff Tables'!U14+'Tariff Tables'!U23</f>
        <v>1.0000000000000003E-5</v>
      </c>
      <c r="E6" s="240">
        <f>+'Tariff Tables'!V14+'Tariff Tables'!V23</f>
        <v>0</v>
      </c>
      <c r="F6" s="238">
        <f t="shared" ref="F6:F9" si="0">SUM(B6:E6)</f>
        <v>1.3999999999999999E-4</v>
      </c>
    </row>
    <row r="7" spans="1:6" ht="15" thickBot="1" x14ac:dyDescent="0.4">
      <c r="A7" s="90" t="s">
        <v>108</v>
      </c>
      <c r="B7" s="239">
        <f>+'Tariff Tables'!S15+'Tariff Tables'!S24</f>
        <v>-1.0000000000000001E-5</v>
      </c>
      <c r="C7" s="240">
        <f>+'Tariff Tables'!T15+'Tariff Tables'!T24</f>
        <v>1.8000000000000001E-4</v>
      </c>
      <c r="D7" s="240">
        <f>+'Tariff Tables'!U15+'Tariff Tables'!U24</f>
        <v>6.0000000000000002E-5</v>
      </c>
      <c r="E7" s="240">
        <f>+'Tariff Tables'!V15+'Tariff Tables'!V24</f>
        <v>0</v>
      </c>
      <c r="F7" s="238">
        <f t="shared" si="0"/>
        <v>2.3000000000000001E-4</v>
      </c>
    </row>
    <row r="8" spans="1:6" ht="15" thickBot="1" x14ac:dyDescent="0.4">
      <c r="A8" s="90" t="s">
        <v>109</v>
      </c>
      <c r="B8" s="239">
        <f>+'Tariff Tables'!S16+'Tariff Tables'!S25</f>
        <v>0</v>
      </c>
      <c r="C8" s="240">
        <f>+'Tariff Tables'!T16+'Tariff Tables'!T25</f>
        <v>1.3999999999999999E-4</v>
      </c>
      <c r="D8" s="240">
        <f>+'Tariff Tables'!U16+'Tariff Tables'!U25</f>
        <v>3.0000000000000004E-5</v>
      </c>
      <c r="E8" s="240">
        <f>+'Tariff Tables'!V16+'Tariff Tables'!V25</f>
        <v>0</v>
      </c>
      <c r="F8" s="238">
        <f t="shared" si="0"/>
        <v>1.6999999999999999E-4</v>
      </c>
    </row>
    <row r="9" spans="1:6" ht="15" thickBot="1" x14ac:dyDescent="0.4">
      <c r="A9" s="90" t="s">
        <v>110</v>
      </c>
      <c r="B9" s="239">
        <f>+'Tariff Tables'!S17+'Tariff Tables'!S26</f>
        <v>0</v>
      </c>
      <c r="C9" s="240">
        <f>+'Tariff Tables'!T17+'Tariff Tables'!T26</f>
        <v>1E-4</v>
      </c>
      <c r="D9" s="240">
        <f>+'Tariff Tables'!U17+'Tariff Tables'!U26</f>
        <v>4.0000000000000003E-5</v>
      </c>
      <c r="E9" s="240">
        <f>+'Tariff Tables'!V17+'Tariff Tables'!V26</f>
        <v>0</v>
      </c>
      <c r="F9" s="238">
        <f t="shared" si="0"/>
        <v>1.4000000000000001E-4</v>
      </c>
    </row>
    <row r="12" spans="1:6" ht="15" thickBot="1" x14ac:dyDescent="0.4">
      <c r="A12" s="3" t="s">
        <v>128</v>
      </c>
      <c r="B12" s="46"/>
      <c r="C12" s="46"/>
      <c r="D12" s="46"/>
      <c r="E12" s="46"/>
      <c r="F12" s="46"/>
    </row>
    <row r="13" spans="1:6" ht="27.5" thickBot="1" x14ac:dyDescent="0.4">
      <c r="A13" s="87" t="s">
        <v>134</v>
      </c>
      <c r="B13" s="130" t="s">
        <v>133</v>
      </c>
      <c r="C13" s="130" t="s">
        <v>132</v>
      </c>
      <c r="D13" s="130" t="s">
        <v>131</v>
      </c>
      <c r="E13" s="130" t="s">
        <v>130</v>
      </c>
      <c r="F13" s="89" t="s">
        <v>156</v>
      </c>
    </row>
    <row r="14" spans="1:6" ht="15" thickBot="1" x14ac:dyDescent="0.4">
      <c r="A14" s="90" t="s">
        <v>24</v>
      </c>
      <c r="B14" s="239">
        <f>+'Tariff Tables'!X13+'Tariff Tables'!X22</f>
        <v>9.5999999999999992E-4</v>
      </c>
      <c r="C14" s="240">
        <f>+'Tariff Tables'!Y13+'Tariff Tables'!Y22</f>
        <v>6.7000000000000002E-4</v>
      </c>
      <c r="D14" s="240">
        <f>+'Tariff Tables'!Z13+'Tariff Tables'!Z22</f>
        <v>2.9999999999999997E-4</v>
      </c>
      <c r="E14" s="240">
        <f>+'Tariff Tables'!AA13+'Tariff Tables'!AA22</f>
        <v>-1.2E-4</v>
      </c>
      <c r="F14" s="238">
        <f>SUM(B14:E14)</f>
        <v>1.8099999999999998E-3</v>
      </c>
    </row>
    <row r="15" spans="1:6" ht="15" thickBot="1" x14ac:dyDescent="0.4">
      <c r="A15" s="90" t="s">
        <v>107</v>
      </c>
      <c r="B15" s="239">
        <f>+'Tariff Tables'!X14+'Tariff Tables'!X23</f>
        <v>9.7000000000000005E-4</v>
      </c>
      <c r="C15" s="240">
        <f>+'Tariff Tables'!Y14+'Tariff Tables'!Y23</f>
        <v>3.3E-4</v>
      </c>
      <c r="D15" s="240">
        <f>+'Tariff Tables'!Z14+'Tariff Tables'!Z23</f>
        <v>1.2E-4</v>
      </c>
      <c r="E15" s="240">
        <f>+'Tariff Tables'!AA14+'Tariff Tables'!AA23</f>
        <v>0</v>
      </c>
      <c r="F15" s="238">
        <f t="shared" ref="F15:F18" si="1">SUM(B15:E15)</f>
        <v>1.42E-3</v>
      </c>
    </row>
    <row r="16" spans="1:6" ht="15" thickBot="1" x14ac:dyDescent="0.4">
      <c r="A16" s="90" t="s">
        <v>108</v>
      </c>
      <c r="B16" s="239">
        <f>+'Tariff Tables'!X15+'Tariff Tables'!X24</f>
        <v>1.01E-3</v>
      </c>
      <c r="C16" s="240">
        <f>+'Tariff Tables'!Y15+'Tariff Tables'!Y24</f>
        <v>4.2999999999999999E-4</v>
      </c>
      <c r="D16" s="240">
        <f>+'Tariff Tables'!Z15+'Tariff Tables'!Z24</f>
        <v>1.7000000000000001E-4</v>
      </c>
      <c r="E16" s="240">
        <f>+'Tariff Tables'!AA15+'Tariff Tables'!AA24</f>
        <v>0</v>
      </c>
      <c r="F16" s="238">
        <f t="shared" si="1"/>
        <v>1.6100000000000001E-3</v>
      </c>
    </row>
    <row r="17" spans="1:7" ht="15" thickBot="1" x14ac:dyDescent="0.4">
      <c r="A17" s="90" t="s">
        <v>109</v>
      </c>
      <c r="B17" s="239">
        <f>+'Tariff Tables'!X16+'Tariff Tables'!X25</f>
        <v>7.3999999999999999E-4</v>
      </c>
      <c r="C17" s="240">
        <f>+'Tariff Tables'!Y16+'Tariff Tables'!Y25</f>
        <v>2.2999999999999998E-4</v>
      </c>
      <c r="D17" s="240">
        <f>+'Tariff Tables'!Z16+'Tariff Tables'!Z25</f>
        <v>3.1E-4</v>
      </c>
      <c r="E17" s="240">
        <f>+'Tariff Tables'!AA16+'Tariff Tables'!AA25</f>
        <v>0</v>
      </c>
      <c r="F17" s="238">
        <f t="shared" si="1"/>
        <v>1.2799999999999999E-3</v>
      </c>
    </row>
    <row r="18" spans="1:7" ht="15" thickBot="1" x14ac:dyDescent="0.4">
      <c r="A18" s="90" t="s">
        <v>110</v>
      </c>
      <c r="B18" s="239">
        <f>+'Tariff Tables'!X17+'Tariff Tables'!X26</f>
        <v>9.9999999999999829E-5</v>
      </c>
      <c r="C18" s="240">
        <f>+'Tariff Tables'!Y17+'Tariff Tables'!Y26</f>
        <v>5.0000000000000002E-5</v>
      </c>
      <c r="D18" s="240">
        <f>+'Tariff Tables'!Z17+'Tariff Tables'!Z26</f>
        <v>1.3000000000000002E-4</v>
      </c>
      <c r="E18" s="240">
        <f>+'Tariff Tables'!AA17+'Tariff Tables'!AA26</f>
        <v>0</v>
      </c>
      <c r="F18" s="238">
        <f t="shared" si="1"/>
        <v>2.7999999999999987E-4</v>
      </c>
    </row>
    <row r="21" spans="1:7" ht="15" thickBot="1" x14ac:dyDescent="0.4">
      <c r="A21" s="3" t="s">
        <v>129</v>
      </c>
      <c r="B21" s="46"/>
      <c r="C21" s="46"/>
      <c r="D21" s="46"/>
      <c r="E21" s="46"/>
      <c r="F21" s="46"/>
    </row>
    <row r="22" spans="1:7" ht="27.5" thickBot="1" x14ac:dyDescent="0.4">
      <c r="A22" s="87" t="s">
        <v>134</v>
      </c>
      <c r="B22" s="130" t="s">
        <v>133</v>
      </c>
      <c r="C22" s="130" t="s">
        <v>132</v>
      </c>
      <c r="D22" s="130" t="s">
        <v>131</v>
      </c>
      <c r="E22" s="130" t="s">
        <v>130</v>
      </c>
      <c r="F22" s="89" t="s">
        <v>156</v>
      </c>
    </row>
    <row r="23" spans="1:7" ht="15" thickBot="1" x14ac:dyDescent="0.4">
      <c r="A23" s="90" t="s">
        <v>24</v>
      </c>
      <c r="B23" s="239">
        <f>+B5+B14</f>
        <v>9.5999999999999992E-4</v>
      </c>
      <c r="C23" s="240">
        <f t="shared" ref="C23:E23" si="2">+C5+C14</f>
        <v>8.8000000000000003E-4</v>
      </c>
      <c r="D23" s="240">
        <f t="shared" si="2"/>
        <v>2.4999999999999995E-4</v>
      </c>
      <c r="E23" s="240">
        <f t="shared" si="2"/>
        <v>-1.3000000000000002E-4</v>
      </c>
      <c r="F23" s="238">
        <f>SUM(B23:E23)</f>
        <v>1.9599999999999999E-3</v>
      </c>
      <c r="G23" s="241">
        <f>+F23-'Tariff Tables'!H4</f>
        <v>0</v>
      </c>
    </row>
    <row r="24" spans="1:7" ht="15" thickBot="1" x14ac:dyDescent="0.4">
      <c r="A24" s="90" t="s">
        <v>107</v>
      </c>
      <c r="B24" s="239">
        <f t="shared" ref="B24:E24" si="3">+B6+B15</f>
        <v>9.7000000000000005E-4</v>
      </c>
      <c r="C24" s="240">
        <f t="shared" si="3"/>
        <v>4.6000000000000001E-4</v>
      </c>
      <c r="D24" s="240">
        <f t="shared" si="3"/>
        <v>1.3000000000000002E-4</v>
      </c>
      <c r="E24" s="240">
        <f t="shared" si="3"/>
        <v>0</v>
      </c>
      <c r="F24" s="238">
        <f t="shared" ref="F24:F27" si="4">SUM(B24:E24)</f>
        <v>1.5600000000000002E-3</v>
      </c>
      <c r="G24" s="241">
        <f>+F24-'Tariff Tables'!H5</f>
        <v>0</v>
      </c>
    </row>
    <row r="25" spans="1:7" ht="15" thickBot="1" x14ac:dyDescent="0.4">
      <c r="A25" s="90" t="s">
        <v>108</v>
      </c>
      <c r="B25" s="239">
        <f t="shared" ref="B25:E25" si="5">+B7+B16</f>
        <v>1E-3</v>
      </c>
      <c r="C25" s="240">
        <f t="shared" si="5"/>
        <v>6.0999999999999997E-4</v>
      </c>
      <c r="D25" s="240">
        <f t="shared" si="5"/>
        <v>2.3000000000000001E-4</v>
      </c>
      <c r="E25" s="240">
        <f t="shared" si="5"/>
        <v>0</v>
      </c>
      <c r="F25" s="238">
        <f t="shared" si="4"/>
        <v>1.8399999999999998E-3</v>
      </c>
      <c r="G25" s="241">
        <f>+F25-'Tariff Tables'!H6</f>
        <v>0</v>
      </c>
    </row>
    <row r="26" spans="1:7" ht="15" thickBot="1" x14ac:dyDescent="0.4">
      <c r="A26" s="90" t="s">
        <v>109</v>
      </c>
      <c r="B26" s="239">
        <f t="shared" ref="B26:E26" si="6">+B8+B17</f>
        <v>7.3999999999999999E-4</v>
      </c>
      <c r="C26" s="240">
        <f t="shared" si="6"/>
        <v>3.6999999999999999E-4</v>
      </c>
      <c r="D26" s="240">
        <f t="shared" si="6"/>
        <v>3.4000000000000002E-4</v>
      </c>
      <c r="E26" s="240">
        <f t="shared" si="6"/>
        <v>0</v>
      </c>
      <c r="F26" s="238">
        <f t="shared" si="4"/>
        <v>1.4499999999999999E-3</v>
      </c>
      <c r="G26" s="241">
        <f>+F26-'Tariff Tables'!H7</f>
        <v>0</v>
      </c>
    </row>
    <row r="27" spans="1:7" ht="15" thickBot="1" x14ac:dyDescent="0.4">
      <c r="A27" s="90" t="s">
        <v>110</v>
      </c>
      <c r="B27" s="239">
        <f t="shared" ref="B27:E27" si="7">+B9+B18</f>
        <v>9.9999999999999829E-5</v>
      </c>
      <c r="C27" s="240">
        <f t="shared" si="7"/>
        <v>1.5000000000000001E-4</v>
      </c>
      <c r="D27" s="240">
        <f t="shared" si="7"/>
        <v>1.7000000000000001E-4</v>
      </c>
      <c r="E27" s="240">
        <f t="shared" si="7"/>
        <v>0</v>
      </c>
      <c r="F27" s="238">
        <f t="shared" si="4"/>
        <v>4.1999999999999985E-4</v>
      </c>
      <c r="G27" s="241">
        <f>+F27-'Tariff Tables'!H8</f>
        <v>0</v>
      </c>
    </row>
    <row r="29" spans="1:7" x14ac:dyDescent="0.35">
      <c r="B29" s="241">
        <f>+B23-'Tariff Tables'!J4</f>
        <v>0</v>
      </c>
      <c r="C29" s="241">
        <f>+C23-'Tariff Tables'!K4</f>
        <v>0</v>
      </c>
      <c r="D29" s="241">
        <f>+D23-'Tariff Tables'!L4</f>
        <v>0</v>
      </c>
      <c r="E29" s="241">
        <f>+E23-'Tariff Tables'!M4</f>
        <v>0</v>
      </c>
      <c r="F29" s="241"/>
    </row>
    <row r="30" spans="1:7" x14ac:dyDescent="0.35">
      <c r="B30" s="241">
        <f>+B24-'Tariff Tables'!J5</f>
        <v>0</v>
      </c>
      <c r="C30" s="241">
        <f>+C24-'Tariff Tables'!K5</f>
        <v>0</v>
      </c>
      <c r="D30" s="241">
        <f>+D24-'Tariff Tables'!L5</f>
        <v>0</v>
      </c>
      <c r="E30" s="241">
        <f>+E24-'Tariff Tables'!M5</f>
        <v>0</v>
      </c>
      <c r="F30" s="241"/>
    </row>
    <row r="31" spans="1:7" x14ac:dyDescent="0.35">
      <c r="B31" s="241">
        <f>+B25-'Tariff Tables'!J6</f>
        <v>0</v>
      </c>
      <c r="C31" s="241">
        <f>+C25-'Tariff Tables'!K6</f>
        <v>0</v>
      </c>
      <c r="D31" s="241">
        <f>+D25-'Tariff Tables'!L6</f>
        <v>0</v>
      </c>
      <c r="E31" s="241">
        <f>+E25-'Tariff Tables'!M6</f>
        <v>0</v>
      </c>
      <c r="F31" s="241"/>
    </row>
    <row r="32" spans="1:7" x14ac:dyDescent="0.35">
      <c r="B32" s="241">
        <f>+B26-'Tariff Tables'!J7</f>
        <v>0</v>
      </c>
      <c r="C32" s="241">
        <f>+C26-'Tariff Tables'!K7</f>
        <v>0</v>
      </c>
      <c r="D32" s="241">
        <f>+D26-'Tariff Tables'!L7</f>
        <v>0</v>
      </c>
      <c r="E32" s="241">
        <f>+E26-'Tariff Tables'!M7</f>
        <v>0</v>
      </c>
      <c r="F32" s="241"/>
    </row>
    <row r="33" spans="2:6" x14ac:dyDescent="0.35">
      <c r="B33" s="241">
        <f>+B27-'Tariff Tables'!J8</f>
        <v>-1.7618285302889447E-19</v>
      </c>
      <c r="C33" s="241">
        <f>+C27-'Tariff Tables'!K8</f>
        <v>0</v>
      </c>
      <c r="D33" s="241">
        <f>+D27-'Tariff Tables'!L8</f>
        <v>0</v>
      </c>
      <c r="E33" s="241">
        <f>+E27-'Tariff Tables'!M8</f>
        <v>0</v>
      </c>
      <c r="F33" s="241"/>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A13" sqref="A13:E13"/>
    </sheetView>
  </sheetViews>
  <sheetFormatPr defaultColWidth="9.1796875" defaultRowHeight="14.5" x14ac:dyDescent="0.35"/>
  <cols>
    <col min="1" max="1" width="20.81640625" style="46" customWidth="1"/>
    <col min="2" max="2" width="22" style="46" customWidth="1"/>
    <col min="3" max="3" width="17.26953125" style="46" customWidth="1"/>
    <col min="4" max="4" width="14.81640625" style="46" customWidth="1"/>
    <col min="5" max="5" width="16.1796875" style="46" customWidth="1"/>
    <col min="6" max="6" width="10.7265625" style="46" bestFit="1" customWidth="1"/>
    <col min="7" max="16384" width="9.1796875" style="46"/>
  </cols>
  <sheetData>
    <row r="1" spans="1:25" x14ac:dyDescent="0.35">
      <c r="A1" s="63" t="s">
        <v>185</v>
      </c>
    </row>
    <row r="2" spans="1:25" x14ac:dyDescent="0.35">
      <c r="A2" s="9" t="s">
        <v>186</v>
      </c>
    </row>
    <row r="3" spans="1:25" ht="35.25" customHeight="1" x14ac:dyDescent="0.35">
      <c r="B3" s="310" t="s">
        <v>113</v>
      </c>
      <c r="C3" s="310"/>
    </row>
    <row r="4" spans="1:25" ht="58" x14ac:dyDescent="0.35">
      <c r="B4" s="70" t="s">
        <v>44</v>
      </c>
      <c r="C4" s="235" t="s">
        <v>26</v>
      </c>
      <c r="D4" s="287" t="s">
        <v>187</v>
      </c>
      <c r="E4" s="287" t="s">
        <v>188</v>
      </c>
    </row>
    <row r="5" spans="1:25" x14ac:dyDescent="0.35">
      <c r="A5" s="20" t="s">
        <v>24</v>
      </c>
      <c r="B5" s="75">
        <f>SUM('[1]Billed kWh Sales'!$G36:$H36)</f>
        <v>2679944746</v>
      </c>
      <c r="C5" s="233">
        <f>SUM(D5:E5)</f>
        <v>4147236.66</v>
      </c>
      <c r="D5" s="233">
        <f>ROUND(SUM('[2]Monthly Program Costs'!$AX290:$BI290),2)</f>
        <v>0</v>
      </c>
      <c r="E5" s="233">
        <f>ROUND(SUM('[2]Monthly Program Costs Ext'!$AX290:$BI290),2)</f>
        <v>4147236.66</v>
      </c>
      <c r="F5" s="47"/>
    </row>
    <row r="6" spans="1:25" x14ac:dyDescent="0.35">
      <c r="A6" s="20" t="s">
        <v>107</v>
      </c>
      <c r="B6" s="75">
        <f>SUM('[1]Billed kWh Sales'!$G37:$H37)</f>
        <v>601468967</v>
      </c>
      <c r="C6" s="233">
        <f t="shared" ref="C6:C9" si="0">SUM(D6:E6)</f>
        <v>609409.79</v>
      </c>
      <c r="D6" s="233">
        <f>ROUND(SUM('[2]Monthly Program Costs'!$AX291:$BI291),2)</f>
        <v>0</v>
      </c>
      <c r="E6" s="233">
        <f>ROUND(SUM('[2]Monthly Program Costs Ext'!$AX291:$BI291),2)</f>
        <v>609409.79</v>
      </c>
      <c r="F6" s="47"/>
    </row>
    <row r="7" spans="1:25" x14ac:dyDescent="0.35">
      <c r="A7" s="20" t="s">
        <v>108</v>
      </c>
      <c r="B7" s="75">
        <f>SUM('[1]Billed kWh Sales'!$G38:$H38)</f>
        <v>1105976037</v>
      </c>
      <c r="C7" s="233">
        <f t="shared" si="0"/>
        <v>1222642.97</v>
      </c>
      <c r="D7" s="233">
        <f>ROUND(SUM('[2]Monthly Program Costs'!$AX292:$BI292),2)</f>
        <v>0</v>
      </c>
      <c r="E7" s="233">
        <f>ROUND(SUM('[2]Monthly Program Costs Ext'!$AX292:$BI292),2)</f>
        <v>1222642.97</v>
      </c>
      <c r="F7" s="47"/>
    </row>
    <row r="8" spans="1:25" x14ac:dyDescent="0.35">
      <c r="A8" s="20" t="s">
        <v>109</v>
      </c>
      <c r="B8" s="75">
        <f>SUM('[1]Billed kWh Sales'!$G39:$H39)</f>
        <v>1790393542</v>
      </c>
      <c r="C8" s="233">
        <f t="shared" si="0"/>
        <v>1945238.01</v>
      </c>
      <c r="D8" s="233">
        <f>ROUND(SUM('[2]Monthly Program Costs'!$AX293:$BI293),2)</f>
        <v>0</v>
      </c>
      <c r="E8" s="233">
        <f>ROUND(SUM('[2]Monthly Program Costs Ext'!$AX293:$BI293),2)</f>
        <v>1945238.01</v>
      </c>
      <c r="F8" s="47"/>
    </row>
    <row r="9" spans="1:25" x14ac:dyDescent="0.35">
      <c r="A9" s="20" t="s">
        <v>110</v>
      </c>
      <c r="B9" s="75">
        <f>SUM('[1]Billed kWh Sales'!$G40:$H40)</f>
        <v>465667834</v>
      </c>
      <c r="C9" s="233">
        <f t="shared" si="0"/>
        <v>519861.34</v>
      </c>
      <c r="D9" s="233">
        <f>ROUND(SUM('[2]Monthly Program Costs'!$AX294:$BI294),2)</f>
        <v>0</v>
      </c>
      <c r="E9" s="233">
        <f>ROUND(SUM('[2]Monthly Program Costs Ext'!$AX294:$BI294),2)</f>
        <v>519861.34</v>
      </c>
      <c r="F9" s="47"/>
      <c r="P9" s="1"/>
      <c r="Q9" s="1"/>
      <c r="R9" s="1"/>
      <c r="S9" s="1"/>
      <c r="T9" s="1"/>
      <c r="U9" s="1"/>
      <c r="V9" s="1"/>
      <c r="W9" s="1"/>
      <c r="X9" s="1"/>
      <c r="Y9" s="1"/>
    </row>
    <row r="10" spans="1:25" x14ac:dyDescent="0.35">
      <c r="A10" s="30" t="s">
        <v>112</v>
      </c>
      <c r="B10" s="252">
        <f>SUM(B5:B9)</f>
        <v>6643451126</v>
      </c>
      <c r="C10" s="234">
        <f>SUM(C5:C9)</f>
        <v>8444388.7699999996</v>
      </c>
      <c r="D10" s="234">
        <f t="shared" ref="D10:E10" si="1">SUM(D5:D9)</f>
        <v>0</v>
      </c>
      <c r="E10" s="234">
        <f t="shared" si="1"/>
        <v>8444388.7699999996</v>
      </c>
      <c r="P10" s="1"/>
      <c r="Q10" s="1"/>
      <c r="R10" s="1"/>
      <c r="S10" s="1"/>
      <c r="T10" s="1"/>
      <c r="U10" s="1"/>
      <c r="V10" s="1"/>
      <c r="W10" s="1"/>
      <c r="X10" s="1"/>
      <c r="Y10" s="1"/>
    </row>
    <row r="12" spans="1:25" x14ac:dyDescent="0.35">
      <c r="A12" s="53" t="s">
        <v>11</v>
      </c>
    </row>
    <row r="13" spans="1:25" ht="30" customHeight="1" x14ac:dyDescent="0.35">
      <c r="A13" s="309" t="s">
        <v>284</v>
      </c>
      <c r="B13" s="309"/>
      <c r="C13" s="309"/>
      <c r="D13" s="309"/>
      <c r="E13" s="309"/>
      <c r="F13" s="289"/>
      <c r="G13" s="311"/>
      <c r="H13" s="311"/>
      <c r="I13" s="311"/>
    </row>
    <row r="14" spans="1:25" x14ac:dyDescent="0.35">
      <c r="A14" s="309" t="s">
        <v>173</v>
      </c>
      <c r="B14" s="309"/>
      <c r="C14" s="309"/>
      <c r="D14" s="309"/>
      <c r="E14" s="309"/>
    </row>
    <row r="15" spans="1:25" x14ac:dyDescent="0.35">
      <c r="A15" s="309" t="s">
        <v>196</v>
      </c>
      <c r="B15" s="309"/>
      <c r="C15" s="309"/>
      <c r="D15" s="309"/>
      <c r="E15" s="309"/>
    </row>
    <row r="16" spans="1:25" x14ac:dyDescent="0.35">
      <c r="A16" s="309" t="s">
        <v>197</v>
      </c>
      <c r="B16" s="309"/>
      <c r="C16" s="309"/>
      <c r="D16" s="309"/>
      <c r="E16" s="309"/>
    </row>
    <row r="24" spans="3:3" x14ac:dyDescent="0.35">
      <c r="C24" s="2"/>
    </row>
    <row r="46" spans="2:3" x14ac:dyDescent="0.35">
      <c r="B46" s="8"/>
      <c r="C46" s="8"/>
    </row>
    <row r="50" spans="2:3" x14ac:dyDescent="0.35">
      <c r="B50" s="8"/>
      <c r="C50" s="8"/>
    </row>
  </sheetData>
  <mergeCells count="6">
    <mergeCell ref="A16:E16"/>
    <mergeCell ref="B3:C3"/>
    <mergeCell ref="G13:I13"/>
    <mergeCell ref="A14:E14"/>
    <mergeCell ref="A13:E13"/>
    <mergeCell ref="A15:E15"/>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A16" workbookViewId="0">
      <selection activeCell="P16" sqref="P1:P104857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60</v>
      </c>
    </row>
    <row r="3" spans="1:35" ht="29" x14ac:dyDescent="0.35">
      <c r="E3" s="48" t="s">
        <v>46</v>
      </c>
      <c r="F3" s="48" t="s">
        <v>45</v>
      </c>
      <c r="G3" s="70" t="s">
        <v>2</v>
      </c>
      <c r="H3" s="48" t="s">
        <v>3</v>
      </c>
      <c r="I3" s="70" t="s">
        <v>55</v>
      </c>
      <c r="J3" s="48" t="s">
        <v>10</v>
      </c>
      <c r="K3" s="48" t="s">
        <v>4</v>
      </c>
    </row>
    <row r="4" spans="1:35" x14ac:dyDescent="0.35">
      <c r="A4" s="20" t="s">
        <v>24</v>
      </c>
      <c r="E4" s="22">
        <f>SUM(C34:M34)</f>
        <v>0</v>
      </c>
      <c r="F4" s="138">
        <f>SUM(C27:M27)</f>
        <v>1227751234.2328</v>
      </c>
      <c r="G4" s="22">
        <f>SUM(C23:L23)</f>
        <v>0</v>
      </c>
      <c r="H4" s="22">
        <f>G4-E4</f>
        <v>0</v>
      </c>
      <c r="I4" s="22">
        <f>+B47</f>
        <v>-2.3305801732931286E-12</v>
      </c>
      <c r="J4" s="22">
        <f>SUM(C52:L52)</f>
        <v>0</v>
      </c>
      <c r="K4" s="25">
        <f>SUM(H4:J4)</f>
        <v>-2.3305801732931286E-12</v>
      </c>
      <c r="L4" s="47">
        <f>+K4-M47</f>
        <v>0</v>
      </c>
    </row>
    <row r="5" spans="1:35" ht="15" thickBot="1" x14ac:dyDescent="0.4">
      <c r="A5" s="20" t="s">
        <v>25</v>
      </c>
      <c r="E5" s="22">
        <f>SUM(C35:M38)</f>
        <v>-21568.600000000002</v>
      </c>
      <c r="F5" s="138">
        <f>SUM(C28:M31)</f>
        <v>1973094143.5524001</v>
      </c>
      <c r="G5" s="22">
        <f>SUM(C24:L24)</f>
        <v>0</v>
      </c>
      <c r="H5" s="22">
        <f>G5-E5</f>
        <v>21568.600000000002</v>
      </c>
      <c r="I5" s="22">
        <f>+B48</f>
        <v>-39397.470000000023</v>
      </c>
      <c r="J5" s="22">
        <f>SUM(C53:L53)</f>
        <v>-978.08</v>
      </c>
      <c r="K5" s="25">
        <f>SUM(H5:J5)</f>
        <v>-18806.950000000023</v>
      </c>
      <c r="L5" s="47">
        <f>+K5-M48</f>
        <v>0</v>
      </c>
    </row>
    <row r="6" spans="1:35" ht="15.5" thickTop="1" thickBot="1" x14ac:dyDescent="0.4">
      <c r="E6" s="27">
        <f t="shared" ref="E6" si="0">SUM(E4:E5)</f>
        <v>-21568.600000000002</v>
      </c>
      <c r="F6" s="27">
        <f t="shared" ref="F6:I6" si="1">SUM(F4:F5)</f>
        <v>3200845377.7852001</v>
      </c>
      <c r="G6" s="27">
        <f t="shared" si="1"/>
        <v>0</v>
      </c>
      <c r="H6" s="27">
        <f t="shared" si="1"/>
        <v>21568.600000000002</v>
      </c>
      <c r="I6" s="27">
        <f t="shared" si="1"/>
        <v>-39397.470000000023</v>
      </c>
      <c r="J6" s="27">
        <f>SUM(J4:J5)</f>
        <v>-978.08</v>
      </c>
      <c r="K6" s="27">
        <f>SUM(K4:K5)</f>
        <v>-18806.950000000026</v>
      </c>
    </row>
    <row r="7" spans="1:35" ht="44" thickTop="1" x14ac:dyDescent="0.35">
      <c r="E7" s="231"/>
      <c r="F7" s="232"/>
      <c r="G7" s="231"/>
      <c r="H7" s="231"/>
      <c r="I7" s="231"/>
      <c r="J7" s="230"/>
      <c r="K7" s="230"/>
      <c r="L7" s="229" t="s">
        <v>123</v>
      </c>
    </row>
    <row r="8" spans="1:35" x14ac:dyDescent="0.35">
      <c r="A8" s="20" t="s">
        <v>107</v>
      </c>
      <c r="E8" s="231"/>
      <c r="F8" s="232"/>
      <c r="G8" s="231"/>
      <c r="H8" s="231"/>
      <c r="I8" s="231"/>
      <c r="J8" s="230"/>
      <c r="K8" s="25">
        <f>ROUND($K$5*L8,2)</f>
        <v>-2553.31</v>
      </c>
      <c r="L8" s="227">
        <f>+'[3]Monthly TD Calc'!$DC$44</f>
        <v>0.13576441564001979</v>
      </c>
    </row>
    <row r="9" spans="1:35" x14ac:dyDescent="0.35">
      <c r="A9" s="20" t="s">
        <v>108</v>
      </c>
      <c r="E9" s="231"/>
      <c r="F9" s="232"/>
      <c r="G9" s="231"/>
      <c r="H9" s="231"/>
      <c r="I9" s="231"/>
      <c r="J9" s="230"/>
      <c r="K9" s="25">
        <f t="shared" ref="K9:K11" si="2">ROUND($K$5*L9,2)</f>
        <v>-6697.45</v>
      </c>
      <c r="L9" s="227">
        <f>+'[3]Monthly TD Calc'!$DD$44</f>
        <v>0.35611574316442379</v>
      </c>
    </row>
    <row r="10" spans="1:35" x14ac:dyDescent="0.35">
      <c r="A10" s="20" t="s">
        <v>109</v>
      </c>
      <c r="E10" s="231"/>
      <c r="F10" s="232"/>
      <c r="G10" s="231"/>
      <c r="H10" s="231"/>
      <c r="I10" s="231"/>
      <c r="J10" s="230"/>
      <c r="K10" s="25">
        <f t="shared" si="2"/>
        <v>-7867.3</v>
      </c>
      <c r="L10" s="227">
        <f>+'[3]Monthly TD Calc'!$DE$44</f>
        <v>0.4183185730547726</v>
      </c>
    </row>
    <row r="11" spans="1:35" ht="15" thickBot="1" x14ac:dyDescent="0.4">
      <c r="A11" s="20" t="s">
        <v>110</v>
      </c>
      <c r="E11" s="231"/>
      <c r="F11" s="232"/>
      <c r="G11" s="231"/>
      <c r="H11" s="231"/>
      <c r="I11" s="231"/>
      <c r="J11" s="230"/>
      <c r="K11" s="25">
        <f t="shared" si="2"/>
        <v>-1688.89</v>
      </c>
      <c r="L11" s="227">
        <f>+'[3]Monthly TD Calc'!$DF$44</f>
        <v>8.9801268140783777E-2</v>
      </c>
    </row>
    <row r="12" spans="1:35" ht="15.5" thickTop="1" thickBot="1" x14ac:dyDescent="0.4">
      <c r="A12" s="20" t="s">
        <v>112</v>
      </c>
      <c r="E12" s="231"/>
      <c r="F12" s="232"/>
      <c r="G12" s="231"/>
      <c r="H12" s="231"/>
      <c r="I12" s="231"/>
      <c r="J12" s="230"/>
      <c r="K12" s="27">
        <f>SUM(K8:K11)</f>
        <v>-18806.95</v>
      </c>
      <c r="L12" s="228">
        <f>SUM(L8:L11)</f>
        <v>1</v>
      </c>
    </row>
    <row r="13" spans="1:35" ht="15.5" thickTop="1" thickBot="1" x14ac:dyDescent="0.4"/>
    <row r="14" spans="1:35" ht="87.5" thickBot="1" x14ac:dyDescent="0.4">
      <c r="B14" s="118" t="s">
        <v>189</v>
      </c>
      <c r="C14" s="274" t="s">
        <v>203</v>
      </c>
      <c r="D14" s="274"/>
      <c r="E14" s="317" t="s">
        <v>33</v>
      </c>
      <c r="F14" s="317"/>
      <c r="G14" s="318"/>
      <c r="H14" s="319" t="s">
        <v>33</v>
      </c>
      <c r="I14" s="320"/>
      <c r="J14" s="321"/>
      <c r="K14" s="313" t="s">
        <v>8</v>
      </c>
      <c r="L14" s="314"/>
      <c r="M14" s="315"/>
    </row>
    <row r="15" spans="1:35" x14ac:dyDescent="0.35">
      <c r="A15" s="46" t="s">
        <v>32</v>
      </c>
      <c r="C15" s="14"/>
      <c r="D15" s="19"/>
      <c r="E15" s="19">
        <v>44895</v>
      </c>
      <c r="F15" s="19">
        <f>EOMONTH(E15,1)</f>
        <v>44926</v>
      </c>
      <c r="G15" s="19">
        <f t="shared" ref="G15:M15" si="3">EOMONTH(F15,1)</f>
        <v>44957</v>
      </c>
      <c r="H15" s="14">
        <f t="shared" si="3"/>
        <v>44985</v>
      </c>
      <c r="I15" s="19">
        <f t="shared" si="3"/>
        <v>45016</v>
      </c>
      <c r="J15" s="15">
        <f t="shared" si="3"/>
        <v>45046</v>
      </c>
      <c r="K15" s="19">
        <f t="shared" si="3"/>
        <v>45077</v>
      </c>
      <c r="L15" s="19">
        <f t="shared" si="3"/>
        <v>45107</v>
      </c>
      <c r="M15" s="95">
        <f t="shared" si="3"/>
        <v>45138</v>
      </c>
      <c r="Z15" s="1"/>
      <c r="AA15" s="1"/>
      <c r="AB15" s="1"/>
      <c r="AC15" s="1"/>
      <c r="AD15" s="1"/>
      <c r="AE15" s="1"/>
      <c r="AF15" s="1"/>
      <c r="AG15" s="1"/>
      <c r="AH15" s="1"/>
      <c r="AI15" s="1"/>
    </row>
    <row r="16" spans="1:35" x14ac:dyDescent="0.35">
      <c r="A16" s="46" t="s">
        <v>24</v>
      </c>
      <c r="C16" s="97">
        <v>0</v>
      </c>
      <c r="D16" s="263"/>
      <c r="E16" s="109">
        <v>0</v>
      </c>
      <c r="F16" s="109">
        <v>0</v>
      </c>
      <c r="G16" s="110">
        <v>0</v>
      </c>
      <c r="H16" s="16">
        <v>0</v>
      </c>
      <c r="I16" s="55">
        <v>0</v>
      </c>
      <c r="J16" s="166">
        <v>0</v>
      </c>
      <c r="K16" s="176">
        <v>0</v>
      </c>
      <c r="L16" s="140">
        <v>0</v>
      </c>
      <c r="M16" s="76"/>
    </row>
    <row r="17" spans="1:14" x14ac:dyDescent="0.35">
      <c r="A17" s="46" t="s">
        <v>25</v>
      </c>
      <c r="C17" s="97">
        <v>0</v>
      </c>
      <c r="D17" s="263"/>
      <c r="E17" s="109">
        <v>0</v>
      </c>
      <c r="F17" s="109">
        <v>0</v>
      </c>
      <c r="G17" s="110">
        <v>0</v>
      </c>
      <c r="H17" s="16">
        <v>0</v>
      </c>
      <c r="I17" s="55">
        <v>0</v>
      </c>
      <c r="J17" s="166">
        <v>0</v>
      </c>
      <c r="K17" s="176">
        <v>0</v>
      </c>
      <c r="L17" s="140">
        <v>0</v>
      </c>
      <c r="M17" s="76"/>
      <c r="N17" s="63" t="s">
        <v>27</v>
      </c>
    </row>
    <row r="18" spans="1:14" x14ac:dyDescent="0.35">
      <c r="A18" s="46" t="s">
        <v>0</v>
      </c>
      <c r="C18" s="97">
        <v>0</v>
      </c>
      <c r="D18" s="263"/>
      <c r="E18" s="109">
        <v>0</v>
      </c>
      <c r="F18" s="109">
        <v>0</v>
      </c>
      <c r="G18" s="110">
        <v>0</v>
      </c>
      <c r="H18" s="16">
        <v>0</v>
      </c>
      <c r="I18" s="55">
        <v>0</v>
      </c>
      <c r="J18" s="166">
        <v>0</v>
      </c>
      <c r="K18" s="176">
        <v>0</v>
      </c>
      <c r="L18" s="140">
        <v>0</v>
      </c>
      <c r="M18" s="76"/>
      <c r="N18" s="73">
        <v>0.5</v>
      </c>
    </row>
    <row r="19" spans="1:14" x14ac:dyDescent="0.35">
      <c r="A19" s="46" t="s">
        <v>1</v>
      </c>
      <c r="C19" s="97">
        <v>0</v>
      </c>
      <c r="D19" s="263"/>
      <c r="E19" s="109">
        <v>0</v>
      </c>
      <c r="F19" s="109">
        <v>0</v>
      </c>
      <c r="G19" s="110">
        <v>0</v>
      </c>
      <c r="H19" s="16">
        <v>0</v>
      </c>
      <c r="I19" s="55">
        <v>0</v>
      </c>
      <c r="J19" s="166">
        <v>0</v>
      </c>
      <c r="K19" s="176">
        <v>0</v>
      </c>
      <c r="L19" s="140">
        <v>0</v>
      </c>
      <c r="M19" s="76"/>
      <c r="N19" s="63"/>
    </row>
    <row r="20" spans="1:14" x14ac:dyDescent="0.35">
      <c r="C20" s="98"/>
      <c r="D20" s="264"/>
      <c r="E20" s="31"/>
      <c r="F20" s="31"/>
      <c r="G20" s="31"/>
      <c r="H20" s="28"/>
      <c r="I20" s="31"/>
      <c r="J20" s="11"/>
      <c r="K20" s="31"/>
      <c r="L20" s="31"/>
      <c r="M20" s="29"/>
    </row>
    <row r="21" spans="1:14" x14ac:dyDescent="0.35">
      <c r="C21" s="98"/>
      <c r="D21" s="264"/>
      <c r="E21" s="31"/>
      <c r="F21" s="31"/>
      <c r="G21" s="31"/>
      <c r="H21" s="28"/>
      <c r="I21" s="31"/>
      <c r="J21" s="11"/>
      <c r="K21" s="31"/>
      <c r="L21" s="31"/>
      <c r="M21" s="29"/>
    </row>
    <row r="22" spans="1:14" x14ac:dyDescent="0.35">
      <c r="A22" s="46" t="s">
        <v>35</v>
      </c>
      <c r="C22" s="99"/>
      <c r="D22" s="151"/>
      <c r="E22" s="31"/>
      <c r="F22" s="31"/>
      <c r="G22" s="31"/>
      <c r="H22" s="28"/>
      <c r="I22" s="31"/>
      <c r="J22" s="167"/>
      <c r="K22" s="17"/>
      <c r="L22" s="17"/>
      <c r="M22" s="11"/>
    </row>
    <row r="23" spans="1:14" x14ac:dyDescent="0.35">
      <c r="A23" s="46" t="s">
        <v>24</v>
      </c>
      <c r="C23" s="40"/>
      <c r="D23" s="123"/>
      <c r="E23" s="41">
        <f t="shared" ref="E23:L23" si="4">E16+($N$18*E$18)+($N$18*E$19)</f>
        <v>0</v>
      </c>
      <c r="F23" s="41">
        <f t="shared" si="4"/>
        <v>0</v>
      </c>
      <c r="G23" s="108">
        <f t="shared" si="4"/>
        <v>0</v>
      </c>
      <c r="H23" s="40">
        <f t="shared" si="4"/>
        <v>0</v>
      </c>
      <c r="I23" s="41">
        <f t="shared" si="4"/>
        <v>0</v>
      </c>
      <c r="J23" s="61">
        <f t="shared" si="4"/>
        <v>0</v>
      </c>
      <c r="K23" s="123">
        <f t="shared" si="4"/>
        <v>0</v>
      </c>
      <c r="L23" s="41">
        <f t="shared" si="4"/>
        <v>0</v>
      </c>
      <c r="M23" s="61">
        <f t="shared" ref="M23" si="5">M16+($N$18*M$18)+($N$18*M$19)+M$20*(1-$N$20)</f>
        <v>0</v>
      </c>
    </row>
    <row r="24" spans="1:14" x14ac:dyDescent="0.35">
      <c r="A24" s="46" t="s">
        <v>25</v>
      </c>
      <c r="C24" s="40"/>
      <c r="D24" s="123"/>
      <c r="E24" s="41">
        <f t="shared" ref="E24:L24" si="6">(E$17+$N$18*E$18)+E$19*$N$18</f>
        <v>0</v>
      </c>
      <c r="F24" s="41">
        <f t="shared" si="6"/>
        <v>0</v>
      </c>
      <c r="G24" s="108">
        <f t="shared" si="6"/>
        <v>0</v>
      </c>
      <c r="H24" s="40">
        <f t="shared" si="6"/>
        <v>0</v>
      </c>
      <c r="I24" s="41">
        <f t="shared" si="6"/>
        <v>0</v>
      </c>
      <c r="J24" s="61">
        <f t="shared" si="6"/>
        <v>0</v>
      </c>
      <c r="K24" s="123">
        <f t="shared" si="6"/>
        <v>0</v>
      </c>
      <c r="L24" s="41">
        <f t="shared" si="6"/>
        <v>0</v>
      </c>
      <c r="M24" s="61">
        <f t="shared" ref="M24" si="7">(M$17+$N$18*M$18+M$20*$N$20)+M$19*$N$18</f>
        <v>0</v>
      </c>
    </row>
    <row r="25" spans="1:14" x14ac:dyDescent="0.35">
      <c r="C25" s="99"/>
      <c r="D25" s="151"/>
      <c r="E25" s="31"/>
      <c r="F25" s="31"/>
      <c r="G25" s="31"/>
      <c r="H25" s="28"/>
      <c r="I25" s="31"/>
      <c r="J25" s="11"/>
      <c r="K25" s="17"/>
      <c r="L25" s="17"/>
      <c r="M25" s="11"/>
    </row>
    <row r="26" spans="1:14" x14ac:dyDescent="0.35">
      <c r="A26" s="39" t="s">
        <v>47</v>
      </c>
      <c r="B26" s="39"/>
      <c r="C26" s="101"/>
      <c r="D26" s="265"/>
      <c r="E26" s="31"/>
      <c r="F26" s="31"/>
      <c r="G26" s="31"/>
      <c r="H26" s="28"/>
      <c r="I26" s="31"/>
      <c r="J26" s="11"/>
      <c r="K26" s="17"/>
      <c r="L26" s="17"/>
      <c r="M26" s="11"/>
    </row>
    <row r="27" spans="1:14" x14ac:dyDescent="0.35">
      <c r="A27" s="46" t="s">
        <v>24</v>
      </c>
      <c r="C27" s="102">
        <v>-666539837</v>
      </c>
      <c r="D27" s="266"/>
      <c r="E27" s="111">
        <f>+'[4]Nov 2022'!$F132</f>
        <v>160652734.10240006</v>
      </c>
      <c r="F27" s="111">
        <f>+'[4]Dec 2022'!$F132</f>
        <v>223308104.35410005</v>
      </c>
      <c r="G27" s="111">
        <f>+'[4]Jan 2023'!$F140</f>
        <v>270759842.98369992</v>
      </c>
      <c r="H27" s="186">
        <f>+'[4]Feb 2023'!$F140</f>
        <v>232127143.18829995</v>
      </c>
      <c r="I27" s="189">
        <f>+'[4]Mar 2023'!$F140</f>
        <v>198668235.57209998</v>
      </c>
      <c r="J27" s="181">
        <f>+'[4]Apr 2023'!$F140</f>
        <v>171030652.03220007</v>
      </c>
      <c r="K27" s="177">
        <f>+'[1]Billed kWh Sales'!U24</f>
        <v>156663800</v>
      </c>
      <c r="L27" s="141">
        <f>+'[1]Billed kWh Sales'!V24</f>
        <v>196485409</v>
      </c>
      <c r="M27" s="77">
        <f>+'[1]Billed kWh Sales'!W24</f>
        <v>284595150</v>
      </c>
    </row>
    <row r="28" spans="1:14" x14ac:dyDescent="0.35">
      <c r="A28" s="46" t="s">
        <v>107</v>
      </c>
      <c r="C28" s="102">
        <v>-139393943</v>
      </c>
      <c r="D28" s="266"/>
      <c r="E28" s="111">
        <f>+'[4]Nov 2022'!$F133</f>
        <v>44235616.996800013</v>
      </c>
      <c r="F28" s="111">
        <f>+'[4]Dec 2022'!$F133</f>
        <v>50978087.681400008</v>
      </c>
      <c r="G28" s="111">
        <f>+'[4]Jan 2023'!$F141</f>
        <v>58408014.749700002</v>
      </c>
      <c r="H28" s="186">
        <f>+'[4]Feb 2023'!$F141</f>
        <v>52753517.526000008</v>
      </c>
      <c r="I28" s="189">
        <f>+'[4]Mar 2023'!$F141</f>
        <v>48213815.324299969</v>
      </c>
      <c r="J28" s="181">
        <f>+'[4]Apr 2023'!$F141</f>
        <v>44356047.061799996</v>
      </c>
      <c r="K28" s="177">
        <f>+'[1]Billed kWh Sales'!U25</f>
        <v>45167967</v>
      </c>
      <c r="L28" s="141">
        <f>+'[1]Billed kWh Sales'!V25</f>
        <v>49683103</v>
      </c>
      <c r="M28" s="77">
        <f>+'[1]Billed kWh Sales'!W25</f>
        <v>55656152</v>
      </c>
    </row>
    <row r="29" spans="1:14" x14ac:dyDescent="0.35">
      <c r="A29" s="46" t="s">
        <v>108</v>
      </c>
      <c r="C29" s="102">
        <v>-279662441</v>
      </c>
      <c r="D29" s="266"/>
      <c r="E29" s="111">
        <f>+'[4]Nov 2022'!$F134</f>
        <v>83476734.562700018</v>
      </c>
      <c r="F29" s="111">
        <f>+'[4]Dec 2022'!$F134</f>
        <v>89976504.261399984</v>
      </c>
      <c r="G29" s="111">
        <f>+'[4]Jan 2023'!$F142</f>
        <v>101924956.98949999</v>
      </c>
      <c r="H29" s="186">
        <f>+'[4]Feb 2023'!$F142</f>
        <v>94647841.721099988</v>
      </c>
      <c r="I29" s="189">
        <f>+'[4]Mar 2023'!$F142</f>
        <v>85743906.75030002</v>
      </c>
      <c r="J29" s="181">
        <f>+'[4]Apr 2023'!$F142</f>
        <v>80711194.617300004</v>
      </c>
      <c r="K29" s="177">
        <f>+'[1]Billed kWh Sales'!U26</f>
        <v>83054475</v>
      </c>
      <c r="L29" s="141">
        <f>+'[1]Billed kWh Sales'!V26</f>
        <v>91356869</v>
      </c>
      <c r="M29" s="77">
        <f>+'[1]Billed kWh Sales'!W26</f>
        <v>102340060</v>
      </c>
    </row>
    <row r="30" spans="1:14" x14ac:dyDescent="0.35">
      <c r="A30" s="46" t="s">
        <v>109</v>
      </c>
      <c r="C30" s="102">
        <v>-444945928</v>
      </c>
      <c r="D30" s="266"/>
      <c r="E30" s="111">
        <f>+'[4]Nov 2022'!$F135</f>
        <v>146624897.08199999</v>
      </c>
      <c r="F30" s="111">
        <f>+'[4]Dec 2022'!$F135</f>
        <v>152436926.17189997</v>
      </c>
      <c r="G30" s="111">
        <f>+'[4]Jan 2023'!$F143</f>
        <v>163338510.30909997</v>
      </c>
      <c r="H30" s="186">
        <f>+'[4]Feb 2023'!$F143</f>
        <v>151529794.77410001</v>
      </c>
      <c r="I30" s="189">
        <f>+'[4]Mar 2023'!$F143</f>
        <v>141962152.8531</v>
      </c>
      <c r="J30" s="181">
        <f>+'[4]Apr 2023'!$F143</f>
        <v>138745188.52200001</v>
      </c>
      <c r="K30" s="177">
        <f>+'[1]Billed kWh Sales'!U27</f>
        <v>134451554</v>
      </c>
      <c r="L30" s="141">
        <f>+'[1]Billed kWh Sales'!V27</f>
        <v>147891765</v>
      </c>
      <c r="M30" s="77">
        <f>+'[1]Billed kWh Sales'!W27</f>
        <v>165671748</v>
      </c>
    </row>
    <row r="31" spans="1:14" x14ac:dyDescent="0.35">
      <c r="A31" s="46" t="s">
        <v>110</v>
      </c>
      <c r="C31" s="102">
        <v>-118910983</v>
      </c>
      <c r="D31" s="266"/>
      <c r="E31" s="111">
        <f>+'[4]Nov 2022'!$F136</f>
        <v>42234848.610699996</v>
      </c>
      <c r="F31" s="111">
        <f>+'[4]Dec 2022'!$F136</f>
        <v>38735698.8882</v>
      </c>
      <c r="G31" s="111">
        <f>+'[4]Jan 2023'!$F144</f>
        <v>41268386.0132</v>
      </c>
      <c r="H31" s="186">
        <f>+'[4]Feb 2023'!$F144</f>
        <v>36990738.772600003</v>
      </c>
      <c r="I31" s="189">
        <f>+'[4]Mar 2023'!$F144</f>
        <v>28857924.4978</v>
      </c>
      <c r="J31" s="181">
        <f>+'[4]Apr 2023'!$F144</f>
        <v>46057106.815399997</v>
      </c>
      <c r="K31" s="177">
        <f>+'[1]Billed kWh Sales'!U28</f>
        <v>34969833</v>
      </c>
      <c r="L31" s="141">
        <f>+'[1]Billed kWh Sales'!V28</f>
        <v>38465531</v>
      </c>
      <c r="M31" s="77">
        <f>+'[1]Billed kWh Sales'!W28</f>
        <v>43089970</v>
      </c>
    </row>
    <row r="32" spans="1:14" x14ac:dyDescent="0.35">
      <c r="C32" s="99"/>
      <c r="D32" s="151"/>
      <c r="E32" s="31"/>
      <c r="F32" s="31"/>
      <c r="G32" s="31"/>
      <c r="H32" s="28"/>
      <c r="I32" s="31"/>
      <c r="J32" s="11"/>
      <c r="K32" s="17"/>
      <c r="L32" s="17"/>
      <c r="M32" s="11"/>
    </row>
    <row r="33" spans="1:15" x14ac:dyDescent="0.35">
      <c r="A33" s="46" t="s">
        <v>34</v>
      </c>
      <c r="C33" s="99"/>
      <c r="D33" s="151"/>
      <c r="E33" s="18"/>
      <c r="F33" s="18"/>
      <c r="G33" s="18"/>
      <c r="H33" s="91"/>
      <c r="I33" s="18"/>
      <c r="J33" s="11"/>
      <c r="K33" s="57"/>
      <c r="L33" s="57"/>
      <c r="M33" s="58"/>
      <c r="N33" s="63" t="s">
        <v>50</v>
      </c>
      <c r="O33" s="39"/>
    </row>
    <row r="34" spans="1:15" x14ac:dyDescent="0.35">
      <c r="A34" s="46" t="s">
        <v>24</v>
      </c>
      <c r="C34" s="97">
        <v>0</v>
      </c>
      <c r="D34" s="263"/>
      <c r="E34" s="109">
        <f>ROUND('[4]Nov 2022'!$F43+'[4]Nov 2022'!$F52,2)</f>
        <v>0</v>
      </c>
      <c r="F34" s="109">
        <f>ROUND('[4]Dec 2022'!$F43+'[4]Dec 2022'!$F52,2)</f>
        <v>0</v>
      </c>
      <c r="G34" s="111">
        <f>ROUND('[4]Jan 2023'!$F43+'[4]Jan 2023'!$F52,2)</f>
        <v>0</v>
      </c>
      <c r="H34" s="187">
        <f>ROUND('[4]Feb 2023'!$F43+'[4]Feb 2023'!$F52,2)</f>
        <v>0</v>
      </c>
      <c r="I34" s="55">
        <f>ROUND('[4]Mar 2023'!$F43+'[4]Mar 2023'!$F52,2)</f>
        <v>0</v>
      </c>
      <c r="J34" s="179">
        <f>ROUND('[4]Apr 2023'!$F43+'[4]Apr 2023'!$F52,2)</f>
        <v>0</v>
      </c>
      <c r="K34" s="123">
        <f>ROUND(K27*$N34,2)</f>
        <v>0</v>
      </c>
      <c r="L34" s="41">
        <f t="shared" ref="L34:M34" si="8">ROUND(L27*$N34,2)</f>
        <v>0</v>
      </c>
      <c r="M34" s="61">
        <f t="shared" si="8"/>
        <v>0</v>
      </c>
      <c r="N34" s="72">
        <v>0</v>
      </c>
    </row>
    <row r="35" spans="1:15" x14ac:dyDescent="0.35">
      <c r="A35" s="46" t="s">
        <v>107</v>
      </c>
      <c r="C35" s="97">
        <v>2787.88</v>
      </c>
      <c r="D35" s="263"/>
      <c r="E35" s="109">
        <f>ROUND('[4]Nov 2022'!$F44+'[4]Nov 2022'!$F53,2)</f>
        <v>-894.66</v>
      </c>
      <c r="F35" s="109">
        <f>ROUND('[4]Dec 2022'!$F44+'[4]Dec 2022'!$F53,2)</f>
        <v>-1045.22</v>
      </c>
      <c r="G35" s="111">
        <f>ROUND('[4]Jan 2023'!$F44+'[4]Jan 2023'!$F53,2)</f>
        <v>-1165.46</v>
      </c>
      <c r="H35" s="187">
        <f>ROUND('[4]Feb 2023'!$F44+'[4]Feb 2023'!$F53,2)</f>
        <v>-825.25</v>
      </c>
      <c r="I35" s="55">
        <f>ROUND('[4]Mar 2023'!$F44+'[4]Mar 2023'!$F53,2)</f>
        <v>-482.55</v>
      </c>
      <c r="J35" s="179">
        <f>ROUND('[4]Apr 2023'!$F44+'[4]Apr 2023'!$F53,2)</f>
        <v>-443.01</v>
      </c>
      <c r="K35" s="123">
        <f t="shared" ref="K35:M35" si="9">ROUND(K28*$N35,2)</f>
        <v>-451.68</v>
      </c>
      <c r="L35" s="41">
        <f t="shared" si="9"/>
        <v>-496.83</v>
      </c>
      <c r="M35" s="61">
        <f t="shared" si="9"/>
        <v>-556.55999999999995</v>
      </c>
      <c r="N35" s="72">
        <v>-1.0000000000000001E-5</v>
      </c>
    </row>
    <row r="36" spans="1:15" x14ac:dyDescent="0.35">
      <c r="A36" s="46" t="s">
        <v>108</v>
      </c>
      <c r="C36" s="97">
        <v>5593.25</v>
      </c>
      <c r="D36" s="263"/>
      <c r="E36" s="109">
        <f>ROUND('[4]Nov 2022'!$F45+'[4]Nov 2022'!$F54,2)</f>
        <v>-1683.3</v>
      </c>
      <c r="F36" s="109">
        <f>ROUND('[4]Dec 2022'!$F45+'[4]Dec 2022'!$F54,2)</f>
        <v>-1796.3</v>
      </c>
      <c r="G36" s="111">
        <f>ROUND('[4]Jan 2023'!$F45+'[4]Jan 2023'!$F54,2)</f>
        <v>-2038.21</v>
      </c>
      <c r="H36" s="187">
        <f>ROUND('[4]Feb 2023'!$F45+'[4]Feb 2023'!$F54,2)</f>
        <v>-1465.48</v>
      </c>
      <c r="I36" s="55">
        <f>ROUND('[4]Mar 2023'!$F45+'[4]Mar 2023'!$F54,2)</f>
        <v>-860.04</v>
      </c>
      <c r="J36" s="179">
        <f>ROUND('[4]Apr 2023'!$F45+'[4]Apr 2023'!$F54,2)</f>
        <v>-806.07</v>
      </c>
      <c r="K36" s="123">
        <f t="shared" ref="K36:M36" si="10">ROUND(K29*$N36,2)</f>
        <v>-830.54</v>
      </c>
      <c r="L36" s="41">
        <f t="shared" si="10"/>
        <v>-913.57</v>
      </c>
      <c r="M36" s="61">
        <f t="shared" si="10"/>
        <v>-1023.4</v>
      </c>
      <c r="N36" s="72">
        <v>-1.0000000000000001E-5</v>
      </c>
    </row>
    <row r="37" spans="1:15" x14ac:dyDescent="0.35">
      <c r="A37" s="46" t="s">
        <v>109</v>
      </c>
      <c r="C37" s="97">
        <v>8898.92</v>
      </c>
      <c r="D37" s="263"/>
      <c r="E37" s="109">
        <f>ROUND('[4]Nov 2022'!$F46+'[4]Nov 2022'!$F55,2)</f>
        <v>-2925.74</v>
      </c>
      <c r="F37" s="109">
        <f>ROUND('[4]Dec 2022'!$F46+'[4]Dec 2022'!$F55,2)</f>
        <v>-3046.04</v>
      </c>
      <c r="G37" s="111">
        <f>ROUND('[4]Jan 2023'!$F46+'[4]Jan 2023'!$F55,2)</f>
        <v>-3263.34</v>
      </c>
      <c r="H37" s="187">
        <f>ROUND('[4]Feb 2023'!$F46+'[4]Feb 2023'!$F55,2)</f>
        <v>-2413.71</v>
      </c>
      <c r="I37" s="55">
        <f>ROUND('[4]Mar 2023'!$F46+'[4]Mar 2023'!$F55,2)</f>
        <v>-1412.19</v>
      </c>
      <c r="J37" s="179">
        <f>ROUND('[4]Apr 2023'!$F46+'[4]Apr 2023'!$F55,2)</f>
        <v>-1385.36</v>
      </c>
      <c r="K37" s="123">
        <f t="shared" ref="K37:M37" si="11">ROUND(K30*$N37,2)</f>
        <v>-1344.52</v>
      </c>
      <c r="L37" s="41">
        <f t="shared" si="11"/>
        <v>-1478.92</v>
      </c>
      <c r="M37" s="61">
        <f t="shared" si="11"/>
        <v>-1656.72</v>
      </c>
      <c r="N37" s="72">
        <v>-1.0000000000000001E-5</v>
      </c>
    </row>
    <row r="38" spans="1:15" x14ac:dyDescent="0.35">
      <c r="A38" s="46" t="s">
        <v>110</v>
      </c>
      <c r="C38" s="97">
        <v>1189.1099999999999</v>
      </c>
      <c r="D38" s="263"/>
      <c r="E38" s="109">
        <f>ROUND('[4]Nov 2022'!$F47+'[4]Nov 2022'!$F56,2)</f>
        <v>-271.66000000000003</v>
      </c>
      <c r="F38" s="109">
        <f>ROUND('[4]Dec 2022'!$F47+'[4]Dec 2022'!$F56,2)</f>
        <v>-531.63</v>
      </c>
      <c r="G38" s="111">
        <f>ROUND('[4]Jan 2023'!$F47+'[4]Jan 2023'!$F56,2)</f>
        <v>-427.03</v>
      </c>
      <c r="H38" s="187">
        <f>ROUND('[4]Feb 2023'!$F47+'[4]Feb 2023'!$F56,2)</f>
        <v>-357.95</v>
      </c>
      <c r="I38" s="55">
        <f>ROUND('[4]Mar 2023'!$F47+'[4]Mar 2023'!$F56,2)</f>
        <v>-165.83</v>
      </c>
      <c r="J38" s="179">
        <f>ROUND('[4]Apr 2023'!$F47+'[4]Apr 2023'!$F56,2)</f>
        <v>-413.73</v>
      </c>
      <c r="K38" s="123">
        <f>ROUND(K31*$N38,2)</f>
        <v>-349.7</v>
      </c>
      <c r="L38" s="41">
        <f t="shared" ref="L38:M38" si="12">ROUND(L31*$N38,2)</f>
        <v>-384.66</v>
      </c>
      <c r="M38" s="61">
        <f t="shared" si="12"/>
        <v>-430.9</v>
      </c>
      <c r="N38" s="72">
        <v>-1.0000000000000001E-5</v>
      </c>
    </row>
    <row r="39" spans="1:15" x14ac:dyDescent="0.35">
      <c r="C39" s="67"/>
      <c r="D39" s="68"/>
      <c r="E39" s="18"/>
      <c r="F39" s="18"/>
      <c r="G39" s="18"/>
      <c r="H39" s="91"/>
      <c r="I39" s="18"/>
      <c r="J39" s="11"/>
      <c r="K39" s="56"/>
      <c r="L39" s="56"/>
      <c r="M39" s="13"/>
      <c r="N39" s="4"/>
    </row>
    <row r="40" spans="1:15" ht="15" thickBot="1" x14ac:dyDescent="0.4">
      <c r="A40" s="46" t="s">
        <v>14</v>
      </c>
      <c r="C40" s="103">
        <v>384.28</v>
      </c>
      <c r="D40" s="267"/>
      <c r="E40" s="112">
        <v>-224.85</v>
      </c>
      <c r="F40" s="112">
        <v>-215.82</v>
      </c>
      <c r="G40" s="113">
        <v>-192.85</v>
      </c>
      <c r="H40" s="26">
        <v>-170.22</v>
      </c>
      <c r="I40" s="122">
        <v>-157.24</v>
      </c>
      <c r="J40" s="180">
        <v>-148.22999999999999</v>
      </c>
      <c r="K40" s="178">
        <v>-134</v>
      </c>
      <c r="L40" s="142">
        <v>-119.15</v>
      </c>
      <c r="M40" s="81"/>
    </row>
    <row r="41" spans="1:15" x14ac:dyDescent="0.35">
      <c r="C41" s="99"/>
      <c r="D41" s="151"/>
      <c r="E41" s="31"/>
      <c r="F41" s="31"/>
      <c r="G41" s="31"/>
      <c r="H41" s="28"/>
      <c r="I41" s="31"/>
      <c r="J41" s="11"/>
      <c r="K41" s="17"/>
      <c r="L41" s="17"/>
      <c r="M41" s="11"/>
    </row>
    <row r="42" spans="1:15" x14ac:dyDescent="0.35">
      <c r="A42" s="46" t="s">
        <v>52</v>
      </c>
      <c r="C42" s="99"/>
      <c r="D42" s="151"/>
      <c r="E42" s="31"/>
      <c r="F42" s="31"/>
      <c r="G42" s="31"/>
      <c r="H42" s="28"/>
      <c r="I42" s="31"/>
      <c r="J42" s="11"/>
      <c r="K42" s="17"/>
      <c r="L42" s="17"/>
      <c r="M42" s="11"/>
    </row>
    <row r="43" spans="1:15" x14ac:dyDescent="0.35">
      <c r="A43" s="46" t="s">
        <v>24</v>
      </c>
      <c r="C43" s="40">
        <f t="shared" ref="C43:M43" si="13">C23-C34</f>
        <v>0</v>
      </c>
      <c r="D43" s="123">
        <v>0</v>
      </c>
      <c r="E43" s="41">
        <f t="shared" si="13"/>
        <v>0</v>
      </c>
      <c r="F43" s="41">
        <f t="shared" si="13"/>
        <v>0</v>
      </c>
      <c r="G43" s="108">
        <f t="shared" si="13"/>
        <v>0</v>
      </c>
      <c r="H43" s="40">
        <f t="shared" si="13"/>
        <v>0</v>
      </c>
      <c r="I43" s="41">
        <f t="shared" si="13"/>
        <v>0</v>
      </c>
      <c r="J43" s="61">
        <f t="shared" si="13"/>
        <v>0</v>
      </c>
      <c r="K43" s="123">
        <f t="shared" si="13"/>
        <v>0</v>
      </c>
      <c r="L43" s="41">
        <f t="shared" si="13"/>
        <v>0</v>
      </c>
      <c r="M43" s="49">
        <f t="shared" si="13"/>
        <v>0</v>
      </c>
    </row>
    <row r="44" spans="1:15" x14ac:dyDescent="0.35">
      <c r="A44" s="46" t="s">
        <v>25</v>
      </c>
      <c r="C44" s="40">
        <f>C24-SUM(C35:C38)</f>
        <v>-18469.160000000003</v>
      </c>
      <c r="D44" s="123">
        <f>-D43</f>
        <v>0</v>
      </c>
      <c r="E44" s="41">
        <f>E24-SUM(E35:E38)</f>
        <v>5775.36</v>
      </c>
      <c r="F44" s="41">
        <f t="shared" ref="F44:M44" si="14">F24-SUM(F35:F38)</f>
        <v>6419.19</v>
      </c>
      <c r="G44" s="108">
        <f t="shared" si="14"/>
        <v>6894.04</v>
      </c>
      <c r="H44" s="40">
        <f t="shared" si="14"/>
        <v>5062.3900000000003</v>
      </c>
      <c r="I44" s="41">
        <f t="shared" si="14"/>
        <v>2920.6099999999997</v>
      </c>
      <c r="J44" s="61">
        <f t="shared" si="14"/>
        <v>3048.1699999999996</v>
      </c>
      <c r="K44" s="123">
        <f t="shared" si="14"/>
        <v>2976.4399999999996</v>
      </c>
      <c r="L44" s="41">
        <f t="shared" si="14"/>
        <v>3273.98</v>
      </c>
      <c r="M44" s="49">
        <f t="shared" si="14"/>
        <v>3667.5800000000004</v>
      </c>
    </row>
    <row r="45" spans="1:15" x14ac:dyDescent="0.35">
      <c r="C45" s="99"/>
      <c r="D45" s="151"/>
      <c r="E45" s="31"/>
      <c r="F45" s="31"/>
      <c r="G45" s="31"/>
      <c r="H45" s="28"/>
      <c r="I45" s="31"/>
      <c r="J45" s="11"/>
      <c r="K45" s="17"/>
      <c r="L45" s="17"/>
      <c r="M45" s="11"/>
    </row>
    <row r="46" spans="1:15" ht="15" thickBot="1" x14ac:dyDescent="0.4">
      <c r="A46" s="46" t="s">
        <v>53</v>
      </c>
      <c r="C46" s="104"/>
      <c r="D46" s="268"/>
      <c r="E46" s="31"/>
      <c r="F46" s="31"/>
      <c r="G46" s="31"/>
      <c r="H46" s="28"/>
      <c r="I46" s="31"/>
      <c r="J46" s="11"/>
      <c r="K46" s="17"/>
      <c r="L46" s="17"/>
      <c r="M46" s="11"/>
    </row>
    <row r="47" spans="1:15" x14ac:dyDescent="0.35">
      <c r="A47" s="46" t="s">
        <v>24</v>
      </c>
      <c r="B47" s="116">
        <v>-2.3305801732931286E-12</v>
      </c>
      <c r="C47" s="41">
        <f>B47+C43+B52</f>
        <v>-2.3305801732931286E-12</v>
      </c>
      <c r="D47" s="41">
        <f>C47+D43+C52</f>
        <v>-2.3305801732931286E-12</v>
      </c>
      <c r="E47" s="41">
        <f t="shared" ref="E47" si="15">D47+E43+D52</f>
        <v>-2.3305801732931286E-12</v>
      </c>
      <c r="F47" s="41">
        <f t="shared" ref="F47" si="16">E47+F43+E52</f>
        <v>-2.3305801732931286E-12</v>
      </c>
      <c r="G47" s="108">
        <f t="shared" ref="G47:M47" si="17">F47+G43+F52</f>
        <v>-2.3305801732931286E-12</v>
      </c>
      <c r="H47" s="293">
        <f>G47+H43+G52</f>
        <v>-2.3305801732931286E-12</v>
      </c>
      <c r="I47" s="294">
        <f t="shared" si="17"/>
        <v>-2.3305801732931286E-12</v>
      </c>
      <c r="J47" s="61">
        <f t="shared" si="17"/>
        <v>-2.3305801732931286E-12</v>
      </c>
      <c r="K47" s="123">
        <f t="shared" si="17"/>
        <v>-2.3305801732931286E-12</v>
      </c>
      <c r="L47" s="41">
        <f t="shared" si="17"/>
        <v>-2.3305801732931286E-12</v>
      </c>
      <c r="M47" s="49">
        <f t="shared" si="17"/>
        <v>-2.3305801732931286E-12</v>
      </c>
    </row>
    <row r="48" spans="1:15" ht="15" thickBot="1" x14ac:dyDescent="0.4">
      <c r="A48" s="46" t="s">
        <v>25</v>
      </c>
      <c r="B48" s="117">
        <v>-39397.470000000023</v>
      </c>
      <c r="C48" s="41">
        <f>B48+C44+B53</f>
        <v>-57866.630000000026</v>
      </c>
      <c r="D48" s="41">
        <f>C48+D44+C53</f>
        <v>-57482.350000000028</v>
      </c>
      <c r="E48" s="41">
        <f>C48+D44+E44+C53+D53</f>
        <v>-51706.990000000027</v>
      </c>
      <c r="F48" s="41">
        <f t="shared" ref="F48:M48" si="18">E48+F44+E53</f>
        <v>-45512.650000000023</v>
      </c>
      <c r="G48" s="108">
        <f t="shared" si="18"/>
        <v>-38834.430000000022</v>
      </c>
      <c r="H48" s="40">
        <f t="shared" si="18"/>
        <v>-33964.890000000021</v>
      </c>
      <c r="I48" s="41">
        <f t="shared" si="18"/>
        <v>-31214.500000000022</v>
      </c>
      <c r="J48" s="61">
        <f t="shared" si="18"/>
        <v>-28323.570000000025</v>
      </c>
      <c r="K48" s="123">
        <f t="shared" si="18"/>
        <v>-25495.360000000026</v>
      </c>
      <c r="L48" s="41">
        <f t="shared" si="18"/>
        <v>-22355.380000000026</v>
      </c>
      <c r="M48" s="49">
        <f t="shared" si="18"/>
        <v>-18806.950000000026</v>
      </c>
    </row>
    <row r="49" spans="1:14" x14ac:dyDescent="0.35">
      <c r="C49" s="99"/>
      <c r="D49" s="151"/>
      <c r="E49" s="31"/>
      <c r="F49" s="31"/>
      <c r="G49" s="31"/>
      <c r="H49" s="28"/>
      <c r="I49" s="31"/>
      <c r="J49" s="11"/>
      <c r="K49" s="17"/>
      <c r="L49" s="17"/>
      <c r="M49" s="11"/>
    </row>
    <row r="50" spans="1:14" x14ac:dyDescent="0.35">
      <c r="A50" s="39" t="s">
        <v>49</v>
      </c>
      <c r="B50" s="39"/>
      <c r="C50" s="104"/>
      <c r="D50" s="268"/>
      <c r="E50" s="83">
        <f>+'[5]Nov 2022'!$E$42</f>
        <v>4.1184699999999999E-3</v>
      </c>
      <c r="F50" s="83">
        <f>+'[5]Dec 2022'!$E$43</f>
        <v>4.4295699999999999E-3</v>
      </c>
      <c r="G50" s="83">
        <f>+'[5]Jan 2023'!$E$43</f>
        <v>4.5610700000000004E-3</v>
      </c>
      <c r="H50" s="84">
        <f>+'[5] Feb 2023'!$E$40</f>
        <v>4.66411E-3</v>
      </c>
      <c r="I50" s="83">
        <f>+'[5]Mar 2023'!$E$43</f>
        <v>4.8123899999999997E-3</v>
      </c>
      <c r="J50" s="92">
        <f>+'[5]Apr 2023'!$E$42</f>
        <v>4.9661499999999999E-3</v>
      </c>
      <c r="K50" s="83">
        <f>+J50</f>
        <v>4.9661499999999999E-3</v>
      </c>
      <c r="L50" s="83">
        <f>+K50</f>
        <v>4.9661499999999999E-3</v>
      </c>
      <c r="M50" s="92"/>
    </row>
    <row r="51" spans="1:14" x14ac:dyDescent="0.35">
      <c r="A51" s="39" t="s">
        <v>37</v>
      </c>
      <c r="B51" s="39"/>
      <c r="C51" s="99"/>
      <c r="D51" s="151"/>
      <c r="E51" s="31"/>
      <c r="F51" s="31"/>
      <c r="G51" s="31"/>
      <c r="H51" s="28"/>
      <c r="I51" s="31"/>
      <c r="J51" s="11"/>
      <c r="K51" s="17"/>
      <c r="L51" s="17"/>
      <c r="M51" s="11"/>
      <c r="N51" s="71"/>
    </row>
    <row r="52" spans="1:14" x14ac:dyDescent="0.35">
      <c r="A52" s="46" t="s">
        <v>24</v>
      </c>
      <c r="C52" s="40">
        <v>0</v>
      </c>
      <c r="D52" s="123"/>
      <c r="E52" s="41">
        <f>ROUND((C47+C52+D52+E43/2)*E$50,2)</f>
        <v>0</v>
      </c>
      <c r="F52" s="41">
        <f t="shared" ref="F52:F53" si="19">ROUND((E47+E52+F43/2)*F$50,2)</f>
        <v>0</v>
      </c>
      <c r="G52" s="108">
        <f t="shared" ref="G52:G53" si="20">ROUND((F47+F52+G43/2)*G$50,2)</f>
        <v>0</v>
      </c>
      <c r="H52" s="40">
        <f>ROUND((G47+G52+H43/2)*H$50,2)*0</f>
        <v>0</v>
      </c>
      <c r="I52" s="123">
        <f t="shared" ref="I52:J53" si="21">ROUND((H47+H52+I43/2)*I$50,2)</f>
        <v>0</v>
      </c>
      <c r="J52" s="61">
        <f t="shared" si="21"/>
        <v>0</v>
      </c>
      <c r="K52" s="123">
        <f t="shared" ref="K52:K53" si="22">ROUND((J47+J52+K43/2)*K$50,2)</f>
        <v>0</v>
      </c>
      <c r="L52" s="123">
        <f t="shared" ref="L52:L53" si="23">ROUND((K47+K52+L43/2)*L$50,2)</f>
        <v>0</v>
      </c>
      <c r="M52" s="49"/>
    </row>
    <row r="53" spans="1:14" ht="15" thickBot="1" x14ac:dyDescent="0.4">
      <c r="A53" s="46" t="s">
        <v>25</v>
      </c>
      <c r="C53" s="114">
        <v>384.28</v>
      </c>
      <c r="D53" s="269"/>
      <c r="E53" s="41">
        <f>ROUND((C48+C53+D53+E44/2)*E$50,2)</f>
        <v>-224.85</v>
      </c>
      <c r="F53" s="41">
        <f t="shared" si="19"/>
        <v>-215.82</v>
      </c>
      <c r="G53" s="108">
        <f t="shared" si="20"/>
        <v>-192.85</v>
      </c>
      <c r="H53" s="40">
        <f t="shared" ref="H53" si="24">ROUND((G48+G53+H44/2)*H$50,2)</f>
        <v>-170.22</v>
      </c>
      <c r="I53" s="123">
        <f t="shared" si="21"/>
        <v>-157.24</v>
      </c>
      <c r="J53" s="61">
        <f t="shared" si="21"/>
        <v>-148.22999999999999</v>
      </c>
      <c r="K53" s="123">
        <f t="shared" si="22"/>
        <v>-134</v>
      </c>
      <c r="L53" s="123">
        <f t="shared" si="23"/>
        <v>-119.15</v>
      </c>
      <c r="M53" s="49"/>
    </row>
    <row r="54" spans="1:14" ht="15.5" thickTop="1" thickBot="1" x14ac:dyDescent="0.4">
      <c r="A54" s="54" t="s">
        <v>22</v>
      </c>
      <c r="B54" s="54"/>
      <c r="C54" s="296"/>
      <c r="D54" s="270"/>
      <c r="E54" s="32">
        <f t="shared" ref="E54:M54" si="25">SUM(E52:E53)+SUM(E47:E48)-E57</f>
        <v>0</v>
      </c>
      <c r="F54" s="32">
        <f t="shared" si="25"/>
        <v>0</v>
      </c>
      <c r="G54" s="50">
        <f t="shared" si="25"/>
        <v>0</v>
      </c>
      <c r="H54" s="124">
        <f t="shared" si="25"/>
        <v>0</v>
      </c>
      <c r="I54" s="32">
        <f t="shared" si="25"/>
        <v>0</v>
      </c>
      <c r="J54" s="62">
        <f t="shared" si="25"/>
        <v>0</v>
      </c>
      <c r="K54" s="165">
        <f t="shared" si="25"/>
        <v>0</v>
      </c>
      <c r="L54" s="32">
        <f t="shared" si="25"/>
        <v>0</v>
      </c>
      <c r="M54" s="96">
        <f t="shared" si="25"/>
        <v>0</v>
      </c>
    </row>
    <row r="55" spans="1:14" ht="15.5" thickTop="1" thickBot="1" x14ac:dyDescent="0.4">
      <c r="A55" s="54" t="s">
        <v>23</v>
      </c>
      <c r="B55" s="54"/>
      <c r="C55" s="297"/>
      <c r="D55" s="271"/>
      <c r="E55" s="32">
        <f t="shared" ref="E55:M55" si="26">SUM(E52:E53)-E40</f>
        <v>0</v>
      </c>
      <c r="F55" s="32">
        <f t="shared" si="26"/>
        <v>0</v>
      </c>
      <c r="G55" s="50">
        <f t="shared" si="26"/>
        <v>0</v>
      </c>
      <c r="H55" s="51">
        <f t="shared" si="26"/>
        <v>0</v>
      </c>
      <c r="I55" s="32">
        <f t="shared" si="26"/>
        <v>0</v>
      </c>
      <c r="J55" s="62">
        <f t="shared" si="26"/>
        <v>0</v>
      </c>
      <c r="K55" s="165">
        <f t="shared" si="26"/>
        <v>0</v>
      </c>
      <c r="L55" s="32">
        <f t="shared" si="26"/>
        <v>0</v>
      </c>
      <c r="M55" s="96">
        <f t="shared" si="26"/>
        <v>0</v>
      </c>
    </row>
    <row r="56" spans="1:14" ht="15.5" thickTop="1" thickBot="1" x14ac:dyDescent="0.4">
      <c r="C56" s="99"/>
      <c r="D56" s="151"/>
      <c r="E56" s="17"/>
      <c r="F56" s="17"/>
      <c r="G56" s="17"/>
      <c r="H56" s="10"/>
      <c r="I56" s="17"/>
      <c r="J56" s="11"/>
      <c r="K56" s="17"/>
      <c r="L56" s="17"/>
      <c r="M56" s="11"/>
    </row>
    <row r="57" spans="1:14" ht="15" thickBot="1" x14ac:dyDescent="0.4">
      <c r="A57" s="46" t="s">
        <v>36</v>
      </c>
      <c r="B57" s="119">
        <f>+B47+B48</f>
        <v>-39397.470000000023</v>
      </c>
      <c r="C57" s="40">
        <f t="shared" ref="C57:M57" si="27">(SUM(C16:C20)-SUM(C34:C38))+SUM(C52:C53)+B57</f>
        <v>-57482.350000000028</v>
      </c>
      <c r="D57" s="40">
        <f t="shared" si="27"/>
        <v>-57482.350000000028</v>
      </c>
      <c r="E57" s="41">
        <f>(SUM(E16:E20)-SUM(E34:E38))+SUM(D52:E53)+C57</f>
        <v>-51931.840000000026</v>
      </c>
      <c r="F57" s="41">
        <f t="shared" si="27"/>
        <v>-45728.470000000023</v>
      </c>
      <c r="G57" s="108">
        <f t="shared" si="27"/>
        <v>-39027.280000000021</v>
      </c>
      <c r="H57" s="40">
        <f t="shared" si="27"/>
        <v>-34135.110000000022</v>
      </c>
      <c r="I57" s="41">
        <f t="shared" si="27"/>
        <v>-31371.740000000023</v>
      </c>
      <c r="J57" s="61">
        <f t="shared" si="27"/>
        <v>-28471.800000000025</v>
      </c>
      <c r="K57" s="123">
        <f t="shared" si="27"/>
        <v>-25629.360000000026</v>
      </c>
      <c r="L57" s="41">
        <f t="shared" si="27"/>
        <v>-22474.530000000028</v>
      </c>
      <c r="M57" s="61">
        <f t="shared" si="27"/>
        <v>-18806.950000000026</v>
      </c>
    </row>
    <row r="58" spans="1:14" x14ac:dyDescent="0.35">
      <c r="A58" s="46" t="s">
        <v>12</v>
      </c>
      <c r="C58" s="120"/>
      <c r="D58" s="17"/>
      <c r="E58" s="56"/>
      <c r="F58" s="56"/>
      <c r="G58" s="56"/>
      <c r="H58" s="12"/>
      <c r="I58" s="56"/>
      <c r="J58" s="11"/>
      <c r="K58" s="17"/>
      <c r="L58" s="17"/>
      <c r="M58" s="11"/>
    </row>
    <row r="59" spans="1:14" ht="15" thickBot="1" x14ac:dyDescent="0.4">
      <c r="B59" s="17"/>
      <c r="C59" s="43"/>
      <c r="D59" s="44"/>
      <c r="E59" s="44"/>
      <c r="F59" s="44"/>
      <c r="G59" s="44"/>
      <c r="H59" s="43"/>
      <c r="I59" s="44"/>
      <c r="J59" s="45"/>
      <c r="K59" s="44"/>
      <c r="L59" s="44"/>
      <c r="M59" s="45"/>
    </row>
    <row r="61" spans="1:14" x14ac:dyDescent="0.35">
      <c r="A61" s="69" t="s">
        <v>11</v>
      </c>
      <c r="B61" s="69"/>
      <c r="C61" s="69"/>
      <c r="D61" s="69"/>
    </row>
    <row r="62" spans="1:14" ht="42.75" customHeight="1" x14ac:dyDescent="0.35">
      <c r="A62" s="316" t="s">
        <v>221</v>
      </c>
      <c r="B62" s="316"/>
      <c r="C62" s="316"/>
      <c r="D62" s="316"/>
      <c r="E62" s="316"/>
      <c r="F62" s="316"/>
      <c r="G62" s="316"/>
      <c r="H62" s="316"/>
      <c r="I62" s="316"/>
      <c r="J62" s="316"/>
      <c r="K62" s="146"/>
      <c r="L62" s="146"/>
      <c r="M62" s="146"/>
    </row>
    <row r="63" spans="1:14" ht="42" customHeight="1" x14ac:dyDescent="0.35">
      <c r="A63" s="316" t="s">
        <v>219</v>
      </c>
      <c r="B63" s="316"/>
      <c r="C63" s="316"/>
      <c r="D63" s="316"/>
      <c r="E63" s="316"/>
      <c r="F63" s="316"/>
      <c r="G63" s="316"/>
      <c r="H63" s="316"/>
      <c r="I63" s="316"/>
      <c r="J63" s="316"/>
      <c r="K63" s="146"/>
      <c r="L63" s="146"/>
      <c r="M63" s="146"/>
    </row>
    <row r="64" spans="1:14" ht="58.5" customHeight="1" x14ac:dyDescent="0.35">
      <c r="A64" s="316" t="s">
        <v>220</v>
      </c>
      <c r="B64" s="316"/>
      <c r="C64" s="316"/>
      <c r="D64" s="316"/>
      <c r="E64" s="316"/>
      <c r="F64" s="316"/>
      <c r="G64" s="316"/>
      <c r="H64" s="316"/>
      <c r="I64" s="316"/>
      <c r="J64" s="316"/>
      <c r="K64" s="146"/>
      <c r="L64" s="146"/>
      <c r="M64" s="146"/>
    </row>
    <row r="65" spans="1:14" x14ac:dyDescent="0.35">
      <c r="A65" s="3" t="s">
        <v>31</v>
      </c>
      <c r="B65" s="3"/>
      <c r="C65" s="3"/>
      <c r="D65" s="3"/>
      <c r="J65" s="4"/>
    </row>
    <row r="66" spans="1:14" x14ac:dyDescent="0.35">
      <c r="A66" s="63" t="s">
        <v>201</v>
      </c>
      <c r="B66" s="3"/>
      <c r="C66" s="3"/>
      <c r="D66" s="3"/>
      <c r="J66" s="4"/>
    </row>
    <row r="67" spans="1:14" x14ac:dyDescent="0.35">
      <c r="A67" s="3" t="s">
        <v>51</v>
      </c>
      <c r="B67" s="3"/>
      <c r="C67" s="3"/>
      <c r="D67" s="3"/>
      <c r="J67" s="4"/>
    </row>
    <row r="68" spans="1:14" x14ac:dyDescent="0.35">
      <c r="A68" s="3" t="s">
        <v>202</v>
      </c>
    </row>
    <row r="70" spans="1:14" ht="30" customHeight="1" x14ac:dyDescent="0.35">
      <c r="A70" s="312"/>
      <c r="B70" s="312"/>
      <c r="C70" s="312"/>
      <c r="D70" s="312"/>
      <c r="E70" s="312"/>
      <c r="F70" s="312"/>
      <c r="G70" s="312"/>
    </row>
    <row r="77" spans="1:14" x14ac:dyDescent="0.3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81"/>
  <sheetViews>
    <sheetView topLeftCell="A34" workbookViewId="0">
      <selection activeCell="P28" sqref="P1:P104857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139</v>
      </c>
    </row>
    <row r="3" spans="1:35" ht="29" x14ac:dyDescent="0.35">
      <c r="E3" s="48" t="s">
        <v>46</v>
      </c>
      <c r="F3" s="48" t="s">
        <v>45</v>
      </c>
      <c r="G3" s="70" t="s">
        <v>2</v>
      </c>
      <c r="H3" s="48" t="s">
        <v>3</v>
      </c>
      <c r="I3" s="70" t="s">
        <v>55</v>
      </c>
      <c r="J3" s="48" t="s">
        <v>10</v>
      </c>
      <c r="K3" s="48" t="s">
        <v>4</v>
      </c>
    </row>
    <row r="4" spans="1:35" x14ac:dyDescent="0.35">
      <c r="A4" s="20" t="s">
        <v>24</v>
      </c>
      <c r="E4" s="22">
        <f>SUM(C29:M29)</f>
        <v>2986273.3200000003</v>
      </c>
      <c r="F4" s="138">
        <f>SUM(C22:M22)</f>
        <v>1227751234.2328</v>
      </c>
      <c r="G4" s="22">
        <f>SUM(C15:L15)</f>
        <v>1993752.9699999997</v>
      </c>
      <c r="H4" s="22">
        <f>G4-E4</f>
        <v>-992520.35000000056</v>
      </c>
      <c r="I4" s="22">
        <f>+B45</f>
        <v>-538532.4600000002</v>
      </c>
      <c r="J4" s="22">
        <f>SUM(C53:L53)</f>
        <v>-37509.360000000001</v>
      </c>
      <c r="K4" s="25">
        <f>SUM(H4:J4)</f>
        <v>-1568562.1700000009</v>
      </c>
      <c r="L4" s="47">
        <f>+K4-M45</f>
        <v>0</v>
      </c>
    </row>
    <row r="5" spans="1:35" x14ac:dyDescent="0.35">
      <c r="A5" s="20" t="s">
        <v>107</v>
      </c>
      <c r="E5" s="22">
        <f>SUM(C30:M30)</f>
        <v>533985.1399999999</v>
      </c>
      <c r="F5" s="138">
        <f>SUM(C23:M23)</f>
        <v>310058378.34000003</v>
      </c>
      <c r="G5" s="22">
        <f>SUM(C16:L16)</f>
        <v>261702.93</v>
      </c>
      <c r="H5" s="22">
        <f>G5-E5</f>
        <v>-272282.2099999999</v>
      </c>
      <c r="I5" s="22">
        <f>+B46</f>
        <v>248958.30999999991</v>
      </c>
      <c r="J5" s="22">
        <f>SUM(C54:L54)</f>
        <v>1778.23</v>
      </c>
      <c r="K5" s="25">
        <f>SUM(H5:J5)</f>
        <v>-21545.669999999995</v>
      </c>
      <c r="L5" s="47">
        <f t="shared" ref="L5:L7" si="0">+K5-M46</f>
        <v>4.0017766878008842E-11</v>
      </c>
    </row>
    <row r="6" spans="1:35" x14ac:dyDescent="0.35">
      <c r="A6" s="20" t="s">
        <v>108</v>
      </c>
      <c r="E6" s="22">
        <f>SUM(C31:M31)</f>
        <v>709858.76</v>
      </c>
      <c r="F6" s="138">
        <f>SUM(C24:M24)</f>
        <v>533570101.9023</v>
      </c>
      <c r="G6" s="22">
        <f>SUM(C17:L17)</f>
        <v>1044106.13</v>
      </c>
      <c r="H6" s="22">
        <f>G6-E6</f>
        <v>334247.37</v>
      </c>
      <c r="I6" s="22">
        <f>+B47</f>
        <v>-442974.74000000011</v>
      </c>
      <c r="J6" s="22">
        <f>SUM(C55:L55)</f>
        <v>-3342.5299999999997</v>
      </c>
      <c r="K6" s="25">
        <f>SUM(H6:J6)</f>
        <v>-112069.90000000011</v>
      </c>
      <c r="L6" s="47">
        <f t="shared" si="0"/>
        <v>-1.1641532182693481E-10</v>
      </c>
    </row>
    <row r="7" spans="1:35" x14ac:dyDescent="0.35">
      <c r="A7" s="20" t="s">
        <v>109</v>
      </c>
      <c r="E7" s="22">
        <f>SUM(C32:M32)</f>
        <v>940871.84</v>
      </c>
      <c r="F7" s="138">
        <f>SUM(C25:M25)</f>
        <v>897706608.71219993</v>
      </c>
      <c r="G7" s="22">
        <f>SUM(C18:L18)</f>
        <v>1552946.94</v>
      </c>
      <c r="H7" s="22">
        <f>G7-E7</f>
        <v>612075.1</v>
      </c>
      <c r="I7" s="22">
        <f>+B48</f>
        <v>-1208437.4100000001</v>
      </c>
      <c r="J7" s="22">
        <f>SUM(C56:L56)</f>
        <v>-24119.22</v>
      </c>
      <c r="K7" s="25">
        <f>SUM(H7:J7)</f>
        <v>-620481.53000000014</v>
      </c>
      <c r="L7" s="47">
        <f t="shared" si="0"/>
        <v>0</v>
      </c>
    </row>
    <row r="8" spans="1:35" ht="15" thickBot="1" x14ac:dyDescent="0.4">
      <c r="A8" s="20" t="s">
        <v>110</v>
      </c>
      <c r="E8" s="22">
        <f>SUM(C33:M33)</f>
        <v>19453.959999999995</v>
      </c>
      <c r="F8" s="138">
        <f>SUM(C26:M26)</f>
        <v>231759054.5979</v>
      </c>
      <c r="G8" s="22">
        <f>SUM(C19:L19)</f>
        <v>-55210.37000000001</v>
      </c>
      <c r="H8" s="22">
        <f>G8-E8</f>
        <v>-74664.33</v>
      </c>
      <c r="I8" s="22">
        <f>+B49</f>
        <v>-381940.71999999922</v>
      </c>
      <c r="J8" s="22">
        <f>SUM(C57:L57)</f>
        <v>-19308.780000000002</v>
      </c>
      <c r="K8" s="25">
        <f>SUM(H8:J8)</f>
        <v>-475913.82999999926</v>
      </c>
      <c r="L8" s="47">
        <f>+K8-M49</f>
        <v>0</v>
      </c>
    </row>
    <row r="9" spans="1:35" ht="15.5" thickTop="1" thickBot="1" x14ac:dyDescent="0.4">
      <c r="E9" s="27">
        <f t="shared" ref="E9:I9" si="1">SUM(E4:E8)</f>
        <v>5190443.0199999996</v>
      </c>
      <c r="F9" s="27">
        <f t="shared" si="1"/>
        <v>3200845377.7851996</v>
      </c>
      <c r="G9" s="27">
        <f t="shared" si="1"/>
        <v>4797298.5999999996</v>
      </c>
      <c r="H9" s="27">
        <f t="shared" si="1"/>
        <v>-393144.42000000057</v>
      </c>
      <c r="I9" s="27">
        <f t="shared" si="1"/>
        <v>-2322927.0199999996</v>
      </c>
      <c r="J9" s="27">
        <f>SUM(J4:J8)</f>
        <v>-82501.66</v>
      </c>
      <c r="K9" s="27">
        <f>SUM(K4:K8)</f>
        <v>-2798573.1</v>
      </c>
    </row>
    <row r="10" spans="1:35" ht="15.5" thickTop="1" thickBot="1" x14ac:dyDescent="0.4"/>
    <row r="11" spans="1:35" ht="96.75" customHeight="1" thickBot="1" x14ac:dyDescent="0.4">
      <c r="B11" s="118" t="str">
        <f>+'PCR Cycle 2'!B14</f>
        <v>Cumulative Over/Under Carryover From 12/01/2022 Filing</v>
      </c>
      <c r="C11" s="274" t="str">
        <f>+'PCR Cycle 2'!C14</f>
        <v>Reverse November 2022 - January 2023 Forecast From 12/01/2022 Filing</v>
      </c>
      <c r="D11" s="274"/>
      <c r="E11" s="317" t="s">
        <v>33</v>
      </c>
      <c r="F11" s="317"/>
      <c r="G11" s="318"/>
      <c r="H11" s="319" t="s">
        <v>33</v>
      </c>
      <c r="I11" s="320"/>
      <c r="J11" s="321"/>
      <c r="K11" s="313" t="s">
        <v>8</v>
      </c>
      <c r="L11" s="314"/>
      <c r="M11" s="315"/>
    </row>
    <row r="12" spans="1:35" x14ac:dyDescent="0.35">
      <c r="C12" s="14"/>
      <c r="D12" s="19"/>
      <c r="E12" s="19">
        <f>+'PCR Cycle 2'!E15</f>
        <v>44895</v>
      </c>
      <c r="F12" s="19">
        <f>+'PCR Cycle 2'!F15</f>
        <v>44926</v>
      </c>
      <c r="G12" s="19">
        <f>+'PCR Cycle 2'!G15</f>
        <v>44957</v>
      </c>
      <c r="H12" s="14">
        <f>+'PCR Cycle 2'!H15</f>
        <v>44985</v>
      </c>
      <c r="I12" s="19">
        <f>+'PCR Cycle 2'!I15</f>
        <v>45016</v>
      </c>
      <c r="J12" s="15">
        <f>+'PCR Cycle 2'!J15</f>
        <v>45046</v>
      </c>
      <c r="K12" s="19">
        <f>+'PCR Cycle 2'!K15</f>
        <v>45077</v>
      </c>
      <c r="L12" s="19">
        <f>+'PCR Cycle 2'!L15</f>
        <v>45107</v>
      </c>
      <c r="M12" s="95">
        <f>+'PCR Cycle 2'!M15</f>
        <v>45138</v>
      </c>
      <c r="Z12" s="1"/>
      <c r="AA12" s="1"/>
      <c r="AB12" s="1"/>
      <c r="AC12" s="1"/>
      <c r="AD12" s="1"/>
      <c r="AE12" s="1"/>
      <c r="AF12" s="1"/>
      <c r="AG12" s="1"/>
      <c r="AH12" s="1"/>
      <c r="AI12" s="1"/>
    </row>
    <row r="13" spans="1:35" x14ac:dyDescent="0.35">
      <c r="C13" s="98"/>
      <c r="D13" s="264"/>
      <c r="E13" s="31"/>
      <c r="F13" s="31"/>
      <c r="G13" s="31"/>
      <c r="H13" s="28"/>
      <c r="I13" s="31"/>
      <c r="J13" s="11"/>
      <c r="K13" s="31"/>
      <c r="L13" s="31"/>
      <c r="M13" s="29"/>
    </row>
    <row r="14" spans="1:35" x14ac:dyDescent="0.35">
      <c r="A14" s="46" t="s">
        <v>140</v>
      </c>
      <c r="C14" s="99"/>
      <c r="D14" s="151"/>
      <c r="E14" s="31"/>
      <c r="F14" s="31"/>
      <c r="G14" s="31"/>
      <c r="H14" s="28"/>
      <c r="I14" s="31"/>
      <c r="J14" s="167"/>
      <c r="K14" s="17"/>
      <c r="L14" s="17"/>
      <c r="M14" s="11"/>
    </row>
    <row r="15" spans="1:35" x14ac:dyDescent="0.35">
      <c r="A15" s="46" t="s">
        <v>24</v>
      </c>
      <c r="C15" s="97">
        <v>-2299766.52</v>
      </c>
      <c r="D15" s="263"/>
      <c r="E15" s="109">
        <f>ROUND([6]Pivot!$N$30,2)</f>
        <v>463273.78</v>
      </c>
      <c r="F15" s="109">
        <f>ROUND([7]Pivot!$N$30,2)</f>
        <v>797554.48</v>
      </c>
      <c r="G15" s="110">
        <f>ROUND([8]Pivot!$N$30,2)</f>
        <v>717408.29</v>
      </c>
      <c r="H15" s="16">
        <f>ROUND([9]Pivot!$N$30,2)</f>
        <v>351212.08</v>
      </c>
      <c r="I15" s="55">
        <f>ROUND([10]Pivot!$N$30,2)</f>
        <v>381862.95</v>
      </c>
      <c r="J15" s="166">
        <f>ROUND([11]Pivot!$N$30,2)</f>
        <v>247370</v>
      </c>
      <c r="K15" s="176">
        <f>ROUND('[2]Monthly Program Costs Ext'!AV290+'[2]Monthly Program Costs'!AV290,2)</f>
        <v>579558.06999999995</v>
      </c>
      <c r="L15" s="140">
        <f>ROUND('[2]Monthly Program Costs Ext'!AW290+'[2]Monthly Program Costs'!AW290,2)</f>
        <v>755279.84</v>
      </c>
      <c r="M15" s="76"/>
      <c r="R15" s="46">
        <v>532208.78</v>
      </c>
      <c r="S15" s="46">
        <v>716027.06</v>
      </c>
    </row>
    <row r="16" spans="1:35" x14ac:dyDescent="0.35">
      <c r="A16" s="46" t="s">
        <v>107</v>
      </c>
      <c r="C16" s="97">
        <v>-396962.23</v>
      </c>
      <c r="D16" s="263"/>
      <c r="E16" s="109">
        <f>ROUND([6]Pivot!$O$30,2)</f>
        <v>14874.29</v>
      </c>
      <c r="F16" s="109">
        <f>ROUND([7]Pivot!$O$30,2)</f>
        <v>84892.56</v>
      </c>
      <c r="G16" s="110">
        <f>ROUND([8]Pivot!$O$30,2)</f>
        <v>299673.65999999997</v>
      </c>
      <c r="H16" s="16">
        <f>ROUND([9]Pivot!$O$30,2)</f>
        <v>27870.04</v>
      </c>
      <c r="I16" s="55">
        <f>ROUND([10]Pivot!$O$30,2)</f>
        <v>22528.11</v>
      </c>
      <c r="J16" s="166">
        <f>ROUND([11]Pivot!$O$30,2)</f>
        <v>44764.2</v>
      </c>
      <c r="K16" s="176">
        <f>ROUND('[2]Monthly Program Costs Ext'!AV291+'[2]Monthly Program Costs'!AV291,2)</f>
        <v>69832.28</v>
      </c>
      <c r="L16" s="140">
        <f>ROUND('[2]Monthly Program Costs Ext'!AW291+'[2]Monthly Program Costs'!AW291,2)</f>
        <v>94230.02</v>
      </c>
      <c r="M16" s="76"/>
      <c r="P16" s="261">
        <f>SUM(E16:J16)/SUM($E$16:$J$19)</f>
        <v>0.111032914100527</v>
      </c>
      <c r="R16" s="46">
        <v>52411.14</v>
      </c>
      <c r="S16" s="46">
        <v>66148.66</v>
      </c>
    </row>
    <row r="17" spans="1:19" x14ac:dyDescent="0.35">
      <c r="A17" s="46" t="s">
        <v>108</v>
      </c>
      <c r="C17" s="97">
        <v>-777756.62</v>
      </c>
      <c r="D17" s="263"/>
      <c r="E17" s="109">
        <f>ROUND([6]Pivot!$P$30,2)</f>
        <v>466704.51</v>
      </c>
      <c r="F17" s="109">
        <f>ROUND([7]Pivot!$P$30,2)</f>
        <v>244218.97</v>
      </c>
      <c r="G17" s="110">
        <f>ROUND([8]Pivot!$P$30,2)</f>
        <v>450903.59</v>
      </c>
      <c r="H17" s="16">
        <f>ROUND([9]Pivot!$P$30,2)</f>
        <v>54628.72</v>
      </c>
      <c r="I17" s="55">
        <f>ROUND([10]Pivot!$P$30,2)</f>
        <v>102095.62</v>
      </c>
      <c r="J17" s="166">
        <f>ROUND([11]Pivot!$P$30,2)</f>
        <v>190195.95</v>
      </c>
      <c r="K17" s="176">
        <f>ROUND('[2]Monthly Program Costs Ext'!AV292+'[2]Monthly Program Costs'!AV292,2)</f>
        <v>132083.4</v>
      </c>
      <c r="L17" s="140">
        <f>ROUND('[2]Monthly Program Costs Ext'!AW292+'[2]Monthly Program Costs'!AW292,2)</f>
        <v>181031.99</v>
      </c>
      <c r="M17" s="76"/>
      <c r="P17" s="261">
        <f t="shared" ref="P17:P19" si="2">SUM(E17:J17)/SUM($E$16:$J$19)</f>
        <v>0.33869722472344155</v>
      </c>
      <c r="R17" s="46">
        <v>131571.41</v>
      </c>
      <c r="S17" s="46">
        <v>170309.47</v>
      </c>
    </row>
    <row r="18" spans="1:19" x14ac:dyDescent="0.35">
      <c r="A18" s="46" t="s">
        <v>109</v>
      </c>
      <c r="C18" s="97">
        <v>-1274645.9099999999</v>
      </c>
      <c r="D18" s="263"/>
      <c r="E18" s="109">
        <f>ROUND([6]Pivot!$Q$30,2)</f>
        <v>353847.07</v>
      </c>
      <c r="F18" s="109">
        <f>ROUND([7]Pivot!$Q$30,2)</f>
        <v>290613.68</v>
      </c>
      <c r="G18" s="110">
        <f>ROUND([8]Pivot!$Q$30,2)</f>
        <v>1356634.45</v>
      </c>
      <c r="H18" s="16">
        <f>ROUND([9]Pivot!$Q$30,2)</f>
        <v>86914.87</v>
      </c>
      <c r="I18" s="55">
        <f>ROUND([10]Pivot!$Q$30,2)</f>
        <v>130795.11</v>
      </c>
      <c r="J18" s="166">
        <f>ROUND([11]Pivot!$Q$30,2)</f>
        <v>85224.93</v>
      </c>
      <c r="K18" s="176">
        <f>ROUND('[2]Monthly Program Costs Ext'!AV293+'[2]Monthly Program Costs'!AV293,2)</f>
        <v>222842.5</v>
      </c>
      <c r="L18" s="140">
        <f>ROUND('[2]Monthly Program Costs Ext'!AW293+'[2]Monthly Program Costs'!AW293,2)</f>
        <v>300720.24</v>
      </c>
      <c r="M18" s="76"/>
      <c r="P18" s="261">
        <f t="shared" si="2"/>
        <v>0.51722947434767719</v>
      </c>
      <c r="R18" s="46">
        <v>213540.87</v>
      </c>
      <c r="S18" s="46">
        <v>275298.77</v>
      </c>
    </row>
    <row r="19" spans="1:19" x14ac:dyDescent="0.35">
      <c r="A19" s="46" t="s">
        <v>110</v>
      </c>
      <c r="C19" s="97">
        <v>-345884.88</v>
      </c>
      <c r="D19" s="263"/>
      <c r="E19" s="109">
        <f>ROUND([6]Pivot!$R$30,2)</f>
        <v>9525.68</v>
      </c>
      <c r="F19" s="109">
        <f>ROUND([7]Pivot!$R$30,2)</f>
        <v>17204.57</v>
      </c>
      <c r="G19" s="110">
        <f>ROUND([8]Pivot!$R$30,2)</f>
        <v>76617.5</v>
      </c>
      <c r="H19" s="16">
        <f>ROUND([9]Pivot!$R$30,2)</f>
        <v>23227.83</v>
      </c>
      <c r="I19" s="55">
        <f>ROUND([10]Pivot!$R$30,2)</f>
        <v>6349.05</v>
      </c>
      <c r="J19" s="166">
        <f>ROUND([11]Pivot!$R$30,2)</f>
        <v>14255.78</v>
      </c>
      <c r="K19" s="176">
        <f>ROUND('[2]Monthly Program Costs Ext'!AV294+'[2]Monthly Program Costs'!AV294,2)</f>
        <v>61340.71</v>
      </c>
      <c r="L19" s="140">
        <f>ROUND('[2]Monthly Program Costs Ext'!AW294+'[2]Monthly Program Costs'!AW294,2)</f>
        <v>82153.39</v>
      </c>
      <c r="M19" s="76"/>
      <c r="P19" s="261">
        <f t="shared" si="2"/>
        <v>3.3040386828354258E-2</v>
      </c>
      <c r="R19" s="46">
        <v>75725.94</v>
      </c>
      <c r="S19" s="46">
        <v>97678.19</v>
      </c>
    </row>
    <row r="20" spans="1:19" x14ac:dyDescent="0.35">
      <c r="C20" s="99"/>
      <c r="D20" s="151"/>
      <c r="E20" s="31"/>
      <c r="F20" s="31"/>
      <c r="G20" s="31"/>
      <c r="H20" s="28"/>
      <c r="I20" s="31"/>
      <c r="J20" s="31"/>
      <c r="K20" s="28"/>
      <c r="L20" s="17"/>
      <c r="M20" s="11"/>
    </row>
    <row r="21" spans="1:19" x14ac:dyDescent="0.35">
      <c r="A21" s="39" t="s">
        <v>47</v>
      </c>
      <c r="B21" s="39"/>
      <c r="C21" s="101"/>
      <c r="D21" s="265"/>
      <c r="E21" s="31"/>
      <c r="F21" s="31"/>
      <c r="G21" s="31"/>
      <c r="H21" s="28"/>
      <c r="I21" s="31"/>
      <c r="J21" s="11"/>
      <c r="K21" s="17"/>
      <c r="L21" s="17"/>
      <c r="M21" s="11"/>
    </row>
    <row r="22" spans="1:19" x14ac:dyDescent="0.35">
      <c r="A22" s="46" t="s">
        <v>24</v>
      </c>
      <c r="C22" s="102">
        <v>-666539837</v>
      </c>
      <c r="D22" s="266"/>
      <c r="E22" s="111">
        <f>+'PCR Cycle 2'!E27</f>
        <v>160652734.10240006</v>
      </c>
      <c r="F22" s="111">
        <f>+'PCR Cycle 2'!F27</f>
        <v>223308104.35410005</v>
      </c>
      <c r="G22" s="111">
        <f>+'PCR Cycle 2'!G27</f>
        <v>270759842.98369992</v>
      </c>
      <c r="H22" s="186">
        <f>+'PCR Cycle 2'!H27</f>
        <v>232127143.18829995</v>
      </c>
      <c r="I22" s="189">
        <f>+'PCR Cycle 2'!I27</f>
        <v>198668235.57209998</v>
      </c>
      <c r="J22" s="181">
        <f>+'PCR Cycle 2'!J27</f>
        <v>171030652.03220007</v>
      </c>
      <c r="K22" s="177">
        <f>+'PCR Cycle 2'!K27</f>
        <v>156663800</v>
      </c>
      <c r="L22" s="141">
        <f>+'PCR Cycle 2'!L27</f>
        <v>196485409</v>
      </c>
      <c r="M22" s="77">
        <f>+'PCR Cycle 2'!M27</f>
        <v>284595150</v>
      </c>
    </row>
    <row r="23" spans="1:19" x14ac:dyDescent="0.35">
      <c r="A23" s="46" t="s">
        <v>107</v>
      </c>
      <c r="C23" s="102">
        <v>-139393943</v>
      </c>
      <c r="D23" s="266"/>
      <c r="E23" s="111">
        <f>+'PCR Cycle 2'!E28</f>
        <v>44235616.996800013</v>
      </c>
      <c r="F23" s="111">
        <f>+'PCR Cycle 2'!F28</f>
        <v>50978087.681400008</v>
      </c>
      <c r="G23" s="111">
        <f>+'PCR Cycle 2'!G28</f>
        <v>58408014.749700002</v>
      </c>
      <c r="H23" s="186">
        <f>+'PCR Cycle 2'!H28</f>
        <v>52753517.526000008</v>
      </c>
      <c r="I23" s="189">
        <f>+'PCR Cycle 2'!I28</f>
        <v>48213815.324299969</v>
      </c>
      <c r="J23" s="181">
        <f>+'PCR Cycle 2'!J28</f>
        <v>44356047.061799996</v>
      </c>
      <c r="K23" s="177">
        <f>+'PCR Cycle 2'!K28</f>
        <v>45167967</v>
      </c>
      <c r="L23" s="141">
        <f>+'PCR Cycle 2'!L28</f>
        <v>49683103</v>
      </c>
      <c r="M23" s="77">
        <f>+'PCR Cycle 2'!M28</f>
        <v>55656152</v>
      </c>
    </row>
    <row r="24" spans="1:19" x14ac:dyDescent="0.35">
      <c r="A24" s="46" t="s">
        <v>108</v>
      </c>
      <c r="C24" s="102">
        <v>-279662441</v>
      </c>
      <c r="D24" s="266"/>
      <c r="E24" s="111">
        <f>+'PCR Cycle 2'!E29</f>
        <v>83476734.562700018</v>
      </c>
      <c r="F24" s="111">
        <f>+'PCR Cycle 2'!F29</f>
        <v>89976504.261399984</v>
      </c>
      <c r="G24" s="111">
        <f>+'PCR Cycle 2'!G29</f>
        <v>101924956.98949999</v>
      </c>
      <c r="H24" s="186">
        <f>+'PCR Cycle 2'!H29</f>
        <v>94647841.721099988</v>
      </c>
      <c r="I24" s="189">
        <f>+'PCR Cycle 2'!I29</f>
        <v>85743906.75030002</v>
      </c>
      <c r="J24" s="181">
        <f>+'PCR Cycle 2'!J29</f>
        <v>80711194.617300004</v>
      </c>
      <c r="K24" s="177">
        <f>+'PCR Cycle 2'!K29</f>
        <v>83054475</v>
      </c>
      <c r="L24" s="141">
        <f>+'PCR Cycle 2'!L29</f>
        <v>91356869</v>
      </c>
      <c r="M24" s="77">
        <f>+'PCR Cycle 2'!M29</f>
        <v>102340060</v>
      </c>
    </row>
    <row r="25" spans="1:19" x14ac:dyDescent="0.35">
      <c r="A25" s="46" t="s">
        <v>109</v>
      </c>
      <c r="C25" s="102">
        <v>-444945928</v>
      </c>
      <c r="D25" s="266"/>
      <c r="E25" s="111">
        <f>+'PCR Cycle 2'!E30</f>
        <v>146624897.08199999</v>
      </c>
      <c r="F25" s="111">
        <f>+'PCR Cycle 2'!F30</f>
        <v>152436926.17189997</v>
      </c>
      <c r="G25" s="111">
        <f>+'PCR Cycle 2'!G30</f>
        <v>163338510.30909997</v>
      </c>
      <c r="H25" s="186">
        <f>+'PCR Cycle 2'!H30</f>
        <v>151529794.77410001</v>
      </c>
      <c r="I25" s="189">
        <f>+'PCR Cycle 2'!I30</f>
        <v>141962152.8531</v>
      </c>
      <c r="J25" s="181">
        <f>+'PCR Cycle 2'!J30</f>
        <v>138745188.52200001</v>
      </c>
      <c r="K25" s="177">
        <f>+'PCR Cycle 2'!K30</f>
        <v>134451554</v>
      </c>
      <c r="L25" s="141">
        <f>+'PCR Cycle 2'!L30</f>
        <v>147891765</v>
      </c>
      <c r="M25" s="77">
        <f>+'PCR Cycle 2'!M30</f>
        <v>165671748</v>
      </c>
    </row>
    <row r="26" spans="1:19" x14ac:dyDescent="0.35">
      <c r="A26" s="46" t="s">
        <v>110</v>
      </c>
      <c r="C26" s="102">
        <v>-118910983</v>
      </c>
      <c r="D26" s="266"/>
      <c r="E26" s="111">
        <f>+'PCR Cycle 2'!E31</f>
        <v>42234848.610699996</v>
      </c>
      <c r="F26" s="111">
        <f>+'PCR Cycle 2'!F31</f>
        <v>38735698.8882</v>
      </c>
      <c r="G26" s="111">
        <f>+'PCR Cycle 2'!G31</f>
        <v>41268386.0132</v>
      </c>
      <c r="H26" s="186">
        <f>+'PCR Cycle 2'!H31</f>
        <v>36990738.772600003</v>
      </c>
      <c r="I26" s="189">
        <f>+'PCR Cycle 2'!I31</f>
        <v>28857924.4978</v>
      </c>
      <c r="J26" s="181">
        <f>+'PCR Cycle 2'!J31</f>
        <v>46057106.815399997</v>
      </c>
      <c r="K26" s="177">
        <f>+'PCR Cycle 2'!K31</f>
        <v>34969833</v>
      </c>
      <c r="L26" s="141">
        <f>+'PCR Cycle 2'!L31</f>
        <v>38465531</v>
      </c>
      <c r="M26" s="77">
        <f>+'PCR Cycle 2'!M31</f>
        <v>43089970</v>
      </c>
    </row>
    <row r="27" spans="1:19" x14ac:dyDescent="0.35">
      <c r="C27" s="99"/>
      <c r="D27" s="151"/>
      <c r="E27" s="31"/>
      <c r="F27" s="31"/>
      <c r="G27" s="31"/>
      <c r="H27" s="28"/>
      <c r="I27" s="31"/>
      <c r="J27" s="11"/>
      <c r="K27" s="17"/>
      <c r="L27" s="17"/>
      <c r="M27" s="11"/>
    </row>
    <row r="28" spans="1:19" x14ac:dyDescent="0.35">
      <c r="A28" s="46" t="s">
        <v>34</v>
      </c>
      <c r="C28" s="99"/>
      <c r="D28" s="151"/>
      <c r="E28" s="18"/>
      <c r="F28" s="18"/>
      <c r="G28" s="18"/>
      <c r="H28" s="91"/>
      <c r="I28" s="18"/>
      <c r="J28" s="11"/>
      <c r="K28" s="57"/>
      <c r="L28" s="57"/>
      <c r="M28" s="58"/>
      <c r="N28" s="63" t="s">
        <v>50</v>
      </c>
      <c r="O28" s="39"/>
    </row>
    <row r="29" spans="1:19" x14ac:dyDescent="0.35">
      <c r="A29" s="46" t="s">
        <v>24</v>
      </c>
      <c r="C29" s="97">
        <v>-1919634.73</v>
      </c>
      <c r="D29" s="263"/>
      <c r="E29" s="109">
        <f>ROUND('[4]Nov 2022'!$F88+'[4]Nov 2022'!$F96,2)</f>
        <v>462615.11</v>
      </c>
      <c r="F29" s="109">
        <f>ROUND('[4]Dec 2022'!$F88+'[4]Dec 2022'!$F96,2)</f>
        <v>643125.52</v>
      </c>
      <c r="G29" s="109">
        <f>ROUND('[4]Jan 2023'!$F88+'[4]Jan 2023'!$F96,2)</f>
        <v>779731.48</v>
      </c>
      <c r="H29" s="187">
        <f>ROUND('[4]Feb 2023'!$F88+'[4]Feb 2023'!$F96,2)</f>
        <v>622693.94999999995</v>
      </c>
      <c r="I29" s="55">
        <f>ROUND('[4]Mar 2023'!$F88+'[4]Mar 2023'!$F96,2)</f>
        <v>472914.02</v>
      </c>
      <c r="J29" s="179">
        <f>ROUND('[4]Apr 2023'!$F88+'[4]Apr 2023'!$F96,2)</f>
        <v>406996.4</v>
      </c>
      <c r="K29" s="123">
        <f>ROUND(K22*$N29,2)</f>
        <v>372859.84</v>
      </c>
      <c r="L29" s="41">
        <f t="shared" ref="L29:M29" si="3">ROUND(L22*$N29,2)</f>
        <v>467635.27</v>
      </c>
      <c r="M29" s="61">
        <f t="shared" si="3"/>
        <v>677336.46</v>
      </c>
      <c r="N29" s="72">
        <v>2.3799999999999997E-3</v>
      </c>
    </row>
    <row r="30" spans="1:19" x14ac:dyDescent="0.35">
      <c r="A30" s="46" t="s">
        <v>107</v>
      </c>
      <c r="C30" s="97">
        <v>-312242.43000000005</v>
      </c>
      <c r="D30" s="263"/>
      <c r="E30" s="109">
        <f>ROUND('[4]Nov 2022'!$F89+'[4]Nov 2022'!$F97,2)</f>
        <v>98888.98</v>
      </c>
      <c r="F30" s="109">
        <f>ROUND('[4]Dec 2022'!$F89+'[4]Dec 2022'!$F97,2)</f>
        <v>114083.75</v>
      </c>
      <c r="G30" s="109">
        <f>ROUND('[4]Jan 2023'!$F89+'[4]Jan 2023'!$F97,2)</f>
        <v>130796.8</v>
      </c>
      <c r="H30" s="187">
        <f>ROUND('[4]Feb 2023'!$F89+'[4]Feb 2023'!$F97,2)</f>
        <v>106197.94</v>
      </c>
      <c r="I30" s="55">
        <f>ROUND('[4]Mar 2023'!$F89+'[4]Mar 2023'!$F97,2)</f>
        <v>78629.820000000007</v>
      </c>
      <c r="J30" s="179">
        <f>ROUND('[4]Apr 2023'!$F89+'[4]Apr 2023'!$F97,2)</f>
        <v>72303.5</v>
      </c>
      <c r="K30" s="123">
        <f t="shared" ref="K30:M30" si="4">ROUND(K23*$N30,2)</f>
        <v>73623.789999999994</v>
      </c>
      <c r="L30" s="41">
        <f t="shared" si="4"/>
        <v>80983.460000000006</v>
      </c>
      <c r="M30" s="61">
        <f t="shared" si="4"/>
        <v>90719.53</v>
      </c>
      <c r="N30" s="72">
        <v>1.6300000000000002E-3</v>
      </c>
    </row>
    <row r="31" spans="1:19" x14ac:dyDescent="0.35">
      <c r="A31" s="46" t="s">
        <v>108</v>
      </c>
      <c r="C31" s="97">
        <v>-573308.01</v>
      </c>
      <c r="D31" s="263"/>
      <c r="E31" s="109">
        <f>ROUND('[4]Nov 2022'!$F90+'[4]Nov 2022'!$F98,2)</f>
        <v>171452.88</v>
      </c>
      <c r="F31" s="109">
        <f>ROUND('[4]Dec 2022'!$F90+'[4]Dec 2022'!$F98,2)</f>
        <v>184435.58</v>
      </c>
      <c r="G31" s="109">
        <f>ROUND('[4]Jan 2023'!$F90+'[4]Jan 2023'!$F98,2)</f>
        <v>208983.06</v>
      </c>
      <c r="H31" s="187">
        <f>ROUND('[4]Feb 2023'!$F90+'[4]Feb 2023'!$F98,2)</f>
        <v>168423.17</v>
      </c>
      <c r="I31" s="55">
        <f>ROUND('[4]Mar 2023'!$F90+'[4]Mar 2023'!$F98,2)</f>
        <v>106614.65</v>
      </c>
      <c r="J31" s="179">
        <f>ROUND('[4]Apr 2023'!$F90+'[4]Apr 2023'!$F98,2)</f>
        <v>100085.69</v>
      </c>
      <c r="K31" s="123">
        <f t="shared" ref="K31:M31" si="5">ROUND(K24*$N31,2)</f>
        <v>102987.55</v>
      </c>
      <c r="L31" s="41">
        <f t="shared" si="5"/>
        <v>113282.52</v>
      </c>
      <c r="M31" s="61">
        <f t="shared" si="5"/>
        <v>126901.67</v>
      </c>
      <c r="N31" s="72">
        <v>1.24E-3</v>
      </c>
    </row>
    <row r="32" spans="1:19" x14ac:dyDescent="0.35">
      <c r="A32" s="46" t="s">
        <v>109</v>
      </c>
      <c r="C32" s="97">
        <v>-738610.24</v>
      </c>
      <c r="D32" s="263"/>
      <c r="E32" s="109">
        <f>ROUND('[4]Nov 2022'!$F91+'[4]Nov 2022'!$F99,2)</f>
        <v>243238.05</v>
      </c>
      <c r="F32" s="109">
        <f>ROUND('[4]Dec 2022'!$F91+'[4]Dec 2022'!$F99,2)</f>
        <v>253045.3</v>
      </c>
      <c r="G32" s="109">
        <f>ROUND('[4]Jan 2023'!$F91+'[4]Jan 2023'!$F99,2)</f>
        <v>271141.93</v>
      </c>
      <c r="H32" s="187">
        <f>ROUND('[4]Feb 2023'!$F91+'[4]Feb 2023'!$F99,2)</f>
        <v>212750.6</v>
      </c>
      <c r="I32" s="55">
        <f>ROUND('[4]Mar 2023'!$F91+'[4]Mar 2023'!$F99,2)</f>
        <v>136032.46</v>
      </c>
      <c r="J32" s="179">
        <f>ROUND('[4]Apr 2023'!$F91+'[4]Apr 2023'!$F99,2)</f>
        <v>133179.28</v>
      </c>
      <c r="K32" s="123">
        <f t="shared" ref="K32:M32" si="6">ROUND(K25*$N32,2)</f>
        <v>129073.49</v>
      </c>
      <c r="L32" s="41">
        <f t="shared" si="6"/>
        <v>141976.09</v>
      </c>
      <c r="M32" s="61">
        <f t="shared" si="6"/>
        <v>159044.88</v>
      </c>
      <c r="N32" s="72">
        <v>9.5999999999999992E-4</v>
      </c>
    </row>
    <row r="33" spans="1:14" x14ac:dyDescent="0.35">
      <c r="A33" s="46" t="s">
        <v>110</v>
      </c>
      <c r="C33" s="97">
        <v>-58266.380000000005</v>
      </c>
      <c r="D33" s="263"/>
      <c r="E33" s="109">
        <f>ROUND('[4]Nov 2022'!$F92+'[4]Nov 2022'!$F100,2)</f>
        <v>20695.080000000002</v>
      </c>
      <c r="F33" s="109">
        <f>ROUND('[4]Dec 2022'!$F92+'[4]Dec 2022'!$F100,2)</f>
        <v>18980.490000000002</v>
      </c>
      <c r="G33" s="109">
        <f>ROUND('[4]Jan 2023'!$F92+'[4]Jan 2023'!$F100,2)</f>
        <v>20221.509999999998</v>
      </c>
      <c r="H33" s="187">
        <f>ROUND('[4]Feb 2023'!$F92+'[4]Feb 2023'!$F100,2)</f>
        <v>10165.65</v>
      </c>
      <c r="I33" s="55">
        <f>ROUND('[4]Mar 2023'!$F92+'[4]Mar 2023'!$F100,2)</f>
        <v>1154.32</v>
      </c>
      <c r="J33" s="179">
        <f>ROUND('[4]Apr 2023'!$F92+'[4]Apr 2023'!$F100,2)</f>
        <v>1842.28</v>
      </c>
      <c r="K33" s="123">
        <f>ROUND(K26*$N33,2)</f>
        <v>1398.79</v>
      </c>
      <c r="L33" s="41">
        <f>ROUND(L26*$N33,2)</f>
        <v>1538.62</v>
      </c>
      <c r="M33" s="61">
        <f>ROUND(M26*$N33,2)</f>
        <v>1723.6</v>
      </c>
      <c r="N33" s="72">
        <v>3.9999999999999996E-5</v>
      </c>
    </row>
    <row r="34" spans="1:14" x14ac:dyDescent="0.35">
      <c r="C34" s="67"/>
      <c r="D34" s="68"/>
      <c r="E34" s="18"/>
      <c r="F34" s="18"/>
      <c r="G34" s="18"/>
      <c r="H34" s="91"/>
      <c r="I34" s="18"/>
      <c r="J34" s="11"/>
      <c r="K34" s="56"/>
      <c r="L34" s="56"/>
      <c r="M34" s="13"/>
      <c r="N34" s="4"/>
    </row>
    <row r="35" spans="1:14" ht="15" thickBot="1" x14ac:dyDescent="0.4">
      <c r="A35" s="46" t="s">
        <v>14</v>
      </c>
      <c r="C35" s="103">
        <v>16651.53</v>
      </c>
      <c r="D35" s="267"/>
      <c r="E35" s="112">
        <v>-15005.900000000001</v>
      </c>
      <c r="F35" s="112">
        <v>-15027.29</v>
      </c>
      <c r="G35" s="113">
        <v>-11639.539999999999</v>
      </c>
      <c r="H35" s="26">
        <v>-9825.31</v>
      </c>
      <c r="I35" s="122">
        <v>-11936.900000000001</v>
      </c>
      <c r="J35" s="180">
        <v>-13083.54</v>
      </c>
      <c r="K35" s="178">
        <v>-12520</v>
      </c>
      <c r="L35" s="142">
        <v>-10114.720000000001</v>
      </c>
      <c r="M35" s="81"/>
    </row>
    <row r="36" spans="1:14" x14ac:dyDescent="0.35">
      <c r="C36" s="99"/>
      <c r="D36" s="151"/>
      <c r="E36" s="31"/>
      <c r="F36" s="31"/>
      <c r="G36" s="31"/>
      <c r="H36" s="28"/>
      <c r="I36" s="31"/>
      <c r="J36" s="11"/>
      <c r="K36" s="17"/>
      <c r="L36" s="17"/>
      <c r="M36" s="11"/>
    </row>
    <row r="37" spans="1:14" x14ac:dyDescent="0.35">
      <c r="A37" s="46" t="s">
        <v>52</v>
      </c>
      <c r="C37" s="99"/>
      <c r="D37" s="151"/>
      <c r="E37" s="31"/>
      <c r="F37" s="31"/>
      <c r="G37" s="31"/>
      <c r="H37" s="28"/>
      <c r="I37" s="31"/>
      <c r="J37" s="11"/>
      <c r="K37" s="17"/>
      <c r="L37" s="17"/>
      <c r="M37" s="11"/>
    </row>
    <row r="38" spans="1:14" x14ac:dyDescent="0.35">
      <c r="A38" s="46" t="s">
        <v>24</v>
      </c>
      <c r="C38" s="40">
        <f t="shared" ref="C38:M38" si="7">C15-C29</f>
        <v>-380131.79000000004</v>
      </c>
      <c r="D38" s="123">
        <f t="shared" ref="D38" si="8">D15-D29</f>
        <v>0</v>
      </c>
      <c r="E38" s="41">
        <f t="shared" si="7"/>
        <v>658.67000000004191</v>
      </c>
      <c r="F38" s="41">
        <f t="shared" si="7"/>
        <v>154428.95999999996</v>
      </c>
      <c r="G38" s="108">
        <f t="shared" si="7"/>
        <v>-62323.189999999944</v>
      </c>
      <c r="H38" s="40">
        <f t="shared" si="7"/>
        <v>-271481.86999999994</v>
      </c>
      <c r="I38" s="41">
        <f t="shared" si="7"/>
        <v>-91051.07</v>
      </c>
      <c r="J38" s="61">
        <f t="shared" si="7"/>
        <v>-159626.40000000002</v>
      </c>
      <c r="K38" s="123">
        <f t="shared" si="7"/>
        <v>206698.22999999992</v>
      </c>
      <c r="L38" s="41">
        <f t="shared" si="7"/>
        <v>287644.56999999995</v>
      </c>
      <c r="M38" s="49">
        <f t="shared" si="7"/>
        <v>-677336.46</v>
      </c>
    </row>
    <row r="39" spans="1:14" x14ac:dyDescent="0.35">
      <c r="A39" s="46" t="s">
        <v>107</v>
      </c>
      <c r="C39" s="40">
        <f t="shared" ref="C39:M39" si="9">C16-C30</f>
        <v>-84719.79999999993</v>
      </c>
      <c r="D39" s="123">
        <f t="shared" ref="D39" si="10">D16-D30</f>
        <v>0</v>
      </c>
      <c r="E39" s="41">
        <f t="shared" si="9"/>
        <v>-84014.69</v>
      </c>
      <c r="F39" s="41">
        <f t="shared" si="9"/>
        <v>-29191.190000000002</v>
      </c>
      <c r="G39" s="108">
        <f t="shared" si="9"/>
        <v>168876.86</v>
      </c>
      <c r="H39" s="40">
        <f t="shared" si="9"/>
        <v>-78327.899999999994</v>
      </c>
      <c r="I39" s="41">
        <f t="shared" si="9"/>
        <v>-56101.710000000006</v>
      </c>
      <c r="J39" s="61">
        <f t="shared" si="9"/>
        <v>-27539.300000000003</v>
      </c>
      <c r="K39" s="123">
        <f t="shared" si="9"/>
        <v>-3791.5099999999948</v>
      </c>
      <c r="L39" s="41">
        <f t="shared" si="9"/>
        <v>13246.559999999998</v>
      </c>
      <c r="M39" s="49">
        <f t="shared" si="9"/>
        <v>-90719.53</v>
      </c>
    </row>
    <row r="40" spans="1:14" x14ac:dyDescent="0.35">
      <c r="A40" s="46" t="s">
        <v>108</v>
      </c>
      <c r="C40" s="40">
        <f t="shared" ref="C40:M40" si="11">C17-C31</f>
        <v>-204448.61</v>
      </c>
      <c r="D40" s="123">
        <f t="shared" ref="D40" si="12">D17-D31</f>
        <v>0</v>
      </c>
      <c r="E40" s="41">
        <f t="shared" si="11"/>
        <v>295251.63</v>
      </c>
      <c r="F40" s="41">
        <f t="shared" si="11"/>
        <v>59783.390000000014</v>
      </c>
      <c r="G40" s="108">
        <f t="shared" si="11"/>
        <v>241920.53000000003</v>
      </c>
      <c r="H40" s="40">
        <f t="shared" si="11"/>
        <v>-113794.45000000001</v>
      </c>
      <c r="I40" s="41">
        <f t="shared" si="11"/>
        <v>-4519.0299999999988</v>
      </c>
      <c r="J40" s="61">
        <f t="shared" si="11"/>
        <v>90110.260000000009</v>
      </c>
      <c r="K40" s="123">
        <f t="shared" si="11"/>
        <v>29095.849999999991</v>
      </c>
      <c r="L40" s="41">
        <f t="shared" si="11"/>
        <v>67749.469999999987</v>
      </c>
      <c r="M40" s="49">
        <f t="shared" si="11"/>
        <v>-126901.67</v>
      </c>
    </row>
    <row r="41" spans="1:14" x14ac:dyDescent="0.35">
      <c r="A41" s="46" t="s">
        <v>109</v>
      </c>
      <c r="C41" s="40">
        <f t="shared" ref="C41:M41" si="13">C18-C32</f>
        <v>-536035.66999999993</v>
      </c>
      <c r="D41" s="123">
        <f t="shared" ref="D41" si="14">D18-D32</f>
        <v>0</v>
      </c>
      <c r="E41" s="41">
        <f t="shared" si="13"/>
        <v>110609.02000000002</v>
      </c>
      <c r="F41" s="41">
        <f t="shared" si="13"/>
        <v>37568.380000000005</v>
      </c>
      <c r="G41" s="108">
        <f t="shared" si="13"/>
        <v>1085492.52</v>
      </c>
      <c r="H41" s="40">
        <f t="shared" si="13"/>
        <v>-125835.73000000001</v>
      </c>
      <c r="I41" s="41">
        <f t="shared" si="13"/>
        <v>-5237.3499999999913</v>
      </c>
      <c r="J41" s="61">
        <f t="shared" si="13"/>
        <v>-47954.350000000006</v>
      </c>
      <c r="K41" s="123">
        <f t="shared" si="13"/>
        <v>93769.01</v>
      </c>
      <c r="L41" s="41">
        <f t="shared" si="13"/>
        <v>158744.15</v>
      </c>
      <c r="M41" s="49">
        <f t="shared" si="13"/>
        <v>-159044.88</v>
      </c>
    </row>
    <row r="42" spans="1:14" x14ac:dyDescent="0.35">
      <c r="A42" s="46" t="s">
        <v>110</v>
      </c>
      <c r="C42" s="40">
        <f t="shared" ref="C42:M42" si="15">C19-C33</f>
        <v>-287618.5</v>
      </c>
      <c r="D42" s="123">
        <f t="shared" ref="D42" si="16">D19-D33</f>
        <v>0</v>
      </c>
      <c r="E42" s="41">
        <f t="shared" si="15"/>
        <v>-11169.400000000001</v>
      </c>
      <c r="F42" s="41">
        <f t="shared" si="15"/>
        <v>-1775.9200000000019</v>
      </c>
      <c r="G42" s="108">
        <f t="shared" si="15"/>
        <v>56395.990000000005</v>
      </c>
      <c r="H42" s="40">
        <f t="shared" si="15"/>
        <v>13062.180000000002</v>
      </c>
      <c r="I42" s="41">
        <f t="shared" si="15"/>
        <v>5194.7300000000005</v>
      </c>
      <c r="J42" s="61">
        <f t="shared" si="15"/>
        <v>12413.5</v>
      </c>
      <c r="K42" s="123">
        <f t="shared" si="15"/>
        <v>59941.919999999998</v>
      </c>
      <c r="L42" s="41">
        <f t="shared" si="15"/>
        <v>80614.77</v>
      </c>
      <c r="M42" s="49">
        <f t="shared" si="15"/>
        <v>-1723.6</v>
      </c>
    </row>
    <row r="43" spans="1:14" x14ac:dyDescent="0.35">
      <c r="C43" s="99"/>
      <c r="D43" s="151"/>
      <c r="E43" s="31"/>
      <c r="F43" s="31"/>
      <c r="G43" s="31"/>
      <c r="H43" s="28"/>
      <c r="I43" s="31"/>
      <c r="J43" s="11"/>
      <c r="K43" s="17"/>
      <c r="L43" s="17"/>
      <c r="M43" s="11"/>
    </row>
    <row r="44" spans="1:14" ht="15" thickBot="1" x14ac:dyDescent="0.4">
      <c r="A44" s="46" t="s">
        <v>53</v>
      </c>
      <c r="C44" s="104"/>
      <c r="D44" s="268"/>
      <c r="E44" s="31"/>
      <c r="F44" s="31"/>
      <c r="G44" s="31"/>
      <c r="H44" s="28"/>
      <c r="I44" s="31"/>
      <c r="J44" s="11"/>
      <c r="K44" s="17"/>
      <c r="L44" s="17"/>
      <c r="M44" s="11"/>
    </row>
    <row r="45" spans="1:14" x14ac:dyDescent="0.35">
      <c r="A45" s="46" t="s">
        <v>24</v>
      </c>
      <c r="B45" s="116">
        <v>-538532.4600000002</v>
      </c>
      <c r="C45" s="41">
        <f t="shared" ref="C45:M45" si="17">B45+C38+B53</f>
        <v>-918664.25000000023</v>
      </c>
      <c r="D45" s="41">
        <f t="shared" ref="D45:D49" si="18">C45+D38+C53</f>
        <v>-917092.11000000022</v>
      </c>
      <c r="E45" s="41">
        <f t="shared" ref="E45:E49" si="19">D45+E38+D53</f>
        <v>-916433.44000000018</v>
      </c>
      <c r="F45" s="41">
        <f t="shared" si="17"/>
        <v>-765780.14000000025</v>
      </c>
      <c r="G45" s="108">
        <f t="shared" si="17"/>
        <v>-831837.43000000017</v>
      </c>
      <c r="H45" s="40">
        <f t="shared" si="17"/>
        <v>-1106971.24</v>
      </c>
      <c r="I45" s="41">
        <f t="shared" si="17"/>
        <v>-1202552.23</v>
      </c>
      <c r="J45" s="61">
        <f t="shared" si="17"/>
        <v>-1367746.69</v>
      </c>
      <c r="K45" s="123">
        <f t="shared" si="17"/>
        <v>-1167444.53</v>
      </c>
      <c r="L45" s="41">
        <f t="shared" si="17"/>
        <v>-886110.91</v>
      </c>
      <c r="M45" s="49">
        <f t="shared" si="17"/>
        <v>-1568562.1700000002</v>
      </c>
    </row>
    <row r="46" spans="1:14" x14ac:dyDescent="0.35">
      <c r="A46" s="46" t="s">
        <v>107</v>
      </c>
      <c r="B46" s="248">
        <v>248958.30999999991</v>
      </c>
      <c r="C46" s="41">
        <f t="shared" ref="C46:M46" si="20">B46+C39+B54</f>
        <v>164238.50999999998</v>
      </c>
      <c r="D46" s="41">
        <f t="shared" si="18"/>
        <v>162283.00999999998</v>
      </c>
      <c r="E46" s="41">
        <f t="shared" si="19"/>
        <v>78268.319999999978</v>
      </c>
      <c r="F46" s="41">
        <f t="shared" si="20"/>
        <v>49572.479999999974</v>
      </c>
      <c r="G46" s="108">
        <f t="shared" si="20"/>
        <v>218733.57999999996</v>
      </c>
      <c r="H46" s="40">
        <f t="shared" si="20"/>
        <v>141018.20999999996</v>
      </c>
      <c r="I46" s="41">
        <f t="shared" si="20"/>
        <v>85756.889999999956</v>
      </c>
      <c r="J46" s="61">
        <f t="shared" si="20"/>
        <v>58765.279999999955</v>
      </c>
      <c r="K46" s="123">
        <f t="shared" si="20"/>
        <v>55333.989999999962</v>
      </c>
      <c r="L46" s="41">
        <f t="shared" si="20"/>
        <v>68864.759999999966</v>
      </c>
      <c r="M46" s="49">
        <f t="shared" si="20"/>
        <v>-21545.670000000035</v>
      </c>
    </row>
    <row r="47" spans="1:14" x14ac:dyDescent="0.35">
      <c r="A47" s="46" t="s">
        <v>108</v>
      </c>
      <c r="B47" s="248">
        <v>-442974.74000000011</v>
      </c>
      <c r="C47" s="41">
        <f t="shared" ref="C47:M47" si="21">B47+C40+B55</f>
        <v>-647423.35000000009</v>
      </c>
      <c r="D47" s="41">
        <f t="shared" si="18"/>
        <v>-644149.42000000004</v>
      </c>
      <c r="E47" s="41">
        <f t="shared" si="19"/>
        <v>-348897.79000000004</v>
      </c>
      <c r="F47" s="41">
        <f t="shared" si="21"/>
        <v>-291159.32</v>
      </c>
      <c r="G47" s="108">
        <f t="shared" si="21"/>
        <v>-50660.909999999982</v>
      </c>
      <c r="H47" s="40">
        <f t="shared" si="21"/>
        <v>-165238.13999999998</v>
      </c>
      <c r="I47" s="41">
        <f t="shared" si="21"/>
        <v>-170262.47999999998</v>
      </c>
      <c r="J47" s="61">
        <f t="shared" si="21"/>
        <v>-80960.719999999972</v>
      </c>
      <c r="K47" s="123">
        <f t="shared" si="21"/>
        <v>-52490.679999999978</v>
      </c>
      <c r="L47" s="41">
        <f t="shared" si="21"/>
        <v>14925.870000000008</v>
      </c>
      <c r="M47" s="49">
        <f t="shared" si="21"/>
        <v>-112069.9</v>
      </c>
    </row>
    <row r="48" spans="1:14" x14ac:dyDescent="0.35">
      <c r="A48" s="46" t="s">
        <v>109</v>
      </c>
      <c r="B48" s="248">
        <v>-1208437.4100000001</v>
      </c>
      <c r="C48" s="41">
        <f t="shared" ref="C48:M48" si="22">B48+C41+B56</f>
        <v>-1744473.08</v>
      </c>
      <c r="D48" s="41">
        <f t="shared" si="18"/>
        <v>-1734525.97</v>
      </c>
      <c r="E48" s="41">
        <f t="shared" si="19"/>
        <v>-1623916.95</v>
      </c>
      <c r="F48" s="41">
        <f t="shared" si="22"/>
        <v>-1593264.39</v>
      </c>
      <c r="G48" s="108">
        <f t="shared" si="22"/>
        <v>-514912.54999999987</v>
      </c>
      <c r="H48" s="40">
        <f t="shared" si="22"/>
        <v>-645572.34</v>
      </c>
      <c r="I48" s="41">
        <f t="shared" si="22"/>
        <v>-653527.25</v>
      </c>
      <c r="J48" s="61">
        <f t="shared" si="22"/>
        <v>-704614.03</v>
      </c>
      <c r="K48" s="123">
        <f t="shared" si="22"/>
        <v>-614225.16</v>
      </c>
      <c r="L48" s="41">
        <f t="shared" si="22"/>
        <v>-458764.18</v>
      </c>
      <c r="M48" s="49">
        <f t="shared" si="22"/>
        <v>-620481.53</v>
      </c>
    </row>
    <row r="49" spans="1:14" ht="15" thickBot="1" x14ac:dyDescent="0.4">
      <c r="A49" s="46" t="s">
        <v>110</v>
      </c>
      <c r="B49" s="117">
        <v>-381940.71999999922</v>
      </c>
      <c r="C49" s="41">
        <f>B49+C42+B57</f>
        <v>-669559.21999999927</v>
      </c>
      <c r="D49" s="41">
        <f t="shared" si="18"/>
        <v>-665745.3699999993</v>
      </c>
      <c r="E49" s="41">
        <f t="shared" si="19"/>
        <v>-676914.76999999932</v>
      </c>
      <c r="F49" s="41">
        <f t="shared" ref="F49:M49" si="23">E49+F42+E57</f>
        <v>-681455.53999999934</v>
      </c>
      <c r="G49" s="108">
        <f t="shared" si="23"/>
        <v>-628074.16999999934</v>
      </c>
      <c r="H49" s="40">
        <f t="shared" si="23"/>
        <v>-618005.28999999934</v>
      </c>
      <c r="I49" s="41">
        <f t="shared" si="23"/>
        <v>-615723.46999999939</v>
      </c>
      <c r="J49" s="61">
        <f t="shared" si="23"/>
        <v>-606285.56999999937</v>
      </c>
      <c r="K49" s="123">
        <f t="shared" si="23"/>
        <v>-549385.37999999931</v>
      </c>
      <c r="L49" s="41">
        <f t="shared" si="23"/>
        <v>-471647.77999999927</v>
      </c>
      <c r="M49" s="49">
        <f t="shared" si="23"/>
        <v>-475913.82999999926</v>
      </c>
    </row>
    <row r="50" spans="1:14" x14ac:dyDescent="0.35">
      <c r="C50" s="99"/>
      <c r="D50" s="151"/>
      <c r="E50" s="31"/>
      <c r="F50" s="31"/>
      <c r="G50" s="31"/>
      <c r="H50" s="28"/>
      <c r="I50" s="31"/>
      <c r="J50" s="11"/>
      <c r="K50" s="17"/>
      <c r="L50" s="17"/>
      <c r="M50" s="11"/>
    </row>
    <row r="51" spans="1:14" x14ac:dyDescent="0.35">
      <c r="A51" s="39" t="s">
        <v>49</v>
      </c>
      <c r="B51" s="39"/>
      <c r="C51" s="104"/>
      <c r="D51" s="268"/>
      <c r="E51" s="83">
        <f>+'PCR Cycle 2'!E50</f>
        <v>4.1184699999999999E-3</v>
      </c>
      <c r="F51" s="83">
        <f>+'PCR Cycle 2'!F50</f>
        <v>4.4295699999999999E-3</v>
      </c>
      <c r="G51" s="83">
        <f>+'PCR Cycle 2'!G50</f>
        <v>4.5610700000000004E-3</v>
      </c>
      <c r="H51" s="84">
        <f>+'PCR Cycle 2'!H50</f>
        <v>4.66411E-3</v>
      </c>
      <c r="I51" s="83">
        <f>+'PCR Cycle 2'!I50</f>
        <v>4.8123899999999997E-3</v>
      </c>
      <c r="J51" s="92">
        <f>+'PCR Cycle 2'!J50</f>
        <v>4.9661499999999999E-3</v>
      </c>
      <c r="K51" s="83">
        <f>+'PCR Cycle 2'!K50</f>
        <v>4.9661499999999999E-3</v>
      </c>
      <c r="L51" s="83">
        <f>+'PCR Cycle 2'!L50</f>
        <v>4.9661499999999999E-3</v>
      </c>
      <c r="M51" s="92"/>
    </row>
    <row r="52" spans="1:14" x14ac:dyDescent="0.35">
      <c r="A52" s="39" t="s">
        <v>37</v>
      </c>
      <c r="B52" s="39"/>
      <c r="C52" s="99"/>
      <c r="D52" s="151"/>
      <c r="E52" s="31"/>
      <c r="F52" s="31"/>
      <c r="G52" s="31"/>
      <c r="H52" s="28"/>
      <c r="I52" s="31"/>
      <c r="J52" s="11"/>
      <c r="K52" s="17"/>
      <c r="L52" s="17"/>
      <c r="M52" s="11"/>
      <c r="N52" s="71"/>
    </row>
    <row r="53" spans="1:14" x14ac:dyDescent="0.35">
      <c r="A53" s="46" t="s">
        <v>24</v>
      </c>
      <c r="C53" s="40">
        <v>1572.1399999999999</v>
      </c>
      <c r="D53" s="123"/>
      <c r="E53" s="41">
        <f>ROUND((C45+C53+D53+E38/2)*E$51,2)</f>
        <v>-3775.66</v>
      </c>
      <c r="F53" s="41">
        <f t="shared" ref="F53:L57" si="24">ROUND((E45+E53+F38/2)*F$51,2)</f>
        <v>-3734.1</v>
      </c>
      <c r="G53" s="108">
        <f t="shared" si="24"/>
        <v>-3651.94</v>
      </c>
      <c r="H53" s="40">
        <f t="shared" si="24"/>
        <v>-4529.92</v>
      </c>
      <c r="I53" s="123">
        <f t="shared" si="24"/>
        <v>-5568.06</v>
      </c>
      <c r="J53" s="61">
        <f t="shared" si="24"/>
        <v>-6396.07</v>
      </c>
      <c r="K53" s="123">
        <f t="shared" si="24"/>
        <v>-6310.95</v>
      </c>
      <c r="L53" s="123">
        <f t="shared" si="24"/>
        <v>-5114.8</v>
      </c>
      <c r="M53" s="49"/>
    </row>
    <row r="54" spans="1:14" x14ac:dyDescent="0.35">
      <c r="A54" s="46" t="s">
        <v>107</v>
      </c>
      <c r="C54" s="249">
        <v>-1955.5</v>
      </c>
      <c r="D54" s="269"/>
      <c r="E54" s="41">
        <f t="shared" ref="E54:E57" si="25">ROUND((C46+C54+D54+E39/2)*E$51,2)</f>
        <v>495.35</v>
      </c>
      <c r="F54" s="41">
        <f t="shared" si="24"/>
        <v>284.24</v>
      </c>
      <c r="G54" s="108">
        <f t="shared" si="24"/>
        <v>612.53</v>
      </c>
      <c r="H54" s="40">
        <f t="shared" si="24"/>
        <v>840.39</v>
      </c>
      <c r="I54" s="123">
        <f t="shared" si="24"/>
        <v>547.69000000000005</v>
      </c>
      <c r="J54" s="61">
        <f t="shared" si="24"/>
        <v>360.22</v>
      </c>
      <c r="K54" s="123">
        <f t="shared" si="24"/>
        <v>284.20999999999998</v>
      </c>
      <c r="L54" s="123">
        <f t="shared" si="24"/>
        <v>309.10000000000002</v>
      </c>
      <c r="M54" s="49"/>
    </row>
    <row r="55" spans="1:14" x14ac:dyDescent="0.35">
      <c r="A55" s="46" t="s">
        <v>108</v>
      </c>
      <c r="C55" s="249">
        <v>3273.93</v>
      </c>
      <c r="D55" s="269"/>
      <c r="E55" s="41">
        <f t="shared" si="25"/>
        <v>-2044.92</v>
      </c>
      <c r="F55" s="41">
        <f t="shared" si="24"/>
        <v>-1422.12</v>
      </c>
      <c r="G55" s="108">
        <f t="shared" si="24"/>
        <v>-782.78</v>
      </c>
      <c r="H55" s="40">
        <f t="shared" si="24"/>
        <v>-505.31</v>
      </c>
      <c r="I55" s="123">
        <f t="shared" si="24"/>
        <v>-808.5</v>
      </c>
      <c r="J55" s="61">
        <f t="shared" si="24"/>
        <v>-625.80999999999995</v>
      </c>
      <c r="K55" s="123">
        <f t="shared" si="24"/>
        <v>-332.92</v>
      </c>
      <c r="L55" s="123">
        <f t="shared" si="24"/>
        <v>-94.1</v>
      </c>
      <c r="M55" s="49"/>
    </row>
    <row r="56" spans="1:14" x14ac:dyDescent="0.35">
      <c r="A56" s="46" t="s">
        <v>109</v>
      </c>
      <c r="C56" s="249">
        <v>9947.11</v>
      </c>
      <c r="D56" s="269"/>
      <c r="E56" s="41">
        <f t="shared" si="25"/>
        <v>-6915.82</v>
      </c>
      <c r="F56" s="41">
        <f t="shared" si="24"/>
        <v>-7140.68</v>
      </c>
      <c r="G56" s="108">
        <f t="shared" si="24"/>
        <v>-4824.0600000000004</v>
      </c>
      <c r="H56" s="40">
        <f t="shared" si="24"/>
        <v>-2717.56</v>
      </c>
      <c r="I56" s="123">
        <f t="shared" si="24"/>
        <v>-3132.43</v>
      </c>
      <c r="J56" s="61">
        <f t="shared" si="24"/>
        <v>-3380.14</v>
      </c>
      <c r="K56" s="123">
        <f t="shared" si="24"/>
        <v>-3283.17</v>
      </c>
      <c r="L56" s="123">
        <f t="shared" si="24"/>
        <v>-2672.47</v>
      </c>
      <c r="M56" s="49"/>
    </row>
    <row r="57" spans="1:14" ht="15" thickBot="1" x14ac:dyDescent="0.4">
      <c r="A57" s="46" t="s">
        <v>110</v>
      </c>
      <c r="C57" s="114">
        <v>3813.85</v>
      </c>
      <c r="D57" s="269"/>
      <c r="E57" s="41">
        <f t="shared" si="25"/>
        <v>-2764.85</v>
      </c>
      <c r="F57" s="41">
        <f t="shared" si="24"/>
        <v>-3014.62</v>
      </c>
      <c r="G57" s="108">
        <f t="shared" si="24"/>
        <v>-2993.3</v>
      </c>
      <c r="H57" s="40">
        <f t="shared" si="24"/>
        <v>-2912.91</v>
      </c>
      <c r="I57" s="123">
        <f t="shared" si="24"/>
        <v>-2975.6</v>
      </c>
      <c r="J57" s="61">
        <f t="shared" si="24"/>
        <v>-3041.73</v>
      </c>
      <c r="K57" s="123">
        <f t="shared" si="24"/>
        <v>-2877.17</v>
      </c>
      <c r="L57" s="123">
        <f t="shared" si="24"/>
        <v>-2542.4499999999998</v>
      </c>
      <c r="M57" s="49"/>
    </row>
    <row r="58" spans="1:14" ht="15.5" thickTop="1" thickBot="1" x14ac:dyDescent="0.4">
      <c r="A58" s="54" t="s">
        <v>22</v>
      </c>
      <c r="B58" s="54"/>
      <c r="C58" s="115">
        <v>0</v>
      </c>
      <c r="D58" s="270"/>
      <c r="E58" s="32">
        <f t="shared" ref="E58:M58" si="26">SUM(E53:E57)+SUM(E45:E49)-E61</f>
        <v>0</v>
      </c>
      <c r="F58" s="32">
        <f t="shared" si="26"/>
        <v>0</v>
      </c>
      <c r="G58" s="50">
        <f t="shared" si="26"/>
        <v>0</v>
      </c>
      <c r="H58" s="124">
        <f t="shared" si="26"/>
        <v>0</v>
      </c>
      <c r="I58" s="32">
        <f t="shared" si="26"/>
        <v>0</v>
      </c>
      <c r="J58" s="62">
        <f t="shared" si="26"/>
        <v>0</v>
      </c>
      <c r="K58" s="165">
        <f t="shared" si="26"/>
        <v>0</v>
      </c>
      <c r="L58" s="32">
        <f t="shared" si="26"/>
        <v>0</v>
      </c>
      <c r="M58" s="96">
        <f t="shared" si="26"/>
        <v>0</v>
      </c>
    </row>
    <row r="59" spans="1:14" ht="15.5" thickTop="1" thickBot="1" x14ac:dyDescent="0.4">
      <c r="A59" s="54" t="s">
        <v>23</v>
      </c>
      <c r="B59" s="54"/>
      <c r="C59" s="107">
        <v>0</v>
      </c>
      <c r="D59" s="271"/>
      <c r="E59" s="32">
        <f t="shared" ref="E59:J59" si="27">SUM(E53:E57)-E35</f>
        <v>0</v>
      </c>
      <c r="F59" s="32">
        <f t="shared" si="27"/>
        <v>1.0000000002037268E-2</v>
      </c>
      <c r="G59" s="50">
        <f t="shared" ref="G59:I59" si="28">SUM(G53:G57)-G35</f>
        <v>-1.0000000000218279E-2</v>
      </c>
      <c r="H59" s="51">
        <f t="shared" si="28"/>
        <v>0</v>
      </c>
      <c r="I59" s="32">
        <f t="shared" si="28"/>
        <v>0</v>
      </c>
      <c r="J59" s="62">
        <f t="shared" si="27"/>
        <v>1.0000000002037268E-2</v>
      </c>
      <c r="K59" s="165">
        <f t="shared" ref="K59:M59" si="29">SUM(K53:K57)-K35</f>
        <v>0</v>
      </c>
      <c r="L59" s="32">
        <f t="shared" si="29"/>
        <v>0</v>
      </c>
      <c r="M59" s="96">
        <f t="shared" si="29"/>
        <v>0</v>
      </c>
    </row>
    <row r="60" spans="1:14" ht="15.5" thickTop="1" thickBot="1" x14ac:dyDescent="0.4">
      <c r="C60" s="99"/>
      <c r="D60" s="151"/>
      <c r="E60" s="17"/>
      <c r="F60" s="17"/>
      <c r="G60" s="17"/>
      <c r="H60" s="10"/>
      <c r="I60" s="17"/>
      <c r="J60" s="11"/>
      <c r="K60" s="17"/>
      <c r="L60" s="17"/>
      <c r="M60" s="11"/>
    </row>
    <row r="61" spans="1:14" ht="15" thickBot="1" x14ac:dyDescent="0.4">
      <c r="A61" s="46" t="s">
        <v>36</v>
      </c>
      <c r="B61" s="119">
        <f>SUM(B45:B49)</f>
        <v>-2322927.0199999996</v>
      </c>
      <c r="C61" s="40">
        <f>(SUM(C15:C19)-SUM(C29:C33))+SUM(C53:C57)+B61</f>
        <v>-3799229.8599999994</v>
      </c>
      <c r="D61" s="41">
        <f>(SUM(D15:D19)-SUM(D29:D33))+SUM(D53:D57)+C61</f>
        <v>-3799229.8599999994</v>
      </c>
      <c r="E61" s="41">
        <f>(SUM(E15:E19)-SUM(E29:E33))+SUM(D53:E57)+C61</f>
        <v>-3502900.5299999993</v>
      </c>
      <c r="F61" s="41">
        <f t="shared" ref="F61:M61" si="30">(SUM(F15:F19)-SUM(F29:F33))+SUM(F53:F57)+E61</f>
        <v>-3297114.189999999</v>
      </c>
      <c r="G61" s="108">
        <f t="shared" si="30"/>
        <v>-1818391.0299999989</v>
      </c>
      <c r="H61" s="40">
        <f t="shared" si="30"/>
        <v>-2404594.1099999989</v>
      </c>
      <c r="I61" s="41">
        <f t="shared" si="30"/>
        <v>-2568245.439999999</v>
      </c>
      <c r="J61" s="61">
        <f t="shared" si="30"/>
        <v>-2713925.2599999988</v>
      </c>
      <c r="K61" s="123">
        <f t="shared" si="30"/>
        <v>-2340731.7599999988</v>
      </c>
      <c r="L61" s="41">
        <f t="shared" si="30"/>
        <v>-1742846.959999999</v>
      </c>
      <c r="M61" s="61">
        <f t="shared" si="30"/>
        <v>-2798573.0999999992</v>
      </c>
    </row>
    <row r="62" spans="1:14" x14ac:dyDescent="0.35">
      <c r="A62" s="46" t="s">
        <v>12</v>
      </c>
      <c r="C62" s="120"/>
      <c r="D62" s="17"/>
      <c r="E62" s="56"/>
      <c r="F62" s="56"/>
      <c r="G62" s="56"/>
      <c r="H62" s="12"/>
      <c r="I62" s="56"/>
      <c r="J62" s="11"/>
      <c r="K62" s="17"/>
      <c r="L62" s="17"/>
      <c r="M62" s="11"/>
    </row>
    <row r="63" spans="1:14" ht="15" thickBot="1" x14ac:dyDescent="0.4">
      <c r="B63" s="17"/>
      <c r="C63" s="43"/>
      <c r="D63" s="44"/>
      <c r="E63" s="44"/>
      <c r="F63" s="44"/>
      <c r="G63" s="44"/>
      <c r="H63" s="43"/>
      <c r="I63" s="44"/>
      <c r="J63" s="45"/>
      <c r="K63" s="44"/>
      <c r="L63" s="44"/>
      <c r="M63" s="45"/>
    </row>
    <row r="64" spans="1:14" x14ac:dyDescent="0.35">
      <c r="D64" s="47"/>
    </row>
    <row r="65" spans="1:13" x14ac:dyDescent="0.35">
      <c r="A65" s="69" t="s">
        <v>11</v>
      </c>
      <c r="B65" s="69"/>
      <c r="C65" s="69"/>
      <c r="D65" s="69"/>
    </row>
    <row r="66" spans="1:13" ht="81" customHeight="1" x14ac:dyDescent="0.35">
      <c r="A66" s="316" t="s">
        <v>222</v>
      </c>
      <c r="B66" s="316"/>
      <c r="C66" s="316"/>
      <c r="D66" s="316"/>
      <c r="E66" s="316"/>
      <c r="F66" s="316"/>
      <c r="G66" s="316"/>
      <c r="H66" s="316"/>
      <c r="I66" s="316"/>
      <c r="J66" s="316"/>
      <c r="K66" s="237"/>
      <c r="L66" s="237"/>
      <c r="M66" s="237"/>
    </row>
    <row r="67" spans="1:13" ht="42.75" customHeight="1" x14ac:dyDescent="0.35">
      <c r="A67" s="316" t="s">
        <v>219</v>
      </c>
      <c r="B67" s="316"/>
      <c r="C67" s="316"/>
      <c r="D67" s="316"/>
      <c r="E67" s="316"/>
      <c r="F67" s="316"/>
      <c r="G67" s="316"/>
      <c r="H67" s="316"/>
      <c r="I67" s="316"/>
      <c r="J67" s="316"/>
      <c r="K67" s="237"/>
      <c r="L67" s="237"/>
      <c r="M67" s="237"/>
    </row>
    <row r="68" spans="1:13" ht="63.75" customHeight="1" x14ac:dyDescent="0.35">
      <c r="A68" s="316" t="s">
        <v>220</v>
      </c>
      <c r="B68" s="316"/>
      <c r="C68" s="316"/>
      <c r="D68" s="316"/>
      <c r="E68" s="316"/>
      <c r="F68" s="316"/>
      <c r="G68" s="316"/>
      <c r="H68" s="316"/>
      <c r="I68" s="316"/>
      <c r="J68" s="316"/>
      <c r="K68" s="237"/>
      <c r="L68" s="237"/>
      <c r="M68" s="237"/>
    </row>
    <row r="69" spans="1:13" x14ac:dyDescent="0.35">
      <c r="A69" s="3" t="s">
        <v>31</v>
      </c>
      <c r="B69" s="3"/>
      <c r="C69" s="3"/>
      <c r="D69" s="3"/>
      <c r="J69" s="4"/>
    </row>
    <row r="70" spans="1:13" x14ac:dyDescent="0.35">
      <c r="A70" s="63" t="s">
        <v>201</v>
      </c>
      <c r="B70" s="3"/>
      <c r="C70" s="3"/>
      <c r="D70" s="3"/>
      <c r="J70" s="4"/>
    </row>
    <row r="71" spans="1:13" x14ac:dyDescent="0.35">
      <c r="A71" s="3" t="s">
        <v>51</v>
      </c>
      <c r="B71" s="3"/>
      <c r="C71" s="3"/>
      <c r="D71" s="3"/>
      <c r="J71" s="4"/>
    </row>
    <row r="72" spans="1:13" x14ac:dyDescent="0.35">
      <c r="A72" s="3"/>
    </row>
    <row r="73" spans="1:13" ht="33.75" customHeight="1" x14ac:dyDescent="0.35">
      <c r="A73" s="312"/>
      <c r="B73" s="312"/>
      <c r="C73" s="312"/>
      <c r="D73" s="312"/>
      <c r="E73" s="312"/>
      <c r="F73" s="312"/>
      <c r="G73" s="312"/>
    </row>
    <row r="75" spans="1:13" ht="31.5" customHeight="1" x14ac:dyDescent="0.35">
      <c r="A75" s="312"/>
      <c r="B75" s="312"/>
      <c r="C75" s="312"/>
      <c r="D75" s="312"/>
      <c r="E75" s="312"/>
      <c r="F75" s="312"/>
      <c r="G75" s="312"/>
    </row>
    <row r="81" spans="14:14" x14ac:dyDescent="0.35">
      <c r="N81" s="8"/>
    </row>
  </sheetData>
  <mergeCells count="8">
    <mergeCell ref="K11:M11"/>
    <mergeCell ref="A66:J66"/>
    <mergeCell ref="A67:J67"/>
    <mergeCell ref="A75:G75"/>
    <mergeCell ref="A73:G73"/>
    <mergeCell ref="A68:J68"/>
    <mergeCell ref="E11:G11"/>
    <mergeCell ref="H11:J11"/>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workbookViewId="0">
      <selection activeCell="G12" sqref="G12"/>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Metro, Inc. - DSIM Rider Update Filed 06/01/2023</v>
      </c>
    </row>
    <row r="2" spans="1:23" x14ac:dyDescent="0.35">
      <c r="A2" s="9" t="str">
        <f>+'PPC Cycle 3'!A2</f>
        <v>Projections for Cycle 3 July 2023 - June 2024 DSIM</v>
      </c>
    </row>
    <row r="3" spans="1:23" s="46" customFormat="1" x14ac:dyDescent="0.35">
      <c r="A3" s="9"/>
    </row>
    <row r="4" spans="1:23" ht="40.5" customHeight="1" x14ac:dyDescent="0.35">
      <c r="B4" s="310" t="s">
        <v>64</v>
      </c>
      <c r="C4" s="310"/>
    </row>
    <row r="5" spans="1:23" ht="29" x14ac:dyDescent="0.35">
      <c r="B5" s="152" t="s">
        <v>65</v>
      </c>
      <c r="C5" s="6" t="s">
        <v>29</v>
      </c>
    </row>
    <row r="6" spans="1:23" x14ac:dyDescent="0.35">
      <c r="A6" s="20" t="s">
        <v>24</v>
      </c>
      <c r="B6" s="23">
        <f>SUM(0)</f>
        <v>0</v>
      </c>
      <c r="C6" s="86">
        <f>ROUND(SUM(0),2)</f>
        <v>0</v>
      </c>
    </row>
    <row r="7" spans="1:23" x14ac:dyDescent="0.35">
      <c r="A7" s="30" t="s">
        <v>25</v>
      </c>
      <c r="B7" s="23">
        <f>+B14</f>
        <v>0</v>
      </c>
      <c r="C7" s="86">
        <f>+C14</f>
        <v>0</v>
      </c>
    </row>
    <row r="8" spans="1:23" x14ac:dyDescent="0.35">
      <c r="A8" s="20" t="s">
        <v>5</v>
      </c>
      <c r="B8" s="24">
        <f>SUM(B6:B7)</f>
        <v>0</v>
      </c>
      <c r="C8" s="22">
        <f>SUM(C6:C7)</f>
        <v>0</v>
      </c>
    </row>
    <row r="9" spans="1:23" s="46" customFormat="1" x14ac:dyDescent="0.35">
      <c r="A9" s="20"/>
    </row>
    <row r="10" spans="1:23" s="46" customFormat="1" x14ac:dyDescent="0.35">
      <c r="A10" s="20" t="s">
        <v>107</v>
      </c>
      <c r="B10" s="23">
        <f>SUM(0)</f>
        <v>0</v>
      </c>
      <c r="C10" s="86">
        <f>ROUND(SUM(0),2)</f>
        <v>0</v>
      </c>
    </row>
    <row r="11" spans="1:23" s="46" customFormat="1" x14ac:dyDescent="0.35">
      <c r="A11" s="20" t="s">
        <v>108</v>
      </c>
      <c r="B11" s="23">
        <f t="shared" ref="B11:B13" si="0">SUM(0)</f>
        <v>0</v>
      </c>
      <c r="C11" s="86">
        <f t="shared" ref="C11:C13" si="1">ROUND(SUM(0),2)</f>
        <v>0</v>
      </c>
    </row>
    <row r="12" spans="1:23" s="46" customFormat="1" x14ac:dyDescent="0.35">
      <c r="A12" s="20" t="s">
        <v>109</v>
      </c>
      <c r="B12" s="23">
        <f t="shared" si="0"/>
        <v>0</v>
      </c>
      <c r="C12" s="86">
        <f t="shared" si="1"/>
        <v>0</v>
      </c>
    </row>
    <row r="13" spans="1:23" s="46" customFormat="1" x14ac:dyDescent="0.35">
      <c r="A13" s="20" t="s">
        <v>110</v>
      </c>
      <c r="B13" s="23">
        <f t="shared" si="0"/>
        <v>0</v>
      </c>
      <c r="C13" s="86">
        <f t="shared" si="1"/>
        <v>0</v>
      </c>
    </row>
    <row r="14" spans="1:23" x14ac:dyDescent="0.35">
      <c r="A14" s="30" t="s">
        <v>112</v>
      </c>
      <c r="B14" s="24">
        <f>SUM(B10:B13)</f>
        <v>0</v>
      </c>
      <c r="C14" s="22">
        <f>SUM(C10:C13)</f>
        <v>0</v>
      </c>
    </row>
    <row r="15" spans="1:23" x14ac:dyDescent="0.35">
      <c r="A15" s="46"/>
      <c r="B15" s="46"/>
      <c r="C15" s="46"/>
    </row>
    <row r="16" spans="1:23" x14ac:dyDescent="0.35">
      <c r="A16" s="69" t="s">
        <v>30</v>
      </c>
      <c r="B16" s="20"/>
      <c r="C16" s="21"/>
      <c r="N16" s="1"/>
      <c r="O16" s="1"/>
      <c r="P16" s="1"/>
      <c r="Q16" s="1"/>
      <c r="R16" s="1"/>
      <c r="S16" s="1"/>
      <c r="T16" s="1"/>
      <c r="U16" s="1"/>
      <c r="V16" s="1"/>
      <c r="W16" s="1"/>
    </row>
    <row r="17" spans="1:13" s="39" customFormat="1" ht="27" customHeight="1" x14ac:dyDescent="0.35">
      <c r="A17" s="309" t="s">
        <v>285</v>
      </c>
      <c r="B17" s="309"/>
      <c r="C17" s="309"/>
      <c r="D17" s="309"/>
      <c r="E17" s="309"/>
      <c r="F17" s="309"/>
      <c r="G17" s="309"/>
      <c r="H17" s="309"/>
      <c r="I17" s="309"/>
      <c r="J17" s="309"/>
      <c r="K17" s="309"/>
      <c r="L17" s="309"/>
      <c r="M17" s="309"/>
    </row>
    <row r="18" spans="1:13" s="39" customFormat="1" x14ac:dyDescent="0.35">
      <c r="A18" s="311" t="s">
        <v>178</v>
      </c>
      <c r="B18" s="311"/>
      <c r="C18" s="311"/>
      <c r="D18" s="311"/>
      <c r="E18" s="311"/>
      <c r="F18" s="311"/>
      <c r="G18" s="311"/>
      <c r="H18" s="311"/>
      <c r="I18" s="311"/>
      <c r="J18" s="311"/>
      <c r="K18" s="311"/>
      <c r="L18" s="311"/>
      <c r="M18" s="311"/>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I16" sqref="I16"/>
    </sheetView>
  </sheetViews>
  <sheetFormatPr defaultColWidth="9.1796875" defaultRowHeight="14.5" x14ac:dyDescent="0.35"/>
  <cols>
    <col min="1" max="1" width="24.7265625" style="46" customWidth="1"/>
    <col min="2" max="2" width="16.1796875" style="46" customWidth="1"/>
    <col min="3" max="3" width="15.1796875" style="46" customWidth="1"/>
    <col min="4" max="4" width="12.54296875" style="46" bestFit="1" customWidth="1"/>
    <col min="5" max="5" width="11.54296875" style="46" bestFit="1" customWidth="1"/>
    <col min="6" max="16384" width="9.1796875" style="46"/>
  </cols>
  <sheetData>
    <row r="1" spans="1:23" x14ac:dyDescent="0.35">
      <c r="A1" s="3" t="str">
        <f>+'PPC Cycle 3'!A1</f>
        <v>Evergy Metro, Inc. - DSIM Rider Update Filed 06/01/2023</v>
      </c>
    </row>
    <row r="2" spans="1:23" x14ac:dyDescent="0.35">
      <c r="A2" s="9" t="str">
        <f>+'PPC Cycle 3'!A2</f>
        <v>Projections for Cycle 3 July 2023 - June 2024 DSIM</v>
      </c>
    </row>
    <row r="3" spans="1:23" x14ac:dyDescent="0.35">
      <c r="A3" s="9"/>
    </row>
    <row r="4" spans="1:23" ht="40.5" customHeight="1" x14ac:dyDescent="0.35">
      <c r="B4" s="310" t="s">
        <v>114</v>
      </c>
      <c r="C4" s="310"/>
    </row>
    <row r="5" spans="1:23" ht="58" x14ac:dyDescent="0.35">
      <c r="B5" s="152" t="s">
        <v>65</v>
      </c>
      <c r="C5" s="48" t="s">
        <v>29</v>
      </c>
      <c r="D5" s="287" t="str">
        <f>+'PPC Cycle 3'!D4</f>
        <v>3. Cycle 3 Forecast - July 2023 - June 2024</v>
      </c>
      <c r="E5" s="287" t="str">
        <f>+'PPC Cycle 3'!E4</f>
        <v>4. Cycle 3 Extension - July 2023 - June 2024</v>
      </c>
    </row>
    <row r="6" spans="1:23" x14ac:dyDescent="0.35">
      <c r="A6" s="20" t="s">
        <v>24</v>
      </c>
      <c r="B6" s="23">
        <f>SUM('[2]Monthly TD Calc'!$AU$462:$BF$462)+SUM('[2]Monthly TD Calc Ext'!AU462:BF462)</f>
        <v>31388575.113564275</v>
      </c>
      <c r="C6" s="86">
        <f>SUM(D6:E6)</f>
        <v>2131498.56</v>
      </c>
      <c r="D6" s="233">
        <f>ROUND(SUM('[2]Monthly TD Calc'!AU564:BF564),2)</f>
        <v>1317283.8600000001</v>
      </c>
      <c r="E6" s="233">
        <f>ROUND(SUM('[2]Monthly TD Calc Ext'!AU564:BF564),2)</f>
        <v>814214.7</v>
      </c>
    </row>
    <row r="7" spans="1:23" x14ac:dyDescent="0.35">
      <c r="A7" s="20" t="s">
        <v>107</v>
      </c>
      <c r="B7" s="23">
        <f>SUM('[2]Monthly TD Calc'!$AU$462:$BF$462)+SUM('[2]Monthly TD Calc Ext'!AU463:BF463)</f>
        <v>22939096.108512111</v>
      </c>
      <c r="C7" s="86">
        <f t="shared" ref="C7:C10" si="0">SUM(D7:E7)</f>
        <v>322625.63</v>
      </c>
      <c r="D7" s="233">
        <f>ROUND(SUM('[2]Monthly TD Calc'!AU565:BF565),2)</f>
        <v>213122.81</v>
      </c>
      <c r="E7" s="233">
        <f>ROUND(SUM('[2]Monthly TD Calc Ext'!AU565:BF565),2)</f>
        <v>109502.82</v>
      </c>
    </row>
    <row r="8" spans="1:23" x14ac:dyDescent="0.35">
      <c r="A8" s="20" t="s">
        <v>108</v>
      </c>
      <c r="B8" s="23">
        <f>SUM('[2]Monthly TD Calc'!$AU$462:$BF$462)+SUM('[2]Monthly TD Calc Ext'!AU464:BF464)</f>
        <v>24978696.711798854</v>
      </c>
      <c r="C8" s="86">
        <f t="shared" si="0"/>
        <v>504189.37</v>
      </c>
      <c r="D8" s="233">
        <f>ROUND(SUM('[2]Monthly TD Calc'!AU566:BF566),2)</f>
        <v>334574.40999999997</v>
      </c>
      <c r="E8" s="233">
        <f>ROUND(SUM('[2]Monthly TD Calc Ext'!AU566:BF566),2)</f>
        <v>169614.96</v>
      </c>
    </row>
    <row r="9" spans="1:23" x14ac:dyDescent="0.35">
      <c r="A9" s="20" t="s">
        <v>109</v>
      </c>
      <c r="B9" s="23">
        <f>SUM('[2]Monthly TD Calc'!$AU$462:$BF$462)+SUM('[2]Monthly TD Calc Ext'!AU465:BF465)</f>
        <v>26876758.376521874</v>
      </c>
      <c r="C9" s="86">
        <f t="shared" si="0"/>
        <v>504623.95</v>
      </c>
      <c r="D9" s="233">
        <f>ROUND(SUM('[2]Monthly TD Calc'!AU567:BF567),2)</f>
        <v>337618.38</v>
      </c>
      <c r="E9" s="233">
        <f>ROUND(SUM('[2]Monthly TD Calc Ext'!AU567:BF567),2)</f>
        <v>167005.57</v>
      </c>
    </row>
    <row r="10" spans="1:23" x14ac:dyDescent="0.35">
      <c r="A10" s="20" t="s">
        <v>110</v>
      </c>
      <c r="B10" s="23">
        <f>SUM('[2]Monthly TD Calc'!$AU$462:$BF$462)+SUM('[2]Monthly TD Calc Ext'!AU466:BF466)</f>
        <v>22598638.256527275</v>
      </c>
      <c r="C10" s="86">
        <f t="shared" si="0"/>
        <v>40165.08</v>
      </c>
      <c r="D10" s="233">
        <f>ROUND(SUM('[2]Monthly TD Calc'!AU568:BF568),2)</f>
        <v>21754.26</v>
      </c>
      <c r="E10" s="233">
        <f>ROUND(SUM('[2]Monthly TD Calc Ext'!AU568:BF568),2)</f>
        <v>18410.82</v>
      </c>
    </row>
    <row r="11" spans="1:23" x14ac:dyDescent="0.35">
      <c r="A11" s="30" t="s">
        <v>5</v>
      </c>
      <c r="B11" s="24">
        <f>SUM(B6:B10)</f>
        <v>128781764.56692438</v>
      </c>
      <c r="C11" s="291">
        <f>SUM(C6:C10)</f>
        <v>3503102.5900000003</v>
      </c>
      <c r="D11" s="291">
        <f t="shared" ref="D11:E11" si="1">SUM(D6:D10)</f>
        <v>2224353.7199999997</v>
      </c>
      <c r="E11" s="291">
        <f t="shared" si="1"/>
        <v>1278748.8700000001</v>
      </c>
    </row>
    <row r="13" spans="1:23" x14ac:dyDescent="0.35">
      <c r="A13" s="69" t="s">
        <v>30</v>
      </c>
      <c r="B13" s="20"/>
      <c r="C13" s="21"/>
      <c r="N13" s="1"/>
      <c r="O13" s="1"/>
      <c r="P13" s="1"/>
      <c r="Q13" s="1"/>
      <c r="R13" s="1"/>
      <c r="S13" s="1"/>
      <c r="T13" s="1"/>
      <c r="U13" s="1"/>
      <c r="V13" s="1"/>
      <c r="W13" s="1"/>
    </row>
    <row r="14" spans="1:23" s="39" customFormat="1" ht="27.75" customHeight="1" x14ac:dyDescent="0.35">
      <c r="A14" s="309" t="s">
        <v>286</v>
      </c>
      <c r="B14" s="309"/>
      <c r="C14" s="309"/>
      <c r="D14" s="309"/>
      <c r="E14" s="309"/>
      <c r="F14" s="290"/>
      <c r="G14" s="290"/>
      <c r="H14" s="290"/>
      <c r="I14" s="290"/>
      <c r="J14" s="290"/>
      <c r="K14" s="290"/>
      <c r="L14" s="290"/>
      <c r="M14" s="290"/>
    </row>
    <row r="15" spans="1:23" s="39" customFormat="1" x14ac:dyDescent="0.35">
      <c r="A15" s="311" t="s">
        <v>174</v>
      </c>
      <c r="B15" s="311"/>
      <c r="C15" s="311"/>
      <c r="D15" s="311"/>
      <c r="E15" s="311"/>
      <c r="F15" s="311"/>
      <c r="G15" s="311"/>
      <c r="H15" s="311"/>
      <c r="I15" s="311"/>
      <c r="J15" s="311"/>
      <c r="K15" s="311"/>
      <c r="L15" s="311"/>
      <c r="M15" s="311"/>
    </row>
    <row r="16" spans="1:23" ht="32.25" customHeight="1" x14ac:dyDescent="0.35">
      <c r="A16" s="322" t="s">
        <v>204</v>
      </c>
      <c r="B16" s="322"/>
      <c r="C16" s="322"/>
      <c r="D16" s="322"/>
      <c r="E16" s="322"/>
      <c r="F16" s="290"/>
      <c r="G16" s="290"/>
      <c r="H16" s="290"/>
      <c r="I16" s="290"/>
      <c r="J16" s="290"/>
      <c r="K16" s="290"/>
      <c r="L16" s="290"/>
      <c r="M16" s="290"/>
    </row>
    <row r="17" spans="1:13" ht="30.75" customHeight="1" x14ac:dyDescent="0.35">
      <c r="A17" s="309" t="s">
        <v>205</v>
      </c>
      <c r="B17" s="309"/>
      <c r="C17" s="309"/>
      <c r="D17" s="309"/>
      <c r="E17" s="309"/>
      <c r="F17" s="290"/>
      <c r="G17" s="290"/>
      <c r="H17" s="290"/>
      <c r="I17" s="290"/>
      <c r="J17" s="290"/>
      <c r="K17" s="290"/>
      <c r="L17" s="290"/>
      <c r="M17" s="290"/>
    </row>
    <row r="18" spans="1:13" x14ac:dyDescent="0.35">
      <c r="A18" s="46" t="s">
        <v>198</v>
      </c>
    </row>
    <row r="35" spans="2:3" x14ac:dyDescent="0.35">
      <c r="B35" s="8"/>
      <c r="C35" s="8"/>
    </row>
    <row r="39" spans="2:3" x14ac:dyDescent="0.35">
      <c r="B39" s="8"/>
      <c r="C39" s="8"/>
    </row>
  </sheetData>
  <mergeCells count="5">
    <mergeCell ref="B4:C4"/>
    <mergeCell ref="A15:M15"/>
    <mergeCell ref="A14:E14"/>
    <mergeCell ref="A16:E16"/>
    <mergeCell ref="A17:E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B45" activePane="bottomRight" state="frozen"/>
      <selection activeCell="J26" sqref="J26"/>
      <selection pane="topRight" activeCell="J26" sqref="J26"/>
      <selection pane="bottomLeft" activeCell="J26" sqref="J26"/>
      <selection pane="bottomRight" activeCell="P1" sqref="P1:P1048576"/>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0.72656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Metro, Inc. - DSIM Rider Update Filed 06/01/2023</v>
      </c>
      <c r="B1" s="3"/>
      <c r="C1" s="3"/>
      <c r="D1" s="3"/>
    </row>
    <row r="2" spans="1:35" x14ac:dyDescent="0.35">
      <c r="E2" s="3" t="s">
        <v>61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SUM(C19:M19)</f>
        <v>374507.32581000001</v>
      </c>
      <c r="F4" s="138">
        <f>N26</f>
        <v>3662309.1959070778</v>
      </c>
      <c r="G4" s="22">
        <f>SUM(C33:L33)</f>
        <v>218434.81</v>
      </c>
      <c r="H4" s="22">
        <f>G4-E4</f>
        <v>-156072.51581000001</v>
      </c>
      <c r="I4" s="22">
        <f>+B46</f>
        <v>697345.69247000001</v>
      </c>
      <c r="J4" s="22">
        <f>SUM(C51:L51)</f>
        <v>24563.74</v>
      </c>
      <c r="K4" s="25">
        <f>SUM(H4:J4)</f>
        <v>565836.91665999999</v>
      </c>
      <c r="L4" s="47">
        <f>+K4-M46</f>
        <v>0</v>
      </c>
    </row>
    <row r="5" spans="1:35" ht="15" thickBot="1" x14ac:dyDescent="0.4">
      <c r="A5" s="20" t="s">
        <v>25</v>
      </c>
      <c r="B5" s="20"/>
      <c r="C5" s="20"/>
      <c r="D5" s="20"/>
      <c r="E5" s="22">
        <f>SUM(C20:M23)</f>
        <v>466200.10186999995</v>
      </c>
      <c r="F5" s="138">
        <f>SUM(N27:N30)</f>
        <v>5785418.8053799951</v>
      </c>
      <c r="G5" s="22">
        <f>SUM(C34:L37)</f>
        <v>197001.62999999998</v>
      </c>
      <c r="H5" s="22">
        <f>G5-E5</f>
        <v>-269198.47187000001</v>
      </c>
      <c r="I5" s="22">
        <f>+B47</f>
        <v>821073.5195999993</v>
      </c>
      <c r="J5" s="22">
        <f>SUM(C52:L52)</f>
        <v>26264.659999999996</v>
      </c>
      <c r="K5" s="25">
        <f>SUM(H5:J5)</f>
        <v>578139.70772999933</v>
      </c>
      <c r="L5" s="47">
        <f>+K5-M47</f>
        <v>0</v>
      </c>
    </row>
    <row r="6" spans="1:35" ht="15.5" thickTop="1" thickBot="1" x14ac:dyDescent="0.4">
      <c r="E6" s="27">
        <f t="shared" ref="E6" si="0">SUM(E4:E5)</f>
        <v>840707.42767999996</v>
      </c>
      <c r="F6" s="139">
        <f t="shared" ref="F6:I6" si="1">SUM(F4:F5)</f>
        <v>9447728.0012870729</v>
      </c>
      <c r="G6" s="27">
        <f t="shared" si="1"/>
        <v>415436.43999999994</v>
      </c>
      <c r="H6" s="27">
        <f t="shared" si="1"/>
        <v>-425270.98768000002</v>
      </c>
      <c r="I6" s="27">
        <f t="shared" si="1"/>
        <v>1518419.2120699994</v>
      </c>
      <c r="J6" s="27">
        <f>SUM(J4:J5)</f>
        <v>50828.399999999994</v>
      </c>
      <c r="K6" s="27">
        <f>SUM(K4:K5)</f>
        <v>1143976.6243899993</v>
      </c>
      <c r="T6" s="5"/>
    </row>
    <row r="7" spans="1:35" ht="44" thickTop="1" x14ac:dyDescent="0.35">
      <c r="K7" s="230"/>
      <c r="L7" s="229" t="s">
        <v>125</v>
      </c>
    </row>
    <row r="8" spans="1:35" x14ac:dyDescent="0.35">
      <c r="A8" s="20" t="s">
        <v>107</v>
      </c>
      <c r="K8" s="25">
        <f>ROUND($K$5*L8,2)</f>
        <v>78490.8</v>
      </c>
      <c r="L8" s="227">
        <f>+'PCR Cycle 2'!L8</f>
        <v>0.13576441564001979</v>
      </c>
    </row>
    <row r="9" spans="1:35" x14ac:dyDescent="0.35">
      <c r="A9" s="20" t="s">
        <v>108</v>
      </c>
      <c r="K9" s="25">
        <f t="shared" ref="K9:K11" si="2">ROUND($K$5*L9,2)</f>
        <v>205884.65</v>
      </c>
      <c r="L9" s="227">
        <f>+'PCR Cycle 2'!L9</f>
        <v>0.35611574316442379</v>
      </c>
    </row>
    <row r="10" spans="1:35" x14ac:dyDescent="0.35">
      <c r="A10" s="20" t="s">
        <v>109</v>
      </c>
      <c r="K10" s="25">
        <f t="shared" si="2"/>
        <v>241846.58</v>
      </c>
      <c r="L10" s="227">
        <f>+'PCR Cycle 2'!L10</f>
        <v>0.4183185730547726</v>
      </c>
    </row>
    <row r="11" spans="1:35" ht="15" thickBot="1" x14ac:dyDescent="0.4">
      <c r="A11" s="20" t="s">
        <v>110</v>
      </c>
      <c r="J11" s="4"/>
      <c r="K11" s="25">
        <f t="shared" si="2"/>
        <v>51917.68</v>
      </c>
      <c r="L11" s="227">
        <f>+'PCR Cycle 2'!L11</f>
        <v>8.9801268140783777E-2</v>
      </c>
      <c r="V11" s="4"/>
    </row>
    <row r="12" spans="1:35" ht="15.5" thickTop="1" thickBot="1" x14ac:dyDescent="0.4">
      <c r="A12" s="20" t="s">
        <v>112</v>
      </c>
      <c r="K12" s="27">
        <f>SUM(K8:K11)</f>
        <v>578139.71000000008</v>
      </c>
      <c r="L12" s="228">
        <f>SUM(L8:L11)</f>
        <v>1</v>
      </c>
      <c r="V12" s="4"/>
      <c r="W12" s="5"/>
    </row>
    <row r="13" spans="1:35" ht="15.5" thickTop="1" thickBot="1" x14ac:dyDescent="0.4">
      <c r="V13" s="4"/>
      <c r="W13" s="5"/>
    </row>
    <row r="14" spans="1:35" ht="116.5" thickBot="1" x14ac:dyDescent="0.4">
      <c r="B14" s="118" t="str">
        <f>+'PCR Cycle 2'!B14</f>
        <v>Cumulative Over/Under Carryover From 12/01/2022 Filing</v>
      </c>
      <c r="C14" s="153" t="str">
        <f>+'PCR Cycle 2'!C14</f>
        <v>Reverse November 2022 - January 2023 Forecast From 12/01/2022 Filing</v>
      </c>
      <c r="D14" s="153">
        <f>+'PCR Cycle 2'!D14</f>
        <v>0</v>
      </c>
      <c r="E14" s="317" t="s">
        <v>33</v>
      </c>
      <c r="F14" s="317"/>
      <c r="G14" s="318"/>
      <c r="H14" s="323" t="s">
        <v>33</v>
      </c>
      <c r="I14" s="324"/>
      <c r="J14" s="325"/>
      <c r="K14" s="313" t="s">
        <v>8</v>
      </c>
      <c r="L14" s="314"/>
      <c r="M14" s="315"/>
    </row>
    <row r="15" spans="1:35" x14ac:dyDescent="0.35">
      <c r="A15" s="46" t="s">
        <v>63</v>
      </c>
      <c r="C15" s="105"/>
      <c r="D15" s="214"/>
      <c r="E15" s="19">
        <f>+'PCR Cycle 2'!E15</f>
        <v>44895</v>
      </c>
      <c r="F15" s="19">
        <f t="shared" ref="F15:M15" si="3">EOMONTH(E15,1)</f>
        <v>44926</v>
      </c>
      <c r="G15" s="19">
        <f t="shared" si="3"/>
        <v>44957</v>
      </c>
      <c r="H15" s="14">
        <f t="shared" si="3"/>
        <v>44985</v>
      </c>
      <c r="I15" s="19">
        <f t="shared" si="3"/>
        <v>45016</v>
      </c>
      <c r="J15" s="15">
        <f t="shared" si="3"/>
        <v>45046</v>
      </c>
      <c r="K15" s="19">
        <f t="shared" si="3"/>
        <v>45077</v>
      </c>
      <c r="L15" s="19">
        <f t="shared" si="3"/>
        <v>45107</v>
      </c>
      <c r="M15" s="15">
        <f t="shared" si="3"/>
        <v>45138</v>
      </c>
      <c r="Z15" s="1"/>
      <c r="AA15" s="1"/>
      <c r="AB15" s="1"/>
      <c r="AC15" s="1"/>
      <c r="AD15" s="1"/>
      <c r="AE15" s="1"/>
      <c r="AF15" s="1"/>
      <c r="AG15" s="1"/>
      <c r="AH15" s="1"/>
      <c r="AI15" s="1"/>
    </row>
    <row r="16" spans="1:35" x14ac:dyDescent="0.35">
      <c r="A16" s="46" t="s">
        <v>5</v>
      </c>
      <c r="C16" s="194">
        <v>-412698.88000000006</v>
      </c>
      <c r="D16" s="197">
        <f t="shared" ref="D16" si="4">+D33+D37</f>
        <v>0</v>
      </c>
      <c r="E16" s="109">
        <f>SUM(E33:E37)</f>
        <v>412698.88000000006</v>
      </c>
      <c r="F16" s="109">
        <f t="shared" ref="F16:L16" si="5">SUM(F33:F37)</f>
        <v>415436.44</v>
      </c>
      <c r="G16" s="110">
        <f t="shared" si="5"/>
        <v>0</v>
      </c>
      <c r="H16" s="16">
        <f t="shared" si="5"/>
        <v>0</v>
      </c>
      <c r="I16" s="55">
        <f t="shared" si="5"/>
        <v>0</v>
      </c>
      <c r="J16" s="166">
        <f t="shared" si="5"/>
        <v>0</v>
      </c>
      <c r="K16" s="159">
        <f t="shared" si="5"/>
        <v>0</v>
      </c>
      <c r="L16" s="78">
        <f t="shared" si="5"/>
        <v>0</v>
      </c>
      <c r="M16" s="79"/>
    </row>
    <row r="17" spans="1:15" x14ac:dyDescent="0.35">
      <c r="C17" s="99"/>
      <c r="D17" s="198"/>
      <c r="E17" s="17"/>
      <c r="F17" s="17"/>
      <c r="G17" s="17"/>
      <c r="H17" s="10"/>
      <c r="I17" s="17"/>
      <c r="J17" s="11"/>
      <c r="K17" s="31"/>
      <c r="L17" s="31"/>
      <c r="M17" s="29"/>
    </row>
    <row r="18" spans="1:15" x14ac:dyDescent="0.35">
      <c r="A18" s="46" t="s">
        <v>62</v>
      </c>
      <c r="C18" s="99"/>
      <c r="D18" s="198"/>
      <c r="E18" s="18"/>
      <c r="F18" s="18"/>
      <c r="G18" s="18"/>
      <c r="H18" s="91"/>
      <c r="I18" s="18"/>
      <c r="J18" s="167"/>
      <c r="K18" s="31"/>
      <c r="L18" s="31"/>
      <c r="M18" s="29"/>
      <c r="N18" s="3" t="s">
        <v>68</v>
      </c>
      <c r="O18" s="39"/>
    </row>
    <row r="19" spans="1:15" x14ac:dyDescent="0.35">
      <c r="A19" s="46" t="s">
        <v>24</v>
      </c>
      <c r="C19" s="194">
        <v>-459912.48752999998</v>
      </c>
      <c r="D19" s="197">
        <v>0</v>
      </c>
      <c r="E19" s="136">
        <f>ROUND('[4]Nov 2022'!$F61,2)</f>
        <v>110816.95</v>
      </c>
      <c r="F19" s="136">
        <f>ROUND('[4]Dec 2022'!$F61,2)</f>
        <v>154077.85999999999</v>
      </c>
      <c r="G19" s="136">
        <f>ROUND('[4]Jan 2023'!$F61,2)</f>
        <v>186806.14</v>
      </c>
      <c r="H19" s="16">
        <f>ROUND('[4]Feb 2023'!$F61,2)</f>
        <v>120777.68</v>
      </c>
      <c r="I19" s="121">
        <f>ROUND('[4]Mar 2023'!$F61,2)</f>
        <v>51726.16</v>
      </c>
      <c r="J19" s="171">
        <f>ROUND('[4]Apr 2023'!$F61,2)</f>
        <v>44401.49</v>
      </c>
      <c r="K19" s="123">
        <f>'PCR Cycle 2'!K27*'TDR Cycle 2'!$N19</f>
        <v>40732.587999999996</v>
      </c>
      <c r="L19" s="41">
        <f>'PCR Cycle 2'!L27*'TDR Cycle 2'!$N19</f>
        <v>51086.206339999997</v>
      </c>
      <c r="M19" s="61">
        <f>'PCR Cycle 2'!M27*'TDR Cycle 2'!$N19</f>
        <v>73994.738999999987</v>
      </c>
      <c r="N19" s="72">
        <v>2.5999999999999998E-4</v>
      </c>
      <c r="O19" s="4"/>
    </row>
    <row r="20" spans="1:15" x14ac:dyDescent="0.35">
      <c r="A20" s="46" t="s">
        <v>107</v>
      </c>
      <c r="C20" s="194">
        <v>-72484.850360000011</v>
      </c>
      <c r="D20" s="197"/>
      <c r="E20" s="136">
        <f>ROUND('[4]Nov 2022'!$F62,2)</f>
        <v>23000.13</v>
      </c>
      <c r="F20" s="136">
        <f>ROUND('[4]Dec 2022'!$F62,2)</f>
        <v>26541.67</v>
      </c>
      <c r="G20" s="136">
        <f>ROUND('[4]Jan 2023'!$F62,2)</f>
        <v>30378.04</v>
      </c>
      <c r="H20" s="16">
        <f>ROUND('[4]Feb 2023'!$F62,2)</f>
        <v>20791.77</v>
      </c>
      <c r="I20" s="121">
        <f>ROUND('[4]Mar 2023'!$F62,2)</f>
        <v>9655.85</v>
      </c>
      <c r="J20" s="171">
        <f>ROUND('[4]Apr 2023'!$F62,2)</f>
        <v>8870.1200000000008</v>
      </c>
      <c r="K20" s="123">
        <f>'PCR Cycle 2'!K28*'TDR Cycle 2'!$N20</f>
        <v>9033.5933999999997</v>
      </c>
      <c r="L20" s="41">
        <f>'PCR Cycle 2'!L28*'TDR Cycle 2'!$N20</f>
        <v>9936.6206000000002</v>
      </c>
      <c r="M20" s="61">
        <f>'PCR Cycle 2'!M28*'TDR Cycle 2'!$N20</f>
        <v>11131.2304</v>
      </c>
      <c r="N20" s="72">
        <v>2.0000000000000001E-4</v>
      </c>
      <c r="O20" s="4"/>
    </row>
    <row r="21" spans="1:15" x14ac:dyDescent="0.35">
      <c r="A21" s="46" t="s">
        <v>108</v>
      </c>
      <c r="C21" s="194">
        <v>-178983.96224000002</v>
      </c>
      <c r="D21" s="197"/>
      <c r="E21" s="136">
        <f>ROUND('[4]Nov 2022'!$F63,2)</f>
        <v>53624.91</v>
      </c>
      <c r="F21" s="136">
        <f>ROUND('[4]Dec 2022'!$F63,2)</f>
        <v>57574.54</v>
      </c>
      <c r="G21" s="136">
        <f>ROUND('[4]Jan 2023'!$F63,2)</f>
        <v>65241.38</v>
      </c>
      <c r="H21" s="16">
        <f>ROUND('[4]Feb 2023'!$F63,2)</f>
        <v>47565.34</v>
      </c>
      <c r="I21" s="121">
        <f>ROUND('[4]Mar 2023'!$F63,2)</f>
        <v>22441.21</v>
      </c>
      <c r="J21" s="171">
        <f>ROUND('[4]Apr 2023'!$F63,2)</f>
        <v>20980.23</v>
      </c>
      <c r="K21" s="123">
        <f>'PCR Cycle 2'!K29*'TDR Cycle 2'!$N21</f>
        <v>21594.163499999999</v>
      </c>
      <c r="L21" s="41">
        <f>'PCR Cycle 2'!L29*'TDR Cycle 2'!$N21</f>
        <v>23752.785939999998</v>
      </c>
      <c r="M21" s="61">
        <f>'PCR Cycle 2'!M29*'TDR Cycle 2'!$N21</f>
        <v>26608.415599999997</v>
      </c>
      <c r="N21" s="72">
        <v>2.5999999999999998E-4</v>
      </c>
      <c r="O21" s="4"/>
    </row>
    <row r="22" spans="1:15" x14ac:dyDescent="0.35">
      <c r="A22" s="46" t="s">
        <v>109</v>
      </c>
      <c r="C22" s="194">
        <v>-177978.37119999999</v>
      </c>
      <c r="D22" s="197"/>
      <c r="E22" s="136">
        <f>ROUND('[4]Nov 2022'!$F64,2)</f>
        <v>58570.29</v>
      </c>
      <c r="F22" s="136">
        <f>ROUND('[4]Dec 2022'!$F64,2)</f>
        <v>60964.4</v>
      </c>
      <c r="G22" s="136">
        <f>ROUND('[4]Jan 2023'!$F64,2)</f>
        <v>65322.32</v>
      </c>
      <c r="H22" s="16">
        <f>ROUND('[4]Feb 2023'!$F64,2)</f>
        <v>47715.48</v>
      </c>
      <c r="I22" s="121">
        <f>ROUND('[4]Mar 2023'!$F64,2)</f>
        <v>26867.21</v>
      </c>
      <c r="J22" s="171">
        <f>ROUND('[4]Apr 2023'!$F64,2)</f>
        <v>26348.61</v>
      </c>
      <c r="K22" s="123">
        <f>'PCR Cycle 2'!K30*'TDR Cycle 2'!$N22</f>
        <v>25545.795260000003</v>
      </c>
      <c r="L22" s="41">
        <f>'PCR Cycle 2'!L30*'TDR Cycle 2'!$N22</f>
        <v>28099.43535</v>
      </c>
      <c r="M22" s="61">
        <f>'PCR Cycle 2'!M30*'TDR Cycle 2'!$N22</f>
        <v>31477.632120000002</v>
      </c>
      <c r="N22" s="72">
        <v>1.9000000000000001E-4</v>
      </c>
      <c r="O22" s="4"/>
    </row>
    <row r="23" spans="1:15" x14ac:dyDescent="0.35">
      <c r="A23" s="46" t="s">
        <v>110</v>
      </c>
      <c r="C23" s="194">
        <v>-23782.196600000003</v>
      </c>
      <c r="D23" s="197">
        <v>0</v>
      </c>
      <c r="E23" s="136">
        <f>ROUND('[4]Nov 2022'!$F65,2)</f>
        <v>8491.69</v>
      </c>
      <c r="F23" s="136">
        <f>ROUND('[4]Dec 2022'!$F65,2)</f>
        <v>7750.66</v>
      </c>
      <c r="G23" s="136">
        <f>ROUND('[4]Jan 2023'!$F65,2)</f>
        <v>8284.59</v>
      </c>
      <c r="H23" s="16">
        <f>ROUND('[4]Feb 2023'!$F65,2)</f>
        <v>6478.46</v>
      </c>
      <c r="I23" s="121">
        <f>ROUND('[4]Mar 2023'!$F65,2)</f>
        <v>4379.91</v>
      </c>
      <c r="J23" s="171">
        <f>ROUND('[4]Apr 2023'!$F65,2)</f>
        <v>6932.2</v>
      </c>
      <c r="K23" s="123">
        <f>'PCR Cycle 2'!K31*'TDR Cycle 2'!$N23</f>
        <v>5245.4749499999998</v>
      </c>
      <c r="L23" s="41">
        <f>'PCR Cycle 2'!L31*'TDR Cycle 2'!$N23</f>
        <v>5769.8296499999997</v>
      </c>
      <c r="M23" s="61">
        <f>'PCR Cycle 2'!M31*'TDR Cycle 2'!$N23</f>
        <v>6463.4954999999991</v>
      </c>
      <c r="N23" s="72">
        <v>1.4999999999999999E-4</v>
      </c>
      <c r="O23" s="4"/>
    </row>
    <row r="24" spans="1:15" x14ac:dyDescent="0.35">
      <c r="C24" s="67"/>
      <c r="D24" s="199"/>
      <c r="E24" s="68"/>
      <c r="F24" s="68"/>
      <c r="G24" s="68"/>
      <c r="H24" s="67"/>
      <c r="I24" s="68"/>
      <c r="J24" s="169"/>
      <c r="K24" s="56"/>
      <c r="L24" s="56"/>
      <c r="M24" s="13"/>
      <c r="O24" s="4"/>
    </row>
    <row r="25" spans="1:15" x14ac:dyDescent="0.35">
      <c r="A25" s="39" t="s">
        <v>66</v>
      </c>
      <c r="B25" s="39"/>
      <c r="C25" s="67"/>
      <c r="D25" s="199"/>
      <c r="E25" s="56"/>
      <c r="F25" s="56"/>
      <c r="G25" s="56"/>
      <c r="H25" s="12"/>
      <c r="I25" s="56"/>
      <c r="J25" s="170"/>
      <c r="K25" s="56"/>
      <c r="L25" s="56"/>
      <c r="M25" s="13"/>
      <c r="N25" s="7"/>
    </row>
    <row r="26" spans="1:15" x14ac:dyDescent="0.35">
      <c r="A26" s="46" t="s">
        <v>24</v>
      </c>
      <c r="C26" s="195">
        <v>-3066562.9817966414</v>
      </c>
      <c r="D26" s="200"/>
      <c r="E26" s="111">
        <f>+'[3]Monthly TD Calc'!CD285</f>
        <v>3066562.9817966414</v>
      </c>
      <c r="F26" s="111">
        <f>+'[3]Monthly TD Calc'!CE285</f>
        <v>3662309.1959070778</v>
      </c>
      <c r="G26" s="125">
        <f>+'[3]Monthly TD Calc'!CF285</f>
        <v>0</v>
      </c>
      <c r="H26" s="74">
        <f>+'[3]Monthly TD Calc'!CG285</f>
        <v>0</v>
      </c>
      <c r="I26" s="75">
        <f>+'[3]Monthly TD Calc'!CH285</f>
        <v>0</v>
      </c>
      <c r="J26" s="171">
        <f>+'[3]Monthly TD Calc'!CI285</f>
        <v>0</v>
      </c>
      <c r="K26" s="160">
        <f>+'[3]Monthly TD Calc'!CJ285</f>
        <v>0</v>
      </c>
      <c r="L26" s="144">
        <f>+'[3]Monthly TD Calc'!CK285</f>
        <v>0</v>
      </c>
      <c r="M26" s="80"/>
      <c r="N26" s="59">
        <f>SUM(C26:L26)</f>
        <v>3662309.1959070778</v>
      </c>
    </row>
    <row r="27" spans="1:15" x14ac:dyDescent="0.35">
      <c r="A27" s="46" t="s">
        <v>107</v>
      </c>
      <c r="C27" s="195">
        <v>-519241.44169683417</v>
      </c>
      <c r="D27" s="200"/>
      <c r="E27" s="111">
        <f>+'[3]Monthly TD Calc'!CD286</f>
        <v>519241.44169683417</v>
      </c>
      <c r="F27" s="111">
        <f>+'[3]Monthly TD Calc'!CE286</f>
        <v>517792.72147182899</v>
      </c>
      <c r="G27" s="125">
        <f>+'[3]Monthly TD Calc'!CF286</f>
        <v>0</v>
      </c>
      <c r="H27" s="74">
        <f>+'[3]Monthly TD Calc'!CG286</f>
        <v>0</v>
      </c>
      <c r="I27" s="75">
        <f>+'[3]Monthly TD Calc'!CH286</f>
        <v>0</v>
      </c>
      <c r="J27" s="171">
        <f>+'[3]Monthly TD Calc'!CI286</f>
        <v>0</v>
      </c>
      <c r="K27" s="160">
        <f>+'[3]Monthly TD Calc'!CJ286</f>
        <v>0</v>
      </c>
      <c r="L27" s="144">
        <f>+'[3]Monthly TD Calc'!CK286</f>
        <v>0</v>
      </c>
      <c r="M27" s="80"/>
      <c r="N27" s="59">
        <f t="shared" ref="N27:N30" si="6">SUM(C27:L27)</f>
        <v>517792.72147182899</v>
      </c>
    </row>
    <row r="28" spans="1:15" x14ac:dyDescent="0.35">
      <c r="A28" s="46" t="s">
        <v>108</v>
      </c>
      <c r="C28" s="195">
        <v>-1902188.3875856276</v>
      </c>
      <c r="D28" s="200"/>
      <c r="E28" s="111">
        <f>+'[3]Monthly TD Calc'!CD287</f>
        <v>1902188.3875856276</v>
      </c>
      <c r="F28" s="111">
        <f>+'[3]Monthly TD Calc'!CE287</f>
        <v>1896713.2328896965</v>
      </c>
      <c r="G28" s="125">
        <f>+'[3]Monthly TD Calc'!CF287</f>
        <v>0</v>
      </c>
      <c r="H28" s="74">
        <f>+'[3]Monthly TD Calc'!CG287</f>
        <v>0</v>
      </c>
      <c r="I28" s="75">
        <f>+'[3]Monthly TD Calc'!CH287</f>
        <v>0</v>
      </c>
      <c r="J28" s="171">
        <f>+'[3]Monthly TD Calc'!CI287</f>
        <v>0</v>
      </c>
      <c r="K28" s="160">
        <f>+'[3]Monthly TD Calc'!CJ287</f>
        <v>0</v>
      </c>
      <c r="L28" s="144">
        <f>+'[3]Monthly TD Calc'!CK287</f>
        <v>0</v>
      </c>
      <c r="M28" s="80"/>
      <c r="N28" s="59">
        <f t="shared" si="6"/>
        <v>1896713.2328896965</v>
      </c>
    </row>
    <row r="29" spans="1:15" x14ac:dyDescent="0.35">
      <c r="A29" s="46" t="s">
        <v>109</v>
      </c>
      <c r="C29" s="195">
        <v>-2788695.0613562055</v>
      </c>
      <c r="D29" s="200"/>
      <c r="E29" s="111">
        <f>+'[3]Monthly TD Calc'!CD288</f>
        <v>2788695.0613562055</v>
      </c>
      <c r="F29" s="111">
        <f>+'[3]Monthly TD Calc'!CE288</f>
        <v>2780898.9069368993</v>
      </c>
      <c r="G29" s="125">
        <f>+'[3]Monthly TD Calc'!CF288</f>
        <v>0</v>
      </c>
      <c r="H29" s="74">
        <f>+'[3]Monthly TD Calc'!CG288</f>
        <v>0</v>
      </c>
      <c r="I29" s="75">
        <f>+'[3]Monthly TD Calc'!CH288</f>
        <v>0</v>
      </c>
      <c r="J29" s="171">
        <f>+'[3]Monthly TD Calc'!CI288</f>
        <v>0</v>
      </c>
      <c r="K29" s="160">
        <f>+'[3]Monthly TD Calc'!CJ288</f>
        <v>0</v>
      </c>
      <c r="L29" s="144">
        <f>+'[3]Monthly TD Calc'!CK288</f>
        <v>0</v>
      </c>
      <c r="M29" s="80"/>
      <c r="N29" s="59">
        <f t="shared" si="6"/>
        <v>2780898.9069368993</v>
      </c>
    </row>
    <row r="30" spans="1:15" x14ac:dyDescent="0.35">
      <c r="A30" s="46" t="s">
        <v>110</v>
      </c>
      <c r="C30" s="195">
        <v>-591300.97023510153</v>
      </c>
      <c r="D30" s="200"/>
      <c r="E30" s="111">
        <f>+'[3]Monthly TD Calc'!CD289</f>
        <v>591300.97023510153</v>
      </c>
      <c r="F30" s="111">
        <f>+'[3]Monthly TD Calc'!CE289</f>
        <v>590013.94408156979</v>
      </c>
      <c r="G30" s="125">
        <f>+'[3]Monthly TD Calc'!CF289</f>
        <v>0</v>
      </c>
      <c r="H30" s="74">
        <f>+'[3]Monthly TD Calc'!CG289</f>
        <v>0</v>
      </c>
      <c r="I30" s="75">
        <f>+'[3]Monthly TD Calc'!CH289</f>
        <v>0</v>
      </c>
      <c r="J30" s="171">
        <f>+'[3]Monthly TD Calc'!CI289</f>
        <v>0</v>
      </c>
      <c r="K30" s="160">
        <f>+'[3]Monthly TD Calc'!CJ289</f>
        <v>0</v>
      </c>
      <c r="L30" s="144">
        <f>+'[3]Monthly TD Calc'!CK289</f>
        <v>0</v>
      </c>
      <c r="M30" s="80"/>
      <c r="N30" s="59">
        <f t="shared" si="6"/>
        <v>590013.94408156979</v>
      </c>
    </row>
    <row r="31" spans="1:15" x14ac:dyDescent="0.35">
      <c r="C31" s="67"/>
      <c r="D31" s="199"/>
      <c r="E31" s="68"/>
      <c r="F31" s="68"/>
      <c r="G31" s="68"/>
      <c r="H31" s="67"/>
      <c r="I31" s="68"/>
      <c r="J31" s="169"/>
      <c r="K31" s="56"/>
      <c r="L31" s="56"/>
      <c r="M31" s="13"/>
    </row>
    <row r="32" spans="1:15" x14ac:dyDescent="0.35">
      <c r="A32" s="46" t="s">
        <v>69</v>
      </c>
      <c r="C32" s="36"/>
      <c r="D32" s="201"/>
      <c r="E32" s="37"/>
      <c r="F32" s="37"/>
      <c r="G32" s="37"/>
      <c r="H32" s="36"/>
      <c r="I32" s="37"/>
      <c r="J32" s="172"/>
      <c r="K32" s="52"/>
      <c r="L32" s="52"/>
      <c r="M32" s="38"/>
    </row>
    <row r="33" spans="1:15" x14ac:dyDescent="0.35">
      <c r="A33" s="46" t="s">
        <v>24</v>
      </c>
      <c r="C33" s="194">
        <v>-195698.16</v>
      </c>
      <c r="D33" s="197"/>
      <c r="E33" s="109">
        <f>ROUND('[3]Monthly TD Calc'!CD326,2)</f>
        <v>195698.16</v>
      </c>
      <c r="F33" s="109">
        <f>ROUND('[3]Monthly TD Calc'!CE326,2)</f>
        <v>218434.81</v>
      </c>
      <c r="G33" s="110">
        <f>ROUND('[3]Monthly TD Calc'!CF326,2)</f>
        <v>0</v>
      </c>
      <c r="H33" s="16">
        <f>ROUND('[3]Monthly TD Calc'!CG326,2)</f>
        <v>0</v>
      </c>
      <c r="I33" s="55">
        <f>ROUND('[3]Monthly TD Calc'!CH326,2)</f>
        <v>0</v>
      </c>
      <c r="J33" s="171">
        <f>ROUND('[3]Monthly TD Calc'!CM326,2)</f>
        <v>0</v>
      </c>
      <c r="K33" s="161">
        <f>ROUND('[3]Monthly TD Calc'!CN326,2)</f>
        <v>0</v>
      </c>
      <c r="L33" s="143">
        <f>ROUND('[3]Monthly TD Calc'!CO326,2)</f>
        <v>0</v>
      </c>
      <c r="M33" s="79"/>
    </row>
    <row r="34" spans="1:15" x14ac:dyDescent="0.35">
      <c r="A34" s="46" t="s">
        <v>107</v>
      </c>
      <c r="C34" s="194">
        <v>-38159.29</v>
      </c>
      <c r="D34" s="197"/>
      <c r="E34" s="109">
        <f>ROUND('[3]Monthly TD Calc'!CD327,2)</f>
        <v>38159.29</v>
      </c>
      <c r="F34" s="109">
        <f>ROUND('[3]Monthly TD Calc'!CE327,2)</f>
        <v>35422.89</v>
      </c>
      <c r="G34" s="110">
        <f>ROUND('[3]Monthly TD Calc'!CF327,2)</f>
        <v>0</v>
      </c>
      <c r="H34" s="16">
        <f>ROUND('[3]Monthly TD Calc'!CG327,2)</f>
        <v>0</v>
      </c>
      <c r="I34" s="55">
        <f>ROUND('[3]Monthly TD Calc'!CH327,2)</f>
        <v>0</v>
      </c>
      <c r="J34" s="171">
        <f>ROUND('[3]Monthly TD Calc'!CM327,2)</f>
        <v>0</v>
      </c>
      <c r="K34" s="161">
        <f>ROUND('[3]Monthly TD Calc'!CN327,2)</f>
        <v>0</v>
      </c>
      <c r="L34" s="143">
        <f>ROUND('[3]Monthly TD Calc'!CO327,2)</f>
        <v>0</v>
      </c>
      <c r="M34" s="79"/>
    </row>
    <row r="35" spans="1:15" x14ac:dyDescent="0.35">
      <c r="A35" s="46" t="s">
        <v>108</v>
      </c>
      <c r="C35" s="194">
        <v>-88423.72</v>
      </c>
      <c r="D35" s="197"/>
      <c r="E35" s="109">
        <f>ROUND('[3]Monthly TD Calc'!CD328,2)</f>
        <v>88423.72</v>
      </c>
      <c r="F35" s="109">
        <f>ROUND('[3]Monthly TD Calc'!CE328,2)</f>
        <v>80119.53</v>
      </c>
      <c r="G35" s="110">
        <f>ROUND('[3]Monthly TD Calc'!CF328,2)</f>
        <v>0</v>
      </c>
      <c r="H35" s="16">
        <f>ROUND('[3]Monthly TD Calc'!CG328,2)</f>
        <v>0</v>
      </c>
      <c r="I35" s="55">
        <f>ROUND('[3]Monthly TD Calc'!CH328,2)</f>
        <v>0</v>
      </c>
      <c r="J35" s="171">
        <f>ROUND('[3]Monthly TD Calc'!CM328,2)</f>
        <v>0</v>
      </c>
      <c r="K35" s="161">
        <f>ROUND('[3]Monthly TD Calc'!CN328,2)</f>
        <v>0</v>
      </c>
      <c r="L35" s="143">
        <f>ROUND('[3]Monthly TD Calc'!CO328,2)</f>
        <v>0</v>
      </c>
      <c r="M35" s="79"/>
    </row>
    <row r="36" spans="1:15" x14ac:dyDescent="0.35">
      <c r="A36" s="46" t="s">
        <v>109</v>
      </c>
      <c r="C36" s="194">
        <v>-81177.56</v>
      </c>
      <c r="D36" s="197"/>
      <c r="E36" s="109">
        <f>ROUND('[3]Monthly TD Calc'!CD329,2)</f>
        <v>81177.56</v>
      </c>
      <c r="F36" s="109">
        <f>ROUND('[3]Monthly TD Calc'!CE329,2)</f>
        <v>73142.13</v>
      </c>
      <c r="G36" s="110">
        <f>ROUND('[3]Monthly TD Calc'!CF329,2)</f>
        <v>0</v>
      </c>
      <c r="H36" s="16">
        <f>ROUND('[3]Monthly TD Calc'!CG329,2)</f>
        <v>0</v>
      </c>
      <c r="I36" s="55">
        <f>ROUND('[3]Monthly TD Calc'!CH329,2)</f>
        <v>0</v>
      </c>
      <c r="J36" s="171">
        <f>ROUND('[3]Monthly TD Calc'!CM329,2)</f>
        <v>0</v>
      </c>
      <c r="K36" s="161">
        <f>ROUND('[3]Monthly TD Calc'!CN329,2)</f>
        <v>0</v>
      </c>
      <c r="L36" s="143">
        <f>ROUND('[3]Monthly TD Calc'!CO329,2)</f>
        <v>0</v>
      </c>
      <c r="M36" s="79"/>
    </row>
    <row r="37" spans="1:15" x14ac:dyDescent="0.35">
      <c r="A37" s="46" t="s">
        <v>110</v>
      </c>
      <c r="C37" s="194">
        <v>-9240.15</v>
      </c>
      <c r="D37" s="197"/>
      <c r="E37" s="109">
        <f>ROUND('[3]Monthly TD Calc'!CD330,2)</f>
        <v>9240.15</v>
      </c>
      <c r="F37" s="109">
        <f>ROUND('[3]Monthly TD Calc'!CE330,2)</f>
        <v>8317.08</v>
      </c>
      <c r="G37" s="110">
        <f>ROUND('[3]Monthly TD Calc'!CF330,2)</f>
        <v>0</v>
      </c>
      <c r="H37" s="16">
        <f>ROUND('[3]Monthly TD Calc'!CG330,2)</f>
        <v>0</v>
      </c>
      <c r="I37" s="55">
        <f>ROUND('[3]Monthly TD Calc'!CH330,2)</f>
        <v>0</v>
      </c>
      <c r="J37" s="171">
        <f>ROUND('[3]Monthly TD Calc'!CM330,2)</f>
        <v>0</v>
      </c>
      <c r="K37" s="161">
        <f>ROUND('[3]Monthly TD Calc'!CN330,2)</f>
        <v>0</v>
      </c>
      <c r="L37" s="143">
        <f>ROUND('[3]Monthly TD Calc'!CO330,2)</f>
        <v>0</v>
      </c>
      <c r="M37" s="79"/>
      <c r="O37" s="47"/>
    </row>
    <row r="38" spans="1:15" x14ac:dyDescent="0.35">
      <c r="C38" s="99"/>
      <c r="D38" s="198"/>
      <c r="E38" s="18"/>
      <c r="F38" s="18"/>
      <c r="G38" s="18"/>
      <c r="H38" s="91"/>
      <c r="I38" s="18"/>
      <c r="J38" s="167"/>
      <c r="K38" s="56"/>
      <c r="L38" s="56"/>
      <c r="M38" s="13"/>
    </row>
    <row r="39" spans="1:15" ht="15" thickBot="1" x14ac:dyDescent="0.4">
      <c r="A39" s="3" t="s">
        <v>15</v>
      </c>
      <c r="B39" s="3"/>
      <c r="C39" s="196">
        <v>-15228.63</v>
      </c>
      <c r="D39" s="202"/>
      <c r="E39" s="136">
        <v>8577.66</v>
      </c>
      <c r="F39" s="136">
        <v>9854.33</v>
      </c>
      <c r="G39" s="137">
        <v>9627.369999999999</v>
      </c>
      <c r="H39" s="26">
        <v>8492.02</v>
      </c>
      <c r="I39" s="122">
        <v>7940.49</v>
      </c>
      <c r="J39" s="173">
        <v>7680.8899999999994</v>
      </c>
      <c r="K39" s="162">
        <v>7198.3799999999992</v>
      </c>
      <c r="L39" s="145">
        <v>6685.87</v>
      </c>
      <c r="M39" s="82"/>
    </row>
    <row r="40" spans="1:15" x14ac:dyDescent="0.35">
      <c r="C40" s="64"/>
      <c r="D40" s="205"/>
      <c r="E40" s="66"/>
      <c r="F40" s="66"/>
      <c r="G40" s="33"/>
      <c r="H40" s="64"/>
      <c r="I40" s="33"/>
      <c r="J40" s="174"/>
      <c r="K40" s="34"/>
      <c r="L40" s="34"/>
      <c r="M40" s="60"/>
    </row>
    <row r="41" spans="1:15" x14ac:dyDescent="0.35">
      <c r="A41" s="46" t="s">
        <v>52</v>
      </c>
      <c r="C41" s="65"/>
      <c r="D41" s="206"/>
      <c r="E41" s="35"/>
      <c r="F41" s="35"/>
      <c r="G41" s="35"/>
      <c r="H41" s="65"/>
      <c r="I41" s="35"/>
      <c r="J41" s="175"/>
      <c r="K41" s="34"/>
      <c r="L41" s="34"/>
      <c r="M41" s="60"/>
    </row>
    <row r="42" spans="1:15" x14ac:dyDescent="0.35">
      <c r="A42" s="46" t="s">
        <v>24</v>
      </c>
      <c r="C42" s="203">
        <f>C33-C19</f>
        <v>264214.32753000001</v>
      </c>
      <c r="D42" s="207">
        <f t="shared" ref="D42" si="7">D33-D19</f>
        <v>0</v>
      </c>
      <c r="E42" s="41">
        <f t="shared" ref="E42:M42" si="8">E33-E19</f>
        <v>84881.21</v>
      </c>
      <c r="F42" s="41">
        <f t="shared" si="8"/>
        <v>64356.950000000012</v>
      </c>
      <c r="G42" s="108">
        <f t="shared" si="8"/>
        <v>-186806.14</v>
      </c>
      <c r="H42" s="40">
        <f t="shared" si="8"/>
        <v>-120777.68</v>
      </c>
      <c r="I42" s="41">
        <f t="shared" si="8"/>
        <v>-51726.16</v>
      </c>
      <c r="J42" s="61">
        <f t="shared" si="8"/>
        <v>-44401.49</v>
      </c>
      <c r="K42" s="123">
        <f t="shared" si="8"/>
        <v>-40732.587999999996</v>
      </c>
      <c r="L42" s="41">
        <f t="shared" si="8"/>
        <v>-51086.206339999997</v>
      </c>
      <c r="M42" s="61">
        <f t="shared" si="8"/>
        <v>-73994.738999999987</v>
      </c>
    </row>
    <row r="43" spans="1:15" x14ac:dyDescent="0.35">
      <c r="A43" s="46" t="s">
        <v>25</v>
      </c>
      <c r="C43" s="203">
        <f t="shared" ref="C43:D43" si="9">SUM(C34:C37)-SUM(C20:C23)</f>
        <v>236228.66040000002</v>
      </c>
      <c r="D43" s="207">
        <f t="shared" si="9"/>
        <v>0</v>
      </c>
      <c r="E43" s="41">
        <f>SUM(E34:E37)-SUM(E20:E23)</f>
        <v>73313.699999999983</v>
      </c>
      <c r="F43" s="41">
        <f t="shared" ref="F43:M43" si="10">SUM(F34:F37)-SUM(F20:F23)</f>
        <v>44170.359999999986</v>
      </c>
      <c r="G43" s="108">
        <f t="shared" si="10"/>
        <v>-169226.33</v>
      </c>
      <c r="H43" s="40">
        <f t="shared" si="10"/>
        <v>-122551.05</v>
      </c>
      <c r="I43" s="41">
        <f t="shared" si="10"/>
        <v>-63344.179999999993</v>
      </c>
      <c r="J43" s="61">
        <f t="shared" si="10"/>
        <v>-63131.159999999996</v>
      </c>
      <c r="K43" s="123">
        <f t="shared" si="10"/>
        <v>-61419.02711000001</v>
      </c>
      <c r="L43" s="41">
        <f t="shared" si="10"/>
        <v>-67558.671539999996</v>
      </c>
      <c r="M43" s="61">
        <f t="shared" si="10"/>
        <v>-75680.773620000007</v>
      </c>
    </row>
    <row r="44" spans="1:15" x14ac:dyDescent="0.35">
      <c r="C44" s="99"/>
      <c r="D44" s="198"/>
      <c r="E44" s="17"/>
      <c r="F44" s="17"/>
      <c r="G44" s="17"/>
      <c r="H44" s="10"/>
      <c r="I44" s="17"/>
      <c r="J44" s="11"/>
      <c r="K44" s="17"/>
      <c r="L44" s="17"/>
      <c r="M44" s="11"/>
    </row>
    <row r="45" spans="1:15" ht="15" thickBot="1" x14ac:dyDescent="0.4">
      <c r="A45" s="46" t="s">
        <v>53</v>
      </c>
      <c r="C45" s="99"/>
      <c r="D45" s="198"/>
      <c r="E45" s="17"/>
      <c r="F45" s="17"/>
      <c r="G45" s="17"/>
      <c r="H45" s="10"/>
      <c r="I45" s="17"/>
      <c r="J45" s="11"/>
      <c r="K45" s="17"/>
      <c r="L45" s="17"/>
      <c r="M45" s="11"/>
    </row>
    <row r="46" spans="1:15" x14ac:dyDescent="0.35">
      <c r="A46" s="46" t="s">
        <v>24</v>
      </c>
      <c r="B46" s="116">
        <v>697345.69247000001</v>
      </c>
      <c r="C46" s="203">
        <f t="shared" ref="C46:E47" si="11">+B46+C42+B51</f>
        <v>961560.02</v>
      </c>
      <c r="D46" s="207">
        <f t="shared" si="11"/>
        <v>954281.52</v>
      </c>
      <c r="E46" s="41">
        <f t="shared" si="11"/>
        <v>1039162.73</v>
      </c>
      <c r="F46" s="41">
        <f t="shared" ref="F46:M46" si="12">+E46+F42+E51</f>
        <v>1107624.6499999999</v>
      </c>
      <c r="G46" s="108">
        <f t="shared" si="12"/>
        <v>925582.2699999999</v>
      </c>
      <c r="H46" s="40">
        <f t="shared" si="12"/>
        <v>809452.24999999988</v>
      </c>
      <c r="I46" s="41">
        <f t="shared" si="12"/>
        <v>761783.11999999988</v>
      </c>
      <c r="J46" s="61">
        <f t="shared" si="12"/>
        <v>721172.08999999985</v>
      </c>
      <c r="K46" s="123">
        <f t="shared" si="12"/>
        <v>684131.20199999982</v>
      </c>
      <c r="L46" s="41">
        <f t="shared" si="12"/>
        <v>636543.6356599998</v>
      </c>
      <c r="M46" s="61">
        <f t="shared" si="12"/>
        <v>565836.91665999987</v>
      </c>
    </row>
    <row r="47" spans="1:15" ht="15" thickBot="1" x14ac:dyDescent="0.4">
      <c r="A47" s="46" t="s">
        <v>25</v>
      </c>
      <c r="B47" s="117">
        <v>821073.5195999993</v>
      </c>
      <c r="C47" s="203">
        <f t="shared" si="11"/>
        <v>1057302.1799999992</v>
      </c>
      <c r="D47" s="207">
        <f t="shared" si="11"/>
        <v>1049352.0499999993</v>
      </c>
      <c r="E47" s="41">
        <f t="shared" si="11"/>
        <v>1122665.7499999993</v>
      </c>
      <c r="F47" s="41">
        <f t="shared" ref="F47:M47" si="13">+E47+F43+E52</f>
        <v>1171308.8099999994</v>
      </c>
      <c r="G47" s="108">
        <f t="shared" si="13"/>
        <v>1007173.0499999993</v>
      </c>
      <c r="H47" s="40">
        <f t="shared" si="13"/>
        <v>889601.70999999926</v>
      </c>
      <c r="I47" s="41">
        <f t="shared" si="13"/>
        <v>830692.52999999933</v>
      </c>
      <c r="J47" s="61">
        <f t="shared" si="13"/>
        <v>771711.39999999932</v>
      </c>
      <c r="K47" s="123">
        <f t="shared" si="13"/>
        <v>714281.56288999924</v>
      </c>
      <c r="L47" s="41">
        <f t="shared" si="13"/>
        <v>650422.63134999922</v>
      </c>
      <c r="M47" s="61">
        <f t="shared" si="13"/>
        <v>578139.70772999921</v>
      </c>
    </row>
    <row r="48" spans="1:15" x14ac:dyDescent="0.35">
      <c r="C48" s="99"/>
      <c r="D48" s="198"/>
      <c r="E48" s="17"/>
      <c r="F48" s="17"/>
      <c r="G48" s="17"/>
      <c r="H48" s="10"/>
      <c r="I48" s="17"/>
      <c r="J48" s="11"/>
      <c r="K48" s="17"/>
      <c r="L48" s="17"/>
      <c r="M48" s="11"/>
    </row>
    <row r="49" spans="1:13" x14ac:dyDescent="0.35">
      <c r="A49" s="39" t="s">
        <v>124</v>
      </c>
      <c r="B49" s="39"/>
      <c r="C49" s="104"/>
      <c r="D49" s="208"/>
      <c r="E49" s="83">
        <f>+'PCR Cycle 2'!E50</f>
        <v>4.1184699999999999E-3</v>
      </c>
      <c r="F49" s="83">
        <f>+'PCR Cycle 2'!F50</f>
        <v>4.4295699999999999E-3</v>
      </c>
      <c r="G49" s="83">
        <f>+'PCR Cycle 2'!G50</f>
        <v>4.5610700000000004E-3</v>
      </c>
      <c r="H49" s="84">
        <f>+'PCR Cycle 2'!H50</f>
        <v>4.66411E-3</v>
      </c>
      <c r="I49" s="83">
        <f>+'PCR Cycle 2'!I50</f>
        <v>4.8123899999999997E-3</v>
      </c>
      <c r="J49" s="92">
        <f>+'PCR Cycle 2'!J50</f>
        <v>4.9661499999999999E-3</v>
      </c>
      <c r="K49" s="83">
        <f>+'PCR Cycle 2'!K50</f>
        <v>4.9661499999999999E-3</v>
      </c>
      <c r="L49" s="83">
        <f>+'PCR Cycle 2'!L50</f>
        <v>4.9661499999999999E-3</v>
      </c>
      <c r="M49" s="85"/>
    </row>
    <row r="50" spans="1:13" x14ac:dyDescent="0.35">
      <c r="A50" s="39" t="s">
        <v>37</v>
      </c>
      <c r="B50" s="39"/>
      <c r="C50" s="106"/>
      <c r="D50" s="209"/>
      <c r="E50" s="83"/>
      <c r="F50" s="83"/>
      <c r="G50" s="83"/>
      <c r="H50" s="84"/>
      <c r="I50" s="83"/>
      <c r="J50" s="85"/>
      <c r="K50" s="83"/>
      <c r="L50" s="83"/>
      <c r="M50" s="85"/>
    </row>
    <row r="51" spans="1:13" x14ac:dyDescent="0.35">
      <c r="A51" s="46" t="s">
        <v>24</v>
      </c>
      <c r="C51" s="203">
        <v>-7278.5</v>
      </c>
      <c r="D51" s="207"/>
      <c r="E51" s="251">
        <f>ROUND((D46+D51+E42/2)*E$49,2)</f>
        <v>4104.97</v>
      </c>
      <c r="F51" s="251">
        <f t="shared" ref="F51:F52" si="14">ROUND((E46+E51+F42/2)*F$49,2)</f>
        <v>4763.76</v>
      </c>
      <c r="G51" s="250">
        <f t="shared" ref="G51:G52" si="15">ROUND((F46+F51+G42/2)*G$49,2)</f>
        <v>4647.66</v>
      </c>
      <c r="H51" s="40">
        <f t="shared" ref="H51:H52" si="16">ROUND((G46+G51+H42/2)*H$49,2)</f>
        <v>4057.03</v>
      </c>
      <c r="I51" s="123">
        <f t="shared" ref="I51:J52" si="17">ROUND((H46+H51+I42/2)*I$49,2)</f>
        <v>3790.46</v>
      </c>
      <c r="J51" s="61">
        <f t="shared" si="17"/>
        <v>3691.7</v>
      </c>
      <c r="K51" s="163">
        <f t="shared" ref="K51:K52" si="18">ROUND((J46+J51+K42/2)*K$49,2)</f>
        <v>3498.64</v>
      </c>
      <c r="L51" s="108">
        <f t="shared" ref="L51:L52" si="19">ROUND((K46+K51+L42/2)*L$49,2)</f>
        <v>3288.02</v>
      </c>
      <c r="M51" s="61">
        <f t="shared" ref="M51:M52" si="20">ROUND((L46+L51+M42/2)*M$49,2)</f>
        <v>0</v>
      </c>
    </row>
    <row r="52" spans="1:13" ht="15" thickBot="1" x14ac:dyDescent="0.4">
      <c r="A52" s="46" t="s">
        <v>25</v>
      </c>
      <c r="C52" s="203">
        <v>-7950.1299999999992</v>
      </c>
      <c r="D52" s="207"/>
      <c r="E52" s="251">
        <f>ROUND((D47+D52+E43/2)*E$49,2)</f>
        <v>4472.7</v>
      </c>
      <c r="F52" s="251">
        <f t="shared" si="14"/>
        <v>5090.57</v>
      </c>
      <c r="G52" s="250">
        <f t="shared" si="15"/>
        <v>4979.71</v>
      </c>
      <c r="H52" s="40">
        <f t="shared" si="16"/>
        <v>4435</v>
      </c>
      <c r="I52" s="123">
        <f t="shared" si="17"/>
        <v>4150.03</v>
      </c>
      <c r="J52" s="61">
        <f t="shared" si="17"/>
        <v>3989.19</v>
      </c>
      <c r="K52" s="163">
        <f t="shared" si="18"/>
        <v>3699.74</v>
      </c>
      <c r="L52" s="108">
        <f t="shared" si="19"/>
        <v>3397.85</v>
      </c>
      <c r="M52" s="61">
        <f t="shared" si="20"/>
        <v>0</v>
      </c>
    </row>
    <row r="53" spans="1:13" ht="15.5" thickTop="1" thickBot="1" x14ac:dyDescent="0.4">
      <c r="A53" s="54" t="s">
        <v>22</v>
      </c>
      <c r="B53" s="54"/>
      <c r="C53" s="204">
        <v>0</v>
      </c>
      <c r="D53" s="210"/>
      <c r="E53" s="42">
        <f>SUM(E51:E52)+SUM(E46:E47)-E56</f>
        <v>0</v>
      </c>
      <c r="F53" s="42">
        <f t="shared" ref="F53:M53" si="21">SUM(F51:F52)+SUM(F46:F47)-F56</f>
        <v>0</v>
      </c>
      <c r="G53" s="50">
        <f t="shared" si="21"/>
        <v>0</v>
      </c>
      <c r="H53" s="51">
        <f t="shared" si="21"/>
        <v>0</v>
      </c>
      <c r="I53" s="42">
        <f t="shared" si="21"/>
        <v>0</v>
      </c>
      <c r="J53" s="62">
        <f t="shared" si="21"/>
        <v>0</v>
      </c>
      <c r="K53" s="164">
        <f t="shared" si="21"/>
        <v>0</v>
      </c>
      <c r="L53" s="50">
        <f t="shared" si="21"/>
        <v>0</v>
      </c>
      <c r="M53" s="62">
        <f t="shared" si="21"/>
        <v>0</v>
      </c>
    </row>
    <row r="54" spans="1:13" ht="15.5" thickTop="1" thickBot="1" x14ac:dyDescent="0.4">
      <c r="A54" s="54" t="s">
        <v>23</v>
      </c>
      <c r="B54" s="54"/>
      <c r="C54" s="204">
        <v>0</v>
      </c>
      <c r="D54" s="210"/>
      <c r="E54" s="42">
        <f>SUM(E51:E52)-E39</f>
        <v>1.0000000000218279E-2</v>
      </c>
      <c r="F54" s="42">
        <f t="shared" ref="F54:J54" si="22">SUM(F51:F52)-F39</f>
        <v>0</v>
      </c>
      <c r="G54" s="50">
        <f t="shared" ref="G54:I54" si="23">SUM(G51:G52)-G39</f>
        <v>0</v>
      </c>
      <c r="H54" s="51">
        <f t="shared" si="23"/>
        <v>1.0000000000218279E-2</v>
      </c>
      <c r="I54" s="42">
        <f t="shared" si="23"/>
        <v>0</v>
      </c>
      <c r="J54" s="62">
        <f t="shared" si="22"/>
        <v>0</v>
      </c>
      <c r="K54" s="165">
        <f t="shared" ref="K54:M54" si="24">SUM(K51:K52)-K39</f>
        <v>0</v>
      </c>
      <c r="L54" s="42">
        <f t="shared" si="24"/>
        <v>0</v>
      </c>
      <c r="M54" s="42">
        <f t="shared" si="24"/>
        <v>0</v>
      </c>
    </row>
    <row r="55" spans="1:13" ht="15.5" thickTop="1" thickBot="1" x14ac:dyDescent="0.4">
      <c r="C55" s="99"/>
      <c r="D55" s="198"/>
      <c r="E55" s="17"/>
      <c r="F55" s="17"/>
      <c r="G55" s="17"/>
      <c r="H55" s="10"/>
      <c r="I55" s="17"/>
      <c r="J55" s="11"/>
      <c r="K55" s="17"/>
      <c r="L55" s="17"/>
      <c r="M55" s="11"/>
    </row>
    <row r="56" spans="1:13" ht="15" thickBot="1" x14ac:dyDescent="0.4">
      <c r="A56" s="46" t="s">
        <v>36</v>
      </c>
      <c r="B56" s="119">
        <f>+B46+B47</f>
        <v>1518419.2120699994</v>
      </c>
      <c r="C56" s="203">
        <f>(C16-SUM(C19:C23))+SUM(C51:C52)+B56</f>
        <v>2003633.5699999994</v>
      </c>
      <c r="D56" s="207">
        <f>(D16-SUM(D19:D23))+SUM(D51:D52)+C56</f>
        <v>2003633.5699999994</v>
      </c>
      <c r="E56" s="41">
        <f>(E16-SUM(E19:E23))+SUM(E51:E52)+D56</f>
        <v>2170406.1499999994</v>
      </c>
      <c r="F56" s="251">
        <f t="shared" ref="F56:M56" si="25">(F16-SUM(F19:F23))+SUM(F51:F52)+E56</f>
        <v>2288787.7899999996</v>
      </c>
      <c r="G56" s="108">
        <f t="shared" si="25"/>
        <v>1942382.6899999995</v>
      </c>
      <c r="H56" s="40">
        <f t="shared" si="25"/>
        <v>1707545.9899999995</v>
      </c>
      <c r="I56" s="41">
        <f t="shared" si="25"/>
        <v>1600416.1399999994</v>
      </c>
      <c r="J56" s="61">
        <f t="shared" si="25"/>
        <v>1500564.3799999994</v>
      </c>
      <c r="K56" s="163">
        <f t="shared" si="25"/>
        <v>1405611.1448899994</v>
      </c>
      <c r="L56" s="108">
        <f t="shared" si="25"/>
        <v>1293652.1370099995</v>
      </c>
      <c r="M56" s="61">
        <f t="shared" si="25"/>
        <v>1143976.6243899995</v>
      </c>
    </row>
    <row r="57" spans="1:13" x14ac:dyDescent="0.35">
      <c r="A57" s="46" t="s">
        <v>12</v>
      </c>
      <c r="C57" s="120"/>
      <c r="D57" s="211"/>
      <c r="E57" s="17"/>
      <c r="F57" s="17"/>
      <c r="G57" s="17"/>
      <c r="H57" s="10"/>
      <c r="I57" s="17"/>
      <c r="J57" s="11"/>
      <c r="K57" s="17"/>
      <c r="L57" s="17"/>
      <c r="M57" s="11"/>
    </row>
    <row r="58" spans="1:13" ht="15" thickBot="1" x14ac:dyDescent="0.4">
      <c r="A58" s="37"/>
      <c r="B58" s="37"/>
      <c r="C58" s="148"/>
      <c r="D58" s="212"/>
      <c r="E58" s="44"/>
      <c r="F58" s="44"/>
      <c r="G58" s="44"/>
      <c r="H58" s="43"/>
      <c r="I58" s="44"/>
      <c r="J58" s="45"/>
      <c r="K58" s="44"/>
      <c r="L58" s="44"/>
      <c r="M58" s="45"/>
    </row>
    <row r="60" spans="1:13" x14ac:dyDescent="0.35">
      <c r="A60" s="69" t="s">
        <v>11</v>
      </c>
      <c r="B60" s="69"/>
      <c r="C60" s="69"/>
      <c r="D60" s="69"/>
    </row>
    <row r="61" spans="1:13" ht="34.5" customHeight="1" x14ac:dyDescent="0.35">
      <c r="A61" s="316" t="s">
        <v>206</v>
      </c>
      <c r="B61" s="316"/>
      <c r="C61" s="316"/>
      <c r="D61" s="316"/>
      <c r="E61" s="316"/>
      <c r="F61" s="316"/>
      <c r="G61" s="316"/>
      <c r="H61" s="316"/>
      <c r="I61" s="316"/>
      <c r="J61" s="316"/>
      <c r="K61" s="193"/>
      <c r="L61" s="146"/>
      <c r="M61" s="146"/>
    </row>
    <row r="62" spans="1:13" ht="42.75" customHeight="1" x14ac:dyDescent="0.35">
      <c r="A62" s="316" t="s">
        <v>223</v>
      </c>
      <c r="B62" s="316"/>
      <c r="C62" s="316"/>
      <c r="D62" s="316"/>
      <c r="E62" s="316"/>
      <c r="F62" s="316"/>
      <c r="G62" s="316"/>
      <c r="H62" s="316"/>
      <c r="I62" s="316"/>
      <c r="J62" s="316"/>
      <c r="K62" s="316"/>
      <c r="L62" s="146"/>
      <c r="M62" s="146"/>
    </row>
    <row r="63" spans="1:13" ht="33.75" customHeight="1" x14ac:dyDescent="0.35">
      <c r="A63" s="316" t="s">
        <v>207</v>
      </c>
      <c r="B63" s="316"/>
      <c r="C63" s="316"/>
      <c r="D63" s="316"/>
      <c r="E63" s="316"/>
      <c r="F63" s="316"/>
      <c r="G63" s="316"/>
      <c r="H63" s="316"/>
      <c r="I63" s="316"/>
      <c r="J63" s="316"/>
      <c r="K63" s="193"/>
      <c r="L63" s="146"/>
      <c r="M63" s="146"/>
    </row>
    <row r="64" spans="1:13" x14ac:dyDescent="0.35">
      <c r="A64" s="3" t="s">
        <v>67</v>
      </c>
      <c r="B64" s="3"/>
      <c r="C64" s="3"/>
      <c r="D64" s="3"/>
    </row>
    <row r="65" spans="1:7" x14ac:dyDescent="0.35">
      <c r="A65" s="63" t="s">
        <v>201</v>
      </c>
      <c r="B65" s="3"/>
      <c r="C65" s="3"/>
      <c r="D65" s="3"/>
    </row>
    <row r="66" spans="1:7" x14ac:dyDescent="0.35">
      <c r="A66" s="3" t="s">
        <v>70</v>
      </c>
      <c r="B66" s="3"/>
      <c r="C66" s="3"/>
      <c r="D66" s="3"/>
    </row>
    <row r="67" spans="1:7" x14ac:dyDescent="0.35">
      <c r="A67" s="3" t="s">
        <v>208</v>
      </c>
      <c r="B67" s="3"/>
      <c r="C67" s="3"/>
      <c r="D67" s="3"/>
    </row>
    <row r="69" spans="1:7" ht="31.5" customHeight="1" x14ac:dyDescent="0.35">
      <c r="A69" s="312"/>
      <c r="B69" s="312"/>
      <c r="C69" s="312"/>
      <c r="D69" s="312"/>
      <c r="E69" s="312"/>
      <c r="F69" s="312"/>
      <c r="G69" s="312"/>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Sequence_x0020_Number xmlns="f450f658-75db-4c0c-ab7c-769d36713cb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75d4f0a820f4001080bf88af81ac7904">
  <xsd:schema xmlns:xsd="http://www.w3.org/2001/XMLSchema" xmlns:xs="http://www.w3.org/2001/XMLSchema" xmlns:p="http://schemas.microsoft.com/office/2006/metadata/properties" xmlns:ns2="c85253b9-0a55-49a1-98ad-b5b6252d7079" xmlns:ns3="f450f658-75db-4c0c-ab7c-769d36713cbc" xmlns:ns4="b95115da-3ec3-4f45-8f03-fcf4d770a292" targetNamespace="http://schemas.microsoft.com/office/2006/metadata/properties" ma:root="true" ma:fieldsID="eeb9bdca1b7f9fa9ccfc1b8fbb2936e7" ns2:_="" ns3:_="" ns4:_="">
    <xsd:import namespace="c85253b9-0a55-49a1-98ad-b5b6252d7079"/>
    <xsd:import namespace="f450f658-75db-4c0c-ab7c-769d36713cbc"/>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f450f658-75db-4c0c-ab7c-769d36713cbc"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37C40F9E-044B-4F26-A90E-5C1316E52537"/>
    <ds:schemaRef ds:uri="http://purl.org/dc/elements/1.1/"/>
    <ds:schemaRef ds:uri="c85253b9-0a55-49a1-98ad-b5b6252d7079"/>
    <ds:schemaRef ds:uri="f450f658-75db-4c0c-ab7c-769d36713cbc"/>
  </ds:schemaRefs>
</ds:datastoreItem>
</file>

<file path=customXml/itemProps2.xml><?xml version="1.0" encoding="utf-8"?>
<ds:datastoreItem xmlns:ds="http://schemas.openxmlformats.org/officeDocument/2006/customXml" ds:itemID="{865101E4-3C7E-4489-B03B-2BF7F45AF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f450f658-75db-4c0c-ab7c-769d36713cbc"/>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Index Table of Contents</vt: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 Cycle 3</vt:lpstr>
      <vt:lpstr>OAR Cycle 2</vt:lpstr>
      <vt:lpstr>OAR Cycle 3</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2023-05-26T19:19:01Z</cp:lastPrinted>
  <dcterms:created xsi:type="dcterms:W3CDTF">2013-08-12T19:20:10Z</dcterms:created>
  <dcterms:modified xsi:type="dcterms:W3CDTF">2023-06-02T13:08:45Z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ies>
</file>