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rpAcctg\MEEIA\Missouri West MEEIA DSIM Rider\20191201 Filing\"/>
    </mc:Choice>
  </mc:AlternateContent>
  <xr:revisionPtr revIDLastSave="0" documentId="13_ncr:1_{71DF1792-24EE-4914-8FB7-AE13938D334A}" xr6:coauthVersionLast="36" xr6:coauthVersionMax="36" xr10:uidLastSave="{00000000-0000-0000-0000-000000000000}"/>
  <bookViews>
    <workbookView xWindow="120" yWindow="225" windowWidth="15240" windowHeight="4605" activeTab="10" xr2:uid="{00000000-000D-0000-FFFF-FFFF00000000}"/>
  </bookViews>
  <sheets>
    <sheet name="tariff tables" sheetId="5" r:id="rId1"/>
    <sheet name="PPC" sheetId="4" r:id="rId2"/>
    <sheet name="PCR Cycle 1" sheetId="1" r:id="rId3"/>
    <sheet name="PCR Cycle 2" sheetId="15" r:id="rId4"/>
    <sheet name="PTD" sheetId="12" r:id="rId5"/>
    <sheet name="TDR Cycle 1" sheetId="11" r:id="rId6"/>
    <sheet name="TDR Cycle 2" sheetId="16" r:id="rId7"/>
    <sheet name="EO" sheetId="8" r:id="rId8"/>
    <sheet name="EOR" sheetId="9" r:id="rId9"/>
    <sheet name="OA" sheetId="10" r:id="rId10"/>
    <sheet name="OAR" sheetId="13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Print_Area" localSheetId="10">OAR!$A$1:$L$46</definedName>
    <definedName name="_xlnm.Print_Area" localSheetId="2">'PCR Cycle 1'!$A$1:$N$55</definedName>
    <definedName name="_xlnm.Print_Area" localSheetId="3">'PCR Cycle 2'!$A$1:$N$55</definedName>
    <definedName name="solver_adj" localSheetId="2" hidden="1">'PCR Cycle 1'!$E$38</definedName>
    <definedName name="solver_adj" localSheetId="3" hidden="1">'PCR Cycle 2'!$E$38</definedName>
    <definedName name="solver_adj" localSheetId="5" hidden="1">'TDR Cycle 1'!#REF!</definedName>
    <definedName name="solver_adj" localSheetId="6" hidden="1">'TDR Cycle 2'!#REF!</definedName>
    <definedName name="solver_cvg" localSheetId="2" hidden="1">0.0001</definedName>
    <definedName name="solver_cvg" localSheetId="3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1</definedName>
    <definedName name="solver_drv" localSheetId="5" hidden="1">2</definedName>
    <definedName name="solver_drv" localSheetId="6" hidden="1">2</definedName>
    <definedName name="solver_eng" localSheetId="2" hidden="1">1</definedName>
    <definedName name="solver_eng" localSheetId="3" hidden="1">1</definedName>
    <definedName name="solver_eng" localSheetId="5" hidden="1">1</definedName>
    <definedName name="solver_eng" localSheetId="6" hidden="1">1</definedName>
    <definedName name="solver_est" localSheetId="2" hidden="1">1</definedName>
    <definedName name="solver_est" localSheetId="3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5" hidden="1">2147483647</definedName>
    <definedName name="solver_itr" localSheetId="6" hidden="1">2147483647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ip" localSheetId="6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ni" localSheetId="6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rt" localSheetId="6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msl" localSheetId="6" hidden="1">2</definedName>
    <definedName name="solver_neg" localSheetId="2" hidden="1">1</definedName>
    <definedName name="solver_neg" localSheetId="3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od" localSheetId="6" hidden="1">2147483647</definedName>
    <definedName name="solver_num" localSheetId="2" hidden="1">0</definedName>
    <definedName name="solver_num" localSheetId="3" hidden="1">0</definedName>
    <definedName name="solver_num" localSheetId="5" hidden="1">0</definedName>
    <definedName name="solver_num" localSheetId="6" hidden="1">0</definedName>
    <definedName name="solver_nwt" localSheetId="2" hidden="1">1</definedName>
    <definedName name="solver_nwt" localSheetId="3" hidden="1">1</definedName>
    <definedName name="solver_nwt" localSheetId="5" hidden="1">1</definedName>
    <definedName name="solver_nwt" localSheetId="6" hidden="1">1</definedName>
    <definedName name="solver_opt" localSheetId="2" hidden="1">'PCR Cycle 1'!$E$43</definedName>
    <definedName name="solver_opt" localSheetId="3" hidden="1">'PCR Cycle 2'!$E$43</definedName>
    <definedName name="solver_opt" localSheetId="5" hidden="1">'TDR Cycle 1'!#REF!</definedName>
    <definedName name="solver_opt" localSheetId="6" hidden="1">'TDR Cycle 2'!#REF!</definedName>
    <definedName name="solver_pre" localSheetId="2" hidden="1">0.000001</definedName>
    <definedName name="solver_pre" localSheetId="3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1</definedName>
    <definedName name="solver_rbv" localSheetId="5" hidden="1">2</definedName>
    <definedName name="solver_rbv" localSheetId="6" hidden="1">2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lx" localSheetId="6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rsd" localSheetId="6" hidden="1">0</definedName>
    <definedName name="solver_scl" localSheetId="2" hidden="1">1</definedName>
    <definedName name="solver_scl" localSheetId="3" hidden="1">1</definedName>
    <definedName name="solver_scl" localSheetId="5" hidden="1">2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ssz" localSheetId="6" hidden="1">100</definedName>
    <definedName name="solver_tim" localSheetId="2" hidden="1">2147483647</definedName>
    <definedName name="solver_tim" localSheetId="3" hidden="1">2147483647</definedName>
    <definedName name="solver_tim" localSheetId="5" hidden="1">2147483647</definedName>
    <definedName name="solver_tim" localSheetId="6" hidden="1">2147483647</definedName>
    <definedName name="solver_tol" localSheetId="2" hidden="1">0.01</definedName>
    <definedName name="solver_tol" localSheetId="3" hidden="1">0.01</definedName>
    <definedName name="solver_tol" localSheetId="5" hidden="1">0.01</definedName>
    <definedName name="solver_tol" localSheetId="6" hidden="1">0.01</definedName>
    <definedName name="solver_typ" localSheetId="2" hidden="1">3</definedName>
    <definedName name="solver_typ" localSheetId="3" hidden="1">3</definedName>
    <definedName name="solver_typ" localSheetId="5" hidden="1">3</definedName>
    <definedName name="solver_typ" localSheetId="6" hidden="1">3</definedName>
    <definedName name="solver_val" localSheetId="2" hidden="1">0</definedName>
    <definedName name="solver_val" localSheetId="3" hidden="1">0</definedName>
    <definedName name="solver_val" localSheetId="5" hidden="1">23888.44</definedName>
    <definedName name="solver_val" localSheetId="6" hidden="1">23888.44</definedName>
    <definedName name="solver_ver" localSheetId="2" hidden="1">3</definedName>
    <definedName name="solver_ver" localSheetId="3" hidden="1">3</definedName>
    <definedName name="solver_ver" localSheetId="5" hidden="1">3</definedName>
    <definedName name="solver_ver" localSheetId="6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9" i="16" l="1"/>
  <c r="E20" i="16"/>
  <c r="F20" i="16" l="1"/>
  <c r="F19" i="16"/>
  <c r="G20" i="16" l="1"/>
  <c r="G19" i="16"/>
  <c r="H20" i="16" l="1"/>
  <c r="H19" i="16"/>
  <c r="I19" i="16" l="1"/>
  <c r="I20" i="16"/>
  <c r="J19" i="16" l="1"/>
  <c r="J20" i="16"/>
  <c r="G12" i="13" l="1"/>
  <c r="B9" i="8" l="1"/>
  <c r="B8" i="8"/>
  <c r="B10" i="8" l="1"/>
  <c r="K13" i="15" l="1"/>
  <c r="J13" i="15"/>
  <c r="K12" i="15"/>
  <c r="J12" i="15"/>
  <c r="K11" i="15"/>
  <c r="J11" i="15"/>
  <c r="K10" i="15"/>
  <c r="J10" i="15"/>
  <c r="I8" i="4" l="1"/>
  <c r="H8" i="4"/>
  <c r="G8" i="4"/>
  <c r="F8" i="4"/>
  <c r="K19" i="16" l="1"/>
  <c r="L19" i="16" l="1"/>
  <c r="L23" i="16"/>
  <c r="K23" i="16"/>
  <c r="K24" i="16" l="1"/>
  <c r="K20" i="16"/>
  <c r="L20" i="16" l="1"/>
  <c r="L24" i="16"/>
  <c r="B6" i="12" l="1"/>
  <c r="C6" i="12" l="1"/>
  <c r="B7" i="12" l="1"/>
  <c r="C7" i="12"/>
  <c r="B34" i="11" l="1"/>
  <c r="B33" i="11"/>
  <c r="B36" i="15"/>
  <c r="B35" i="15"/>
  <c r="B6" i="4" l="1"/>
  <c r="B5" i="4"/>
  <c r="G13" i="13" l="1"/>
  <c r="D8" i="10" l="1"/>
  <c r="I36" i="11" l="1"/>
  <c r="H36" i="11"/>
  <c r="G36" i="11"/>
  <c r="F36" i="11"/>
  <c r="E36" i="11"/>
  <c r="D36" i="11"/>
  <c r="G26" i="1" l="1"/>
  <c r="G25" i="1"/>
  <c r="G17" i="13" l="1"/>
  <c r="G16" i="13"/>
  <c r="I17" i="9"/>
  <c r="I16" i="9"/>
  <c r="H17" i="9"/>
  <c r="H16" i="9"/>
  <c r="G17" i="9"/>
  <c r="G16" i="9"/>
  <c r="F17" i="9"/>
  <c r="F16" i="9"/>
  <c r="E17" i="9"/>
  <c r="E16" i="9"/>
  <c r="D17" i="9"/>
  <c r="D16" i="9"/>
  <c r="H16" i="16"/>
  <c r="H15" i="16"/>
  <c r="J16" i="16"/>
  <c r="J15" i="16"/>
  <c r="I16" i="16"/>
  <c r="I15" i="16"/>
  <c r="G16" i="16"/>
  <c r="G15" i="16"/>
  <c r="F16" i="16"/>
  <c r="F15" i="16"/>
  <c r="E16" i="16"/>
  <c r="E15" i="16"/>
  <c r="I16" i="11"/>
  <c r="I15" i="11"/>
  <c r="H16" i="11"/>
  <c r="H15" i="11"/>
  <c r="G16" i="11"/>
  <c r="G15" i="11"/>
  <c r="F16" i="11"/>
  <c r="F15" i="11"/>
  <c r="E16" i="11"/>
  <c r="E15" i="11"/>
  <c r="D16" i="11"/>
  <c r="D15" i="11"/>
  <c r="G22" i="15"/>
  <c r="G21" i="15"/>
  <c r="I26" i="15"/>
  <c r="I25" i="15"/>
  <c r="I22" i="15"/>
  <c r="I21" i="15"/>
  <c r="H26" i="15"/>
  <c r="H25" i="15"/>
  <c r="H22" i="15"/>
  <c r="H21" i="15"/>
  <c r="G26" i="15"/>
  <c r="G25" i="15"/>
  <c r="F26" i="15"/>
  <c r="F25" i="15"/>
  <c r="F22" i="15"/>
  <c r="F21" i="15"/>
  <c r="E26" i="15"/>
  <c r="E25" i="15"/>
  <c r="E22" i="15"/>
  <c r="E21" i="15"/>
  <c r="D26" i="15"/>
  <c r="D25" i="15"/>
  <c r="D22" i="15"/>
  <c r="D21" i="15"/>
  <c r="G22" i="1"/>
  <c r="G21" i="1"/>
  <c r="I26" i="1"/>
  <c r="I25" i="1"/>
  <c r="I22" i="1"/>
  <c r="I21" i="1"/>
  <c r="H26" i="1"/>
  <c r="H25" i="1"/>
  <c r="H22" i="1"/>
  <c r="H21" i="1"/>
  <c r="F26" i="1"/>
  <c r="F25" i="1"/>
  <c r="F22" i="1"/>
  <c r="F21" i="1"/>
  <c r="E26" i="1"/>
  <c r="E25" i="1"/>
  <c r="E22" i="1"/>
  <c r="E21" i="1"/>
  <c r="D26" i="1"/>
  <c r="D25" i="1"/>
  <c r="D22" i="1"/>
  <c r="D21" i="1"/>
  <c r="I13" i="15" l="1"/>
  <c r="H13" i="15"/>
  <c r="G13" i="15"/>
  <c r="F13" i="15"/>
  <c r="E13" i="15"/>
  <c r="I12" i="15"/>
  <c r="H12" i="15"/>
  <c r="G12" i="15"/>
  <c r="F12" i="15"/>
  <c r="E12" i="15"/>
  <c r="I11" i="15"/>
  <c r="H11" i="15"/>
  <c r="G11" i="15"/>
  <c r="F11" i="15"/>
  <c r="E11" i="15"/>
  <c r="I10" i="15"/>
  <c r="H10" i="15"/>
  <c r="G10" i="15"/>
  <c r="F10" i="15"/>
  <c r="E10" i="15"/>
  <c r="D13" i="15"/>
  <c r="D12" i="15"/>
  <c r="D11" i="15"/>
  <c r="D10" i="15"/>
  <c r="I38" i="1" l="1"/>
  <c r="H38" i="1"/>
  <c r="G38" i="1"/>
  <c r="F38" i="1"/>
  <c r="E38" i="1"/>
  <c r="D38" i="1"/>
  <c r="B36" i="13" l="1"/>
  <c r="C36" i="13" s="1"/>
  <c r="L34" i="13"/>
  <c r="I23" i="13"/>
  <c r="C23" i="13"/>
  <c r="C27" i="13" s="1"/>
  <c r="E22" i="13"/>
  <c r="C22" i="13"/>
  <c r="C26" i="13" s="1"/>
  <c r="H23" i="13"/>
  <c r="G23" i="13"/>
  <c r="F23" i="13"/>
  <c r="E23" i="13"/>
  <c r="D23" i="13"/>
  <c r="I22" i="13"/>
  <c r="H22" i="13"/>
  <c r="G22" i="13"/>
  <c r="F22" i="13"/>
  <c r="D22" i="13"/>
  <c r="D9" i="13"/>
  <c r="E9" i="13" s="1"/>
  <c r="F9" i="13" s="1"/>
  <c r="G9" i="13" s="1"/>
  <c r="H9" i="13" s="1"/>
  <c r="I9" i="13" s="1"/>
  <c r="J9" i="13" s="1"/>
  <c r="K9" i="13" s="1"/>
  <c r="L9" i="13" s="1"/>
  <c r="C8" i="13"/>
  <c r="B8" i="13"/>
  <c r="G5" i="13"/>
  <c r="E5" i="13"/>
  <c r="G4" i="13"/>
  <c r="G6" i="13" s="1"/>
  <c r="E4" i="13"/>
  <c r="A1" i="13"/>
  <c r="D27" i="13" l="1"/>
  <c r="D26" i="13"/>
  <c r="E6" i="13"/>
  <c r="C10" i="10" l="1"/>
  <c r="D30" i="16" l="1"/>
  <c r="D12" i="16" l="1"/>
  <c r="D29" i="16" l="1"/>
  <c r="E29" i="13" l="1"/>
  <c r="D29" i="13"/>
  <c r="D25" i="10" l="1"/>
  <c r="F29" i="13"/>
  <c r="G29" i="13"/>
  <c r="D32" i="13"/>
  <c r="D31" i="13"/>
  <c r="H29" i="13"/>
  <c r="I29" i="13"/>
  <c r="J29" i="13" s="1"/>
  <c r="K29" i="13" s="1"/>
  <c r="L22" i="1"/>
  <c r="K22" i="1"/>
  <c r="K17" i="13" s="1"/>
  <c r="K23" i="13" s="1"/>
  <c r="L21" i="1"/>
  <c r="K21" i="1"/>
  <c r="K16" i="13" s="1"/>
  <c r="K22" i="13" s="1"/>
  <c r="J22" i="1"/>
  <c r="J17" i="13" s="1"/>
  <c r="J21" i="1"/>
  <c r="J16" i="13" s="1"/>
  <c r="L17" i="13" l="1"/>
  <c r="L23" i="13" s="1"/>
  <c r="L17" i="9"/>
  <c r="L16" i="13"/>
  <c r="L22" i="13" s="1"/>
  <c r="L16" i="9"/>
  <c r="J22" i="13"/>
  <c r="D4" i="13"/>
  <c r="J23" i="13"/>
  <c r="D5" i="13"/>
  <c r="F5" i="13" s="1"/>
  <c r="D26" i="10"/>
  <c r="D27" i="10" s="1"/>
  <c r="D28" i="10" s="1"/>
  <c r="D34" i="13"/>
  <c r="E26" i="13"/>
  <c r="D36" i="13"/>
  <c r="E31" i="13"/>
  <c r="E27" i="13"/>
  <c r="E32" i="13"/>
  <c r="D6" i="13" l="1"/>
  <c r="F4" i="13"/>
  <c r="F6" i="13" s="1"/>
  <c r="F32" i="13"/>
  <c r="F27" i="13"/>
  <c r="D33" i="13"/>
  <c r="E36" i="13"/>
  <c r="F31" i="13"/>
  <c r="F26" i="13"/>
  <c r="E34" i="13"/>
  <c r="G31" i="13" l="1"/>
  <c r="G26" i="13"/>
  <c r="F36" i="13"/>
  <c r="E33" i="13"/>
  <c r="F34" i="13"/>
  <c r="G32" i="13"/>
  <c r="G27" i="13"/>
  <c r="H32" i="13" l="1"/>
  <c r="H27" i="13"/>
  <c r="F33" i="13"/>
  <c r="G36" i="13"/>
  <c r="H26" i="13"/>
  <c r="H31" i="13"/>
  <c r="G34" i="13"/>
  <c r="H34" i="13" l="1"/>
  <c r="G33" i="13"/>
  <c r="H36" i="13"/>
  <c r="I31" i="13"/>
  <c r="I26" i="13"/>
  <c r="I32" i="13"/>
  <c r="I27" i="13"/>
  <c r="I34" i="13" l="1"/>
  <c r="J27" i="13"/>
  <c r="J32" i="13"/>
  <c r="J26" i="13"/>
  <c r="J31" i="13"/>
  <c r="H33" i="13"/>
  <c r="I36" i="13"/>
  <c r="J34" i="13" l="1"/>
  <c r="J36" i="13"/>
  <c r="I33" i="13"/>
  <c r="K26" i="13"/>
  <c r="K31" i="13"/>
  <c r="K27" i="13"/>
  <c r="K32" i="13"/>
  <c r="H5" i="13" s="1"/>
  <c r="I5" i="13" s="1"/>
  <c r="K34" i="13" l="1"/>
  <c r="H4" i="13"/>
  <c r="K36" i="13"/>
  <c r="J33" i="13"/>
  <c r="L27" i="13"/>
  <c r="J5" i="13" s="1"/>
  <c r="L26" i="13"/>
  <c r="L36" i="13" l="1"/>
  <c r="L33" i="13" s="1"/>
  <c r="K33" i="13"/>
  <c r="H6" i="13"/>
  <c r="I4" i="13"/>
  <c r="J4" i="13" l="1"/>
  <c r="I6" i="13"/>
  <c r="P26" i="1" l="1"/>
  <c r="P25" i="1"/>
  <c r="C30" i="16" l="1"/>
  <c r="C34" i="16" s="1"/>
  <c r="D34" i="16" s="1"/>
  <c r="C29" i="16"/>
  <c r="C33" i="16" s="1"/>
  <c r="D33" i="16" s="1"/>
  <c r="B43" i="16" l="1"/>
  <c r="B45" i="15" l="1"/>
  <c r="A2" i="10" l="1"/>
  <c r="E9" i="1"/>
  <c r="F9" i="1" s="1"/>
  <c r="G9" i="1" s="1"/>
  <c r="H9" i="1" s="1"/>
  <c r="I9" i="1" s="1"/>
  <c r="J9" i="1" s="1"/>
  <c r="K9" i="1" s="1"/>
  <c r="L9" i="1" s="1"/>
  <c r="A1" i="10" l="1"/>
  <c r="C23" i="9" l="1"/>
  <c r="C22" i="9"/>
  <c r="C8" i="9" l="1"/>
  <c r="B8" i="9"/>
  <c r="D9" i="9" l="1"/>
  <c r="E9" i="9" s="1"/>
  <c r="F9" i="9" s="1"/>
  <c r="G9" i="9" s="1"/>
  <c r="H9" i="9" s="1"/>
  <c r="I9" i="9" s="1"/>
  <c r="J9" i="9" s="1"/>
  <c r="K9" i="9" s="1"/>
  <c r="L9" i="9" s="1"/>
  <c r="I29" i="9" l="1"/>
  <c r="A1" i="8" l="1"/>
  <c r="H29" i="9" l="1"/>
  <c r="G29" i="9"/>
  <c r="F29" i="9"/>
  <c r="E29" i="9"/>
  <c r="D29" i="9" l="1"/>
  <c r="B36" i="9" l="1"/>
  <c r="C36" i="9" s="1"/>
  <c r="L34" i="9"/>
  <c r="H23" i="9"/>
  <c r="H22" i="9"/>
  <c r="G22" i="9"/>
  <c r="D23" i="9"/>
  <c r="F23" i="9"/>
  <c r="E23" i="9"/>
  <c r="D22" i="9"/>
  <c r="G5" i="9"/>
  <c r="G4" i="9"/>
  <c r="A1" i="9"/>
  <c r="G6" i="9" l="1"/>
  <c r="E22" i="9"/>
  <c r="F22" i="9"/>
  <c r="G23" i="9"/>
  <c r="E5" i="9"/>
  <c r="C26" i="9"/>
  <c r="C27" i="9"/>
  <c r="J29" i="9"/>
  <c r="K29" i="9" s="1"/>
  <c r="E4" i="9" l="1"/>
  <c r="E6" i="9" s="1"/>
  <c r="D26" i="9"/>
  <c r="D31" i="9"/>
  <c r="D32" i="9"/>
  <c r="D27" i="9"/>
  <c r="D36" i="9" l="1"/>
  <c r="D34" i="9"/>
  <c r="E31" i="9"/>
  <c r="E26" i="9"/>
  <c r="E32" i="9"/>
  <c r="E27" i="9"/>
  <c r="A2" i="8"/>
  <c r="E36" i="9" l="1"/>
  <c r="E34" i="9"/>
  <c r="F27" i="9"/>
  <c r="F32" i="9"/>
  <c r="D33" i="9"/>
  <c r="F31" i="9"/>
  <c r="F26" i="9"/>
  <c r="F36" i="9" l="1"/>
  <c r="F34" i="9"/>
  <c r="G26" i="9"/>
  <c r="G31" i="9"/>
  <c r="E33" i="9"/>
  <c r="G32" i="9"/>
  <c r="G27" i="9"/>
  <c r="G36" i="9" l="1"/>
  <c r="H32" i="9"/>
  <c r="H27" i="9"/>
  <c r="G34" i="9"/>
  <c r="F33" i="9"/>
  <c r="H31" i="9"/>
  <c r="H26" i="9"/>
  <c r="H36" i="9" l="1"/>
  <c r="H34" i="9"/>
  <c r="G33" i="9"/>
  <c r="H33" i="9" l="1"/>
  <c r="L23" i="9" l="1"/>
  <c r="L22" i="9"/>
  <c r="K17" i="9" l="1"/>
  <c r="K23" i="9" s="1"/>
  <c r="J17" i="9"/>
  <c r="K16" i="9"/>
  <c r="J16" i="9"/>
  <c r="J23" i="9" l="1"/>
  <c r="K22" i="9"/>
  <c r="J22" i="9"/>
  <c r="D4" i="9"/>
  <c r="I22" i="9"/>
  <c r="I23" i="9"/>
  <c r="D5" i="9"/>
  <c r="F5" i="9" s="1"/>
  <c r="C10" i="16"/>
  <c r="B10" i="16"/>
  <c r="H12" i="11"/>
  <c r="G12" i="11"/>
  <c r="F12" i="11"/>
  <c r="E12" i="11"/>
  <c r="D12" i="11"/>
  <c r="H38" i="15"/>
  <c r="I36" i="16" s="1"/>
  <c r="G38" i="15"/>
  <c r="H36" i="16" s="1"/>
  <c r="F38" i="15"/>
  <c r="G36" i="16" s="1"/>
  <c r="E38" i="15"/>
  <c r="F36" i="16" s="1"/>
  <c r="D38" i="15"/>
  <c r="E36" i="16" s="1"/>
  <c r="C17" i="15"/>
  <c r="C18" i="15"/>
  <c r="C8" i="15"/>
  <c r="B8" i="15"/>
  <c r="I32" i="9" l="1"/>
  <c r="I27" i="9"/>
  <c r="I31" i="9"/>
  <c r="I26" i="9"/>
  <c r="D6" i="9"/>
  <c r="F4" i="9"/>
  <c r="C18" i="1"/>
  <c r="C17" i="1"/>
  <c r="H18" i="1"/>
  <c r="G18" i="1"/>
  <c r="F18" i="1"/>
  <c r="E18" i="1"/>
  <c r="D18" i="1"/>
  <c r="H17" i="1"/>
  <c r="G17" i="1"/>
  <c r="F17" i="1"/>
  <c r="E17" i="1"/>
  <c r="D17" i="1"/>
  <c r="I36" i="9" l="1"/>
  <c r="I33" i="9" s="1"/>
  <c r="J26" i="9"/>
  <c r="J31" i="9"/>
  <c r="F6" i="9"/>
  <c r="J32" i="9"/>
  <c r="J27" i="9"/>
  <c r="I34" i="9"/>
  <c r="J36" i="9" l="1"/>
  <c r="J33" i="9" s="1"/>
  <c r="K27" i="9"/>
  <c r="K32" i="9"/>
  <c r="H5" i="9" s="1"/>
  <c r="I5" i="9" s="1"/>
  <c r="J34" i="9"/>
  <c r="K31" i="9"/>
  <c r="K26" i="9"/>
  <c r="H5" i="11"/>
  <c r="H4" i="11"/>
  <c r="E17" i="5" l="1"/>
  <c r="K36" i="9"/>
  <c r="L36" i="9" s="1"/>
  <c r="K34" i="9"/>
  <c r="H4" i="9"/>
  <c r="L27" i="9"/>
  <c r="J5" i="9" s="1"/>
  <c r="L26" i="9"/>
  <c r="I38" i="15"/>
  <c r="L33" i="9" l="1"/>
  <c r="K33" i="9"/>
  <c r="H6" i="9"/>
  <c r="I4" i="9"/>
  <c r="M20" i="11"/>
  <c r="E16" i="5" l="1"/>
  <c r="J4" i="9"/>
  <c r="I6" i="9"/>
  <c r="H18" i="15"/>
  <c r="G18" i="15"/>
  <c r="F18" i="15"/>
  <c r="E18" i="15"/>
  <c r="D18" i="15"/>
  <c r="H17" i="15"/>
  <c r="G17" i="15"/>
  <c r="F17" i="15"/>
  <c r="E17" i="15"/>
  <c r="D17" i="15"/>
  <c r="I18" i="15"/>
  <c r="I17" i="15"/>
  <c r="B43" i="11" l="1"/>
  <c r="B45" i="1" l="1"/>
  <c r="C45" i="1" s="1"/>
  <c r="J36" i="16" l="1"/>
  <c r="L22" i="15" l="1"/>
  <c r="K22" i="15"/>
  <c r="J22" i="15"/>
  <c r="L21" i="15"/>
  <c r="K21" i="15"/>
  <c r="J21" i="15"/>
  <c r="J38" i="15"/>
  <c r="D9" i="15"/>
  <c r="E9" i="15" s="1"/>
  <c r="F9" i="15" s="1"/>
  <c r="G9" i="15" s="1"/>
  <c r="H9" i="15" s="1"/>
  <c r="I9" i="15" s="1"/>
  <c r="J9" i="15" s="1"/>
  <c r="K9" i="15" s="1"/>
  <c r="L9" i="15" s="1"/>
  <c r="J25" i="15" l="1"/>
  <c r="K36" i="16"/>
  <c r="M19" i="11"/>
  <c r="C10" i="11" l="1"/>
  <c r="B10" i="11"/>
  <c r="J38" i="1" l="1"/>
  <c r="D29" i="10" s="1"/>
  <c r="C43" i="16" l="1"/>
  <c r="D43" i="16" s="1"/>
  <c r="M16" i="16"/>
  <c r="M30" i="16" s="1"/>
  <c r="L16" i="16"/>
  <c r="K16" i="16"/>
  <c r="M15" i="16"/>
  <c r="M29" i="16" s="1"/>
  <c r="L15" i="16"/>
  <c r="K15" i="16"/>
  <c r="E11" i="16"/>
  <c r="F11" i="16" s="1"/>
  <c r="G11" i="16" s="1"/>
  <c r="H11" i="16" s="1"/>
  <c r="I11" i="16" s="1"/>
  <c r="J11" i="16" s="1"/>
  <c r="K11" i="16" s="1"/>
  <c r="L11" i="16" s="1"/>
  <c r="M11" i="16" s="1"/>
  <c r="I5" i="16"/>
  <c r="I4" i="16"/>
  <c r="A1" i="16"/>
  <c r="C45" i="15"/>
  <c r="L43" i="15"/>
  <c r="K38" i="15"/>
  <c r="C32" i="15"/>
  <c r="C36" i="15" s="1"/>
  <c r="C31" i="15"/>
  <c r="C35" i="15" s="1"/>
  <c r="L26" i="15"/>
  <c r="K26" i="15"/>
  <c r="J26" i="15"/>
  <c r="A26" i="15"/>
  <c r="L25" i="15"/>
  <c r="K25" i="15"/>
  <c r="L18" i="15"/>
  <c r="I32" i="15"/>
  <c r="H32" i="15"/>
  <c r="F32" i="15"/>
  <c r="E32" i="15"/>
  <c r="D32" i="15"/>
  <c r="L17" i="15"/>
  <c r="I31" i="15"/>
  <c r="H31" i="15"/>
  <c r="G31" i="15"/>
  <c r="F31" i="15"/>
  <c r="E31" i="15"/>
  <c r="D31" i="15"/>
  <c r="H5" i="15"/>
  <c r="E5" i="15"/>
  <c r="H4" i="15"/>
  <c r="E4" i="15"/>
  <c r="A1" i="15"/>
  <c r="H6" i="15" l="1"/>
  <c r="D36" i="15"/>
  <c r="D41" i="15"/>
  <c r="D35" i="15"/>
  <c r="D40" i="15"/>
  <c r="D5" i="15"/>
  <c r="L36" i="16"/>
  <c r="I6" i="16"/>
  <c r="E6" i="15"/>
  <c r="D4" i="15"/>
  <c r="L32" i="15"/>
  <c r="L31" i="15"/>
  <c r="E5" i="16"/>
  <c r="E4" i="16"/>
  <c r="G32" i="15"/>
  <c r="D43" i="15" l="1"/>
  <c r="E35" i="15"/>
  <c r="E36" i="15"/>
  <c r="E40" i="15"/>
  <c r="E41" i="15"/>
  <c r="D6" i="15"/>
  <c r="E6" i="16"/>
  <c r="D45" i="15"/>
  <c r="D42" i="15" s="1"/>
  <c r="F36" i="15" l="1"/>
  <c r="F35" i="15"/>
  <c r="F40" i="15"/>
  <c r="F41" i="15"/>
  <c r="E43" i="15"/>
  <c r="E45" i="15"/>
  <c r="E42" i="15" s="1"/>
  <c r="K16" i="11"/>
  <c r="J16" i="11"/>
  <c r="K15" i="11"/>
  <c r="J15" i="11"/>
  <c r="F43" i="15" l="1"/>
  <c r="G41" i="15"/>
  <c r="G40" i="15"/>
  <c r="G36" i="15"/>
  <c r="G35" i="15"/>
  <c r="F45" i="15"/>
  <c r="F42" i="15" s="1"/>
  <c r="F5" i="11"/>
  <c r="F4" i="11"/>
  <c r="H41" i="15" l="1"/>
  <c r="H40" i="15"/>
  <c r="H35" i="15"/>
  <c r="G43" i="15"/>
  <c r="H36" i="15"/>
  <c r="K38" i="1"/>
  <c r="G45" i="15"/>
  <c r="G42" i="15" s="1"/>
  <c r="J29" i="11"/>
  <c r="K29" i="11"/>
  <c r="J30" i="11"/>
  <c r="K30" i="11"/>
  <c r="J12" i="11"/>
  <c r="K12" i="11"/>
  <c r="K26" i="1"/>
  <c r="J26" i="1"/>
  <c r="K25" i="1"/>
  <c r="J25" i="1"/>
  <c r="J17" i="1"/>
  <c r="K17" i="1"/>
  <c r="L17" i="1"/>
  <c r="J18" i="1"/>
  <c r="K18" i="1"/>
  <c r="L18" i="1"/>
  <c r="D30" i="10" l="1"/>
  <c r="I36" i="15"/>
  <c r="I41" i="15"/>
  <c r="I35" i="15"/>
  <c r="I40" i="15"/>
  <c r="H45" i="15"/>
  <c r="H42" i="15" s="1"/>
  <c r="H43" i="15"/>
  <c r="K31" i="1"/>
  <c r="J32" i="1"/>
  <c r="K32" i="1"/>
  <c r="J31" i="1"/>
  <c r="D31" i="10" l="1"/>
  <c r="D32" i="10" s="1"/>
  <c r="I45" i="15"/>
  <c r="D9" i="10" l="1"/>
  <c r="F11" i="5" s="1"/>
  <c r="I42" i="15"/>
  <c r="I43" i="15"/>
  <c r="F10" i="5" l="1"/>
  <c r="D10" i="10"/>
  <c r="D11" i="10" s="1"/>
  <c r="H5" i="1"/>
  <c r="H4" i="1"/>
  <c r="H6" i="11" l="1"/>
  <c r="H6" i="1"/>
  <c r="C30" i="11"/>
  <c r="C34" i="11" s="1"/>
  <c r="C29" i="11"/>
  <c r="C33" i="11" s="1"/>
  <c r="C43" i="11" l="1"/>
  <c r="C32" i="1"/>
  <c r="C36" i="1" s="1"/>
  <c r="C31" i="1"/>
  <c r="C35" i="1" s="1"/>
  <c r="I12" i="11" l="1"/>
  <c r="E5" i="1" l="1"/>
  <c r="E4" i="1"/>
  <c r="H30" i="11" l="1"/>
  <c r="H29" i="11"/>
  <c r="G30" i="11"/>
  <c r="G29" i="11"/>
  <c r="F30" i="11"/>
  <c r="F29" i="11"/>
  <c r="H32" i="1"/>
  <c r="H31" i="1"/>
  <c r="F32" i="1"/>
  <c r="F31" i="1"/>
  <c r="G31" i="1" l="1"/>
  <c r="G32" i="1"/>
  <c r="L16" i="11" l="1"/>
  <c r="L15" i="11"/>
  <c r="L29" i="11" l="1"/>
  <c r="L30" i="11"/>
  <c r="L43" i="1"/>
  <c r="L26" i="1"/>
  <c r="L25" i="1"/>
  <c r="L32" i="1" l="1"/>
  <c r="L31" i="1"/>
  <c r="A1" i="5"/>
  <c r="A1" i="11"/>
  <c r="A1" i="12"/>
  <c r="A1" i="1"/>
  <c r="I18" i="1" l="1"/>
  <c r="F5" i="1" s="1"/>
  <c r="I17" i="1" l="1"/>
  <c r="F4" i="1" s="1"/>
  <c r="A2" i="12" l="1"/>
  <c r="D11" i="11" l="1"/>
  <c r="E11" i="11" s="1"/>
  <c r="F11" i="11" s="1"/>
  <c r="G11" i="11" s="1"/>
  <c r="H11" i="11" s="1"/>
  <c r="I11" i="11" s="1"/>
  <c r="J11" i="11" s="1"/>
  <c r="K11" i="11" s="1"/>
  <c r="L11" i="11" s="1"/>
  <c r="G6" i="4" l="1"/>
  <c r="F5" i="5" l="1"/>
  <c r="F4" i="5"/>
  <c r="E6" i="1" l="1"/>
  <c r="E31" i="1" l="1"/>
  <c r="E32" i="1"/>
  <c r="D31" i="1" l="1"/>
  <c r="D40" i="1" s="1"/>
  <c r="D32" i="1"/>
  <c r="D41" i="1" s="1"/>
  <c r="D43" i="1" l="1"/>
  <c r="D45" i="1"/>
  <c r="D35" i="1"/>
  <c r="D36" i="1"/>
  <c r="E41" i="1" l="1"/>
  <c r="E35" i="1"/>
  <c r="E40" i="1"/>
  <c r="D42" i="1" l="1"/>
  <c r="F40" i="1"/>
  <c r="E43" i="1"/>
  <c r="F35" i="1"/>
  <c r="E30" i="11"/>
  <c r="E29" i="11"/>
  <c r="G40" i="1" l="1"/>
  <c r="G35" i="1"/>
  <c r="D30" i="11"/>
  <c r="D39" i="11" s="1"/>
  <c r="D29" i="11"/>
  <c r="D38" i="11" s="1"/>
  <c r="E4" i="11"/>
  <c r="D33" i="11" l="1"/>
  <c r="D34" i="11"/>
  <c r="H40" i="1"/>
  <c r="H35" i="1"/>
  <c r="E5" i="11"/>
  <c r="E39" i="11" l="1"/>
  <c r="E38" i="11"/>
  <c r="D43" i="11"/>
  <c r="D40" i="11" s="1"/>
  <c r="E34" i="11"/>
  <c r="E33" i="11"/>
  <c r="F39" i="11" l="1"/>
  <c r="F38" i="11"/>
  <c r="F34" i="11"/>
  <c r="F33" i="11"/>
  <c r="D41" i="11"/>
  <c r="G39" i="11" l="1"/>
  <c r="G38" i="11"/>
  <c r="G34" i="11"/>
  <c r="G33" i="11"/>
  <c r="F41" i="11"/>
  <c r="E43" i="11"/>
  <c r="E40" i="11" s="1"/>
  <c r="E41" i="11"/>
  <c r="D5" i="11"/>
  <c r="H39" i="11" l="1"/>
  <c r="H38" i="11"/>
  <c r="H34" i="11"/>
  <c r="H33" i="11"/>
  <c r="D4" i="11"/>
  <c r="F43" i="11"/>
  <c r="F40" i="11" s="1"/>
  <c r="G41" i="11"/>
  <c r="G43" i="11" l="1"/>
  <c r="G40" i="11" s="1"/>
  <c r="H41" i="11"/>
  <c r="D6" i="11"/>
  <c r="F6" i="1"/>
  <c r="B7" i="4"/>
  <c r="F7" i="4"/>
  <c r="D4" i="1" l="1"/>
  <c r="D5" i="1"/>
  <c r="H43" i="11"/>
  <c r="H40" i="11" s="1"/>
  <c r="I32" i="1"/>
  <c r="I31" i="1"/>
  <c r="I35" i="1" l="1"/>
  <c r="I40" i="1"/>
  <c r="D6" i="1"/>
  <c r="G4" i="1"/>
  <c r="G5" i="5" l="1"/>
  <c r="G4" i="5"/>
  <c r="A26" i="1"/>
  <c r="M5" i="5" l="1"/>
  <c r="M4" i="5"/>
  <c r="H7" i="4" l="1"/>
  <c r="G7" i="4"/>
  <c r="I7" i="4" l="1"/>
  <c r="G5" i="1"/>
  <c r="G6" i="1" l="1"/>
  <c r="E36" i="1" l="1"/>
  <c r="F36" i="1" l="1"/>
  <c r="F41" i="1"/>
  <c r="F43" i="1" s="1"/>
  <c r="E45" i="1"/>
  <c r="G41" i="1" l="1"/>
  <c r="J40" i="1"/>
  <c r="J35" i="1"/>
  <c r="E42" i="1"/>
  <c r="F45" i="1"/>
  <c r="G43" i="1"/>
  <c r="G36" i="1"/>
  <c r="K40" i="1" l="1"/>
  <c r="F42" i="1"/>
  <c r="G45" i="1"/>
  <c r="H36" i="1"/>
  <c r="H41" i="1"/>
  <c r="H43" i="1" s="1"/>
  <c r="I41" i="1" l="1"/>
  <c r="I36" i="1"/>
  <c r="G42" i="1"/>
  <c r="H45" i="1"/>
  <c r="I45" i="1" l="1"/>
  <c r="I42" i="1" s="1"/>
  <c r="H42" i="1"/>
  <c r="J41" i="1" l="1"/>
  <c r="J36" i="1"/>
  <c r="K41" i="1" l="1"/>
  <c r="J45" i="1"/>
  <c r="I43" i="1"/>
  <c r="K35" i="1" l="1"/>
  <c r="L35" i="1" l="1"/>
  <c r="I4" i="1"/>
  <c r="J4" i="1" s="1"/>
  <c r="K4" i="1" l="1"/>
  <c r="J43" i="1" l="1"/>
  <c r="K36" i="1" l="1"/>
  <c r="J42" i="1" l="1"/>
  <c r="K45" i="1"/>
  <c r="I5" i="1"/>
  <c r="K43" i="1"/>
  <c r="L36" i="1"/>
  <c r="I30" i="11"/>
  <c r="I39" i="11" s="1"/>
  <c r="I29" i="11"/>
  <c r="I38" i="11" s="1"/>
  <c r="I33" i="11" l="1"/>
  <c r="I34" i="11"/>
  <c r="J5" i="1"/>
  <c r="I6" i="1"/>
  <c r="K42" i="1"/>
  <c r="L45" i="1"/>
  <c r="L42" i="1" s="1"/>
  <c r="F6" i="11"/>
  <c r="E6" i="11"/>
  <c r="G5" i="11"/>
  <c r="G4" i="11"/>
  <c r="I43" i="11" l="1"/>
  <c r="J36" i="11"/>
  <c r="J33" i="11"/>
  <c r="J34" i="11"/>
  <c r="K5" i="1"/>
  <c r="J6" i="1"/>
  <c r="G6" i="11"/>
  <c r="J39" i="11" l="1"/>
  <c r="J38" i="11"/>
  <c r="I41" i="11"/>
  <c r="I40" i="11"/>
  <c r="K36" i="11"/>
  <c r="K34" i="11"/>
  <c r="L39" i="11" s="1"/>
  <c r="K33" i="11"/>
  <c r="L38" i="11" s="1"/>
  <c r="K39" i="11" l="1"/>
  <c r="K38" i="11"/>
  <c r="J43" i="11"/>
  <c r="J40" i="11" s="1"/>
  <c r="M39" i="11"/>
  <c r="L33" i="11"/>
  <c r="L34" i="11"/>
  <c r="M38" i="11" l="1"/>
  <c r="J41" i="11"/>
  <c r="I5" i="11" l="1"/>
  <c r="J5" i="11" s="1"/>
  <c r="I4" i="11"/>
  <c r="J4" i="11" s="1"/>
  <c r="K43" i="11"/>
  <c r="K40" i="11" s="1"/>
  <c r="K41" i="11"/>
  <c r="K4" i="11" l="1"/>
  <c r="K5" i="11"/>
  <c r="I6" i="11"/>
  <c r="J6" i="11"/>
  <c r="L41" i="11"/>
  <c r="L43" i="11"/>
  <c r="L40" i="11" s="1"/>
  <c r="I9" i="4" l="1"/>
  <c r="I10" i="4"/>
  <c r="H10" i="4" l="1"/>
  <c r="H9" i="4"/>
  <c r="K29" i="16" l="1"/>
  <c r="N19" i="16"/>
  <c r="F4" i="16" s="1"/>
  <c r="L29" i="16" l="1"/>
  <c r="N20" i="16"/>
  <c r="F5" i="16" s="1"/>
  <c r="F6" i="16" s="1"/>
  <c r="K30" i="16" l="1"/>
  <c r="K12" i="16"/>
  <c r="L30" i="16" l="1"/>
  <c r="L12" i="16"/>
  <c r="D10" i="5" l="1"/>
  <c r="B8" i="12"/>
  <c r="C8" i="12"/>
  <c r="D11" i="5" l="1"/>
  <c r="J17" i="15" l="1"/>
  <c r="K17" i="15" l="1"/>
  <c r="K31" i="15" s="1"/>
  <c r="J31" i="15"/>
  <c r="F4" i="15" l="1"/>
  <c r="G4" i="15" s="1"/>
  <c r="J40" i="15"/>
  <c r="J35" i="15"/>
  <c r="K40" i="15" l="1"/>
  <c r="I4" i="15" s="1"/>
  <c r="K35" i="15"/>
  <c r="L35" i="15" l="1"/>
  <c r="J4" i="15"/>
  <c r="C16" i="5" l="1"/>
  <c r="K4" i="15"/>
  <c r="F10" i="4" l="1"/>
  <c r="F9" i="4"/>
  <c r="K18" i="15" l="1"/>
  <c r="K32" i="15" s="1"/>
  <c r="J18" i="15" l="1"/>
  <c r="G10" i="4"/>
  <c r="C6" i="4" s="1"/>
  <c r="G9" i="4"/>
  <c r="C5" i="4" s="1"/>
  <c r="C10" i="5" l="1"/>
  <c r="C7" i="4"/>
  <c r="C8" i="4" s="1"/>
  <c r="C11" i="5"/>
  <c r="F5" i="15"/>
  <c r="J32" i="15"/>
  <c r="G5" i="15" l="1"/>
  <c r="G6" i="15" s="1"/>
  <c r="F6" i="15"/>
  <c r="J4" i="5"/>
  <c r="C4" i="5"/>
  <c r="J41" i="15"/>
  <c r="J36" i="15"/>
  <c r="K41" i="15" l="1"/>
  <c r="K36" i="15"/>
  <c r="J43" i="15"/>
  <c r="J45" i="15"/>
  <c r="J42" i="15" s="1"/>
  <c r="L36" i="15" l="1"/>
  <c r="I5" i="15"/>
  <c r="K43" i="15"/>
  <c r="K45" i="15"/>
  <c r="L45" i="15" s="1"/>
  <c r="L42" i="15" l="1"/>
  <c r="K42" i="15"/>
  <c r="J5" i="15"/>
  <c r="I6" i="15"/>
  <c r="C17" i="5" l="1"/>
  <c r="J6" i="15"/>
  <c r="K5" i="15"/>
  <c r="J5" i="5" l="1"/>
  <c r="C5" i="5"/>
  <c r="E24" i="16" l="1"/>
  <c r="E23" i="16"/>
  <c r="E29" i="16" l="1"/>
  <c r="E12" i="16"/>
  <c r="E30" i="16"/>
  <c r="F23" i="16"/>
  <c r="F24" i="16"/>
  <c r="F30" i="16" s="1"/>
  <c r="F29" i="16" l="1"/>
  <c r="F12" i="16"/>
  <c r="E34" i="16"/>
  <c r="E39" i="16"/>
  <c r="E38" i="16"/>
  <c r="E33" i="16"/>
  <c r="G23" i="16"/>
  <c r="G24" i="16"/>
  <c r="G30" i="16" s="1"/>
  <c r="E41" i="16" l="1"/>
  <c r="G29" i="16"/>
  <c r="G12" i="16"/>
  <c r="E43" i="16"/>
  <c r="E40" i="16" s="1"/>
  <c r="F39" i="16"/>
  <c r="F34" i="16"/>
  <c r="F38" i="16"/>
  <c r="F33" i="16"/>
  <c r="H23" i="16"/>
  <c r="H24" i="16"/>
  <c r="H30" i="16" s="1"/>
  <c r="F43" i="16" l="1"/>
  <c r="F40" i="16" s="1"/>
  <c r="G39" i="16"/>
  <c r="G34" i="16"/>
  <c r="G38" i="16"/>
  <c r="G33" i="16"/>
  <c r="H29" i="16"/>
  <c r="H12" i="16"/>
  <c r="F41" i="16"/>
  <c r="I23" i="16"/>
  <c r="I24" i="16"/>
  <c r="I30" i="16" s="1"/>
  <c r="G41" i="16" l="1"/>
  <c r="G43" i="16"/>
  <c r="G40" i="16" s="1"/>
  <c r="H33" i="16"/>
  <c r="H38" i="16"/>
  <c r="H34" i="16"/>
  <c r="H39" i="16"/>
  <c r="I29" i="16"/>
  <c r="I12" i="16"/>
  <c r="J23" i="16"/>
  <c r="J24" i="16"/>
  <c r="J30" i="16" s="1"/>
  <c r="H41" i="16" l="1"/>
  <c r="H43" i="16"/>
  <c r="H40" i="16" s="1"/>
  <c r="J29" i="16"/>
  <c r="J12" i="16"/>
  <c r="G4" i="16"/>
  <c r="I39" i="16"/>
  <c r="I34" i="16"/>
  <c r="G5" i="16"/>
  <c r="H5" i="16" s="1"/>
  <c r="I33" i="16"/>
  <c r="I38" i="16"/>
  <c r="I43" i="16" l="1"/>
  <c r="I40" i="16" s="1"/>
  <c r="J33" i="16"/>
  <c r="J38" i="16"/>
  <c r="J39" i="16"/>
  <c r="J34" i="16"/>
  <c r="I41" i="16"/>
  <c r="H4" i="16"/>
  <c r="G6" i="16"/>
  <c r="H6" i="16" l="1"/>
  <c r="K39" i="16"/>
  <c r="K34" i="16"/>
  <c r="J41" i="16"/>
  <c r="J43" i="16"/>
  <c r="K38" i="16"/>
  <c r="K33" i="16"/>
  <c r="L38" i="16" l="1"/>
  <c r="J4" i="16" s="1"/>
  <c r="K4" i="16" s="1"/>
  <c r="L33" i="16"/>
  <c r="K41" i="16"/>
  <c r="J40" i="16"/>
  <c r="K43" i="16"/>
  <c r="L34" i="16"/>
  <c r="L39" i="16"/>
  <c r="L41" i="16" l="1"/>
  <c r="J5" i="16"/>
  <c r="M39" i="16"/>
  <c r="M34" i="16"/>
  <c r="K40" i="16"/>
  <c r="L43" i="16"/>
  <c r="M38" i="16"/>
  <c r="M33" i="16"/>
  <c r="L4" i="16" s="1"/>
  <c r="D16" i="5"/>
  <c r="K4" i="5" s="1"/>
  <c r="D4" i="5" l="1"/>
  <c r="M43" i="16"/>
  <c r="M40" i="16" s="1"/>
  <c r="L40" i="16"/>
  <c r="M41" i="16"/>
  <c r="J6" i="16"/>
  <c r="K5" i="16"/>
  <c r="L5" i="16" l="1"/>
  <c r="D17" i="5"/>
  <c r="K6" i="16"/>
  <c r="K5" i="5" l="1"/>
  <c r="D5" i="5"/>
  <c r="C9" i="8" l="1"/>
  <c r="D9" i="8" l="1"/>
  <c r="C8" i="8"/>
  <c r="C10" i="8" l="1"/>
  <c r="E9" i="8"/>
  <c r="F9" i="8" s="1"/>
  <c r="G9" i="8" s="1"/>
  <c r="D8" i="8"/>
  <c r="D10" i="8" s="1"/>
  <c r="E11" i="5" l="1"/>
  <c r="E5" i="5" l="1"/>
  <c r="L5" i="5"/>
  <c r="H5" i="5" l="1"/>
  <c r="E8" i="8"/>
  <c r="E10" i="8" l="1"/>
  <c r="F8" i="8"/>
  <c r="F10" i="8" l="1"/>
  <c r="G8" i="8"/>
  <c r="G10" i="8" l="1"/>
  <c r="E10" i="5"/>
  <c r="E4" i="5" l="1"/>
  <c r="L4" i="5"/>
  <c r="H4" i="5" l="1"/>
</calcChain>
</file>

<file path=xl/sharedStrings.xml><?xml version="1.0" encoding="utf-8"?>
<sst xmlns="http://schemas.openxmlformats.org/spreadsheetml/2006/main" count="380" uniqueCount="158">
  <si>
    <t>Low Income</t>
  </si>
  <si>
    <t>Common/General</t>
  </si>
  <si>
    <t>Allocated Program Costs</t>
  </si>
  <si>
    <t>Over/(Under)</t>
  </si>
  <si>
    <t>PCR</t>
  </si>
  <si>
    <t>Allocations</t>
  </si>
  <si>
    <t>Total</t>
  </si>
  <si>
    <t>PPC</t>
  </si>
  <si>
    <t>Service Class</t>
  </si>
  <si>
    <t>FORECASTED</t>
  </si>
  <si>
    <t>TDR</t>
  </si>
  <si>
    <t>Interest</t>
  </si>
  <si>
    <t>CHECK</t>
  </si>
  <si>
    <t>INPUTS</t>
  </si>
  <si>
    <t>Starting Balance</t>
  </si>
  <si>
    <t>Program Cost Rate</t>
  </si>
  <si>
    <t>4. Total Interest</t>
  </si>
  <si>
    <t>2. Actual Revenues - TD-NSB Only</t>
  </si>
  <si>
    <t>5. Total Interest</t>
  </si>
  <si>
    <t>PTD</t>
  </si>
  <si>
    <t>OA</t>
  </si>
  <si>
    <t>OAR</t>
  </si>
  <si>
    <t>NPC</t>
  </si>
  <si>
    <t>NTD</t>
  </si>
  <si>
    <t>NOA</t>
  </si>
  <si>
    <t>cumulative check</t>
  </si>
  <si>
    <t>monthly GL interest check</t>
  </si>
  <si>
    <t>Programmable Thermostat</t>
  </si>
  <si>
    <t>Non-Residential %</t>
  </si>
  <si>
    <t>Residential</t>
  </si>
  <si>
    <t>Non-Residential</t>
  </si>
  <si>
    <t>2. PPC</t>
  </si>
  <si>
    <t>Residential/Non-Residential %</t>
  </si>
  <si>
    <t>DSIM($/kWh)</t>
  </si>
  <si>
    <t>2. PTD</t>
  </si>
  <si>
    <t xml:space="preserve">INPUTS </t>
  </si>
  <si>
    <t>3. Energy Savings (kWh)</t>
  </si>
  <si>
    <t>4. Total monthly interest - Source: calculated</t>
  </si>
  <si>
    <t>1. Actual/Forecasted Program Costs</t>
  </si>
  <si>
    <t>ACTUAL</t>
  </si>
  <si>
    <t>3. Actual/Forecasted Revenues - Program Costs Only</t>
  </si>
  <si>
    <t>Allocated Actual Program Costs (calculated)</t>
  </si>
  <si>
    <t>Regulatory Asset/(Liability) (calculated)</t>
  </si>
  <si>
    <t>1. Actual/Forecasted TD-NSB</t>
  </si>
  <si>
    <t>Interest Carrying Cost (calculated)</t>
  </si>
  <si>
    <t>Cumulative kWh Savings</t>
  </si>
  <si>
    <t>TD-NSB</t>
  </si>
  <si>
    <t>PE (kWh)</t>
  </si>
  <si>
    <t>Defined Terms</t>
  </si>
  <si>
    <t>EP = Effective Period (six months beginning July 2014) and each six month period thereafter</t>
  </si>
  <si>
    <t>PPC = Projected Program Costs in the upcoming EP</t>
  </si>
  <si>
    <t>PCR = Program Costs Reconciliation for the current EP</t>
  </si>
  <si>
    <t>NPC = Net Program Costs for the upcoming EP (PPC + PCR)</t>
  </si>
  <si>
    <t>PTD = Projected Throughput Disincentive in the upcoming EP</t>
  </si>
  <si>
    <t>NTD = Net Throughput Disincentive for the upcoming EP (PTD + TDR)</t>
  </si>
  <si>
    <t>OA = Ordered Adjustment</t>
  </si>
  <si>
    <t>OAR = Ordered Adjustment Reconciliation</t>
  </si>
  <si>
    <t>NOA = Net Order Adjustment (OA + OAR)</t>
  </si>
  <si>
    <t>PE = Projected Energy, in kWh to be delivered during the upcoming RP</t>
  </si>
  <si>
    <t>RP = Recovery Period (six months beginning August 2014) and each six month period thereafter</t>
  </si>
  <si>
    <t>1. PE - Recovery Period Forecasted Billed kWh Sales</t>
  </si>
  <si>
    <t>Billed kWh Sales</t>
  </si>
  <si>
    <t>Billed Revenues</t>
  </si>
  <si>
    <t>2. Actual/Forecasted Billed KWh Sales - Reduced for Opt-Out</t>
  </si>
  <si>
    <t>TDR = Throughput Disincentive Reconciliation in the current EP</t>
  </si>
  <si>
    <t>5. Short-Term Interest Rate</t>
  </si>
  <si>
    <t>6. Current Tariff Rate</t>
  </si>
  <si>
    <t>6. Actual program cost rate component of the tariff rate</t>
  </si>
  <si>
    <t>(Over)/Under (calculated)</t>
  </si>
  <si>
    <t>Cumulative (Over)/Under (calculated)</t>
  </si>
  <si>
    <t>Beginning Over/(Under)</t>
  </si>
  <si>
    <t>EO = Earnings Opportunity</t>
  </si>
  <si>
    <t>NEO = Net Earnings Opportunity (EO + EOR)</t>
  </si>
  <si>
    <t>EOR = Earnings Opportunity Reconciliation</t>
  </si>
  <si>
    <t>TD Rate</t>
  </si>
  <si>
    <t>NEO</t>
  </si>
  <si>
    <t>EO</t>
  </si>
  <si>
    <t>EOR</t>
  </si>
  <si>
    <t>Cycle 1 Program Costs Reconciliation (PCR) Calculation</t>
  </si>
  <si>
    <t>Income-Eligible</t>
  </si>
  <si>
    <t>Cycle 2 Program Costs Reconciliation (PCR) Calculation</t>
  </si>
  <si>
    <t>Cycle 2 Throughput Disincentive TD Reconciliation (TDR) Calculation</t>
  </si>
  <si>
    <t>2. Actual Revenues - TD Only</t>
  </si>
  <si>
    <t>1. Actual/Forecasted TD</t>
  </si>
  <si>
    <t>Cycle 2 Projected Throughput Disincentive (PTD) TD Calculation</t>
  </si>
  <si>
    <t>Cycle 2 Projected Program Costs (PPC) Calculation</t>
  </si>
  <si>
    <t>Cycle 1 Throughput Disincentive TD-NSB Reconciliation (TDR) Calculation</t>
  </si>
  <si>
    <t>1. Forecasted kWh Sales Impact</t>
  </si>
  <si>
    <t>4. Actual/Forecasted TD-NSB</t>
  </si>
  <si>
    <t>5. Total monthly interest - Source: calculated</t>
  </si>
  <si>
    <t>6. AFUDC Rate</t>
  </si>
  <si>
    <t>7. Actual TD-NSB rate component of the tariff rate</t>
  </si>
  <si>
    <t>7. Current Tariff Rate</t>
  </si>
  <si>
    <t>4. Actual/Forecasted TD</t>
  </si>
  <si>
    <t>7. Actual TD rate component of the tariff rate</t>
  </si>
  <si>
    <t>6. Short-Term Interest Rate</t>
  </si>
  <si>
    <t>3. kWh sales impact</t>
  </si>
  <si>
    <t>Cumulative kWh Sales Impact</t>
  </si>
  <si>
    <t>TD</t>
  </si>
  <si>
    <t>EO Rate</t>
  </si>
  <si>
    <t>Cycle 1 Earnings Opportunity Reconciliation (EOR) Calculation</t>
  </si>
  <si>
    <t>Carrying Cost</t>
  </si>
  <si>
    <t>1. &amp; 4. Actual monthly TD-NSB - Source: None</t>
  </si>
  <si>
    <t>1. Allocated Actual Earnings Opportunity</t>
  </si>
  <si>
    <t>1. Actual monthly earnings opportunity - Source: None</t>
  </si>
  <si>
    <t>2. Actual/Forecasted Revenues - Earnings Opportunity Only</t>
  </si>
  <si>
    <t>3. Total Interest</t>
  </si>
  <si>
    <t>4. Short-Term Interest Rate</t>
  </si>
  <si>
    <t>3. Total monthly interest - Source: calculated</t>
  </si>
  <si>
    <t>5. Actual EO rate component of the tariff rate</t>
  </si>
  <si>
    <t>1. Ordered Adjustment</t>
  </si>
  <si>
    <t>2. Carrying Costs on OA</t>
  </si>
  <si>
    <t>1. Actual monthly program costs by allocation bucket Residential, Non-Residential, Low Income, Common/General, Programmable Thermostat) - Source: None</t>
  </si>
  <si>
    <t>Correction of Reported Results for April - October 2018</t>
  </si>
  <si>
    <t>Res/Non-Res Allocation</t>
  </si>
  <si>
    <t>2. Carrying Costs on OA - Source: Calculated</t>
  </si>
  <si>
    <t>3. Monthly Short-Term Interest Rate</t>
  </si>
  <si>
    <t>OA Rate</t>
  </si>
  <si>
    <t>Projections for Cycle 2 January - June 2020 DSIM</t>
  </si>
  <si>
    <t>1. Forecasted kWh by Residential/Non-Residential (Reduced for Opt-Out) - Source: Billed kWh Budget Missouri West 2019-2020.xlsx</t>
  </si>
  <si>
    <t>Cumulative Over/Under Carryover From 06/01/2019 Filing</t>
  </si>
  <si>
    <t>Reverse May-19 - October-19  Forecast From 06/01/2019 Filing</t>
  </si>
  <si>
    <t>1. Total Earnings Opportunity</t>
  </si>
  <si>
    <t>5. Total Earnings Opportunity plus Carrying Costs</t>
  </si>
  <si>
    <t>Cycle 2 Ordered Adjustments Reconciliation (OAR) Calculation</t>
  </si>
  <si>
    <t>1. Allocated Actual Ordered Adjustments</t>
  </si>
  <si>
    <t>2. Actual/Forecasted Revenues - Ordered Adjustments Only</t>
  </si>
  <si>
    <t>5. Actual OA rate component of the tariff rate</t>
  </si>
  <si>
    <t xml:space="preserve">1. Ordered Adjustment - </t>
  </si>
  <si>
    <t>1. Ordered Adjustment - Source: None</t>
  </si>
  <si>
    <t>3. Monthly Short-Term Borrowing Rate - Source: None</t>
  </si>
  <si>
    <t>Evergy Missouri West, Inc. - DSIM Rider Update Filed 12/02/2019</t>
  </si>
  <si>
    <t>Cycle 2 Earnings Opportunity (EO) Calculation</t>
  </si>
  <si>
    <t>2. EO TD Ex Post Gross Adjustment</t>
  </si>
  <si>
    <t>4. Carrying Costs @ AFUDC Rate</t>
  </si>
  <si>
    <t>6. Amortization Over 24 Month Recovery Period</t>
  </si>
  <si>
    <t>3. EO TD NTG Adjustment</t>
  </si>
  <si>
    <t>1. Total Earnings Opportunity - Source: Missouri West EO Calculation PY1-PY3.xlsx</t>
  </si>
  <si>
    <t>2. EO TD Ex Post Gross Adjustment -  Source: TD Model Missouri West 102019 11202019.xlsx</t>
  </si>
  <si>
    <t>3. EO TD NTG Adjustment -  Source: TD Model Missouri West 102019 11202019.xlsx</t>
  </si>
  <si>
    <t>4. Carrying Costs @ AFUDC Rate -  Source: TD Model Missouri West 102019 11202019.xlsx</t>
  </si>
  <si>
    <t>6. Amortization Over 24 Month Recovery Period - Source: Line 5 divided by 4 (six month recovery periods)</t>
  </si>
  <si>
    <t>5. Total Earnings Opportunity plus Carrying Costs - Source: Sum of Lines 1. through 4.</t>
  </si>
  <si>
    <t>2. Actual monthly billed revenues by Residential/Non-Residential (program cost revenues only) - Missouri West MEEIA 2019 Revenue Analysis.xlsx
Forecasted monthly billed revenues by Residential/Non-Residential (program cost revenues only) - Source: calculated = Forecasted billed kWh sales X tariff rate</t>
  </si>
  <si>
    <t>5. Monthly Short-Term Borrowing Rate - Source: Missouri West Short-Term Borrowing Rate May 2019 - October 2019.xlsx</t>
  </si>
  <si>
    <t>2. Actual monthly kWh billed sales by Residential/Non-Residential (reduced for opt-out) - Source: Missouri West MEEIA 2019 Revenue Analysis.xlsx
    Forecasted monthly kWh billed sales by Residential/Non-Residential (reduced for opt-out) - Source: Billed kWh Budget Missouri West 2019-2020.xlsx</t>
  </si>
  <si>
    <t>3. Actual monthly billed revenues by Residential/Non-Residential (TD-NSB only) - Missouri West MEEIA 2019 Revenue Analysis.xlsx
Forecasted monthly billed revenues by Residential/Non-Residential (TD-NSB revenues only) - Source: calculated = Forecasted billed kWh sales X tariff rate</t>
  </si>
  <si>
    <t>6. Monthly AFUDC Rate - Source: Missouri West AFUDC Rates January thru October 2019.xlsx</t>
  </si>
  <si>
    <t>3. Actual monthly billed revenues by Residential/Non-Residential (program cost revenues only) - Missouri West MEEIA 2019 Revenue Analysis.xlsx
    Forecasted monthly billed revenues by Residential/Non-Residential (program cost revenues only) - Source: calculated = Forecasted billed kWh sales X tariff rate</t>
  </si>
  <si>
    <t>3. Actual monthly billed revenues by Residential/Non-Residential (program cost revenues only) - Missouri West MEEIA 2019 Revenue Analysis.xlsx
Forecasted monthly billed revenues by Residential/Non-Residential (program cost revenues only) - Source: calculated = Forecasted billed kWh sales X tariff rate</t>
  </si>
  <si>
    <t>1. Actual monthly Ordered Adjustments - Source: OA Adjustment Cycle 2 Missouri West.xlsx</t>
  </si>
  <si>
    <t>Cycle 2 Ordered Adjustment (OA) Calculation</t>
  </si>
  <si>
    <t>2. Forecasted program costs by allocation bucket (Residential, Non-Residential, Income-Eligible, Common/General) - Source: Missouri West MEEIA Cycle 2 Forecast 2017-2020 102019 actuals 11222019.xlsx</t>
  </si>
  <si>
    <t>1. Actual monthly program costs by allocation bucket Residential, Non-Residential, Income-Eligible, Common/General) - Source: SI Projects 052019-102019 Missouri West.xlsx
    Forecasted monthly program costs by allocation bucket - Source: Missouri West MEEIA Cycle 2 Forecast 2017-2020 102019 actuals 11222019.xlsx</t>
  </si>
  <si>
    <t>1. Forecasted Residential/Non-Residential kWh Sales Impact  - Source: Missouri West MEEIA Cycle 2 Forecast 2017-2020 102019 actuals 11222019.xlsx</t>
  </si>
  <si>
    <t>2. Forecasted Throughput Disincentive  - Source: Missouri West MEEIA Cycle 2 Forecast 2017-2020 102019 actuals 11222019.xlsx</t>
  </si>
  <si>
    <t>1. &amp; 4. Actual monthly TD - Source: TD Model Missouri West 102019 11202019.xlsx
    Forecasted monthly TD - Source: Missouri West MEEIA Cycle 2 Forecast 2017-2020 102019 actuals 11222019.xlsx</t>
  </si>
  <si>
    <t>3. Actual monthly kWh Sales Impact - Source: TD Model Missouri West 102019 11202019.xlsx
    Forecasted monthly kWh Sales Impact - Source: Missouri West MEEIA Cycle 2 Forecast 2017-2020 102019 actuals 11222019.xlsx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</si>
</sst>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_(&quot;$&quot;* #,##0_);_(&quot;$&quot;* \(#,##0\);_(&quot;$&quot;* &quot;-&quot;??_);_(@_)"/>
    <numFmt numFmtId="166" formatCode="&quot;$&quot;#,##0.00"/>
    <numFmt numFmtId="167" formatCode="_(* #,##0_);_(* \(#,##0\);_(* &quot;-&quot;??_);_(@_)"/>
    <numFmt numFmtId="168" formatCode="0.0000%"/>
    <numFmt numFmtId="169" formatCode="_(&quot;$&quot;* #,##0.00000_);_(&quot;$&quot;* \(#,##0.00000\);_(&quot;$&quot;* &quot;-&quot;?????_);_(@_)"/>
    <numFmt numFmtId="170" formatCode="0.000000%"/>
    <numFmt numFmtId="173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ourier New"/>
      <family val="3"/>
    </font>
    <font>
      <sz val="10"/>
      <color rgb="FF000000"/>
      <name val="Courier New"/>
      <family val="3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0"/>
      <name val="Arial"/>
      <family val="2"/>
    </font>
    <font>
      <u/>
      <sz val="6"/>
      <color indexed="12"/>
      <name val="Arial"/>
      <family val="2"/>
    </font>
    <font>
      <u/>
      <sz val="8.5"/>
      <color indexed="12"/>
      <name val="Arial"/>
      <family val="2"/>
    </font>
    <font>
      <sz val="10"/>
      <name val="MS Sans Serif"/>
      <family val="2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ourier New"/>
      <family val="3"/>
    </font>
    <font>
      <b/>
      <u/>
      <sz val="10"/>
      <color theme="1"/>
      <name val="Courier New"/>
      <family val="3"/>
    </font>
    <font>
      <b/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medium">
        <color indexed="64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rgb="FF7F7F7F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double">
        <color rgb="FF3F3F3F"/>
      </left>
      <right style="medium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/>
      <top style="thin">
        <color rgb="FF7F7F7F"/>
      </top>
      <bottom style="medium">
        <color indexed="64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double">
        <color rgb="FF3F3F3F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rgb="FF7F7F7F"/>
      </bottom>
      <diagonal/>
    </border>
    <border>
      <left style="medium">
        <color auto="1"/>
      </left>
      <right style="medium">
        <color indexed="64"/>
      </right>
      <top style="thin">
        <color rgb="FF7F7F7F"/>
      </top>
      <bottom style="medium">
        <color auto="1"/>
      </bottom>
      <diagonal/>
    </border>
    <border>
      <left style="medium">
        <color auto="1"/>
      </left>
      <right/>
      <top style="thin">
        <color rgb="FF7F7F7F"/>
      </top>
      <bottom/>
      <diagonal/>
    </border>
    <border>
      <left/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double">
        <color rgb="FF3F3F3F"/>
      </right>
      <top/>
      <bottom style="double">
        <color rgb="FF3F3F3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indexed="64"/>
      </bottom>
      <diagonal/>
    </border>
    <border>
      <left style="medium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double">
        <color rgb="FF3F3F3F"/>
      </top>
      <bottom style="double">
        <color rgb="FF3F3F3F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theme="0" tint="-0.2499465926084170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thin">
        <color theme="0" tint="-0.34998626667073579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30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1" applyNumberFormat="0" applyAlignment="0" applyProtection="0"/>
    <xf numFmtId="0" fontId="6" fillId="6" borderId="2" applyNumberFormat="0" applyAlignment="0" applyProtection="0"/>
    <xf numFmtId="0" fontId="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3" fillId="7" borderId="17" applyNumberFormat="0" applyAlignment="0" applyProtection="0"/>
    <xf numFmtId="0" fontId="14" fillId="7" borderId="1" applyNumberFormat="0" applyAlignment="0" applyProtection="0"/>
    <xf numFmtId="0" fontId="1" fillId="8" borderId="18" applyNumberFormat="0" applyFont="0" applyAlignment="0" applyProtection="0"/>
    <xf numFmtId="0" fontId="15" fillId="0" borderId="2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0" borderId="0"/>
    <xf numFmtId="0" fontId="12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1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2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33" borderId="0" applyNumberFormat="0" applyAlignment="0">
      <alignment horizontal="right"/>
    </xf>
    <xf numFmtId="0" fontId="12" fillId="34" borderId="0" applyNumberFormat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  <xf numFmtId="0" fontId="1" fillId="0" borderId="0"/>
  </cellStyleXfs>
  <cellXfs count="284">
    <xf numFmtId="0" fontId="0" fillId="0" borderId="0" xfId="0"/>
    <xf numFmtId="164" fontId="0" fillId="0" borderId="0" xfId="0" applyNumberFormat="1"/>
    <xf numFmtId="0" fontId="7" fillId="0" borderId="0" xfId="8"/>
    <xf numFmtId="0" fontId="8" fillId="0" borderId="0" xfId="0" applyFont="1"/>
    <xf numFmtId="44" fontId="0" fillId="0" borderId="0" xfId="0" applyNumberFormat="1"/>
    <xf numFmtId="10" fontId="0" fillId="0" borderId="0" xfId="2" applyNumberFormat="1" applyFont="1"/>
    <xf numFmtId="0" fontId="8" fillId="0" borderId="0" xfId="0" applyFont="1" applyAlignment="1">
      <alignment horizontal="center"/>
    </xf>
    <xf numFmtId="44" fontId="8" fillId="0" borderId="0" xfId="0" applyNumberFormat="1" applyFont="1"/>
    <xf numFmtId="166" fontId="0" fillId="0" borderId="0" xfId="0" applyNumberFormat="1"/>
    <xf numFmtId="0" fontId="9" fillId="0" borderId="0" xfId="0" applyFont="1" applyAlignment="1">
      <alignment horizontal="left"/>
    </xf>
    <xf numFmtId="0" fontId="0" fillId="0" borderId="9" xfId="0" applyBorder="1"/>
    <xf numFmtId="0" fontId="0" fillId="0" borderId="10" xfId="0" applyBorder="1"/>
    <xf numFmtId="44" fontId="0" fillId="0" borderId="9" xfId="0" applyNumberFormat="1" applyBorder="1"/>
    <xf numFmtId="44" fontId="0" fillId="0" borderId="10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5" fontId="5" fillId="5" borderId="13" xfId="6" applyNumberFormat="1" applyBorder="1"/>
    <xf numFmtId="0" fontId="0" fillId="0" borderId="0" xfId="0" applyBorder="1"/>
    <xf numFmtId="0" fontId="7" fillId="0" borderId="0" xfId="8" applyBorder="1"/>
    <xf numFmtId="44" fontId="0" fillId="0" borderId="0" xfId="0" applyNumberFormat="1" applyBorder="1"/>
    <xf numFmtId="164" fontId="0" fillId="0" borderId="12" xfId="0" applyNumberFormat="1" applyBorder="1"/>
    <xf numFmtId="43" fontId="6" fillId="6" borderId="2" xfId="1" applyFont="1" applyFill="1" applyBorder="1"/>
    <xf numFmtId="0" fontId="8" fillId="0" borderId="0" xfId="0" applyFont="1" applyAlignment="1">
      <alignment horizontal="right"/>
    </xf>
    <xf numFmtId="10" fontId="0" fillId="0" borderId="0" xfId="0" applyNumberFormat="1"/>
    <xf numFmtId="165" fontId="14" fillId="7" borderId="1" xfId="13" applyNumberFormat="1"/>
    <xf numFmtId="0" fontId="8" fillId="0" borderId="9" xfId="0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10" fontId="14" fillId="7" borderId="1" xfId="13" applyNumberFormat="1" applyBorder="1" applyAlignment="1">
      <alignment horizontal="center"/>
    </xf>
    <xf numFmtId="10" fontId="14" fillId="7" borderId="14" xfId="13" applyNumberFormat="1" applyBorder="1" applyAlignment="1">
      <alignment horizontal="center"/>
    </xf>
    <xf numFmtId="165" fontId="14" fillId="7" borderId="16" xfId="13" applyNumberFormat="1" applyBorder="1" applyAlignment="1">
      <alignment horizontal="center"/>
    </xf>
    <xf numFmtId="165" fontId="14" fillId="7" borderId="21" xfId="13" applyNumberFormat="1" applyBorder="1" applyAlignment="1">
      <alignment horizontal="center"/>
    </xf>
    <xf numFmtId="0" fontId="7" fillId="0" borderId="9" xfId="8" applyBorder="1" applyAlignment="1">
      <alignment horizontal="right"/>
    </xf>
    <xf numFmtId="0" fontId="8" fillId="0" borderId="25" xfId="0" applyFont="1" applyBorder="1" applyAlignment="1">
      <alignment horizontal="right"/>
    </xf>
    <xf numFmtId="0" fontId="7" fillId="0" borderId="0" xfId="8" applyAlignment="1">
      <alignment horizontal="right"/>
    </xf>
    <xf numFmtId="167" fontId="5" fillId="5" borderId="1" xfId="6" applyNumberFormat="1"/>
    <xf numFmtId="167" fontId="14" fillId="7" borderId="1" xfId="13" applyNumberFormat="1"/>
    <xf numFmtId="165" fontId="13" fillId="7" borderId="17" xfId="12" applyNumberFormat="1"/>
    <xf numFmtId="165" fontId="5" fillId="5" borderId="16" xfId="6" applyNumberFormat="1" applyBorder="1" applyAlignment="1">
      <alignment horizontal="center"/>
    </xf>
    <xf numFmtId="165" fontId="5" fillId="5" borderId="21" xfId="6" applyNumberFormat="1" applyBorder="1" applyAlignment="1">
      <alignment horizontal="center"/>
    </xf>
    <xf numFmtId="165" fontId="5" fillId="5" borderId="15" xfId="11" applyNumberFormat="1" applyFont="1" applyFill="1" applyBorder="1"/>
    <xf numFmtId="165" fontId="6" fillId="6" borderId="2" xfId="7" applyNumberFormat="1"/>
    <xf numFmtId="165" fontId="0" fillId="0" borderId="9" xfId="0" applyNumberFormat="1" applyBorder="1"/>
    <xf numFmtId="165" fontId="0" fillId="0" borderId="10" xfId="0" applyNumberFormat="1" applyBorder="1"/>
    <xf numFmtId="0" fontId="8" fillId="0" borderId="0" xfId="0" applyFont="1" applyFill="1" applyBorder="1" applyAlignment="1">
      <alignment horizontal="right"/>
    </xf>
    <xf numFmtId="165" fontId="0" fillId="0" borderId="0" xfId="0" applyNumberFormat="1" applyBorder="1"/>
    <xf numFmtId="44" fontId="6" fillId="6" borderId="2" xfId="7" applyNumberFormat="1"/>
    <xf numFmtId="165" fontId="5" fillId="0" borderId="0" xfId="11" applyNumberFormat="1" applyFont="1" applyFill="1" applyBorder="1"/>
    <xf numFmtId="165" fontId="4" fillId="0" borderId="0" xfId="11" applyNumberFormat="1" applyFont="1" applyFill="1" applyBorder="1"/>
    <xf numFmtId="10" fontId="5" fillId="0" borderId="0" xfId="2" applyNumberFormat="1" applyFont="1" applyFill="1" applyBorder="1"/>
    <xf numFmtId="165" fontId="5" fillId="0" borderId="9" xfId="6" applyNumberFormat="1" applyFill="1" applyBorder="1"/>
    <xf numFmtId="165" fontId="5" fillId="0" borderId="0" xfId="6" applyNumberFormat="1" applyFill="1" applyBorder="1"/>
    <xf numFmtId="37" fontId="4" fillId="0" borderId="10" xfId="5" applyNumberFormat="1" applyFill="1" applyBorder="1"/>
    <xf numFmtId="0" fontId="0" fillId="0" borderId="0" xfId="0" applyFill="1"/>
    <xf numFmtId="165" fontId="14" fillId="7" borderId="13" xfId="13" applyNumberFormat="1" applyBorder="1"/>
    <xf numFmtId="165" fontId="14" fillId="7" borderId="1" xfId="13" applyNumberFormat="1" applyBorder="1"/>
    <xf numFmtId="44" fontId="6" fillId="6" borderId="2" xfId="7" applyNumberFormat="1" applyBorder="1"/>
    <xf numFmtId="0" fontId="0" fillId="0" borderId="11" xfId="0" applyBorder="1"/>
    <xf numFmtId="0" fontId="0" fillId="0" borderId="28" xfId="0" applyBorder="1"/>
    <xf numFmtId="0" fontId="0" fillId="0" borderId="6" xfId="0" applyBorder="1"/>
    <xf numFmtId="0" fontId="0" fillId="0" borderId="0" xfId="0"/>
    <xf numFmtId="0" fontId="0" fillId="0" borderId="0" xfId="0"/>
    <xf numFmtId="0" fontId="0" fillId="0" borderId="0" xfId="0"/>
    <xf numFmtId="165" fontId="0" fillId="0" borderId="0" xfId="0" applyNumberFormat="1"/>
    <xf numFmtId="0" fontId="8" fillId="0" borderId="0" xfId="0" applyFont="1" applyAlignment="1">
      <alignment horizontal="center"/>
    </xf>
    <xf numFmtId="165" fontId="14" fillId="7" borderId="33" xfId="13" applyNumberFormat="1" applyBorder="1"/>
    <xf numFmtId="44" fontId="6" fillId="6" borderId="34" xfId="7" applyNumberFormat="1" applyBorder="1"/>
    <xf numFmtId="44" fontId="6" fillId="6" borderId="35" xfId="7" applyNumberFormat="1" applyBorder="1"/>
    <xf numFmtId="37" fontId="4" fillId="0" borderId="0" xfId="5" applyNumberFormat="1" applyFill="1" applyBorder="1"/>
    <xf numFmtId="0" fontId="8" fillId="35" borderId="0" xfId="0" applyFont="1" applyFill="1"/>
    <xf numFmtId="0" fontId="7" fillId="0" borderId="0" xfId="8" applyBorder="1" applyAlignment="1">
      <alignment horizontal="right"/>
    </xf>
    <xf numFmtId="165" fontId="5" fillId="5" borderId="1" xfId="6" applyNumberFormat="1" applyBorder="1"/>
    <xf numFmtId="44" fontId="0" fillId="0" borderId="0" xfId="0" applyNumberFormat="1" applyBorder="1"/>
    <xf numFmtId="165" fontId="5" fillId="5" borderId="22" xfId="6" applyNumberFormat="1" applyBorder="1"/>
    <xf numFmtId="44" fontId="0" fillId="0" borderId="36" xfId="0" applyNumberFormat="1" applyBorder="1"/>
    <xf numFmtId="44" fontId="0" fillId="0" borderId="37" xfId="0" applyNumberFormat="1" applyBorder="1"/>
    <xf numFmtId="3" fontId="14" fillId="7" borderId="23" xfId="13" applyNumberFormat="1" applyBorder="1" applyAlignment="1">
      <alignment horizontal="right"/>
    </xf>
    <xf numFmtId="165" fontId="4" fillId="0" borderId="10" xfId="11" applyNumberFormat="1" applyFont="1" applyFill="1" applyBorder="1"/>
    <xf numFmtId="165" fontId="14" fillId="7" borderId="14" xfId="13" applyNumberFormat="1" applyBorder="1"/>
    <xf numFmtId="44" fontId="6" fillId="6" borderId="24" xfId="7" applyNumberFormat="1" applyBorder="1"/>
    <xf numFmtId="0" fontId="8" fillId="0" borderId="0" xfId="0" applyFont="1" applyFill="1"/>
    <xf numFmtId="165" fontId="5" fillId="0" borderId="9" xfId="11" applyNumberFormat="1" applyFont="1" applyFill="1" applyBorder="1"/>
    <xf numFmtId="10" fontId="5" fillId="0" borderId="9" xfId="2" applyNumberFormat="1" applyFont="1" applyFill="1" applyBorder="1"/>
    <xf numFmtId="165" fontId="5" fillId="0" borderId="12" xfId="11" applyNumberFormat="1" applyFont="1" applyFill="1" applyBorder="1"/>
    <xf numFmtId="44" fontId="0" fillId="0" borderId="9" xfId="0" applyNumberFormat="1" applyFill="1" applyBorder="1"/>
    <xf numFmtId="44" fontId="0" fillId="0" borderId="0" xfId="0" applyNumberFormat="1" applyFill="1" applyBorder="1"/>
    <xf numFmtId="0" fontId="8" fillId="36" borderId="0" xfId="0" applyFont="1" applyFill="1"/>
    <xf numFmtId="0" fontId="8" fillId="0" borderId="0" xfId="0" applyFont="1" applyAlignment="1">
      <alignment horizontal="center" wrapText="1"/>
    </xf>
    <xf numFmtId="168" fontId="0" fillId="0" borderId="9" xfId="0" applyNumberFormat="1" applyBorder="1"/>
    <xf numFmtId="169" fontId="5" fillId="5" borderId="23" xfId="6" applyNumberFormat="1" applyBorder="1"/>
    <xf numFmtId="10" fontId="5" fillId="5" borderId="23" xfId="6" applyNumberFormat="1" applyBorder="1"/>
    <xf numFmtId="0" fontId="8" fillId="0" borderId="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41" fontId="5" fillId="5" borderId="13" xfId="6" applyNumberFormat="1" applyBorder="1"/>
    <xf numFmtId="41" fontId="5" fillId="5" borderId="1" xfId="6" applyNumberFormat="1" applyBorder="1"/>
    <xf numFmtId="165" fontId="6" fillId="6" borderId="2" xfId="1" applyNumberFormat="1" applyFont="1" applyFill="1" applyBorder="1"/>
    <xf numFmtId="165" fontId="4" fillId="4" borderId="39" xfId="11" applyNumberFormat="1" applyFont="1" applyFill="1" applyBorder="1"/>
    <xf numFmtId="3" fontId="4" fillId="4" borderId="39" xfId="5" applyNumberFormat="1" applyBorder="1"/>
    <xf numFmtId="165" fontId="4" fillId="4" borderId="38" xfId="5" applyNumberFormat="1" applyBorder="1"/>
    <xf numFmtId="165" fontId="4" fillId="4" borderId="39" xfId="5" applyNumberFormat="1" applyBorder="1"/>
    <xf numFmtId="41" fontId="4" fillId="4" borderId="39" xfId="5" applyNumberFormat="1" applyBorder="1"/>
    <xf numFmtId="165" fontId="4" fillId="4" borderId="40" xfId="5" applyNumberFormat="1" applyBorder="1"/>
    <xf numFmtId="165" fontId="4" fillId="4" borderId="40" xfId="11" applyNumberFormat="1" applyFont="1" applyFill="1" applyBorder="1"/>
    <xf numFmtId="42" fontId="14" fillId="7" borderId="33" xfId="13" applyNumberFormat="1" applyBorder="1"/>
    <xf numFmtId="170" fontId="0" fillId="0" borderId="0" xfId="2" applyNumberFormat="1" applyFont="1" applyBorder="1"/>
    <xf numFmtId="170" fontId="0" fillId="0" borderId="0" xfId="0" applyNumberFormat="1" applyBorder="1"/>
    <xf numFmtId="170" fontId="0" fillId="0" borderId="9" xfId="2" applyNumberFormat="1" applyFont="1" applyBorder="1"/>
    <xf numFmtId="170" fontId="0" fillId="0" borderId="10" xfId="2" applyNumberFormat="1" applyFont="1" applyBorder="1"/>
    <xf numFmtId="42" fontId="5" fillId="5" borderId="1" xfId="6" applyNumberFormat="1"/>
    <xf numFmtId="0" fontId="8" fillId="0" borderId="7" xfId="0" applyFont="1" applyBorder="1" applyAlignment="1">
      <alignment horizontal="right"/>
    </xf>
    <xf numFmtId="165" fontId="14" fillId="7" borderId="26" xfId="13" applyNumberFormat="1" applyBorder="1" applyAlignment="1">
      <alignment horizontal="center"/>
    </xf>
    <xf numFmtId="165" fontId="14" fillId="7" borderId="41" xfId="13" applyNumberFormat="1" applyBorder="1" applyAlignment="1">
      <alignment horizontal="center"/>
    </xf>
    <xf numFmtId="44" fontId="7" fillId="0" borderId="0" xfId="8" applyNumberFormat="1" applyFill="1" applyBorder="1"/>
    <xf numFmtId="0" fontId="30" fillId="0" borderId="3" xfId="0" applyFont="1" applyBorder="1" applyAlignment="1">
      <alignment vertical="center" wrapText="1"/>
    </xf>
    <xf numFmtId="0" fontId="30" fillId="0" borderId="4" xfId="0" applyFont="1" applyFill="1" applyBorder="1" applyAlignment="1">
      <alignment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5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7" fillId="0" borderId="9" xfId="8" applyBorder="1"/>
    <xf numFmtId="170" fontId="0" fillId="0" borderId="10" xfId="0" applyNumberFormat="1" applyBorder="1"/>
    <xf numFmtId="0" fontId="31" fillId="0" borderId="0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/>
    </xf>
    <xf numFmtId="164" fontId="0" fillId="0" borderId="42" xfId="0" applyNumberFormat="1" applyBorder="1"/>
    <xf numFmtId="44" fontId="6" fillId="6" borderId="43" xfId="7" applyNumberFormat="1" applyBorder="1"/>
    <xf numFmtId="165" fontId="5" fillId="0" borderId="13" xfId="6" applyNumberFormat="1" applyFill="1" applyBorder="1"/>
    <xf numFmtId="165" fontId="0" fillId="0" borderId="9" xfId="0" applyNumberFormat="1" applyFill="1" applyBorder="1"/>
    <xf numFmtId="0" fontId="0" fillId="0" borderId="9" xfId="0" applyFill="1" applyBorder="1"/>
    <xf numFmtId="165" fontId="14" fillId="0" borderId="13" xfId="13" applyNumberFormat="1" applyFill="1" applyBorder="1"/>
    <xf numFmtId="0" fontId="7" fillId="0" borderId="9" xfId="8" applyFill="1" applyBorder="1"/>
    <xf numFmtId="41" fontId="5" fillId="0" borderId="13" xfId="6" applyNumberFormat="1" applyFill="1" applyBorder="1"/>
    <xf numFmtId="165" fontId="5" fillId="0" borderId="15" xfId="11" applyNumberFormat="1" applyFont="1" applyFill="1" applyBorder="1"/>
    <xf numFmtId="170" fontId="0" fillId="0" borderId="9" xfId="0" applyNumberFormat="1" applyFill="1" applyBorder="1"/>
    <xf numFmtId="164" fontId="0" fillId="0" borderId="7" xfId="0" applyNumberFormat="1" applyFill="1" applyBorder="1"/>
    <xf numFmtId="170" fontId="0" fillId="0" borderId="9" xfId="2" applyNumberFormat="1" applyFont="1" applyFill="1" applyBorder="1"/>
    <xf numFmtId="44" fontId="6" fillId="0" borderId="35" xfId="7" applyNumberFormat="1" applyFill="1" applyBorder="1"/>
    <xf numFmtId="165" fontId="14" fillId="7" borderId="22" xfId="13" applyNumberFormat="1" applyBorder="1"/>
    <xf numFmtId="165" fontId="5" fillId="37" borderId="1" xfId="6" applyNumberFormat="1" applyFill="1" applyBorder="1"/>
    <xf numFmtId="165" fontId="5" fillId="37" borderId="22" xfId="6" applyNumberFormat="1" applyFill="1" applyBorder="1"/>
    <xf numFmtId="41" fontId="5" fillId="37" borderId="1" xfId="6" applyNumberFormat="1" applyFill="1" applyBorder="1"/>
    <xf numFmtId="165" fontId="5" fillId="37" borderId="16" xfId="11" applyNumberFormat="1" applyFont="1" applyFill="1" applyBorder="1"/>
    <xf numFmtId="165" fontId="5" fillId="37" borderId="44" xfId="11" applyNumberFormat="1" applyFont="1" applyFill="1" applyBorder="1"/>
    <xf numFmtId="165" fontId="14" fillId="7" borderId="45" xfId="13" applyNumberFormat="1" applyBorder="1"/>
    <xf numFmtId="167" fontId="6" fillId="0" borderId="35" xfId="1" applyNumberFormat="1" applyFont="1" applyFill="1" applyBorder="1"/>
    <xf numFmtId="165" fontId="14" fillId="7" borderId="46" xfId="13" applyNumberFormat="1" applyBorder="1"/>
    <xf numFmtId="165" fontId="14" fillId="7" borderId="47" xfId="13" applyNumberFormat="1" applyBorder="1"/>
    <xf numFmtId="0" fontId="0" fillId="0" borderId="3" xfId="0" applyBorder="1" applyAlignment="1">
      <alignment horizontal="center" wrapText="1"/>
    </xf>
    <xf numFmtId="165" fontId="14" fillId="7" borderId="19" xfId="13" applyNumberFormat="1" applyBorder="1"/>
    <xf numFmtId="0" fontId="0" fillId="0" borderId="48" xfId="0" applyBorder="1"/>
    <xf numFmtId="165" fontId="5" fillId="5" borderId="23" xfId="6" applyNumberFormat="1" applyBorder="1"/>
    <xf numFmtId="165" fontId="5" fillId="5" borderId="49" xfId="11" applyNumberFormat="1" applyFont="1" applyFill="1" applyBorder="1"/>
    <xf numFmtId="165" fontId="14" fillId="7" borderId="23" xfId="13" applyNumberFormat="1" applyBorder="1"/>
    <xf numFmtId="44" fontId="6" fillId="6" borderId="50" xfId="7" applyNumberFormat="1" applyBorder="1"/>
    <xf numFmtId="41" fontId="5" fillId="37" borderId="22" xfId="6" applyNumberFormat="1" applyFill="1" applyBorder="1"/>
    <xf numFmtId="42" fontId="0" fillId="0" borderId="0" xfId="0" applyNumberFormat="1"/>
    <xf numFmtId="42" fontId="0" fillId="0" borderId="0" xfId="0" applyNumberFormat="1" applyAlignment="1">
      <alignment horizontal="right"/>
    </xf>
    <xf numFmtId="42" fontId="11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 wrapText="1"/>
    </xf>
    <xf numFmtId="42" fontId="10" fillId="0" borderId="6" xfId="0" applyNumberFormat="1" applyFont="1" applyBorder="1" applyAlignment="1">
      <alignment horizontal="right"/>
    </xf>
    <xf numFmtId="42" fontId="11" fillId="0" borderId="6" xfId="0" applyNumberFormat="1" applyFont="1" applyBorder="1" applyAlignment="1">
      <alignment horizontal="right"/>
    </xf>
    <xf numFmtId="0" fontId="30" fillId="0" borderId="4" xfId="0" applyFont="1" applyBorder="1" applyAlignment="1">
      <alignment horizontal="center" vertical="center" wrapText="1"/>
    </xf>
    <xf numFmtId="42" fontId="30" fillId="0" borderId="4" xfId="0" applyNumberFormat="1" applyFont="1" applyBorder="1" applyAlignment="1">
      <alignment horizontal="center"/>
    </xf>
    <xf numFmtId="42" fontId="30" fillId="0" borderId="4" xfId="0" applyNumberFormat="1" applyFont="1" applyBorder="1" applyAlignment="1">
      <alignment horizontal="center" wrapText="1"/>
    </xf>
    <xf numFmtId="41" fontId="10" fillId="0" borderId="6" xfId="0" applyNumberFormat="1" applyFont="1" applyBorder="1" applyAlignment="1">
      <alignment vertical="center"/>
    </xf>
    <xf numFmtId="169" fontId="10" fillId="0" borderId="6" xfId="0" applyNumberFormat="1" applyFont="1" applyFill="1" applyBorder="1" applyAlignment="1">
      <alignment vertical="center"/>
    </xf>
    <xf numFmtId="169" fontId="0" fillId="0" borderId="0" xfId="0" applyNumberFormat="1" applyFill="1" applyAlignment="1"/>
    <xf numFmtId="169" fontId="10" fillId="0" borderId="4" xfId="0" applyNumberFormat="1" applyFont="1" applyFill="1" applyBorder="1" applyAlignment="1">
      <alignment vertical="center"/>
    </xf>
    <xf numFmtId="42" fontId="5" fillId="37" borderId="1" xfId="6" applyNumberFormat="1" applyFill="1" applyBorder="1"/>
    <xf numFmtId="42" fontId="5" fillId="37" borderId="44" xfId="6" applyNumberFormat="1" applyFill="1" applyBorder="1"/>
    <xf numFmtId="41" fontId="14" fillId="7" borderId="1" xfId="13" applyNumberFormat="1"/>
    <xf numFmtId="41" fontId="6" fillId="6" borderId="2" xfId="7" applyNumberFormat="1"/>
    <xf numFmtId="0" fontId="8" fillId="0" borderId="0" xfId="0" applyFont="1" applyAlignment="1">
      <alignment horizontal="left" vertical="center" wrapText="1"/>
    </xf>
    <xf numFmtId="165" fontId="4" fillId="4" borderId="51" xfId="11" applyNumberFormat="1" applyFont="1" applyFill="1" applyBorder="1"/>
    <xf numFmtId="3" fontId="4" fillId="4" borderId="51" xfId="5" applyNumberFormat="1" applyBorder="1"/>
    <xf numFmtId="165" fontId="4" fillId="4" borderId="53" xfId="5" applyNumberFormat="1" applyBorder="1"/>
    <xf numFmtId="165" fontId="4" fillId="4" borderId="51" xfId="5" applyNumberFormat="1" applyBorder="1"/>
    <xf numFmtId="42" fontId="14" fillId="7" borderId="52" xfId="13" applyNumberFormat="1" applyBorder="1"/>
    <xf numFmtId="41" fontId="4" fillId="4" borderId="51" xfId="5" applyNumberFormat="1" applyBorder="1"/>
    <xf numFmtId="165" fontId="4" fillId="4" borderId="53" xfId="11" applyNumberFormat="1" applyFont="1" applyFill="1" applyBorder="1"/>
    <xf numFmtId="42" fontId="5" fillId="5" borderId="1" xfId="6" applyNumberFormat="1" applyBorder="1"/>
    <xf numFmtId="42" fontId="5" fillId="5" borderId="22" xfId="6" applyNumberFormat="1" applyBorder="1"/>
    <xf numFmtId="165" fontId="4" fillId="4" borderId="54" xfId="11" applyNumberFormat="1" applyFont="1" applyFill="1" applyBorder="1"/>
    <xf numFmtId="3" fontId="4" fillId="4" borderId="54" xfId="5" applyNumberFormat="1" applyBorder="1"/>
    <xf numFmtId="44" fontId="0" fillId="0" borderId="55" xfId="0" applyNumberFormat="1" applyBorder="1"/>
    <xf numFmtId="165" fontId="14" fillId="7" borderId="56" xfId="13" applyNumberFormat="1" applyBorder="1"/>
    <xf numFmtId="165" fontId="4" fillId="4" borderId="57" xfId="5" applyNumberFormat="1" applyBorder="1"/>
    <xf numFmtId="44" fontId="6" fillId="6" borderId="58" xfId="7" applyNumberFormat="1" applyBorder="1"/>
    <xf numFmtId="165" fontId="4" fillId="4" borderId="59" xfId="5" applyNumberFormat="1" applyBorder="1"/>
    <xf numFmtId="42" fontId="14" fillId="7" borderId="56" xfId="13" applyNumberFormat="1" applyBorder="1"/>
    <xf numFmtId="41" fontId="4" fillId="4" borderId="54" xfId="5" applyNumberFormat="1" applyBorder="1"/>
    <xf numFmtId="37" fontId="4" fillId="0" borderId="9" xfId="5" applyNumberFormat="1" applyFill="1" applyBorder="1"/>
    <xf numFmtId="165" fontId="4" fillId="4" borderId="54" xfId="5" applyNumberFormat="1" applyBorder="1"/>
    <xf numFmtId="165" fontId="4" fillId="4" borderId="57" xfId="11" applyNumberFormat="1" applyFont="1" applyFill="1" applyBorder="1"/>
    <xf numFmtId="165" fontId="4" fillId="0" borderId="9" xfId="11" applyNumberFormat="1" applyFont="1" applyFill="1" applyBorder="1"/>
    <xf numFmtId="44" fontId="6" fillId="6" borderId="60" xfId="7" applyNumberFormat="1" applyBorder="1"/>
    <xf numFmtId="165" fontId="5" fillId="0" borderId="11" xfId="6" applyNumberFormat="1" applyFill="1" applyBorder="1"/>
    <xf numFmtId="42" fontId="14" fillId="7" borderId="23" xfId="13" applyNumberFormat="1" applyBorder="1" applyAlignment="1">
      <alignment horizontal="right"/>
    </xf>
    <xf numFmtId="167" fontId="14" fillId="7" borderId="46" xfId="1" applyNumberFormat="1" applyFont="1" applyFill="1" applyBorder="1"/>
    <xf numFmtId="167" fontId="14" fillId="7" borderId="47" xfId="1" applyNumberFormat="1" applyFont="1" applyFill="1" applyBorder="1"/>
    <xf numFmtId="42" fontId="8" fillId="0" borderId="0" xfId="1" applyNumberFormat="1" applyFont="1" applyAlignment="1">
      <alignment horizontal="center"/>
    </xf>
    <xf numFmtId="43" fontId="8" fillId="0" borderId="0" xfId="1" applyNumberFormat="1" applyFont="1" applyAlignment="1">
      <alignment horizontal="center"/>
    </xf>
    <xf numFmtId="170" fontId="0" fillId="0" borderId="0" xfId="2" quotePrefix="1" applyNumberFormat="1" applyFont="1" applyFill="1" applyBorder="1" applyAlignment="1">
      <alignment horizontal="center" wrapText="1"/>
    </xf>
    <xf numFmtId="170" fontId="0" fillId="0" borderId="9" xfId="2" quotePrefix="1" applyNumberFormat="1" applyFont="1" applyBorder="1" applyAlignment="1">
      <alignment horizontal="center" wrapText="1"/>
    </xf>
    <xf numFmtId="43" fontId="5" fillId="0" borderId="0" xfId="1" applyFont="1" applyFill="1" applyBorder="1"/>
    <xf numFmtId="43" fontId="5" fillId="0" borderId="9" xfId="1" applyFont="1" applyFill="1" applyBorder="1"/>
    <xf numFmtId="0" fontId="8" fillId="0" borderId="0" xfId="0" applyFont="1" applyAlignment="1">
      <alignment horizontal="left" vertical="center" wrapText="1"/>
    </xf>
    <xf numFmtId="41" fontId="5" fillId="5" borderId="22" xfId="6" applyNumberFormat="1" applyBorder="1"/>
    <xf numFmtId="165" fontId="5" fillId="5" borderId="44" xfId="11" applyNumberFormat="1" applyFont="1" applyFill="1" applyBorder="1"/>
    <xf numFmtId="165" fontId="14" fillId="7" borderId="52" xfId="13" applyNumberFormat="1" applyBorder="1"/>
    <xf numFmtId="165" fontId="5" fillId="5" borderId="52" xfId="6" applyNumberFormat="1" applyBorder="1"/>
    <xf numFmtId="165" fontId="5" fillId="5" borderId="61" xfId="11" applyNumberFormat="1" applyFont="1" applyFill="1" applyBorder="1"/>
    <xf numFmtId="41" fontId="5" fillId="5" borderId="56" xfId="6" applyNumberFormat="1" applyBorder="1"/>
    <xf numFmtId="43" fontId="0" fillId="0" borderId="0" xfId="0" applyNumberFormat="1"/>
    <xf numFmtId="44" fontId="7" fillId="0" borderId="0" xfId="8" applyNumberFormat="1" applyBorder="1"/>
    <xf numFmtId="44" fontId="14" fillId="7" borderId="1" xfId="13" applyNumberFormat="1" applyBorder="1"/>
    <xf numFmtId="43" fontId="0" fillId="0" borderId="0" xfId="1" applyFont="1"/>
    <xf numFmtId="8" fontId="0" fillId="0" borderId="0" xfId="0" applyNumberFormat="1"/>
    <xf numFmtId="44" fontId="14" fillId="7" borderId="22" xfId="13" applyNumberFormat="1" applyBorder="1"/>
    <xf numFmtId="169" fontId="0" fillId="0" borderId="0" xfId="0" applyNumberFormat="1"/>
    <xf numFmtId="0" fontId="0" fillId="39" borderId="19" xfId="0" applyFill="1" applyBorder="1" applyAlignment="1">
      <alignment horizontal="center" wrapText="1"/>
    </xf>
    <xf numFmtId="42" fontId="5" fillId="5" borderId="13" xfId="6" applyNumberFormat="1" applyBorder="1"/>
    <xf numFmtId="41" fontId="5" fillId="5" borderId="62" xfId="6" applyNumberFormat="1" applyBorder="1"/>
    <xf numFmtId="42" fontId="5" fillId="37" borderId="22" xfId="6" applyNumberFormat="1" applyFill="1" applyBorder="1"/>
    <xf numFmtId="44" fontId="8" fillId="0" borderId="0" xfId="1" applyNumberFormat="1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43" fontId="0" fillId="0" borderId="0" xfId="0" applyNumberFormat="1" applyBorder="1"/>
    <xf numFmtId="169" fontId="10" fillId="0" borderId="3" xfId="0" applyNumberFormat="1" applyFont="1" applyFill="1" applyBorder="1" applyAlignment="1">
      <alignment vertical="center"/>
    </xf>
    <xf numFmtId="169" fontId="10" fillId="0" borderId="5" xfId="0" applyNumberFormat="1" applyFont="1" applyFill="1" applyBorder="1" applyAlignment="1">
      <alignment vertical="center"/>
    </xf>
    <xf numFmtId="3" fontId="4" fillId="4" borderId="63" xfId="5" applyNumberFormat="1" applyBorder="1"/>
    <xf numFmtId="0" fontId="8" fillId="0" borderId="0" xfId="0" applyFont="1" applyFill="1" applyBorder="1" applyAlignment="1">
      <alignment horizontal="center" wrapText="1"/>
    </xf>
    <xf numFmtId="0" fontId="0" fillId="0" borderId="0" xfId="0" applyFill="1" applyBorder="1"/>
    <xf numFmtId="165" fontId="13" fillId="0" borderId="0" xfId="12" applyNumberFormat="1" applyFill="1" applyBorder="1"/>
    <xf numFmtId="165" fontId="5" fillId="0" borderId="28" xfId="6" applyNumberFormat="1" applyFill="1" applyBorder="1"/>
    <xf numFmtId="0" fontId="0" fillId="39" borderId="64" xfId="0" applyFill="1" applyBorder="1" applyAlignment="1">
      <alignment horizontal="center" wrapText="1"/>
    </xf>
    <xf numFmtId="164" fontId="0" fillId="0" borderId="65" xfId="0" applyNumberFormat="1" applyFill="1" applyBorder="1"/>
    <xf numFmtId="165" fontId="5" fillId="0" borderId="66" xfId="6" applyNumberFormat="1" applyFill="1" applyBorder="1"/>
    <xf numFmtId="0" fontId="0" fillId="0" borderId="67" xfId="0" applyFill="1" applyBorder="1"/>
    <xf numFmtId="44" fontId="0" fillId="0" borderId="67" xfId="0" applyNumberFormat="1" applyFill="1" applyBorder="1"/>
    <xf numFmtId="41" fontId="5" fillId="0" borderId="66" xfId="6" applyNumberFormat="1" applyFill="1" applyBorder="1"/>
    <xf numFmtId="165" fontId="5" fillId="0" borderId="67" xfId="6" applyNumberFormat="1" applyFill="1" applyBorder="1"/>
    <xf numFmtId="165" fontId="5" fillId="0" borderId="68" xfId="11" applyNumberFormat="1" applyFont="1" applyFill="1" applyBorder="1"/>
    <xf numFmtId="165" fontId="5" fillId="0" borderId="69" xfId="11" applyNumberFormat="1" applyFont="1" applyFill="1" applyBorder="1"/>
    <xf numFmtId="10" fontId="5" fillId="0" borderId="67" xfId="2" applyNumberFormat="1" applyFont="1" applyFill="1" applyBorder="1"/>
    <xf numFmtId="165" fontId="14" fillId="0" borderId="66" xfId="13" applyNumberFormat="1" applyFill="1" applyBorder="1"/>
    <xf numFmtId="170" fontId="0" fillId="0" borderId="67" xfId="0" applyNumberFormat="1" applyFill="1" applyBorder="1"/>
    <xf numFmtId="170" fontId="0" fillId="0" borderId="67" xfId="2" applyNumberFormat="1" applyFont="1" applyFill="1" applyBorder="1"/>
    <xf numFmtId="44" fontId="6" fillId="0" borderId="70" xfId="7" applyNumberFormat="1" applyFill="1" applyBorder="1"/>
    <xf numFmtId="173" fontId="0" fillId="0" borderId="0" xfId="0" applyNumberFormat="1"/>
    <xf numFmtId="170" fontId="0" fillId="0" borderId="0" xfId="2" applyNumberFormat="1" applyFont="1"/>
    <xf numFmtId="170" fontId="0" fillId="0" borderId="0" xfId="0" applyNumberFormat="1"/>
    <xf numFmtId="43" fontId="34" fillId="0" borderId="0" xfId="1" applyFont="1"/>
    <xf numFmtId="10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44" fontId="14" fillId="7" borderId="13" xfId="13" applyNumberFormat="1" applyBorder="1"/>
    <xf numFmtId="44" fontId="7" fillId="0" borderId="9" xfId="8" applyNumberFormat="1" applyBorder="1"/>
    <xf numFmtId="165" fontId="7" fillId="0" borderId="9" xfId="8" applyNumberFormat="1" applyBorder="1"/>
    <xf numFmtId="165" fontId="13" fillId="7" borderId="71" xfId="12" applyNumberFormat="1" applyBorder="1"/>
    <xf numFmtId="42" fontId="14" fillId="7" borderId="72" xfId="13" applyNumberFormat="1" applyBorder="1"/>
    <xf numFmtId="0" fontId="7" fillId="0" borderId="0" xfId="8" applyFill="1" applyBorder="1" applyAlignment="1">
      <alignment horizontal="right"/>
    </xf>
    <xf numFmtId="43" fontId="6" fillId="0" borderId="0" xfId="1" applyFont="1" applyFill="1" applyBorder="1"/>
    <xf numFmtId="165" fontId="13" fillId="7" borderId="73" xfId="12" applyNumberFormat="1" applyBorder="1"/>
    <xf numFmtId="165" fontId="13" fillId="7" borderId="74" xfId="12" applyNumberFormat="1" applyBorder="1"/>
    <xf numFmtId="42" fontId="14" fillId="7" borderId="75" xfId="13" applyNumberFormat="1" applyBorder="1"/>
    <xf numFmtId="165" fontId="13" fillId="7" borderId="76" xfId="12" applyNumberFormat="1" applyBorder="1"/>
    <xf numFmtId="165" fontId="14" fillId="7" borderId="72" xfId="13" applyNumberFormat="1" applyBorder="1"/>
    <xf numFmtId="42" fontId="14" fillId="7" borderId="77" xfId="13" applyNumberFormat="1" applyBorder="1"/>
    <xf numFmtId="165" fontId="0" fillId="0" borderId="0" xfId="0" applyNumberFormat="1" applyFill="1"/>
    <xf numFmtId="43" fontId="0" fillId="0" borderId="0" xfId="0" applyNumberFormat="1" applyFill="1"/>
    <xf numFmtId="0" fontId="9" fillId="0" borderId="0" xfId="0" applyFont="1" applyAlignment="1">
      <alignment horizont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Fill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8" fillId="38" borderId="20" xfId="0" applyFont="1" applyFill="1" applyBorder="1" applyAlignment="1">
      <alignment horizontal="center"/>
    </xf>
    <xf numFmtId="0" fontId="8" fillId="38" borderId="4" xfId="0" applyFont="1" applyFill="1" applyBorder="1" applyAlignment="1">
      <alignment horizontal="center"/>
    </xf>
    <xf numFmtId="0" fontId="32" fillId="3" borderId="19" xfId="4" applyFont="1" applyBorder="1" applyAlignment="1">
      <alignment horizontal="center"/>
    </xf>
    <xf numFmtId="0" fontId="32" fillId="3" borderId="20" xfId="4" applyFont="1" applyBorder="1" applyAlignment="1">
      <alignment horizontal="center"/>
    </xf>
    <xf numFmtId="0" fontId="32" fillId="3" borderId="4" xfId="4" applyFont="1" applyBorder="1" applyAlignment="1">
      <alignment horizontal="center"/>
    </xf>
    <xf numFmtId="0" fontId="33" fillId="0" borderId="19" xfId="8" applyFont="1" applyBorder="1" applyAlignment="1">
      <alignment horizontal="center"/>
    </xf>
    <xf numFmtId="0" fontId="33" fillId="0" borderId="20" xfId="8" applyFont="1" applyBorder="1" applyAlignment="1">
      <alignment horizontal="center"/>
    </xf>
    <xf numFmtId="0" fontId="33" fillId="0" borderId="4" xfId="8" applyFont="1" applyBorder="1" applyAlignment="1">
      <alignment horizontal="center"/>
    </xf>
  </cellXfs>
  <cellStyles count="302">
    <cellStyle name="20% - Accent1" xfId="24" builtinId="30" customBuiltin="1"/>
    <cellStyle name="20% - Accent1 2" xfId="54" xr:uid="{00000000-0005-0000-0000-000001000000}"/>
    <cellStyle name="20% - Accent2" xfId="28" builtinId="34" customBuiltin="1"/>
    <cellStyle name="20% - Accent2 2" xfId="56" xr:uid="{00000000-0005-0000-0000-000003000000}"/>
    <cellStyle name="20% - Accent3" xfId="32" builtinId="38" customBuiltin="1"/>
    <cellStyle name="20% - Accent3 2" xfId="58" xr:uid="{00000000-0005-0000-0000-000005000000}"/>
    <cellStyle name="20% - Accent4" xfId="36" builtinId="42" customBuiltin="1"/>
    <cellStyle name="20% - Accent4 2" xfId="60" xr:uid="{00000000-0005-0000-0000-000007000000}"/>
    <cellStyle name="20% - Accent5" xfId="40" builtinId="46" customBuiltin="1"/>
    <cellStyle name="20% - Accent5 2" xfId="62" xr:uid="{00000000-0005-0000-0000-000009000000}"/>
    <cellStyle name="20% - Accent6" xfId="44" builtinId="50" customBuiltin="1"/>
    <cellStyle name="20% - Accent6 2" xfId="64" xr:uid="{00000000-0005-0000-0000-00000B000000}"/>
    <cellStyle name="40% - Accent1" xfId="25" builtinId="31" customBuiltin="1"/>
    <cellStyle name="40% - Accent1 2" xfId="55" xr:uid="{00000000-0005-0000-0000-00000D000000}"/>
    <cellStyle name="40% - Accent2" xfId="29" builtinId="35" customBuiltin="1"/>
    <cellStyle name="40% - Accent2 2" xfId="57" xr:uid="{00000000-0005-0000-0000-00000F000000}"/>
    <cellStyle name="40% - Accent3" xfId="33" builtinId="39" customBuiltin="1"/>
    <cellStyle name="40% - Accent3 2" xfId="59" xr:uid="{00000000-0005-0000-0000-000011000000}"/>
    <cellStyle name="40% - Accent4" xfId="37" builtinId="43" customBuiltin="1"/>
    <cellStyle name="40% - Accent4 2" xfId="61" xr:uid="{00000000-0005-0000-0000-000013000000}"/>
    <cellStyle name="40% - Accent5" xfId="41" builtinId="47" customBuiltin="1"/>
    <cellStyle name="40% - Accent5 2" xfId="63" xr:uid="{00000000-0005-0000-0000-000015000000}"/>
    <cellStyle name="40% - Accent6" xfId="45" builtinId="51" customBuiltin="1"/>
    <cellStyle name="40% - Accent6 2" xfId="65" xr:uid="{00000000-0005-0000-0000-000017000000}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4" builtinId="27" customBuiltin="1"/>
    <cellStyle name="Calculation" xfId="13" builtinId="22" customBuiltin="1"/>
    <cellStyle name="Check Cell" xfId="7" builtinId="23" customBuiltin="1"/>
    <cellStyle name="Comma" xfId="1" builtinId="3"/>
    <cellStyle name="Comma 2" xfId="68" xr:uid="{00000000-0005-0000-0000-000028000000}"/>
    <cellStyle name="Comma 2 2" xfId="282" xr:uid="{00000000-0005-0000-0000-000029000000}"/>
    <cellStyle name="Comma 3" xfId="66" xr:uid="{00000000-0005-0000-0000-00002A000000}"/>
    <cellStyle name="Comma 3 2" xfId="9" xr:uid="{00000000-0005-0000-0000-00002B000000}"/>
    <cellStyle name="Comma 4" xfId="192" xr:uid="{00000000-0005-0000-0000-00002C000000}"/>
    <cellStyle name="Comma 5" xfId="52" xr:uid="{00000000-0005-0000-0000-00002D000000}"/>
    <cellStyle name="Currency" xfId="11" builtinId="4"/>
    <cellStyle name="Currency [0] 2" xfId="114" xr:uid="{00000000-0005-0000-0000-00002F000000}"/>
    <cellStyle name="Currency [0] 2 2" xfId="203" xr:uid="{00000000-0005-0000-0000-000030000000}"/>
    <cellStyle name="Currency 10" xfId="193" xr:uid="{00000000-0005-0000-0000-000031000000}"/>
    <cellStyle name="Currency 11" xfId="112" xr:uid="{00000000-0005-0000-0000-000032000000}"/>
    <cellStyle name="Currency 12" xfId="197" xr:uid="{00000000-0005-0000-0000-000033000000}"/>
    <cellStyle name="Currency 13" xfId="50" xr:uid="{00000000-0005-0000-0000-000034000000}"/>
    <cellStyle name="Currency 13 2" xfId="288" xr:uid="{00000000-0005-0000-0000-000035000000}"/>
    <cellStyle name="Currency 14" xfId="285" xr:uid="{00000000-0005-0000-0000-000036000000}"/>
    <cellStyle name="Currency 15" xfId="289" xr:uid="{00000000-0005-0000-0000-000037000000}"/>
    <cellStyle name="Currency 16" xfId="291" xr:uid="{00000000-0005-0000-0000-000038000000}"/>
    <cellStyle name="Currency 17" xfId="292" xr:uid="{00000000-0005-0000-0000-000039000000}"/>
    <cellStyle name="Currency 18" xfId="293" xr:uid="{00000000-0005-0000-0000-00003A000000}"/>
    <cellStyle name="Currency 19" xfId="294" xr:uid="{00000000-0005-0000-0000-00003B000000}"/>
    <cellStyle name="Currency 2" xfId="69" xr:uid="{00000000-0005-0000-0000-00003C000000}"/>
    <cellStyle name="Currency 2 2" xfId="111" xr:uid="{00000000-0005-0000-0000-00003D000000}"/>
    <cellStyle name="Currency 2 2 2" xfId="202" xr:uid="{00000000-0005-0000-0000-00003E000000}"/>
    <cellStyle name="Currency 2 3" xfId="280" xr:uid="{00000000-0005-0000-0000-00003F000000}"/>
    <cellStyle name="Currency 20" xfId="295" xr:uid="{00000000-0005-0000-0000-000040000000}"/>
    <cellStyle name="Currency 21" xfId="296" xr:uid="{00000000-0005-0000-0000-000041000000}"/>
    <cellStyle name="Currency 22" xfId="297" xr:uid="{00000000-0005-0000-0000-000042000000}"/>
    <cellStyle name="Currency 3" xfId="67" xr:uid="{00000000-0005-0000-0000-000043000000}"/>
    <cellStyle name="Currency 3 2" xfId="279" xr:uid="{00000000-0005-0000-0000-000044000000}"/>
    <cellStyle name="Currency 4" xfId="115" xr:uid="{00000000-0005-0000-0000-000045000000}"/>
    <cellStyle name="Currency 4 2" xfId="204" xr:uid="{00000000-0005-0000-0000-000046000000}"/>
    <cellStyle name="Currency 4 3" xfId="281" xr:uid="{00000000-0005-0000-0000-000047000000}"/>
    <cellStyle name="Currency 5" xfId="116" xr:uid="{00000000-0005-0000-0000-000048000000}"/>
    <cellStyle name="Currency 5 2" xfId="205" xr:uid="{00000000-0005-0000-0000-000049000000}"/>
    <cellStyle name="Currency 6" xfId="117" xr:uid="{00000000-0005-0000-0000-00004A000000}"/>
    <cellStyle name="Currency 6 2" xfId="206" xr:uid="{00000000-0005-0000-0000-00004B000000}"/>
    <cellStyle name="Currency 7" xfId="118" xr:uid="{00000000-0005-0000-0000-00004C000000}"/>
    <cellStyle name="Currency 7 2" xfId="207" xr:uid="{00000000-0005-0000-0000-00004D000000}"/>
    <cellStyle name="Currency 8" xfId="194" xr:uid="{00000000-0005-0000-0000-00004E000000}"/>
    <cellStyle name="Currency 9" xfId="195" xr:uid="{00000000-0005-0000-0000-00004F000000}"/>
    <cellStyle name="Data Field" xfId="119" xr:uid="{00000000-0005-0000-0000-000050000000}"/>
    <cellStyle name="Data Field 2" xfId="208" xr:uid="{00000000-0005-0000-0000-000051000000}"/>
    <cellStyle name="Data Name" xfId="120" xr:uid="{00000000-0005-0000-0000-000052000000}"/>
    <cellStyle name="Data Name 2" xfId="209" xr:uid="{00000000-0005-0000-0000-000053000000}"/>
    <cellStyle name="Explanatory Text" xfId="8" builtinId="53" customBuiltin="1"/>
    <cellStyle name="Followed Hyperlink" xfId="287" builtinId="9" customBuiltin="1"/>
    <cellStyle name="Good" xfId="3" builtinId="26" customBuiltin="1"/>
    <cellStyle name="Heading 1" xfId="17" builtinId="16" customBuiltin="1"/>
    <cellStyle name="Heading 2" xfId="18" builtinId="17" customBuiltin="1"/>
    <cellStyle name="Heading 3" xfId="19" builtinId="18" customBuiltin="1"/>
    <cellStyle name="Heading 4" xfId="20" builtinId="19" customBuiltin="1"/>
    <cellStyle name="Hyperlink" xfId="286" builtinId="8" customBuiltin="1"/>
    <cellStyle name="Hyperlink 2" xfId="121" xr:uid="{00000000-0005-0000-0000-00005C000000}"/>
    <cellStyle name="Hyperlink 3" xfId="122" xr:uid="{00000000-0005-0000-0000-00005D000000}"/>
    <cellStyle name="Hyperlink 4" xfId="300" xr:uid="{00000000-0005-0000-0000-00005E000000}"/>
    <cellStyle name="Hyperlink 5" xfId="298" xr:uid="{00000000-0005-0000-0000-00005F000000}"/>
    <cellStyle name="Input" xfId="6" builtinId="20" customBuiltin="1"/>
    <cellStyle name="Linked Cell" xfId="15" builtinId="24" customBuiltin="1"/>
    <cellStyle name="Neutral" xfId="5" builtinId="28" customBuiltin="1"/>
    <cellStyle name="Normal" xfId="0" builtinId="0"/>
    <cellStyle name="Normal 10" xfId="123" xr:uid="{00000000-0005-0000-0000-000064000000}"/>
    <cellStyle name="Normal 10 2" xfId="124" xr:uid="{00000000-0005-0000-0000-000065000000}"/>
    <cellStyle name="Normal 10 2 2" xfId="211" xr:uid="{00000000-0005-0000-0000-000066000000}"/>
    <cellStyle name="Normal 10 3" xfId="210" xr:uid="{00000000-0005-0000-0000-000067000000}"/>
    <cellStyle name="Normal 11" xfId="125" xr:uid="{00000000-0005-0000-0000-000068000000}"/>
    <cellStyle name="Normal 11 2" xfId="212" xr:uid="{00000000-0005-0000-0000-000069000000}"/>
    <cellStyle name="Normal 12" xfId="126" xr:uid="{00000000-0005-0000-0000-00006A000000}"/>
    <cellStyle name="Normal 12 2" xfId="213" xr:uid="{00000000-0005-0000-0000-00006B000000}"/>
    <cellStyle name="Normal 13" xfId="127" xr:uid="{00000000-0005-0000-0000-00006C000000}"/>
    <cellStyle name="Normal 13 2" xfId="214" xr:uid="{00000000-0005-0000-0000-00006D000000}"/>
    <cellStyle name="Normal 14" xfId="128" xr:uid="{00000000-0005-0000-0000-00006E000000}"/>
    <cellStyle name="Normal 14 2" xfId="215" xr:uid="{00000000-0005-0000-0000-00006F000000}"/>
    <cellStyle name="Normal 15" xfId="129" xr:uid="{00000000-0005-0000-0000-000070000000}"/>
    <cellStyle name="Normal 16" xfId="130" xr:uid="{00000000-0005-0000-0000-000071000000}"/>
    <cellStyle name="Normal 16 2" xfId="216" xr:uid="{00000000-0005-0000-0000-000072000000}"/>
    <cellStyle name="Normal 17" xfId="48" xr:uid="{00000000-0005-0000-0000-000073000000}"/>
    <cellStyle name="Normal 18" xfId="131" xr:uid="{00000000-0005-0000-0000-000074000000}"/>
    <cellStyle name="Normal 18 2" xfId="217" xr:uid="{00000000-0005-0000-0000-000075000000}"/>
    <cellStyle name="Normal 19" xfId="132" xr:uid="{00000000-0005-0000-0000-000076000000}"/>
    <cellStyle name="Normal 19 2" xfId="218" xr:uid="{00000000-0005-0000-0000-000077000000}"/>
    <cellStyle name="Normal 2" xfId="51" xr:uid="{00000000-0005-0000-0000-000078000000}"/>
    <cellStyle name="Normal 2 2" xfId="71" xr:uid="{00000000-0005-0000-0000-000079000000}"/>
    <cellStyle name="Normal 2 2 2" xfId="72" xr:uid="{00000000-0005-0000-0000-00007A000000}"/>
    <cellStyle name="Normal 2 2 3" xfId="73" xr:uid="{00000000-0005-0000-0000-00007B000000}"/>
    <cellStyle name="Normal 2 2 4" xfId="74" xr:uid="{00000000-0005-0000-0000-00007C000000}"/>
    <cellStyle name="Normal 2 2 5" xfId="75" xr:uid="{00000000-0005-0000-0000-00007D000000}"/>
    <cellStyle name="Normal 2 2 6" xfId="76" xr:uid="{00000000-0005-0000-0000-00007E000000}"/>
    <cellStyle name="Normal 2 2 7" xfId="77" xr:uid="{00000000-0005-0000-0000-00007F000000}"/>
    <cellStyle name="Normal 2 2 8" xfId="78" xr:uid="{00000000-0005-0000-0000-000080000000}"/>
    <cellStyle name="Normal 2 2 9" xfId="79" xr:uid="{00000000-0005-0000-0000-000081000000}"/>
    <cellStyle name="Normal 2 3" xfId="80" xr:uid="{00000000-0005-0000-0000-000082000000}"/>
    <cellStyle name="Normal 2 4" xfId="81" xr:uid="{00000000-0005-0000-0000-000083000000}"/>
    <cellStyle name="Normal 2 4 2" xfId="82" xr:uid="{00000000-0005-0000-0000-000084000000}"/>
    <cellStyle name="Normal 2 5" xfId="110" xr:uid="{00000000-0005-0000-0000-000085000000}"/>
    <cellStyle name="Normal 2 5 2" xfId="201" xr:uid="{00000000-0005-0000-0000-000086000000}"/>
    <cellStyle name="Normal 2 6" xfId="47" xr:uid="{00000000-0005-0000-0000-000087000000}"/>
    <cellStyle name="Normal 2 6 2" xfId="70" xr:uid="{00000000-0005-0000-0000-000088000000}"/>
    <cellStyle name="Normal 2 7" xfId="299" xr:uid="{00000000-0005-0000-0000-000089000000}"/>
    <cellStyle name="Normal 26" xfId="106" xr:uid="{00000000-0005-0000-0000-00008A000000}"/>
    <cellStyle name="Normal 26 2" xfId="199" xr:uid="{00000000-0005-0000-0000-00008B000000}"/>
    <cellStyle name="Normal 27" xfId="107" xr:uid="{00000000-0005-0000-0000-00008C000000}"/>
    <cellStyle name="Normal 27 2" xfId="200" xr:uid="{00000000-0005-0000-0000-00008D000000}"/>
    <cellStyle name="Normal 28" xfId="133" xr:uid="{00000000-0005-0000-0000-00008E000000}"/>
    <cellStyle name="Normal 28 2" xfId="219" xr:uid="{00000000-0005-0000-0000-00008F000000}"/>
    <cellStyle name="Normal 3" xfId="83" xr:uid="{00000000-0005-0000-0000-000090000000}"/>
    <cellStyle name="Normal 3 2" xfId="84" xr:uid="{00000000-0005-0000-0000-000091000000}"/>
    <cellStyle name="Normal 3 2 2" xfId="85" xr:uid="{00000000-0005-0000-0000-000092000000}"/>
    <cellStyle name="Normal 3 2 3" xfId="86" xr:uid="{00000000-0005-0000-0000-000093000000}"/>
    <cellStyle name="Normal 3 2 4" xfId="87" xr:uid="{00000000-0005-0000-0000-000094000000}"/>
    <cellStyle name="Normal 3 2 5" xfId="88" xr:uid="{00000000-0005-0000-0000-000095000000}"/>
    <cellStyle name="Normal 3 2 6" xfId="89" xr:uid="{00000000-0005-0000-0000-000096000000}"/>
    <cellStyle name="Normal 3 2 7" xfId="90" xr:uid="{00000000-0005-0000-0000-000097000000}"/>
    <cellStyle name="Normal 3 2 8" xfId="91" xr:uid="{00000000-0005-0000-0000-000098000000}"/>
    <cellStyle name="Normal 3 2 9" xfId="92" xr:uid="{00000000-0005-0000-0000-000099000000}"/>
    <cellStyle name="Normal 3 3" xfId="108" xr:uid="{00000000-0005-0000-0000-00009A000000}"/>
    <cellStyle name="Normal 3 40" xfId="109" xr:uid="{00000000-0005-0000-0000-00009B000000}"/>
    <cellStyle name="Normal 33" xfId="277" xr:uid="{00000000-0005-0000-0000-00009C000000}"/>
    <cellStyle name="Normal 35" xfId="301" xr:uid="{00000000-0005-0000-0000-00009D000000}"/>
    <cellStyle name="Normal 36" xfId="134" xr:uid="{00000000-0005-0000-0000-00009E000000}"/>
    <cellStyle name="Normal 36 2" xfId="220" xr:uid="{00000000-0005-0000-0000-00009F000000}"/>
    <cellStyle name="Normal 37" xfId="135" xr:uid="{00000000-0005-0000-0000-0000A0000000}"/>
    <cellStyle name="Normal 37 2" xfId="221" xr:uid="{00000000-0005-0000-0000-0000A1000000}"/>
    <cellStyle name="Normal 38" xfId="136" xr:uid="{00000000-0005-0000-0000-0000A2000000}"/>
    <cellStyle name="Normal 38 2" xfId="222" xr:uid="{00000000-0005-0000-0000-0000A3000000}"/>
    <cellStyle name="Normal 39" xfId="137" xr:uid="{00000000-0005-0000-0000-0000A4000000}"/>
    <cellStyle name="Normal 39 2" xfId="223" xr:uid="{00000000-0005-0000-0000-0000A5000000}"/>
    <cellStyle name="Normal 4" xfId="10" xr:uid="{00000000-0005-0000-0000-0000A6000000}"/>
    <cellStyle name="Normal 4 2" xfId="94" xr:uid="{00000000-0005-0000-0000-0000A7000000}"/>
    <cellStyle name="Normal 4 3" xfId="93" xr:uid="{00000000-0005-0000-0000-0000A8000000}"/>
    <cellStyle name="Normal 4 4" xfId="278" xr:uid="{00000000-0005-0000-0000-0000A9000000}"/>
    <cellStyle name="Normal 40" xfId="138" xr:uid="{00000000-0005-0000-0000-0000AA000000}"/>
    <cellStyle name="Normal 40 2" xfId="224" xr:uid="{00000000-0005-0000-0000-0000AB000000}"/>
    <cellStyle name="Normal 41" xfId="139" xr:uid="{00000000-0005-0000-0000-0000AC000000}"/>
    <cellStyle name="Normal 41 2" xfId="225" xr:uid="{00000000-0005-0000-0000-0000AD000000}"/>
    <cellStyle name="Normal 42" xfId="140" xr:uid="{00000000-0005-0000-0000-0000AE000000}"/>
    <cellStyle name="Normal 42 2" xfId="226" xr:uid="{00000000-0005-0000-0000-0000AF000000}"/>
    <cellStyle name="Normal 43" xfId="141" xr:uid="{00000000-0005-0000-0000-0000B0000000}"/>
    <cellStyle name="Normal 43 2" xfId="227" xr:uid="{00000000-0005-0000-0000-0000B1000000}"/>
    <cellStyle name="Normal 44" xfId="142" xr:uid="{00000000-0005-0000-0000-0000B2000000}"/>
    <cellStyle name="Normal 44 2" xfId="228" xr:uid="{00000000-0005-0000-0000-0000B3000000}"/>
    <cellStyle name="Normal 45" xfId="143" xr:uid="{00000000-0005-0000-0000-0000B4000000}"/>
    <cellStyle name="Normal 45 2" xfId="229" xr:uid="{00000000-0005-0000-0000-0000B5000000}"/>
    <cellStyle name="Normal 46" xfId="144" xr:uid="{00000000-0005-0000-0000-0000B6000000}"/>
    <cellStyle name="Normal 46 2" xfId="230" xr:uid="{00000000-0005-0000-0000-0000B7000000}"/>
    <cellStyle name="Normal 47" xfId="145" xr:uid="{00000000-0005-0000-0000-0000B8000000}"/>
    <cellStyle name="Normal 47 2" xfId="231" xr:uid="{00000000-0005-0000-0000-0000B9000000}"/>
    <cellStyle name="Normal 48" xfId="146" xr:uid="{00000000-0005-0000-0000-0000BA000000}"/>
    <cellStyle name="Normal 48 2" xfId="232" xr:uid="{00000000-0005-0000-0000-0000BB000000}"/>
    <cellStyle name="Normal 49" xfId="147" xr:uid="{00000000-0005-0000-0000-0000BC000000}"/>
    <cellStyle name="Normal 49 2" xfId="233" xr:uid="{00000000-0005-0000-0000-0000BD000000}"/>
    <cellStyle name="Normal 5" xfId="95" xr:uid="{00000000-0005-0000-0000-0000BE000000}"/>
    <cellStyle name="Normal 5 2" xfId="96" xr:uid="{00000000-0005-0000-0000-0000BF000000}"/>
    <cellStyle name="Normal 5 3" xfId="97" xr:uid="{00000000-0005-0000-0000-0000C0000000}"/>
    <cellStyle name="Normal 5 4" xfId="98" xr:uid="{00000000-0005-0000-0000-0000C1000000}"/>
    <cellStyle name="Normal 50" xfId="148" xr:uid="{00000000-0005-0000-0000-0000C2000000}"/>
    <cellStyle name="Normal 50 2" xfId="234" xr:uid="{00000000-0005-0000-0000-0000C3000000}"/>
    <cellStyle name="Normal 51" xfId="149" xr:uid="{00000000-0005-0000-0000-0000C4000000}"/>
    <cellStyle name="Normal 51 2" xfId="235" xr:uid="{00000000-0005-0000-0000-0000C5000000}"/>
    <cellStyle name="Normal 52" xfId="150" xr:uid="{00000000-0005-0000-0000-0000C6000000}"/>
    <cellStyle name="Normal 52 2" xfId="236" xr:uid="{00000000-0005-0000-0000-0000C7000000}"/>
    <cellStyle name="Normal 53" xfId="151" xr:uid="{00000000-0005-0000-0000-0000C8000000}"/>
    <cellStyle name="Normal 53 2" xfId="237" xr:uid="{00000000-0005-0000-0000-0000C9000000}"/>
    <cellStyle name="Normal 54" xfId="152" xr:uid="{00000000-0005-0000-0000-0000CA000000}"/>
    <cellStyle name="Normal 54 2" xfId="238" xr:uid="{00000000-0005-0000-0000-0000CB000000}"/>
    <cellStyle name="Normal 55" xfId="153" xr:uid="{00000000-0005-0000-0000-0000CC000000}"/>
    <cellStyle name="Normal 55 2" xfId="239" xr:uid="{00000000-0005-0000-0000-0000CD000000}"/>
    <cellStyle name="Normal 56" xfId="154" xr:uid="{00000000-0005-0000-0000-0000CE000000}"/>
    <cellStyle name="Normal 56 2" xfId="240" xr:uid="{00000000-0005-0000-0000-0000CF000000}"/>
    <cellStyle name="Normal 57" xfId="155" xr:uid="{00000000-0005-0000-0000-0000D0000000}"/>
    <cellStyle name="Normal 57 2" xfId="241" xr:uid="{00000000-0005-0000-0000-0000D1000000}"/>
    <cellStyle name="Normal 58" xfId="156" xr:uid="{00000000-0005-0000-0000-0000D2000000}"/>
    <cellStyle name="Normal 58 2" xfId="242" xr:uid="{00000000-0005-0000-0000-0000D3000000}"/>
    <cellStyle name="Normal 59" xfId="157" xr:uid="{00000000-0005-0000-0000-0000D4000000}"/>
    <cellStyle name="Normal 59 2" xfId="243" xr:uid="{00000000-0005-0000-0000-0000D5000000}"/>
    <cellStyle name="Normal 6" xfId="99" xr:uid="{00000000-0005-0000-0000-0000D6000000}"/>
    <cellStyle name="Normal 6 2" xfId="100" xr:uid="{00000000-0005-0000-0000-0000D7000000}"/>
    <cellStyle name="Normal 6 3" xfId="101" xr:uid="{00000000-0005-0000-0000-0000D8000000}"/>
    <cellStyle name="Normal 60" xfId="158" xr:uid="{00000000-0005-0000-0000-0000D9000000}"/>
    <cellStyle name="Normal 60 2" xfId="244" xr:uid="{00000000-0005-0000-0000-0000DA000000}"/>
    <cellStyle name="Normal 61" xfId="159" xr:uid="{00000000-0005-0000-0000-0000DB000000}"/>
    <cellStyle name="Normal 61 2" xfId="245" xr:uid="{00000000-0005-0000-0000-0000DC000000}"/>
    <cellStyle name="Normal 62" xfId="160" xr:uid="{00000000-0005-0000-0000-0000DD000000}"/>
    <cellStyle name="Normal 62 2" xfId="246" xr:uid="{00000000-0005-0000-0000-0000DE000000}"/>
    <cellStyle name="Normal 63" xfId="161" xr:uid="{00000000-0005-0000-0000-0000DF000000}"/>
    <cellStyle name="Normal 63 2" xfId="247" xr:uid="{00000000-0005-0000-0000-0000E0000000}"/>
    <cellStyle name="Normal 64" xfId="162" xr:uid="{00000000-0005-0000-0000-0000E1000000}"/>
    <cellStyle name="Normal 64 2" xfId="248" xr:uid="{00000000-0005-0000-0000-0000E2000000}"/>
    <cellStyle name="Normal 65" xfId="163" xr:uid="{00000000-0005-0000-0000-0000E3000000}"/>
    <cellStyle name="Normal 65 2" xfId="249" xr:uid="{00000000-0005-0000-0000-0000E4000000}"/>
    <cellStyle name="Normal 66" xfId="164" xr:uid="{00000000-0005-0000-0000-0000E5000000}"/>
    <cellStyle name="Normal 66 2" xfId="250" xr:uid="{00000000-0005-0000-0000-0000E6000000}"/>
    <cellStyle name="Normal 67" xfId="165" xr:uid="{00000000-0005-0000-0000-0000E7000000}"/>
    <cellStyle name="Normal 67 2" xfId="251" xr:uid="{00000000-0005-0000-0000-0000E8000000}"/>
    <cellStyle name="Normal 69" xfId="166" xr:uid="{00000000-0005-0000-0000-0000E9000000}"/>
    <cellStyle name="Normal 69 2" xfId="252" xr:uid="{00000000-0005-0000-0000-0000EA000000}"/>
    <cellStyle name="Normal 7" xfId="102" xr:uid="{00000000-0005-0000-0000-0000EB000000}"/>
    <cellStyle name="Normal 70" xfId="167" xr:uid="{00000000-0005-0000-0000-0000EC000000}"/>
    <cellStyle name="Normal 70 2" xfId="253" xr:uid="{00000000-0005-0000-0000-0000ED000000}"/>
    <cellStyle name="Normal 71" xfId="168" xr:uid="{00000000-0005-0000-0000-0000EE000000}"/>
    <cellStyle name="Normal 71 2" xfId="254" xr:uid="{00000000-0005-0000-0000-0000EF000000}"/>
    <cellStyle name="Normal 72" xfId="169" xr:uid="{00000000-0005-0000-0000-0000F0000000}"/>
    <cellStyle name="Normal 72 2" xfId="255" xr:uid="{00000000-0005-0000-0000-0000F1000000}"/>
    <cellStyle name="Normal 73" xfId="170" xr:uid="{00000000-0005-0000-0000-0000F2000000}"/>
    <cellStyle name="Normal 73 2" xfId="256" xr:uid="{00000000-0005-0000-0000-0000F3000000}"/>
    <cellStyle name="Normal 74" xfId="171" xr:uid="{00000000-0005-0000-0000-0000F4000000}"/>
    <cellStyle name="Normal 74 2" xfId="257" xr:uid="{00000000-0005-0000-0000-0000F5000000}"/>
    <cellStyle name="Normal 75" xfId="172" xr:uid="{00000000-0005-0000-0000-0000F6000000}"/>
    <cellStyle name="Normal 75 2" xfId="258" xr:uid="{00000000-0005-0000-0000-0000F7000000}"/>
    <cellStyle name="Normal 76" xfId="173" xr:uid="{00000000-0005-0000-0000-0000F8000000}"/>
    <cellStyle name="Normal 76 2" xfId="259" xr:uid="{00000000-0005-0000-0000-0000F9000000}"/>
    <cellStyle name="Normal 77" xfId="174" xr:uid="{00000000-0005-0000-0000-0000FA000000}"/>
    <cellStyle name="Normal 77 2" xfId="260" xr:uid="{00000000-0005-0000-0000-0000FB000000}"/>
    <cellStyle name="Normal 78" xfId="175" xr:uid="{00000000-0005-0000-0000-0000FC000000}"/>
    <cellStyle name="Normal 78 2" xfId="261" xr:uid="{00000000-0005-0000-0000-0000FD000000}"/>
    <cellStyle name="Normal 79" xfId="176" xr:uid="{00000000-0005-0000-0000-0000FE000000}"/>
    <cellStyle name="Normal 79 2" xfId="262" xr:uid="{00000000-0005-0000-0000-0000FF000000}"/>
    <cellStyle name="Normal 8" xfId="103" xr:uid="{00000000-0005-0000-0000-000000010000}"/>
    <cellStyle name="Normal 80" xfId="177" xr:uid="{00000000-0005-0000-0000-000001010000}"/>
    <cellStyle name="Normal 80 2" xfId="263" xr:uid="{00000000-0005-0000-0000-000002010000}"/>
    <cellStyle name="Normal 81" xfId="178" xr:uid="{00000000-0005-0000-0000-000003010000}"/>
    <cellStyle name="Normal 81 2" xfId="264" xr:uid="{00000000-0005-0000-0000-000004010000}"/>
    <cellStyle name="Normal 82" xfId="179" xr:uid="{00000000-0005-0000-0000-000005010000}"/>
    <cellStyle name="Normal 82 2" xfId="265" xr:uid="{00000000-0005-0000-0000-000006010000}"/>
    <cellStyle name="Normal 83" xfId="180" xr:uid="{00000000-0005-0000-0000-000007010000}"/>
    <cellStyle name="Normal 83 2" xfId="266" xr:uid="{00000000-0005-0000-0000-000008010000}"/>
    <cellStyle name="Normal 84" xfId="181" xr:uid="{00000000-0005-0000-0000-000009010000}"/>
    <cellStyle name="Normal 84 2" xfId="267" xr:uid="{00000000-0005-0000-0000-00000A010000}"/>
    <cellStyle name="Normal 85" xfId="182" xr:uid="{00000000-0005-0000-0000-00000B010000}"/>
    <cellStyle name="Normal 85 2" xfId="268" xr:uid="{00000000-0005-0000-0000-00000C010000}"/>
    <cellStyle name="Normal 86" xfId="183" xr:uid="{00000000-0005-0000-0000-00000D010000}"/>
    <cellStyle name="Normal 86 2" xfId="269" xr:uid="{00000000-0005-0000-0000-00000E010000}"/>
    <cellStyle name="Normal 87" xfId="184" xr:uid="{00000000-0005-0000-0000-00000F010000}"/>
    <cellStyle name="Normal 87 2" xfId="270" xr:uid="{00000000-0005-0000-0000-000010010000}"/>
    <cellStyle name="Normal 9" xfId="104" xr:uid="{00000000-0005-0000-0000-000011010000}"/>
    <cellStyle name="Normal 9 2" xfId="105" xr:uid="{00000000-0005-0000-0000-000012010000}"/>
    <cellStyle name="Normal 9 2 2" xfId="198" xr:uid="{00000000-0005-0000-0000-000013010000}"/>
    <cellStyle name="Note" xfId="14" builtinId="10" customBuiltin="1"/>
    <cellStyle name="Note 2" xfId="53" xr:uid="{00000000-0005-0000-0000-000015010000}"/>
    <cellStyle name="Output" xfId="12" builtinId="21" customBuiltin="1"/>
    <cellStyle name="Percent" xfId="2" builtinId="5"/>
    <cellStyle name="Percent 10" xfId="113" xr:uid="{00000000-0005-0000-0000-000018010000}"/>
    <cellStyle name="Percent 11" xfId="49" xr:uid="{00000000-0005-0000-0000-000019010000}"/>
    <cellStyle name="Percent 11 2" xfId="290" xr:uid="{00000000-0005-0000-0000-00001A010000}"/>
    <cellStyle name="Percent 2" xfId="185" xr:uid="{00000000-0005-0000-0000-00001B010000}"/>
    <cellStyle name="Percent 2 2" xfId="271" xr:uid="{00000000-0005-0000-0000-00001C010000}"/>
    <cellStyle name="Percent 3" xfId="186" xr:uid="{00000000-0005-0000-0000-00001D010000}"/>
    <cellStyle name="Percent 3 2" xfId="272" xr:uid="{00000000-0005-0000-0000-00001E010000}"/>
    <cellStyle name="Percent 3 3" xfId="283" xr:uid="{00000000-0005-0000-0000-00001F010000}"/>
    <cellStyle name="Percent 4" xfId="187" xr:uid="{00000000-0005-0000-0000-000020010000}"/>
    <cellStyle name="Percent 4 2" xfId="273" xr:uid="{00000000-0005-0000-0000-000021010000}"/>
    <cellStyle name="Percent 4 3" xfId="284" xr:uid="{00000000-0005-0000-0000-000022010000}"/>
    <cellStyle name="Percent 5" xfId="188" xr:uid="{00000000-0005-0000-0000-000023010000}"/>
    <cellStyle name="Percent 5 2" xfId="274" xr:uid="{00000000-0005-0000-0000-000024010000}"/>
    <cellStyle name="Percent 6" xfId="189" xr:uid="{00000000-0005-0000-0000-000025010000}"/>
    <cellStyle name="Percent 6 2" xfId="275" xr:uid="{00000000-0005-0000-0000-000026010000}"/>
    <cellStyle name="Percent 7" xfId="190" xr:uid="{00000000-0005-0000-0000-000027010000}"/>
    <cellStyle name="Percent 8" xfId="191" xr:uid="{00000000-0005-0000-0000-000028010000}"/>
    <cellStyle name="Percent 8 2" xfId="276" xr:uid="{00000000-0005-0000-0000-000029010000}"/>
    <cellStyle name="Percent 9" xfId="196" xr:uid="{00000000-0005-0000-0000-00002A010000}"/>
    <cellStyle name="Title" xfId="16" builtinId="15" customBuiltin="1"/>
    <cellStyle name="Total" xfId="22" builtinId="25" customBuiltin="1"/>
    <cellStyle name="Warning Text" xfId="21" builtinId="11" customBuiltin="1"/>
  </cellStyles>
  <dxfs count="0"/>
  <tableStyles count="0" defaultTableStyle="TableStyleMedium2" defaultPivotStyle="PivotStyleLight16"/>
  <colors>
    <mruColors>
      <color rgb="FFFF33CC"/>
      <color rgb="FFFFFF99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led%20kWh%20Budget%20Missouri%20West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ssouri%20West%20MEEIA%20Cycle%202%20Forecast%20Model%202017-2020%20102019%20actuals%201122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Missouri%20West%20MEEIA%202019%20Revenue%20Analysi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Missouri%20West%20Short-Term%20Borrowing%20Rate%20May%202019%20-%20October%2020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SI%20Projects%20052019-102019%20Missouri%20West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Missouri%20West%20AFUDC%20Rates%20January%20%20thru%20October%20201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TD%20Model%20Missouri%20West%20102019%2011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issouri%20West%20EO%20Calculation%20PY1-PY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OA%20Adjustment%20Cycle%202%20Missouri%20W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ed kWh Sales"/>
    </sheetNames>
    <sheetDataSet>
      <sheetData sheetId="0">
        <row r="21">
          <cell r="G21">
            <v>207260261</v>
          </cell>
          <cell r="H21">
            <v>266633201</v>
          </cell>
          <cell r="I21">
            <v>362127632</v>
          </cell>
        </row>
        <row r="22">
          <cell r="G22">
            <v>268215039</v>
          </cell>
          <cell r="H22">
            <v>300387945</v>
          </cell>
          <cell r="I22">
            <v>329682978</v>
          </cell>
        </row>
        <row r="28">
          <cell r="E28">
            <v>1703177311</v>
          </cell>
        </row>
        <row r="29">
          <cell r="E29">
            <v>1773150072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p Budget Sumry"/>
      <sheetName val="EEIA Non-labor loadfile"/>
      <sheetName val="Base Rate EE Non-labor loadfile"/>
      <sheetName val="Missouri West Monthly TD Calc"/>
      <sheetName val="Program Costs - Missouri West"/>
    </sheetNames>
    <sheetDataSet>
      <sheetData sheetId="0"/>
      <sheetData sheetId="1"/>
      <sheetData sheetId="2"/>
      <sheetData sheetId="3">
        <row r="317">
          <cell r="AT317">
            <v>111769.92</v>
          </cell>
          <cell r="AU317">
            <v>139193.04</v>
          </cell>
        </row>
        <row r="318">
          <cell r="AT318">
            <v>116497.19</v>
          </cell>
          <cell r="AU318">
            <v>126534.73</v>
          </cell>
        </row>
        <row r="321">
          <cell r="BA321">
            <v>980827.22</v>
          </cell>
        </row>
        <row r="322">
          <cell r="BA322">
            <v>922571.1399999999</v>
          </cell>
        </row>
        <row r="338">
          <cell r="AT338">
            <v>2564623.1041083457</v>
          </cell>
          <cell r="AU338">
            <v>3440284.2581282724</v>
          </cell>
        </row>
        <row r="339">
          <cell r="AT339">
            <v>4029147.1139081805</v>
          </cell>
          <cell r="AU339">
            <v>4594960.8653744254</v>
          </cell>
        </row>
        <row r="343">
          <cell r="BA343">
            <v>21110518.751009211</v>
          </cell>
        </row>
        <row r="344">
          <cell r="BA344">
            <v>30762763.219136003</v>
          </cell>
        </row>
      </sheetData>
      <sheetData sheetId="4">
        <row r="153">
          <cell r="BF153">
            <v>665080.43000000005</v>
          </cell>
          <cell r="BG153">
            <v>1462960.2820000001</v>
          </cell>
        </row>
        <row r="154">
          <cell r="BF154">
            <v>880550.85999999987</v>
          </cell>
          <cell r="BG154">
            <v>1239844.68</v>
          </cell>
        </row>
        <row r="155">
          <cell r="BF155">
            <v>108427.84</v>
          </cell>
          <cell r="BG155">
            <v>243899.39</v>
          </cell>
        </row>
        <row r="159">
          <cell r="BM159">
            <v>117502.25999999998</v>
          </cell>
        </row>
        <row r="160">
          <cell r="BM160">
            <v>131699.28</v>
          </cell>
        </row>
        <row r="161">
          <cell r="BM161">
            <v>25059.96</v>
          </cell>
        </row>
        <row r="162">
          <cell r="BM162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 Analysis"/>
      <sheetName val="January 2019 Combined"/>
      <sheetName val="February 2019 Combined"/>
      <sheetName val="March 2019 Combined"/>
      <sheetName val="April 2019 Combined"/>
      <sheetName val="May 2019 Combined"/>
      <sheetName val="June 2019 Combined"/>
      <sheetName val="July 2019 Combined"/>
      <sheetName val="August 2019 Combined"/>
      <sheetName val="September 2019 Combined"/>
      <sheetName val="October 2019 Combined"/>
      <sheetName val="November 2019 Combined"/>
      <sheetName val="December 2019 Combined"/>
      <sheetName val="GMO DSIM Rate Table"/>
      <sheetName val="DSIM Rates - Tracker"/>
      <sheetName val="DSIM Rates - Initial RP Cycle 2"/>
      <sheetName val="DSIM RP2"/>
      <sheetName val="DSIM RP3"/>
      <sheetName val="DSIM RP4"/>
      <sheetName val="DSIM RP5"/>
      <sheetName val="DSIM RP6"/>
      <sheetName val="DSIM RP7"/>
      <sheetName val="DSIM RP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">
          <cell r="F8">
            <v>78.77</v>
          </cell>
        </row>
        <row r="9">
          <cell r="F9">
            <v>33.159999999999997</v>
          </cell>
        </row>
        <row r="13">
          <cell r="F13">
            <v>7709.53</v>
          </cell>
        </row>
        <row r="14">
          <cell r="F14">
            <v>-12120.33</v>
          </cell>
        </row>
        <row r="18">
          <cell r="F18">
            <v>1944.82</v>
          </cell>
        </row>
        <row r="19">
          <cell r="F19">
            <v>-1859.05</v>
          </cell>
        </row>
        <row r="23">
          <cell r="F23">
            <v>29032.6</v>
          </cell>
        </row>
        <row r="24">
          <cell r="F24">
            <v>59960.56</v>
          </cell>
        </row>
        <row r="28">
          <cell r="F28">
            <v>199369.28</v>
          </cell>
        </row>
        <row r="29">
          <cell r="F29">
            <v>502819.51999999996</v>
          </cell>
        </row>
        <row r="33">
          <cell r="F33">
            <v>-201211.47</v>
          </cell>
        </row>
        <row r="34">
          <cell r="F34">
            <v>58628.009999999995</v>
          </cell>
        </row>
        <row r="38">
          <cell r="F38">
            <v>19.780000000000005</v>
          </cell>
        </row>
        <row r="39">
          <cell r="F39">
            <v>105829.48</v>
          </cell>
        </row>
        <row r="49">
          <cell r="F49">
            <v>193515857.24129999</v>
          </cell>
        </row>
        <row r="50">
          <cell r="F50">
            <v>271075647.55299997</v>
          </cell>
        </row>
        <row r="55">
          <cell r="F55">
            <v>193515857.24129999</v>
          </cell>
        </row>
        <row r="56">
          <cell r="F56">
            <v>271075647.55299997</v>
          </cell>
        </row>
      </sheetData>
      <sheetData sheetId="6">
        <row r="8">
          <cell r="F8">
            <v>0</v>
          </cell>
        </row>
        <row r="9">
          <cell r="F9">
            <v>0</v>
          </cell>
        </row>
        <row r="13">
          <cell r="F13">
            <v>10378.19</v>
          </cell>
        </row>
        <row r="14">
          <cell r="F14">
            <v>-21022.280000000002</v>
          </cell>
        </row>
        <row r="18">
          <cell r="F18">
            <v>2594.52</v>
          </cell>
        </row>
        <row r="19">
          <cell r="F19">
            <v>-2623.41</v>
          </cell>
        </row>
        <row r="23">
          <cell r="F23">
            <v>38925.21</v>
          </cell>
        </row>
        <row r="24">
          <cell r="F24">
            <v>57667.45</v>
          </cell>
        </row>
        <row r="28">
          <cell r="F28">
            <v>267323.98</v>
          </cell>
        </row>
        <row r="29">
          <cell r="F29">
            <v>487956.47999999998</v>
          </cell>
        </row>
        <row r="33">
          <cell r="F33">
            <v>-269854.08999999997</v>
          </cell>
        </row>
        <row r="34">
          <cell r="F34">
            <v>52028.4</v>
          </cell>
        </row>
        <row r="38">
          <cell r="F38">
            <v>40.68</v>
          </cell>
        </row>
        <row r="39">
          <cell r="F39">
            <v>102437.12000000001</v>
          </cell>
        </row>
        <row r="49">
          <cell r="F49">
            <v>259451677.39160001</v>
          </cell>
        </row>
        <row r="50">
          <cell r="F50">
            <v>263023654.21219999</v>
          </cell>
        </row>
        <row r="55">
          <cell r="F55">
            <v>259451677.39160001</v>
          </cell>
        </row>
        <row r="56">
          <cell r="F56">
            <v>263023654.21219999</v>
          </cell>
        </row>
      </sheetData>
      <sheetData sheetId="7">
        <row r="8">
          <cell r="F8">
            <v>0</v>
          </cell>
        </row>
        <row r="9">
          <cell r="F9">
            <v>0</v>
          </cell>
        </row>
        <row r="13">
          <cell r="F13">
            <v>14544.34</v>
          </cell>
        </row>
        <row r="14">
          <cell r="F14">
            <v>-26927.919999999998</v>
          </cell>
        </row>
        <row r="18">
          <cell r="F18">
            <v>3635.81</v>
          </cell>
        </row>
        <row r="19">
          <cell r="F19">
            <v>-3366.05</v>
          </cell>
        </row>
        <row r="23">
          <cell r="F23">
            <v>54570.79</v>
          </cell>
        </row>
        <row r="24">
          <cell r="F24">
            <v>74206.52</v>
          </cell>
        </row>
        <row r="28">
          <cell r="F28">
            <v>374745.31999999995</v>
          </cell>
        </row>
        <row r="29">
          <cell r="F29">
            <v>627604.79</v>
          </cell>
        </row>
        <row r="33">
          <cell r="F33">
            <v>-378300.44</v>
          </cell>
        </row>
        <row r="34">
          <cell r="F34">
            <v>67230.080000000002</v>
          </cell>
        </row>
        <row r="38">
          <cell r="F38">
            <v>30.630000000000003</v>
          </cell>
        </row>
        <row r="39">
          <cell r="F39">
            <v>131709.12000000002</v>
          </cell>
        </row>
        <row r="49">
          <cell r="F49">
            <v>363761391.66229981</v>
          </cell>
        </row>
        <row r="50">
          <cell r="F50">
            <v>337656416.9716</v>
          </cell>
        </row>
        <row r="55">
          <cell r="F55">
            <v>363761391.66229981</v>
          </cell>
        </row>
        <row r="56">
          <cell r="F56">
            <v>337656416.9716</v>
          </cell>
        </row>
      </sheetData>
      <sheetData sheetId="8">
        <row r="8">
          <cell r="F8">
            <v>0</v>
          </cell>
        </row>
        <row r="9">
          <cell r="F9">
            <v>0</v>
          </cell>
        </row>
        <row r="13">
          <cell r="F13">
            <v>-10647.84</v>
          </cell>
        </row>
        <row r="14">
          <cell r="F14">
            <v>-2408.41</v>
          </cell>
        </row>
        <row r="18">
          <cell r="F18">
            <v>1758.7</v>
          </cell>
        </row>
        <row r="19">
          <cell r="F19">
            <v>12509.66</v>
          </cell>
        </row>
        <row r="23">
          <cell r="F23">
            <v>-3715.22</v>
          </cell>
        </row>
        <row r="24">
          <cell r="F24">
            <v>3722.1699999999996</v>
          </cell>
        </row>
        <row r="28">
          <cell r="F28">
            <v>892695.42999999993</v>
          </cell>
        </row>
        <row r="29">
          <cell r="F29">
            <v>1029095.51</v>
          </cell>
        </row>
        <row r="33">
          <cell r="F33">
            <v>316356.07</v>
          </cell>
        </row>
        <row r="34">
          <cell r="F34">
            <v>225967.71000000002</v>
          </cell>
        </row>
        <row r="38">
          <cell r="F38">
            <v>-4342.5</v>
          </cell>
        </row>
        <row r="39">
          <cell r="F39">
            <v>-4342.51</v>
          </cell>
        </row>
        <row r="43">
          <cell r="F43">
            <v>195497.72999999998</v>
          </cell>
        </row>
        <row r="44">
          <cell r="F44">
            <v>149581.99000000002</v>
          </cell>
        </row>
        <row r="54">
          <cell r="F54">
            <v>371866716.61979985</v>
          </cell>
        </row>
        <row r="55">
          <cell r="F55">
            <v>324847431.9508</v>
          </cell>
        </row>
        <row r="60">
          <cell r="F60">
            <v>371866716.61979985</v>
          </cell>
        </row>
        <row r="61">
          <cell r="F61">
            <v>324847431.9508</v>
          </cell>
        </row>
      </sheetData>
      <sheetData sheetId="9">
        <row r="8">
          <cell r="F8">
            <v>0</v>
          </cell>
        </row>
        <row r="9">
          <cell r="F9">
            <v>0</v>
          </cell>
        </row>
        <row r="13">
          <cell r="F13">
            <v>0</v>
          </cell>
        </row>
        <row r="14">
          <cell r="F14">
            <v>0</v>
          </cell>
        </row>
        <row r="18">
          <cell r="F18">
            <v>0</v>
          </cell>
        </row>
        <row r="19">
          <cell r="F19">
            <v>0</v>
          </cell>
        </row>
        <row r="23">
          <cell r="F23">
            <v>-3294.06</v>
          </cell>
        </row>
        <row r="24">
          <cell r="F24">
            <v>3067.62</v>
          </cell>
        </row>
        <row r="28">
          <cell r="F28">
            <v>790090.51</v>
          </cell>
        </row>
        <row r="29">
          <cell r="F29">
            <v>953678.27999999991</v>
          </cell>
        </row>
        <row r="33">
          <cell r="F33">
            <v>266688.07</v>
          </cell>
        </row>
        <row r="34">
          <cell r="F34">
            <v>203776.42</v>
          </cell>
        </row>
        <row r="38">
          <cell r="F38">
            <v>174501.11</v>
          </cell>
        </row>
        <row r="39">
          <cell r="F39">
            <v>149955.21</v>
          </cell>
        </row>
        <row r="49">
          <cell r="F49">
            <v>329178131.7610001</v>
          </cell>
        </row>
        <row r="50">
          <cell r="F50">
            <v>300248518.44930005</v>
          </cell>
        </row>
        <row r="55">
          <cell r="F55">
            <v>329178131.7610001</v>
          </cell>
        </row>
        <row r="56">
          <cell r="F56">
            <v>300248518.44930005</v>
          </cell>
        </row>
      </sheetData>
      <sheetData sheetId="10">
        <row r="8">
          <cell r="F8">
            <v>0</v>
          </cell>
        </row>
        <row r="9">
          <cell r="F9">
            <v>0</v>
          </cell>
        </row>
        <row r="13">
          <cell r="F13">
            <v>0</v>
          </cell>
        </row>
        <row r="14">
          <cell r="F14">
            <v>0</v>
          </cell>
        </row>
        <row r="18">
          <cell r="F18">
            <v>0</v>
          </cell>
        </row>
        <row r="19">
          <cell r="F19">
            <v>0</v>
          </cell>
        </row>
        <row r="23">
          <cell r="F23">
            <v>-2611.15</v>
          </cell>
        </row>
        <row r="24">
          <cell r="F24">
            <v>2026.7599999999998</v>
          </cell>
        </row>
        <row r="28">
          <cell r="F28">
            <v>622662.32999999996</v>
          </cell>
        </row>
        <row r="29">
          <cell r="F29">
            <v>954899.98</v>
          </cell>
        </row>
        <row r="33">
          <cell r="F33">
            <v>210144.63999999998</v>
          </cell>
        </row>
        <row r="34">
          <cell r="F34">
            <v>217021.59999999998</v>
          </cell>
        </row>
        <row r="38">
          <cell r="F38">
            <v>137464.4</v>
          </cell>
        </row>
        <row r="39">
          <cell r="F39">
            <v>148653.29</v>
          </cell>
        </row>
        <row r="49">
          <cell r="F49">
            <v>259475549.86699998</v>
          </cell>
        </row>
        <row r="50">
          <cell r="F50">
            <v>290047321.81709999</v>
          </cell>
        </row>
        <row r="55">
          <cell r="F55">
            <v>259475549.86699998</v>
          </cell>
        </row>
        <row r="56">
          <cell r="F56">
            <v>290047321.81709999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y 2019"/>
      <sheetName val="June 2019"/>
      <sheetName val="July 2019"/>
      <sheetName val="Aug 2019"/>
      <sheetName val="Sept 2019"/>
      <sheetName val="Oct 2019"/>
    </sheetNames>
    <sheetDataSet>
      <sheetData sheetId="0">
        <row r="43">
          <cell r="F43">
            <v>3.0790499999999998E-3</v>
          </cell>
        </row>
      </sheetData>
      <sheetData sheetId="1">
        <row r="43">
          <cell r="F43">
            <v>3.0450199999999998E-3</v>
          </cell>
        </row>
      </sheetData>
      <sheetData sheetId="2">
        <row r="43">
          <cell r="F43">
            <v>2.9619300000000002E-3</v>
          </cell>
        </row>
      </sheetData>
      <sheetData sheetId="3">
        <row r="43">
          <cell r="F43">
            <v>2.8524499999999999E-3</v>
          </cell>
        </row>
      </sheetData>
      <sheetData sheetId="4">
        <row r="43">
          <cell r="F43">
            <v>2.7438599999999999E-3</v>
          </cell>
        </row>
      </sheetData>
      <sheetData sheetId="5">
        <row r="43">
          <cell r="F43">
            <v>2.60867E-3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"/>
      <sheetName val="SI Projects 052019-102019"/>
    </sheetNames>
    <sheetDataSet>
      <sheetData sheetId="0">
        <row r="26">
          <cell r="C26">
            <v>330245.64</v>
          </cell>
          <cell r="D26">
            <v>528099.57000000007</v>
          </cell>
          <cell r="E26">
            <v>844538.47999999975</v>
          </cell>
          <cell r="F26">
            <v>455560.31999999983</v>
          </cell>
          <cell r="G26">
            <v>720487.26</v>
          </cell>
          <cell r="H26">
            <v>776217.95</v>
          </cell>
        </row>
        <row r="27">
          <cell r="C27">
            <v>761758.71999999986</v>
          </cell>
          <cell r="D27">
            <v>593552.93999999994</v>
          </cell>
          <cell r="E27">
            <v>614175.15000000014</v>
          </cell>
          <cell r="F27">
            <v>701760.42000000016</v>
          </cell>
          <cell r="G27">
            <v>646042.39999999991</v>
          </cell>
          <cell r="H27">
            <v>556731.78</v>
          </cell>
        </row>
        <row r="28">
          <cell r="C28">
            <v>94271.53</v>
          </cell>
          <cell r="D28">
            <v>69783.35000000002</v>
          </cell>
          <cell r="E28">
            <v>46074.080000000009</v>
          </cell>
          <cell r="F28">
            <v>58929.809999999954</v>
          </cell>
          <cell r="G28">
            <v>115134.19</v>
          </cell>
          <cell r="H28">
            <v>83114.020000000033</v>
          </cell>
        </row>
        <row r="29">
          <cell r="C29">
            <v>56575.74</v>
          </cell>
          <cell r="D29">
            <v>34511.849999999991</v>
          </cell>
          <cell r="E29">
            <v>92934.629999999976</v>
          </cell>
          <cell r="F29">
            <v>14865.329999999998</v>
          </cell>
          <cell r="G29">
            <v>39381.14</v>
          </cell>
          <cell r="H29">
            <v>56098.67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 West AFUDC Rate Jan Oct 2019"/>
    </sheetNames>
    <sheetDataSet>
      <sheetData sheetId="0">
        <row r="31">
          <cell r="I31">
            <v>3.0419833333333334E-3</v>
          </cell>
        </row>
        <row r="32">
          <cell r="I32">
            <v>3.0419833333333334E-3</v>
          </cell>
        </row>
        <row r="33">
          <cell r="I33">
            <v>3.0419833333333334E-3</v>
          </cell>
        </row>
        <row r="34">
          <cell r="I34">
            <v>3.0419833333333334E-3</v>
          </cell>
        </row>
        <row r="35">
          <cell r="I35">
            <v>3.0419833333333334E-3</v>
          </cell>
        </row>
        <row r="36">
          <cell r="I36">
            <v>3.0419833333333334E-3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onthly TD Calc"/>
      <sheetName val="TD EO Ex Post Gross Adj"/>
      <sheetName val="TD EO NTG Adj"/>
      <sheetName val="EO TD Carrying Costs"/>
      <sheetName val="EM&amp;V Inputs"/>
      <sheetName val="kW Actuals (Gross)"/>
    </sheetNames>
    <sheetDataSet>
      <sheetData sheetId="0"/>
      <sheetData sheetId="1">
        <row r="285">
          <cell r="AN285">
            <v>2292149.8453767812</v>
          </cell>
          <cell r="AO285">
            <v>3094646.2726273248</v>
          </cell>
          <cell r="AP285">
            <v>4109655.1399542545</v>
          </cell>
          <cell r="AQ285">
            <v>4115929.8321298803</v>
          </cell>
          <cell r="AR285">
            <v>3800218.3907751157</v>
          </cell>
          <cell r="AS285">
            <v>3953849.6123330332</v>
          </cell>
        </row>
        <row r="286">
          <cell r="AN286">
            <v>3662298.8116327953</v>
          </cell>
          <cell r="AO286">
            <v>3672482.183625096</v>
          </cell>
          <cell r="AP286">
            <v>3848580.0725345118</v>
          </cell>
          <cell r="AQ286">
            <v>4028371.8211139892</v>
          </cell>
          <cell r="AR286">
            <v>3786521.1280836337</v>
          </cell>
          <cell r="AS286">
            <v>4104068.9999347143</v>
          </cell>
        </row>
        <row r="318">
          <cell r="AN318">
            <v>109164.79</v>
          </cell>
          <cell r="AO318">
            <v>243316.56</v>
          </cell>
          <cell r="AP318">
            <v>327418.28000000003</v>
          </cell>
          <cell r="AQ318">
            <v>327918.19</v>
          </cell>
          <cell r="AR318">
            <v>299567.40999999997</v>
          </cell>
          <cell r="AS318">
            <v>180910.36</v>
          </cell>
        </row>
        <row r="319">
          <cell r="AN319">
            <v>103656.8</v>
          </cell>
          <cell r="AO319">
            <v>141579.54999999999</v>
          </cell>
          <cell r="AP319">
            <v>146720.06</v>
          </cell>
          <cell r="AQ319">
            <v>154415</v>
          </cell>
          <cell r="AR319">
            <v>146271.74</v>
          </cell>
          <cell r="AS319">
            <v>112183.05</v>
          </cell>
        </row>
      </sheetData>
      <sheetData sheetId="2">
        <row r="363">
          <cell r="DD363">
            <v>-722286.32999999984</v>
          </cell>
        </row>
        <row r="364">
          <cell r="DD364">
            <v>62654.269999999968</v>
          </cell>
        </row>
        <row r="365">
          <cell r="DD365">
            <v>0</v>
          </cell>
        </row>
        <row r="366">
          <cell r="DD366">
            <v>122990.04999999997</v>
          </cell>
        </row>
        <row r="367">
          <cell r="DD367">
            <v>8441.0300000000061</v>
          </cell>
        </row>
      </sheetData>
      <sheetData sheetId="3">
        <row r="370">
          <cell r="DD370">
            <v>574414.55000000005</v>
          </cell>
        </row>
        <row r="371">
          <cell r="DD371">
            <v>289519.26</v>
          </cell>
        </row>
        <row r="372">
          <cell r="DD372">
            <v>0</v>
          </cell>
        </row>
        <row r="373">
          <cell r="DD373">
            <v>233118.96</v>
          </cell>
        </row>
        <row r="374">
          <cell r="DD374">
            <v>39682.919999999984</v>
          </cell>
        </row>
      </sheetData>
      <sheetData sheetId="4">
        <row r="48">
          <cell r="AN48">
            <v>2229.4899999999998</v>
          </cell>
        </row>
        <row r="49">
          <cell r="AN49">
            <v>9487.8299999999981</v>
          </cell>
        </row>
        <row r="50">
          <cell r="AN50">
            <v>0</v>
          </cell>
        </row>
        <row r="51">
          <cell r="AN51">
            <v>9593.3099999999977</v>
          </cell>
        </row>
        <row r="52">
          <cell r="AN52">
            <v>1337.2200000000003</v>
          </cell>
        </row>
      </sheetData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 Matrix @Meter"/>
      <sheetName val="PY1-PY3 Final EM&amp;V"/>
    </sheetNames>
    <sheetDataSet>
      <sheetData sheetId="0">
        <row r="18">
          <cell r="S18">
            <v>5181939.6500000004</v>
          </cell>
          <cell r="T18">
            <v>5060008.6900000004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"/>
    </sheetNames>
    <sheetDataSet>
      <sheetData sheetId="0">
        <row r="8">
          <cell r="D8">
            <v>-4342.5</v>
          </cell>
        </row>
        <row r="9">
          <cell r="D9">
            <v>-4342.51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O1" sqref="O1:V1048576"/>
    </sheetView>
  </sheetViews>
  <sheetFormatPr defaultRowHeight="15" x14ac:dyDescent="0.25"/>
  <cols>
    <col min="2" max="2" width="18.7109375" customWidth="1"/>
    <col min="3" max="3" width="16.5703125" customWidth="1"/>
    <col min="4" max="4" width="15.5703125" customWidth="1"/>
    <col min="5" max="5" width="14.85546875" bestFit="1" customWidth="1"/>
    <col min="6" max="6" width="17.28515625" bestFit="1" customWidth="1"/>
    <col min="7" max="7" width="17.85546875" customWidth="1"/>
    <col min="8" max="8" width="13.42578125" customWidth="1"/>
    <col min="9" max="9" width="3.5703125" customWidth="1"/>
    <col min="10" max="12" width="14.85546875" bestFit="1" customWidth="1"/>
    <col min="13" max="13" width="11.28515625" bestFit="1" customWidth="1"/>
  </cols>
  <sheetData>
    <row r="1" spans="1:14" x14ac:dyDescent="0.25">
      <c r="A1" s="3" t="str">
        <f>+PPC!A1</f>
        <v>Evergy Missouri West, Inc. - DSIM Rider Update Filed 12/02/2019</v>
      </c>
      <c r="M1" s="61"/>
      <c r="N1" s="61"/>
    </row>
    <row r="2" spans="1:14" ht="15.75" thickBot="1" x14ac:dyDescent="0.3">
      <c r="H2" s="61"/>
      <c r="I2" s="61"/>
      <c r="J2" s="63"/>
      <c r="K2" s="63"/>
      <c r="M2" s="61"/>
      <c r="N2" s="61"/>
    </row>
    <row r="3" spans="1:14" ht="27.75" thickBot="1" x14ac:dyDescent="0.3">
      <c r="B3" s="112" t="s">
        <v>8</v>
      </c>
      <c r="C3" s="159" t="s">
        <v>22</v>
      </c>
      <c r="D3" s="159" t="s">
        <v>23</v>
      </c>
      <c r="E3" s="159" t="s">
        <v>75</v>
      </c>
      <c r="F3" s="159" t="s">
        <v>24</v>
      </c>
      <c r="G3" s="159" t="s">
        <v>47</v>
      </c>
      <c r="H3" s="113" t="s">
        <v>33</v>
      </c>
      <c r="I3" s="52"/>
      <c r="J3" s="114" t="s">
        <v>15</v>
      </c>
      <c r="K3" s="115" t="s">
        <v>74</v>
      </c>
      <c r="L3" s="115" t="s">
        <v>99</v>
      </c>
      <c r="M3" s="115" t="s">
        <v>117</v>
      </c>
      <c r="N3" s="61"/>
    </row>
    <row r="4" spans="1:14" ht="15.75" thickBot="1" x14ac:dyDescent="0.3">
      <c r="B4" s="116" t="s">
        <v>29</v>
      </c>
      <c r="C4" s="157">
        <f t="shared" ref="C4:F5" si="0">C10+C16</f>
        <v>938426.90231999953</v>
      </c>
      <c r="D4" s="158">
        <f t="shared" si="0"/>
        <v>1657862.3611199996</v>
      </c>
      <c r="E4" s="158">
        <f t="shared" si="0"/>
        <v>1264232.77462</v>
      </c>
      <c r="F4" s="155">
        <f t="shared" si="0"/>
        <v>0</v>
      </c>
      <c r="G4" s="162">
        <f>PPC!B5</f>
        <v>1703177311</v>
      </c>
      <c r="H4" s="163">
        <f>ROUND(SUM(C4:F4)/G4,5)</f>
        <v>2.2699999999999999E-3</v>
      </c>
      <c r="I4" s="164"/>
      <c r="J4" s="225">
        <f>ROUND((C10+C16)/G4,5)</f>
        <v>5.5000000000000003E-4</v>
      </c>
      <c r="K4" s="165">
        <f>ROUND((D10+D16)/G4,5)+0.00001</f>
        <v>9.7999999999999997E-4</v>
      </c>
      <c r="L4" s="165">
        <f>ROUND((E10+E16)/G4,5)</f>
        <v>7.3999999999999999E-4</v>
      </c>
      <c r="M4" s="165">
        <f>ROUND((F10+F16)/G4,5)</f>
        <v>0</v>
      </c>
      <c r="N4" s="61"/>
    </row>
    <row r="5" spans="1:14" ht="15.75" thickBot="1" x14ac:dyDescent="0.3">
      <c r="B5" s="116" t="s">
        <v>30</v>
      </c>
      <c r="C5" s="157">
        <f t="shared" si="0"/>
        <v>-1299229.2032399992</v>
      </c>
      <c r="D5" s="158">
        <f t="shared" si="0"/>
        <v>711004.99034000002</v>
      </c>
      <c r="E5" s="158">
        <f t="shared" si="0"/>
        <v>1471422.95016</v>
      </c>
      <c r="F5" s="155">
        <f t="shared" si="0"/>
        <v>0</v>
      </c>
      <c r="G5" s="162">
        <f>PPC!B6</f>
        <v>1773150072</v>
      </c>
      <c r="H5" s="163">
        <f>ROUND(SUM(C5:F5)/G5,5)</f>
        <v>5.0000000000000001E-4</v>
      </c>
      <c r="I5" s="164"/>
      <c r="J5" s="226">
        <f>ROUND((C11+C17)/G5,5)</f>
        <v>-7.2999999999999996E-4</v>
      </c>
      <c r="K5" s="226">
        <f>ROUND((D11+D17)/G5,5)</f>
        <v>4.0000000000000002E-4</v>
      </c>
      <c r="L5" s="163">
        <f>ROUND((E11+E17)/G5,5)</f>
        <v>8.3000000000000001E-4</v>
      </c>
      <c r="M5" s="165">
        <f>ROUND((F11+F17)/G5,5)</f>
        <v>0</v>
      </c>
      <c r="N5" s="61"/>
    </row>
    <row r="6" spans="1:14" x14ac:dyDescent="0.25">
      <c r="C6" s="154"/>
      <c r="D6" s="154"/>
      <c r="E6" s="154"/>
      <c r="F6" s="154"/>
      <c r="G6" s="153"/>
      <c r="M6" s="61"/>
      <c r="N6" s="61"/>
    </row>
    <row r="7" spans="1:14" x14ac:dyDescent="0.25">
      <c r="C7" s="154"/>
      <c r="D7" s="154"/>
      <c r="E7" s="154"/>
      <c r="F7" s="154"/>
      <c r="G7" s="153"/>
      <c r="M7" s="61"/>
      <c r="N7" s="61"/>
    </row>
    <row r="8" spans="1:14" ht="15.75" thickBot="1" x14ac:dyDescent="0.3">
      <c r="C8" s="154"/>
      <c r="D8" s="154"/>
      <c r="E8" s="154"/>
      <c r="F8" s="154"/>
      <c r="G8" s="153"/>
      <c r="M8" s="61"/>
      <c r="N8" s="61"/>
    </row>
    <row r="9" spans="1:14" ht="15.75" thickBot="1" x14ac:dyDescent="0.3">
      <c r="B9" s="112" t="s">
        <v>8</v>
      </c>
      <c r="C9" s="160" t="s">
        <v>7</v>
      </c>
      <c r="D9" s="160" t="s">
        <v>19</v>
      </c>
      <c r="E9" s="161" t="s">
        <v>76</v>
      </c>
      <c r="F9" s="161" t="s">
        <v>20</v>
      </c>
      <c r="G9" s="153"/>
      <c r="M9" s="61"/>
      <c r="N9" s="61"/>
    </row>
    <row r="10" spans="1:14" ht="15.75" thickBot="1" x14ac:dyDescent="0.3">
      <c r="B10" s="116" t="s">
        <v>29</v>
      </c>
      <c r="C10" s="158">
        <f>PPC!C5</f>
        <v>130032.23999999999</v>
      </c>
      <c r="D10" s="158">
        <f>PTD!C6</f>
        <v>980827.22</v>
      </c>
      <c r="E10" s="155">
        <f>+EO!G8</f>
        <v>1259074.3400000001</v>
      </c>
      <c r="F10" s="156">
        <f>+OA!D8</f>
        <v>0</v>
      </c>
      <c r="G10" s="153"/>
      <c r="M10" s="61"/>
      <c r="N10" s="61"/>
    </row>
    <row r="11" spans="1:14" ht="15.75" thickBot="1" x14ac:dyDescent="0.3">
      <c r="B11" s="116" t="s">
        <v>30</v>
      </c>
      <c r="C11" s="158">
        <f>PPC!C6</f>
        <v>144229.26</v>
      </c>
      <c r="D11" s="158">
        <f>PTD!C7</f>
        <v>922571.14</v>
      </c>
      <c r="E11" s="155">
        <f>+EO!G9</f>
        <v>1459208.39</v>
      </c>
      <c r="F11" s="156">
        <f>+OA!D9</f>
        <v>0</v>
      </c>
      <c r="G11" s="153"/>
      <c r="M11" s="61"/>
      <c r="N11" s="61"/>
    </row>
    <row r="12" spans="1:14" x14ac:dyDescent="0.25">
      <c r="C12" s="154"/>
      <c r="D12" s="154"/>
      <c r="E12" s="154"/>
      <c r="F12" s="154"/>
      <c r="G12" s="153"/>
      <c r="M12" s="61"/>
      <c r="N12" s="61"/>
    </row>
    <row r="13" spans="1:14" x14ac:dyDescent="0.25">
      <c r="C13" s="154"/>
      <c r="D13" s="154"/>
      <c r="E13" s="154"/>
      <c r="F13" s="154"/>
      <c r="G13" s="153"/>
      <c r="M13" s="61"/>
      <c r="N13" s="61"/>
    </row>
    <row r="14" spans="1:14" ht="15.75" thickBot="1" x14ac:dyDescent="0.3">
      <c r="C14" s="154"/>
      <c r="D14" s="154"/>
      <c r="E14" s="154"/>
      <c r="F14" s="154"/>
      <c r="G14" s="153"/>
      <c r="M14" s="61"/>
      <c r="N14" s="61"/>
    </row>
    <row r="15" spans="1:14" ht="15.75" thickBot="1" x14ac:dyDescent="0.3">
      <c r="B15" s="112" t="s">
        <v>8</v>
      </c>
      <c r="C15" s="160" t="s">
        <v>4</v>
      </c>
      <c r="D15" s="160" t="s">
        <v>10</v>
      </c>
      <c r="E15" s="161" t="s">
        <v>77</v>
      </c>
      <c r="F15" s="161" t="s">
        <v>21</v>
      </c>
      <c r="G15" s="153"/>
      <c r="M15" s="61"/>
      <c r="N15" s="61"/>
    </row>
    <row r="16" spans="1:14" ht="15.75" thickBot="1" x14ac:dyDescent="0.3">
      <c r="B16" s="116" t="s">
        <v>29</v>
      </c>
      <c r="C16" s="158">
        <f>+'PCR Cycle 1'!J4+'PCR Cycle 2'!J4</f>
        <v>808394.66231999954</v>
      </c>
      <c r="D16" s="158">
        <f>+'TDR Cycle 1'!J4+'TDR Cycle 2'!K4</f>
        <v>677035.14111999969</v>
      </c>
      <c r="E16" s="158">
        <f>+EOR!I4</f>
        <v>5158.4346199999327</v>
      </c>
      <c r="F16" s="156">
        <v>0</v>
      </c>
      <c r="G16" s="153"/>
      <c r="M16" s="61"/>
      <c r="N16" s="61"/>
    </row>
    <row r="17" spans="2:14" ht="15.75" thickBot="1" x14ac:dyDescent="0.3">
      <c r="B17" s="116" t="s">
        <v>30</v>
      </c>
      <c r="C17" s="158">
        <f>+'PCR Cycle 1'!J5+'PCR Cycle 2'!J5</f>
        <v>-1443458.4632399993</v>
      </c>
      <c r="D17" s="158">
        <f>+'TDR Cycle 1'!J5+'TDR Cycle 2'!K5</f>
        <v>-211566.14965999997</v>
      </c>
      <c r="E17" s="158">
        <f>+EOR!I5</f>
        <v>12214.560160000028</v>
      </c>
      <c r="F17" s="156">
        <v>0</v>
      </c>
      <c r="G17" s="153"/>
      <c r="M17" s="61"/>
      <c r="N17" s="61"/>
    </row>
    <row r="18" spans="2:14" x14ac:dyDescent="0.25">
      <c r="M18" s="61"/>
      <c r="N18" s="61"/>
    </row>
    <row r="19" spans="2:14" x14ac:dyDescent="0.25">
      <c r="B19" s="120" t="s">
        <v>48</v>
      </c>
      <c r="M19" s="61"/>
      <c r="N19" s="61"/>
    </row>
    <row r="20" spans="2:14" x14ac:dyDescent="0.25">
      <c r="B20" s="121" t="s">
        <v>49</v>
      </c>
      <c r="M20" s="61"/>
      <c r="N20" s="61"/>
    </row>
    <row r="21" spans="2:14" x14ac:dyDescent="0.25">
      <c r="B21" s="121" t="s">
        <v>59</v>
      </c>
      <c r="M21" s="61"/>
      <c r="N21" s="61"/>
    </row>
    <row r="22" spans="2:14" x14ac:dyDescent="0.25">
      <c r="B22" s="121" t="s">
        <v>50</v>
      </c>
      <c r="M22" s="61"/>
      <c r="N22" s="61"/>
    </row>
    <row r="23" spans="2:14" x14ac:dyDescent="0.25">
      <c r="B23" s="121" t="s">
        <v>51</v>
      </c>
      <c r="M23" s="61"/>
      <c r="N23" s="61"/>
    </row>
    <row r="24" spans="2:14" x14ac:dyDescent="0.25">
      <c r="B24" s="121" t="s">
        <v>52</v>
      </c>
      <c r="M24" s="61"/>
      <c r="N24" s="61"/>
    </row>
    <row r="25" spans="2:14" x14ac:dyDescent="0.25">
      <c r="B25" s="121" t="s">
        <v>53</v>
      </c>
      <c r="M25" s="61"/>
      <c r="N25" s="61"/>
    </row>
    <row r="26" spans="2:14" x14ac:dyDescent="0.25">
      <c r="B26" s="121" t="s">
        <v>64</v>
      </c>
      <c r="M26" s="61"/>
      <c r="N26" s="61"/>
    </row>
    <row r="27" spans="2:14" x14ac:dyDescent="0.25">
      <c r="B27" s="121" t="s">
        <v>54</v>
      </c>
      <c r="M27" s="61"/>
      <c r="N27" s="61"/>
    </row>
    <row r="28" spans="2:14" x14ac:dyDescent="0.25">
      <c r="B28" s="121" t="s">
        <v>71</v>
      </c>
      <c r="M28" s="61"/>
      <c r="N28" s="61"/>
    </row>
    <row r="29" spans="2:14" x14ac:dyDescent="0.25">
      <c r="B29" s="121" t="s">
        <v>73</v>
      </c>
      <c r="M29" s="61"/>
      <c r="N29" s="61"/>
    </row>
    <row r="30" spans="2:14" x14ac:dyDescent="0.25">
      <c r="B30" s="121" t="s">
        <v>72</v>
      </c>
      <c r="M30" s="61"/>
      <c r="N30" s="61"/>
    </row>
    <row r="31" spans="2:14" x14ac:dyDescent="0.25">
      <c r="B31" s="121" t="s">
        <v>55</v>
      </c>
      <c r="M31" s="61"/>
      <c r="N31" s="61"/>
    </row>
    <row r="32" spans="2:14" x14ac:dyDescent="0.25">
      <c r="B32" s="121" t="s">
        <v>56</v>
      </c>
      <c r="M32" s="61"/>
      <c r="N32" s="61"/>
    </row>
    <row r="33" spans="2:14" x14ac:dyDescent="0.25">
      <c r="B33" s="121" t="s">
        <v>57</v>
      </c>
      <c r="M33" s="61"/>
      <c r="N33" s="61"/>
    </row>
    <row r="34" spans="2:14" x14ac:dyDescent="0.25">
      <c r="B34" s="121" t="s">
        <v>58</v>
      </c>
      <c r="M34" s="61"/>
      <c r="N34" s="61"/>
    </row>
    <row r="35" spans="2:14" x14ac:dyDescent="0.25">
      <c r="M35" s="61"/>
      <c r="N35" s="61"/>
    </row>
    <row r="36" spans="2:14" x14ac:dyDescent="0.25">
      <c r="M36" s="61"/>
      <c r="N36" s="61"/>
    </row>
    <row r="37" spans="2:14" x14ac:dyDescent="0.25">
      <c r="M37" s="61"/>
      <c r="N37" s="61"/>
    </row>
    <row r="38" spans="2:14" x14ac:dyDescent="0.25">
      <c r="M38" s="61"/>
      <c r="N38" s="61"/>
    </row>
    <row r="39" spans="2:14" x14ac:dyDescent="0.25">
      <c r="M39" s="61"/>
      <c r="N39" s="61"/>
    </row>
    <row r="40" spans="2:14" x14ac:dyDescent="0.25">
      <c r="M40" s="61"/>
      <c r="N40" s="61"/>
    </row>
    <row r="41" spans="2:14" x14ac:dyDescent="0.25">
      <c r="M41" s="61"/>
      <c r="N41" s="61"/>
    </row>
    <row r="42" spans="2:14" x14ac:dyDescent="0.25">
      <c r="M42" s="61"/>
      <c r="N42" s="61"/>
    </row>
    <row r="43" spans="2:14" x14ac:dyDescent="0.25">
      <c r="M43" s="61"/>
      <c r="N43" s="61"/>
    </row>
    <row r="44" spans="2:14" x14ac:dyDescent="0.25">
      <c r="M44" s="61"/>
      <c r="N44" s="61"/>
    </row>
  </sheetData>
  <pageMargins left="0.2" right="0.2" top="0.75" bottom="0.25" header="0.3" footer="0.3"/>
  <pageSetup scale="42" orientation="landscape" r:id="rId1"/>
  <headerFooter>
    <oddHeader>&amp;C&amp;F &amp;A</oddHeader>
    <oddFooter>&amp;R&amp;1#&amp;"Calibri"&amp;10&amp;KA80000Internal Use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topLeftCell="A7" workbookViewId="0">
      <selection activeCell="B14" sqref="B14"/>
    </sheetView>
  </sheetViews>
  <sheetFormatPr defaultRowHeight="15" x14ac:dyDescent="0.25"/>
  <cols>
    <col min="1" max="1" width="43.7109375" style="61" customWidth="1"/>
    <col min="2" max="2" width="14.28515625" style="61" bestFit="1" customWidth="1"/>
    <col min="3" max="3" width="14.28515625" style="61" customWidth="1"/>
    <col min="4" max="4" width="13.28515625" style="61" bestFit="1" customWidth="1"/>
    <col min="5" max="16384" width="9.140625" style="61"/>
  </cols>
  <sheetData>
    <row r="1" spans="1:5" x14ac:dyDescent="0.25">
      <c r="A1" s="79" t="str">
        <f>+PPC!A1</f>
        <v>Evergy Missouri West, Inc. - DSIM Rider Update Filed 12/02/2019</v>
      </c>
    </row>
    <row r="2" spans="1:5" x14ac:dyDescent="0.25">
      <c r="A2" s="9" t="str">
        <f>+PPC!A2</f>
        <v>Projections for Cycle 2 January - June 2020 DSIM</v>
      </c>
    </row>
    <row r="3" spans="1:5" ht="45.75" customHeight="1" x14ac:dyDescent="0.25">
      <c r="B3" s="267" t="s">
        <v>151</v>
      </c>
      <c r="C3" s="267"/>
      <c r="D3" s="267"/>
    </row>
    <row r="4" spans="1:5" x14ac:dyDescent="0.25">
      <c r="B4" s="86"/>
      <c r="C4" s="86"/>
      <c r="D4" s="63" t="s">
        <v>20</v>
      </c>
    </row>
    <row r="5" spans="1:5" x14ac:dyDescent="0.25">
      <c r="A5" s="22" t="s">
        <v>110</v>
      </c>
      <c r="B5" s="86"/>
      <c r="C5" s="86"/>
      <c r="D5" s="222">
        <v>0</v>
      </c>
    </row>
    <row r="6" spans="1:5" x14ac:dyDescent="0.25">
      <c r="A6" s="22" t="s">
        <v>111</v>
      </c>
      <c r="B6" s="86"/>
      <c r="C6" s="86"/>
      <c r="D6" s="222">
        <v>0</v>
      </c>
    </row>
    <row r="7" spans="1:5" ht="30" x14ac:dyDescent="0.25">
      <c r="A7" s="22"/>
      <c r="B7" s="86"/>
      <c r="C7" s="86" t="s">
        <v>114</v>
      </c>
      <c r="D7" s="199"/>
    </row>
    <row r="8" spans="1:5" x14ac:dyDescent="0.25">
      <c r="A8" s="22" t="s">
        <v>29</v>
      </c>
      <c r="B8" s="86"/>
      <c r="C8" s="250">
        <v>0.5</v>
      </c>
      <c r="D8" s="36">
        <f>ROUND(SUM(D5:D6)*C8,2)</f>
        <v>0</v>
      </c>
      <c r="E8" s="4"/>
    </row>
    <row r="9" spans="1:5" x14ac:dyDescent="0.25">
      <c r="A9" s="22" t="s">
        <v>30</v>
      </c>
      <c r="B9" s="86"/>
      <c r="C9" s="250">
        <v>0.5</v>
      </c>
      <c r="D9" s="36">
        <f>ROUND(SUM(D5:D6)*C9,2)</f>
        <v>0</v>
      </c>
      <c r="E9" s="4"/>
    </row>
    <row r="10" spans="1:5" ht="15.75" thickBot="1" x14ac:dyDescent="0.3">
      <c r="A10" s="22" t="s">
        <v>6</v>
      </c>
      <c r="B10" s="86"/>
      <c r="C10" s="250">
        <f>SUM(C8:C9)</f>
        <v>1</v>
      </c>
      <c r="D10" s="24">
        <f>SUM(D8:D9)</f>
        <v>0</v>
      </c>
      <c r="E10" s="4"/>
    </row>
    <row r="11" spans="1:5" ht="16.5" thickTop="1" thickBot="1" x14ac:dyDescent="0.3">
      <c r="B11" s="33"/>
      <c r="C11" s="33"/>
      <c r="D11" s="21">
        <f>ROUND(D5+D6,2)-D10</f>
        <v>0</v>
      </c>
      <c r="E11" s="2"/>
    </row>
    <row r="12" spans="1:5" ht="15.75" thickTop="1" x14ac:dyDescent="0.25">
      <c r="E12" s="4"/>
    </row>
    <row r="13" spans="1:5" x14ac:dyDescent="0.25">
      <c r="E13" s="4"/>
    </row>
    <row r="17" spans="1:4" x14ac:dyDescent="0.25">
      <c r="A17" s="68" t="s">
        <v>13</v>
      </c>
    </row>
    <row r="18" spans="1:4" x14ac:dyDescent="0.25">
      <c r="A18" s="3" t="s">
        <v>129</v>
      </c>
    </row>
    <row r="19" spans="1:4" x14ac:dyDescent="0.25">
      <c r="A19" s="3" t="s">
        <v>115</v>
      </c>
    </row>
    <row r="20" spans="1:4" x14ac:dyDescent="0.25">
      <c r="A20" s="3" t="s">
        <v>130</v>
      </c>
    </row>
    <row r="21" spans="1:4" x14ac:dyDescent="0.25">
      <c r="A21" s="3"/>
    </row>
    <row r="22" spans="1:4" x14ac:dyDescent="0.25">
      <c r="A22" s="3" t="s">
        <v>128</v>
      </c>
      <c r="D22" s="214">
        <v>0</v>
      </c>
    </row>
    <row r="23" spans="1:4" x14ac:dyDescent="0.25">
      <c r="D23" s="214"/>
    </row>
    <row r="24" spans="1:4" ht="45" x14ac:dyDescent="0.25">
      <c r="B24" s="86" t="s">
        <v>116</v>
      </c>
      <c r="D24" s="214"/>
    </row>
    <row r="25" spans="1:4" x14ac:dyDescent="0.25">
      <c r="A25" s="246"/>
      <c r="B25" s="247"/>
      <c r="D25" s="214">
        <f>ROUND(SUM(D$22:D24)*B25,2)</f>
        <v>0</v>
      </c>
    </row>
    <row r="26" spans="1:4" x14ac:dyDescent="0.25">
      <c r="A26" s="246"/>
      <c r="B26" s="247"/>
      <c r="D26" s="214">
        <f>ROUND(SUM(D$22:D25)*B26,2)</f>
        <v>0</v>
      </c>
    </row>
    <row r="27" spans="1:4" x14ac:dyDescent="0.25">
      <c r="A27" s="246"/>
      <c r="B27" s="247"/>
      <c r="D27" s="214">
        <f>ROUND(SUM(D$22:D26)*B27,2)</f>
        <v>0</v>
      </c>
    </row>
    <row r="28" spans="1:4" x14ac:dyDescent="0.25">
      <c r="A28" s="246"/>
      <c r="B28" s="247"/>
      <c r="D28" s="214">
        <f>ROUND(SUM(D$22:D27)*B28,2)</f>
        <v>0</v>
      </c>
    </row>
    <row r="29" spans="1:4" x14ac:dyDescent="0.25">
      <c r="A29" s="246"/>
      <c r="B29" s="248"/>
      <c r="D29" s="214">
        <f>ROUND(SUM(D$22:D28)*B29,2)</f>
        <v>0</v>
      </c>
    </row>
    <row r="30" spans="1:4" x14ac:dyDescent="0.25">
      <c r="A30" s="246"/>
      <c r="B30" s="248"/>
      <c r="D30" s="214">
        <f>ROUND(SUM(D$22:D29)*B30,2)</f>
        <v>0</v>
      </c>
    </row>
    <row r="31" spans="1:4" ht="17.25" x14ac:dyDescent="0.4">
      <c r="A31" s="246"/>
      <c r="B31" s="248"/>
      <c r="D31" s="249">
        <f>ROUND(SUM(D$22:D30)*B31,2)</f>
        <v>0</v>
      </c>
    </row>
    <row r="32" spans="1:4" x14ac:dyDescent="0.25">
      <c r="A32" s="246"/>
      <c r="D32" s="214">
        <f>SUM(D25:D31)</f>
        <v>0</v>
      </c>
    </row>
  </sheetData>
  <mergeCells count="1">
    <mergeCell ref="B3:D3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H54"/>
  <sheetViews>
    <sheetView tabSelected="1" workbookViewId="0">
      <selection activeCell="O1" sqref="O1:O1048576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Evergy Missouri West, Inc. - DSIM Rider Update Filed 12/02/2019</v>
      </c>
      <c r="B1" s="3"/>
      <c r="C1" s="3"/>
    </row>
    <row r="2" spans="1:34" x14ac:dyDescent="0.25">
      <c r="D2" s="3" t="s">
        <v>124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21</v>
      </c>
      <c r="K3" s="228"/>
      <c r="L3" s="228"/>
      <c r="M3" s="228"/>
      <c r="N3" s="229"/>
    </row>
    <row r="4" spans="1:34" x14ac:dyDescent="0.25">
      <c r="A4" s="61" t="s">
        <v>29</v>
      </c>
      <c r="D4" s="24">
        <f>SUM(C16:L16)</f>
        <v>-4342.5</v>
      </c>
      <c r="E4" s="24">
        <f>SUM(C12:K12)</f>
        <v>-4342.5</v>
      </c>
      <c r="F4" s="24">
        <f>E4-D4</f>
        <v>0</v>
      </c>
      <c r="G4" s="24">
        <f>+B26</f>
        <v>0</v>
      </c>
      <c r="H4" s="24">
        <f>SUM(C31:K31)</f>
        <v>0</v>
      </c>
      <c r="I4" s="36">
        <f>SUM(F4:H4)</f>
        <v>0</v>
      </c>
      <c r="J4" s="62">
        <f>+I4-L26</f>
        <v>0</v>
      </c>
      <c r="K4" s="230"/>
      <c r="L4" s="230"/>
      <c r="M4" s="230"/>
      <c r="N4" s="229"/>
    </row>
    <row r="5" spans="1:34" ht="15.75" thickBot="1" x14ac:dyDescent="0.3">
      <c r="A5" s="61" t="s">
        <v>30</v>
      </c>
      <c r="D5" s="24">
        <f>SUM(C17:L17)</f>
        <v>-4342.51</v>
      </c>
      <c r="E5" s="24">
        <f>SUM(C13:K13)</f>
        <v>-4342.51</v>
      </c>
      <c r="F5" s="24">
        <f>E5-D5</f>
        <v>0</v>
      </c>
      <c r="G5" s="24">
        <f>+B27</f>
        <v>0</v>
      </c>
      <c r="H5" s="24">
        <f>SUM(C32:K32)</f>
        <v>0</v>
      </c>
      <c r="I5" s="36">
        <f>SUM(F5:H5)</f>
        <v>0</v>
      </c>
      <c r="J5" s="62">
        <f>+I5-L27</f>
        <v>0</v>
      </c>
      <c r="K5" s="230"/>
      <c r="L5" s="230"/>
      <c r="M5" s="230"/>
      <c r="N5" s="229"/>
    </row>
    <row r="6" spans="1:34" ht="16.5" thickTop="1" thickBot="1" x14ac:dyDescent="0.3">
      <c r="D6" s="40">
        <f t="shared" ref="D6" si="0">SUM(D4:D5)</f>
        <v>-8685.01</v>
      </c>
      <c r="E6" s="40">
        <f>SUM(E4:E5)</f>
        <v>-8685.01</v>
      </c>
      <c r="F6" s="40">
        <f>SUM(F4:F5)</f>
        <v>0</v>
      </c>
      <c r="G6" s="40">
        <f>SUM(G4:G5)</f>
        <v>0</v>
      </c>
      <c r="H6" s="94">
        <f>SUM(H4:H5)</f>
        <v>0</v>
      </c>
      <c r="I6" s="40">
        <f>SUM(I4:I5)</f>
        <v>0</v>
      </c>
      <c r="K6" s="229"/>
      <c r="L6" s="229"/>
      <c r="M6" s="229"/>
      <c r="N6" s="229"/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06/01/2019 Filing</v>
      </c>
      <c r="C8" s="218" t="str">
        <f>+'PCR Cycle 1'!C8</f>
        <v>Reverse May-19 - October-19  Forecast From 06/01/2019 Filing</v>
      </c>
      <c r="D8" s="276" t="s">
        <v>39</v>
      </c>
      <c r="E8" s="276"/>
      <c r="F8" s="277"/>
      <c r="G8" s="268" t="s">
        <v>39</v>
      </c>
      <c r="H8" s="269"/>
      <c r="I8" s="270"/>
      <c r="J8" s="278" t="s">
        <v>9</v>
      </c>
      <c r="K8" s="279"/>
      <c r="L8" s="280"/>
    </row>
    <row r="9" spans="1:34" x14ac:dyDescent="0.25">
      <c r="C9" s="14"/>
      <c r="D9" s="20">
        <f>+'PCR Cycle 1'!D9</f>
        <v>43616</v>
      </c>
      <c r="E9" s="20">
        <f t="shared" ref="E9:L9" si="1">EOMONTH(D9,1)</f>
        <v>43646</v>
      </c>
      <c r="F9" s="20">
        <f t="shared" si="1"/>
        <v>43677</v>
      </c>
      <c r="G9" s="14">
        <f t="shared" si="1"/>
        <v>43708</v>
      </c>
      <c r="H9" s="20">
        <f t="shared" si="1"/>
        <v>43738</v>
      </c>
      <c r="I9" s="20">
        <f t="shared" si="1"/>
        <v>43769</v>
      </c>
      <c r="J9" s="14">
        <f t="shared" si="1"/>
        <v>43799</v>
      </c>
      <c r="K9" s="20">
        <f t="shared" si="1"/>
        <v>43830</v>
      </c>
      <c r="L9" s="122">
        <f t="shared" si="1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125</v>
      </c>
      <c r="C11" s="126"/>
      <c r="D11" s="44"/>
      <c r="E11" s="44"/>
      <c r="F11" s="44"/>
      <c r="G11" s="12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f>+[9]OA!D8</f>
        <v>-4342.5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f>+[9]OA!D9</f>
        <v>-4342.51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126</v>
      </c>
      <c r="C15" s="126"/>
      <c r="D15" s="18"/>
      <c r="E15" s="18"/>
      <c r="F15" s="18"/>
      <c r="G15" s="254"/>
      <c r="H15" s="18"/>
      <c r="J15" s="182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0</v>
      </c>
      <c r="D16" s="136">
        <v>0</v>
      </c>
      <c r="E16" s="136">
        <v>0</v>
      </c>
      <c r="F16" s="137">
        <v>0</v>
      </c>
      <c r="G16" s="16">
        <f>ROUND('[3]August 2019 Combined'!$F$38,2)</f>
        <v>-4342.5</v>
      </c>
      <c r="H16" s="178">
        <v>0</v>
      </c>
      <c r="I16" s="179">
        <v>0</v>
      </c>
      <c r="J16" s="53">
        <f>+$M16*'PCR Cycle 1'!J21</f>
        <v>0</v>
      </c>
      <c r="K16" s="54">
        <f>+$M16*'PCR Cycle 1'!K21</f>
        <v>0</v>
      </c>
      <c r="L16" s="54">
        <f>+$M16*'PCR Cycle 1'!L21</f>
        <v>0</v>
      </c>
      <c r="M16" s="88">
        <v>0</v>
      </c>
    </row>
    <row r="17" spans="1:13" x14ac:dyDescent="0.25">
      <c r="A17" s="61" t="s">
        <v>30</v>
      </c>
      <c r="C17" s="124">
        <v>0</v>
      </c>
      <c r="D17" s="136">
        <v>0</v>
      </c>
      <c r="E17" s="136">
        <v>0</v>
      </c>
      <c r="F17" s="137">
        <v>0</v>
      </c>
      <c r="G17" s="16">
        <f>ROUND('[3]August 2019 Combined'!$F$39,2)</f>
        <v>-4342.51</v>
      </c>
      <c r="H17" s="178">
        <v>0</v>
      </c>
      <c r="I17" s="179">
        <v>0</v>
      </c>
      <c r="J17" s="53">
        <f>+$M17*'PCR Cycle 1'!J22</f>
        <v>0</v>
      </c>
      <c r="K17" s="54">
        <f>+$M17*'PCR Cycle 1'!K22</f>
        <v>0</v>
      </c>
      <c r="L17" s="54">
        <f>+$M17*'PCR Cycle 1'!L22</f>
        <v>0</v>
      </c>
      <c r="M17" s="88">
        <v>0</v>
      </c>
    </row>
    <row r="18" spans="1:13" x14ac:dyDescent="0.25">
      <c r="C18" s="83"/>
      <c r="D18" s="18"/>
      <c r="E18" s="18"/>
      <c r="F18" s="18"/>
      <c r="G18" s="253"/>
      <c r="H18" s="18"/>
      <c r="J18" s="12"/>
      <c r="K18" s="71"/>
      <c r="L18" s="13"/>
      <c r="M18" s="4"/>
    </row>
    <row r="19" spans="1:13" ht="15.75" thickBot="1" x14ac:dyDescent="0.3">
      <c r="A19" s="61" t="s">
        <v>106</v>
      </c>
      <c r="C19" s="130">
        <v>0</v>
      </c>
      <c r="D19" s="139">
        <v>0</v>
      </c>
      <c r="E19" s="139">
        <v>0</v>
      </c>
      <c r="F19" s="140">
        <v>0</v>
      </c>
      <c r="G19" s="39">
        <v>0</v>
      </c>
      <c r="H19" s="149">
        <v>0</v>
      </c>
      <c r="I19" s="206">
        <v>0</v>
      </c>
      <c r="J19" s="184">
        <v>0</v>
      </c>
      <c r="K19" s="173">
        <v>0</v>
      </c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:L23" si="2">C12-C16</f>
        <v>0</v>
      </c>
      <c r="D22" s="54">
        <f t="shared" si="2"/>
        <v>0</v>
      </c>
      <c r="E22" s="54">
        <f t="shared" si="2"/>
        <v>0</v>
      </c>
      <c r="F22" s="135">
        <f t="shared" si="2"/>
        <v>0</v>
      </c>
      <c r="G22" s="53">
        <f t="shared" si="2"/>
        <v>0</v>
      </c>
      <c r="H22" s="54">
        <f t="shared" si="2"/>
        <v>0</v>
      </c>
      <c r="I22" s="135">
        <f t="shared" si="2"/>
        <v>0</v>
      </c>
      <c r="J22" s="53">
        <f t="shared" si="2"/>
        <v>0</v>
      </c>
      <c r="K22" s="54">
        <f t="shared" si="2"/>
        <v>0</v>
      </c>
      <c r="L22" s="64">
        <f t="shared" si="2"/>
        <v>0</v>
      </c>
    </row>
    <row r="23" spans="1:13" x14ac:dyDescent="0.25">
      <c r="A23" s="61" t="s">
        <v>30</v>
      </c>
      <c r="C23" s="53">
        <f t="shared" si="2"/>
        <v>0</v>
      </c>
      <c r="D23" s="54">
        <f t="shared" si="2"/>
        <v>0</v>
      </c>
      <c r="E23" s="54">
        <f t="shared" si="2"/>
        <v>0</v>
      </c>
      <c r="F23" s="135">
        <f t="shared" si="2"/>
        <v>0</v>
      </c>
      <c r="G23" s="53">
        <f t="shared" si="2"/>
        <v>0</v>
      </c>
      <c r="H23" s="54">
        <f t="shared" si="2"/>
        <v>0</v>
      </c>
      <c r="I23" s="135">
        <f t="shared" si="2"/>
        <v>0</v>
      </c>
      <c r="J23" s="53">
        <f t="shared" si="2"/>
        <v>0</v>
      </c>
      <c r="K23" s="54">
        <f t="shared" si="2"/>
        <v>0</v>
      </c>
      <c r="L23" s="64">
        <f t="shared" si="2"/>
        <v>0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0</v>
      </c>
      <c r="C26" s="54">
        <f>B26+C22+B31</f>
        <v>0</v>
      </c>
      <c r="D26" s="54">
        <f t="shared" ref="D26:L27" si="3">C26+D22+C31</f>
        <v>0</v>
      </c>
      <c r="E26" s="54">
        <f t="shared" si="3"/>
        <v>0</v>
      </c>
      <c r="F26" s="135">
        <f t="shared" si="3"/>
        <v>0</v>
      </c>
      <c r="G26" s="53">
        <f t="shared" si="3"/>
        <v>0</v>
      </c>
      <c r="H26" s="54">
        <f t="shared" si="3"/>
        <v>0</v>
      </c>
      <c r="I26" s="135">
        <f t="shared" si="3"/>
        <v>0</v>
      </c>
      <c r="J26" s="53">
        <f t="shared" si="3"/>
        <v>0</v>
      </c>
      <c r="K26" s="54">
        <f t="shared" si="3"/>
        <v>0</v>
      </c>
      <c r="L26" s="64">
        <f t="shared" si="3"/>
        <v>0</v>
      </c>
    </row>
    <row r="27" spans="1:13" ht="15.75" thickBot="1" x14ac:dyDescent="0.3">
      <c r="A27" s="61" t="s">
        <v>30</v>
      </c>
      <c r="B27" s="144">
        <v>0</v>
      </c>
      <c r="C27" s="54">
        <f>B27+C23+B32</f>
        <v>0</v>
      </c>
      <c r="D27" s="54">
        <f t="shared" si="3"/>
        <v>0</v>
      </c>
      <c r="E27" s="54">
        <f t="shared" si="3"/>
        <v>0</v>
      </c>
      <c r="F27" s="135">
        <f t="shared" si="3"/>
        <v>0</v>
      </c>
      <c r="G27" s="53">
        <f t="shared" si="3"/>
        <v>0</v>
      </c>
      <c r="H27" s="54">
        <f t="shared" si="3"/>
        <v>0</v>
      </c>
      <c r="I27" s="135">
        <f t="shared" si="3"/>
        <v>0</v>
      </c>
      <c r="J27" s="53">
        <f t="shared" si="3"/>
        <v>0</v>
      </c>
      <c r="K27" s="54">
        <f t="shared" si="3"/>
        <v>0</v>
      </c>
      <c r="L27" s="64">
        <f t="shared" si="3"/>
        <v>0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107</v>
      </c>
      <c r="B29" s="52"/>
      <c r="C29" s="131"/>
      <c r="D29" s="103">
        <f>+'PCR Cycle 1'!D38</f>
        <v>3.0790499999999998E-3</v>
      </c>
      <c r="E29" s="103">
        <f>+'PCR Cycle 1'!E38</f>
        <v>3.0450199999999998E-3</v>
      </c>
      <c r="F29" s="103">
        <f>+'PCR Cycle 1'!F38</f>
        <v>2.9619300000000002E-3</v>
      </c>
      <c r="G29" s="105">
        <f>+'PCR Cycle 1'!G38</f>
        <v>2.8524499999999999E-3</v>
      </c>
      <c r="H29" s="103">
        <f>+'PCR Cycle 1'!H38</f>
        <v>2.7438599999999999E-3</v>
      </c>
      <c r="I29" s="104">
        <f>+'PCR Cycle 1'!I38</f>
        <v>2.60867E-3</v>
      </c>
      <c r="J29" s="105">
        <f>+I29</f>
        <v>2.60867E-3</v>
      </c>
      <c r="K29" s="103">
        <f>+J29</f>
        <v>2.60867E-3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0</v>
      </c>
      <c r="D31" s="54">
        <f>ROUND((C26+C31+D22/2)*D$29,2)</f>
        <v>0</v>
      </c>
      <c r="E31" s="54">
        <f t="shared" ref="E31:K32" si="4">ROUND((D26+D31+E22/2)*E$29,2)</f>
        <v>0</v>
      </c>
      <c r="F31" s="135">
        <f t="shared" si="4"/>
        <v>0</v>
      </c>
      <c r="G31" s="53">
        <f t="shared" si="4"/>
        <v>0</v>
      </c>
      <c r="H31" s="150">
        <f t="shared" si="4"/>
        <v>0</v>
      </c>
      <c r="I31" s="207">
        <f t="shared" si="4"/>
        <v>0</v>
      </c>
      <c r="J31" s="53">
        <f t="shared" si="4"/>
        <v>0</v>
      </c>
      <c r="K31" s="150">
        <f t="shared" si="4"/>
        <v>0</v>
      </c>
      <c r="L31" s="64"/>
    </row>
    <row r="32" spans="1:13" ht="15.75" thickBot="1" x14ac:dyDescent="0.3">
      <c r="A32" s="61" t="s">
        <v>30</v>
      </c>
      <c r="C32" s="141">
        <v>0</v>
      </c>
      <c r="D32" s="54">
        <f>ROUND((C27+C32+D23/2)*D$29,2)</f>
        <v>0</v>
      </c>
      <c r="E32" s="54">
        <f t="shared" si="4"/>
        <v>0</v>
      </c>
      <c r="F32" s="135">
        <f t="shared" si="4"/>
        <v>0</v>
      </c>
      <c r="G32" s="53">
        <f t="shared" si="4"/>
        <v>0</v>
      </c>
      <c r="H32" s="150">
        <f t="shared" si="4"/>
        <v>0</v>
      </c>
      <c r="I32" s="207">
        <f t="shared" si="4"/>
        <v>0</v>
      </c>
      <c r="J32" s="53">
        <f t="shared" si="4"/>
        <v>0</v>
      </c>
      <c r="K32" s="150">
        <f t="shared" si="4"/>
        <v>0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5">SUM(D31:D32)+SUM(D26:D27)-D36</f>
        <v>0</v>
      </c>
      <c r="E33" s="45">
        <f t="shared" si="5"/>
        <v>0</v>
      </c>
      <c r="F33" s="65">
        <f t="shared" ref="F33:H33" si="6">SUM(F31:F32)+SUM(F26:F27)-F36</f>
        <v>0</v>
      </c>
      <c r="G33" s="151">
        <f t="shared" si="6"/>
        <v>0</v>
      </c>
      <c r="H33" s="45">
        <f t="shared" si="6"/>
        <v>0</v>
      </c>
      <c r="I33" s="65">
        <f t="shared" si="5"/>
        <v>0</v>
      </c>
      <c r="J33" s="66">
        <f t="shared" ref="J33:L33" si="7">SUM(J31:J32)+SUM(J26:J27)-J36</f>
        <v>0</v>
      </c>
      <c r="K33" s="45">
        <f t="shared" si="7"/>
        <v>0</v>
      </c>
      <c r="L33" s="123">
        <f t="shared" si="7"/>
        <v>0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0</v>
      </c>
      <c r="E34" s="45">
        <f t="shared" ref="E34:I34" si="8">SUM(E31:E32)-E19</f>
        <v>0</v>
      </c>
      <c r="F34" s="65">
        <f t="shared" ref="F34:H34" si="9">SUM(F31:F32)-F19</f>
        <v>0</v>
      </c>
      <c r="G34" s="66">
        <f t="shared" si="9"/>
        <v>0</v>
      </c>
      <c r="H34" s="45">
        <f t="shared" si="9"/>
        <v>0</v>
      </c>
      <c r="I34" s="65">
        <f t="shared" si="8"/>
        <v>0</v>
      </c>
      <c r="J34" s="66">
        <f t="shared" ref="J34:L34" si="10">SUM(J31:J32)-J19</f>
        <v>0</v>
      </c>
      <c r="K34" s="45">
        <f t="shared" si="10"/>
        <v>0</v>
      </c>
      <c r="L34" s="123">
        <f t="shared" si="10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0</v>
      </c>
      <c r="C36" s="53">
        <f>(SUM(C12:C13)-SUM(C16:C17))+SUM(C31:C32)+B36</f>
        <v>0</v>
      </c>
      <c r="D36" s="54">
        <f t="shared" ref="D36:L36" si="11">(SUM(D12:D13)-SUM(D16:D17))+SUM(D31:D32)+C36</f>
        <v>0</v>
      </c>
      <c r="E36" s="54">
        <f t="shared" si="11"/>
        <v>0</v>
      </c>
      <c r="F36" s="135">
        <f t="shared" si="11"/>
        <v>0</v>
      </c>
      <c r="G36" s="53">
        <f t="shared" si="11"/>
        <v>0</v>
      </c>
      <c r="H36" s="54">
        <f t="shared" si="11"/>
        <v>0</v>
      </c>
      <c r="I36" s="135">
        <f t="shared" si="11"/>
        <v>0</v>
      </c>
      <c r="J36" s="53">
        <f t="shared" si="11"/>
        <v>0</v>
      </c>
      <c r="K36" s="54">
        <f t="shared" si="11"/>
        <v>0</v>
      </c>
      <c r="L36" s="77">
        <f t="shared" si="11"/>
        <v>0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x14ac:dyDescent="0.25">
      <c r="A41" s="274" t="s">
        <v>150</v>
      </c>
      <c r="B41" s="274"/>
      <c r="C41" s="274"/>
      <c r="D41" s="274"/>
      <c r="E41" s="274"/>
      <c r="F41" s="274"/>
      <c r="G41" s="274"/>
      <c r="H41" s="274"/>
      <c r="I41" s="274"/>
      <c r="J41" s="251"/>
      <c r="K41" s="251"/>
      <c r="L41" s="251"/>
    </row>
    <row r="42" spans="1:12" ht="30.75" customHeight="1" x14ac:dyDescent="0.25">
      <c r="A42" s="274" t="s">
        <v>143</v>
      </c>
      <c r="B42" s="274"/>
      <c r="C42" s="274"/>
      <c r="D42" s="274"/>
      <c r="E42" s="274"/>
      <c r="F42" s="274"/>
      <c r="G42" s="274"/>
      <c r="H42" s="274"/>
      <c r="I42" s="274"/>
      <c r="J42" s="251"/>
      <c r="K42" s="251"/>
      <c r="L42" s="251"/>
    </row>
    <row r="43" spans="1:12" x14ac:dyDescent="0.25">
      <c r="A43" s="3" t="s">
        <v>108</v>
      </c>
      <c r="B43" s="3"/>
      <c r="C43" s="3"/>
      <c r="I43" s="4"/>
    </row>
    <row r="44" spans="1:12" x14ac:dyDescent="0.25">
      <c r="A44" s="3" t="s">
        <v>144</v>
      </c>
      <c r="B44" s="3"/>
      <c r="C44" s="3"/>
      <c r="I44" s="4"/>
    </row>
    <row r="45" spans="1:12" x14ac:dyDescent="0.25">
      <c r="A45" s="3" t="s">
        <v>127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G8:I8"/>
    <mergeCell ref="J8:L8"/>
    <mergeCell ref="A41:I41"/>
    <mergeCell ref="A42:I42"/>
  </mergeCells>
  <pageMargins left="0.2" right="0.2" top="0.25" bottom="0.25" header="0.3" footer="0.3"/>
  <pageSetup scale="61" orientation="landscape" r:id="rId1"/>
  <headerFooter>
    <oddFooter>&amp;R&amp;1#&amp;"Calibri"&amp;10&amp;KA80000Internal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52"/>
  <sheetViews>
    <sheetView workbookViewId="0">
      <selection activeCell="J19" sqref="J19"/>
    </sheetView>
  </sheetViews>
  <sheetFormatPr defaultRowHeight="15" x14ac:dyDescent="0.25"/>
  <cols>
    <col min="1" max="1" width="17.5703125" customWidth="1"/>
    <col min="2" max="2" width="22" customWidth="1"/>
    <col min="3" max="3" width="17.28515625" customWidth="1"/>
    <col min="4" max="4" width="24.85546875" bestFit="1" customWidth="1"/>
    <col min="5" max="5" width="15.5703125" bestFit="1" customWidth="1"/>
    <col min="6" max="8" width="17.7109375" customWidth="1"/>
    <col min="9" max="9" width="21.42578125" customWidth="1"/>
  </cols>
  <sheetData>
    <row r="1" spans="1:32" s="61" customFormat="1" x14ac:dyDescent="0.25">
      <c r="A1" s="79" t="s">
        <v>131</v>
      </c>
    </row>
    <row r="2" spans="1:32" ht="15.75" thickBot="1" x14ac:dyDescent="0.3">
      <c r="A2" s="9" t="s">
        <v>118</v>
      </c>
    </row>
    <row r="3" spans="1:32" ht="35.25" customHeight="1" thickBot="1" x14ac:dyDescent="0.3">
      <c r="B3" s="267" t="s">
        <v>85</v>
      </c>
      <c r="C3" s="267"/>
      <c r="E3" s="268" t="s">
        <v>5</v>
      </c>
      <c r="F3" s="269"/>
      <c r="G3" s="269"/>
      <c r="H3" s="269"/>
      <c r="I3" s="270"/>
    </row>
    <row r="4" spans="1:32" ht="45" x14ac:dyDescent="0.25">
      <c r="B4" s="86" t="s">
        <v>60</v>
      </c>
      <c r="C4" s="6" t="s">
        <v>31</v>
      </c>
      <c r="E4" s="10"/>
      <c r="F4" s="90" t="s">
        <v>29</v>
      </c>
      <c r="G4" s="90" t="s">
        <v>30</v>
      </c>
      <c r="H4" s="90" t="s">
        <v>79</v>
      </c>
      <c r="I4" s="91" t="s">
        <v>1</v>
      </c>
    </row>
    <row r="5" spans="1:32" x14ac:dyDescent="0.25">
      <c r="A5" s="22" t="s">
        <v>29</v>
      </c>
      <c r="B5" s="93">
        <f>+'[1]Billed kWh Sales'!E28</f>
        <v>1703177311</v>
      </c>
      <c r="C5" s="36">
        <f>SUM(F9:I9)</f>
        <v>130032.23999999999</v>
      </c>
      <c r="D5" s="4"/>
      <c r="E5" s="25"/>
      <c r="F5" s="27">
        <v>1</v>
      </c>
      <c r="G5" s="27">
        <v>0</v>
      </c>
      <c r="H5" s="27">
        <v>0.5</v>
      </c>
      <c r="I5" s="28">
        <v>0.5</v>
      </c>
    </row>
    <row r="6" spans="1:32" ht="15.75" thickBot="1" x14ac:dyDescent="0.3">
      <c r="A6" s="22" t="s">
        <v>30</v>
      </c>
      <c r="B6" s="93">
        <f>+'[1]Billed kWh Sales'!E29</f>
        <v>1773150072</v>
      </c>
      <c r="C6" s="36">
        <f>SUM(F10:I10)</f>
        <v>144229.26</v>
      </c>
      <c r="D6" s="4"/>
      <c r="E6" s="25"/>
      <c r="F6" s="27">
        <v>0</v>
      </c>
      <c r="G6" s="27">
        <f>B6/SUM($B$6:$B$6)</f>
        <v>1</v>
      </c>
      <c r="H6" s="27">
        <v>0.5</v>
      </c>
      <c r="I6" s="28">
        <v>0.5</v>
      </c>
    </row>
    <row r="7" spans="1:32" ht="16.5" thickTop="1" thickBot="1" x14ac:dyDescent="0.3">
      <c r="A7" s="22" t="s">
        <v>6</v>
      </c>
      <c r="B7" s="35">
        <f>SUM(B5:B6)</f>
        <v>3476327383</v>
      </c>
      <c r="C7" s="24">
        <f>SUM(C5:C6)</f>
        <v>274261.5</v>
      </c>
      <c r="D7" s="4"/>
      <c r="E7" s="31" t="s">
        <v>12</v>
      </c>
      <c r="F7" s="21">
        <f>1-SUM(F5:F6)</f>
        <v>0</v>
      </c>
      <c r="G7" s="21">
        <f>1-SUM(G5:G6)</f>
        <v>0</v>
      </c>
      <c r="H7" s="21">
        <f>1-SUM(H5:H6)</f>
        <v>0</v>
      </c>
      <c r="I7" s="21">
        <f>1-SUM(I5:I6)</f>
        <v>0</v>
      </c>
    </row>
    <row r="8" spans="1:32" ht="16.5" thickTop="1" thickBot="1" x14ac:dyDescent="0.3">
      <c r="B8" s="33" t="s">
        <v>12</v>
      </c>
      <c r="C8" s="21">
        <f>SUM(F8:I8)-C7</f>
        <v>0</v>
      </c>
      <c r="D8" s="2"/>
      <c r="E8" s="32" t="s">
        <v>6</v>
      </c>
      <c r="F8" s="37">
        <f>ROUND('[2]Program Costs - Missouri West'!$BM$159,2)</f>
        <v>117502.26</v>
      </c>
      <c r="G8" s="37">
        <f>ROUND('[2]Program Costs - Missouri West'!$BM$160,2)</f>
        <v>131699.28</v>
      </c>
      <c r="H8" s="37">
        <f>ROUND('[2]Program Costs - Missouri West'!$BM$161,2)</f>
        <v>25059.96</v>
      </c>
      <c r="I8" s="38">
        <f>ROUND('[2]Program Costs - Missouri West'!$BM$162,2)</f>
        <v>0</v>
      </c>
    </row>
    <row r="9" spans="1:32" ht="15.75" thickTop="1" x14ac:dyDescent="0.25">
      <c r="D9" s="4"/>
      <c r="E9" s="108" t="s">
        <v>29</v>
      </c>
      <c r="F9" s="109">
        <f t="shared" ref="F9:I10" si="0">F5*F$8</f>
        <v>117502.26</v>
      </c>
      <c r="G9" s="109">
        <f t="shared" si="0"/>
        <v>0</v>
      </c>
      <c r="H9" s="109">
        <f t="shared" si="0"/>
        <v>12529.98</v>
      </c>
      <c r="I9" s="110">
        <f t="shared" si="0"/>
        <v>0</v>
      </c>
    </row>
    <row r="10" spans="1:32" ht="15.75" thickBot="1" x14ac:dyDescent="0.3">
      <c r="D10" s="4"/>
      <c r="E10" s="26" t="s">
        <v>30</v>
      </c>
      <c r="F10" s="29">
        <f t="shared" si="0"/>
        <v>0</v>
      </c>
      <c r="G10" s="29">
        <f t="shared" si="0"/>
        <v>131699.28</v>
      </c>
      <c r="H10" s="29">
        <f t="shared" si="0"/>
        <v>12529.98</v>
      </c>
      <c r="I10" s="30">
        <f t="shared" si="0"/>
        <v>0</v>
      </c>
    </row>
    <row r="13" spans="1:32" x14ac:dyDescent="0.25"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x14ac:dyDescent="0.25">
      <c r="A14" s="68" t="s">
        <v>13</v>
      </c>
      <c r="F14" s="60"/>
      <c r="G14" s="60"/>
      <c r="H14" s="60"/>
      <c r="I14" s="60"/>
      <c r="J14" s="60"/>
    </row>
    <row r="15" spans="1:32" x14ac:dyDescent="0.25">
      <c r="A15" s="271" t="s">
        <v>119</v>
      </c>
      <c r="B15" s="271"/>
      <c r="C15" s="271"/>
      <c r="D15" s="271"/>
      <c r="E15" s="271"/>
      <c r="F15" s="271"/>
      <c r="G15" s="271"/>
      <c r="H15" s="271"/>
      <c r="I15" s="271"/>
    </row>
    <row r="16" spans="1:32" x14ac:dyDescent="0.25">
      <c r="A16" s="272" t="s">
        <v>152</v>
      </c>
      <c r="B16" s="272"/>
      <c r="C16" s="272"/>
      <c r="D16" s="272"/>
      <c r="E16" s="272"/>
      <c r="F16" s="272"/>
      <c r="G16" s="272"/>
      <c r="H16" s="272"/>
      <c r="I16" s="272"/>
    </row>
    <row r="26" spans="1:10" x14ac:dyDescent="0.25">
      <c r="C26" s="2"/>
    </row>
    <row r="28" spans="1:10" x14ac:dyDescent="0.25">
      <c r="A28" s="61"/>
      <c r="B28" s="61"/>
      <c r="C28" s="61"/>
      <c r="D28" s="61"/>
      <c r="E28" s="61"/>
      <c r="F28" s="61"/>
      <c r="G28" s="61"/>
      <c r="H28" s="61"/>
      <c r="I28" s="61"/>
      <c r="J28" s="61"/>
    </row>
    <row r="29" spans="1:10" x14ac:dyDescent="0.25">
      <c r="A29" s="61"/>
      <c r="B29" s="61"/>
      <c r="C29" s="61"/>
      <c r="E29" s="61"/>
      <c r="F29" s="61"/>
      <c r="G29" s="61"/>
      <c r="H29" s="61"/>
      <c r="I29" s="61"/>
      <c r="J29" s="61"/>
    </row>
    <row r="30" spans="1:10" x14ac:dyDescent="0.2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x14ac:dyDescent="0.25">
      <c r="A31" s="61"/>
      <c r="B31" s="61"/>
      <c r="C31" s="61"/>
      <c r="D31" s="61"/>
      <c r="E31" s="61"/>
      <c r="F31" s="61"/>
      <c r="G31" s="61"/>
      <c r="H31" s="61"/>
      <c r="I31" s="61"/>
      <c r="J31" s="61"/>
    </row>
    <row r="32" spans="1:10" x14ac:dyDescent="0.25">
      <c r="A32" s="61"/>
      <c r="B32" s="61"/>
      <c r="C32" s="61"/>
      <c r="D32" s="61"/>
      <c r="E32" s="61"/>
      <c r="F32" s="61"/>
      <c r="G32" s="61"/>
      <c r="H32" s="61"/>
      <c r="I32" s="61"/>
      <c r="J32" s="61"/>
    </row>
    <row r="33" spans="1:10" x14ac:dyDescent="0.25">
      <c r="A33" s="61"/>
      <c r="B33" s="61"/>
      <c r="C33" s="61"/>
      <c r="D33" s="61"/>
      <c r="E33" s="61"/>
      <c r="F33" s="61"/>
      <c r="G33" s="61"/>
      <c r="H33" s="61"/>
      <c r="I33" s="61"/>
      <c r="J33" s="61"/>
    </row>
    <row r="34" spans="1:10" x14ac:dyDescent="0.25">
      <c r="A34" s="61"/>
      <c r="B34" s="61"/>
      <c r="C34" s="61"/>
      <c r="D34" s="61"/>
      <c r="E34" s="61"/>
      <c r="F34" s="61"/>
      <c r="G34" s="61"/>
      <c r="H34" s="61"/>
      <c r="I34" s="61"/>
      <c r="J34" s="61"/>
    </row>
    <row r="35" spans="1:10" x14ac:dyDescent="0.25">
      <c r="A35" s="61"/>
      <c r="B35" s="61"/>
      <c r="C35" s="61"/>
      <c r="D35" s="61"/>
      <c r="E35" s="61"/>
      <c r="F35" s="61"/>
      <c r="G35" s="61"/>
      <c r="H35" s="61"/>
      <c r="I35" s="61"/>
      <c r="J35" s="61"/>
    </row>
    <row r="36" spans="1:10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</row>
    <row r="37" spans="1:10" x14ac:dyDescent="0.25">
      <c r="A37" s="61"/>
      <c r="B37" s="61"/>
      <c r="C37" s="61"/>
      <c r="D37" s="61"/>
      <c r="E37" s="61"/>
      <c r="F37" s="61"/>
      <c r="G37" s="61"/>
      <c r="H37" s="61"/>
      <c r="I37" s="61"/>
      <c r="J37" s="61"/>
    </row>
    <row r="38" spans="1:10" x14ac:dyDescent="0.25">
      <c r="A38" s="61"/>
      <c r="B38" s="61"/>
      <c r="C38" s="61"/>
      <c r="D38" s="61"/>
      <c r="E38" s="61"/>
      <c r="F38" s="61"/>
      <c r="G38" s="61"/>
      <c r="H38" s="61"/>
      <c r="I38" s="61"/>
      <c r="J38" s="61"/>
    </row>
    <row r="39" spans="1:10" x14ac:dyDescent="0.25">
      <c r="A39" s="61"/>
      <c r="B39" s="61"/>
      <c r="C39" s="61"/>
      <c r="D39" s="61"/>
      <c r="E39" s="61"/>
      <c r="F39" s="61"/>
      <c r="G39" s="61"/>
      <c r="H39" s="61"/>
      <c r="I39" s="61"/>
      <c r="J39" s="61"/>
    </row>
    <row r="40" spans="1:10" x14ac:dyDescent="0.25">
      <c r="A40" s="61"/>
      <c r="B40" s="61"/>
      <c r="C40" s="61"/>
      <c r="D40" s="61"/>
      <c r="E40" s="61"/>
      <c r="F40" s="61"/>
      <c r="G40" s="61"/>
      <c r="H40" s="61"/>
      <c r="I40" s="61"/>
      <c r="J40" s="61"/>
    </row>
    <row r="41" spans="1:10" x14ac:dyDescent="0.25">
      <c r="A41" s="61"/>
      <c r="B41" s="61"/>
      <c r="C41" s="61"/>
      <c r="D41" s="61"/>
      <c r="E41" s="61"/>
      <c r="F41" s="61"/>
      <c r="G41" s="61"/>
      <c r="H41" s="61"/>
      <c r="I41" s="61"/>
      <c r="J41" s="61"/>
    </row>
    <row r="42" spans="1:10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</row>
    <row r="48" spans="1:10" x14ac:dyDescent="0.25">
      <c r="B48" s="8"/>
      <c r="C48" s="8"/>
      <c r="D48" s="8"/>
    </row>
    <row r="52" spans="2:4" x14ac:dyDescent="0.25">
      <c r="B52" s="8"/>
      <c r="C52" s="8"/>
      <c r="D52" s="8"/>
    </row>
  </sheetData>
  <mergeCells count="4">
    <mergeCell ref="B3:C3"/>
    <mergeCell ref="E3:I3"/>
    <mergeCell ref="A15:I15"/>
    <mergeCell ref="A16:I16"/>
  </mergeCells>
  <pageMargins left="0.2" right="0.2" top="0.75" bottom="0.25" header="0.3" footer="0.3"/>
  <pageSetup scale="78" orientation="landscape" r:id="rId1"/>
  <headerFooter>
    <oddHeader>&amp;C&amp;F &amp;A</oddHeader>
    <oddFooter>&amp;R&amp;1#&amp;"Calibri"&amp;10&amp;KA80000Internal Use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65"/>
  <sheetViews>
    <sheetView topLeftCell="M4" workbookViewId="0">
      <selection activeCell="O4" sqref="O1:O1048576"/>
    </sheetView>
  </sheetViews>
  <sheetFormatPr defaultRowHeight="15" x14ac:dyDescent="0.25"/>
  <cols>
    <col min="1" max="1" width="54.5703125" customWidth="1"/>
    <col min="2" max="2" width="14.7109375" style="61" bestFit="1" customWidth="1"/>
    <col min="3" max="3" width="15" style="61" customWidth="1"/>
    <col min="4" max="4" width="13.85546875" customWidth="1"/>
    <col min="5" max="5" width="15.85546875" customWidth="1"/>
    <col min="6" max="6" width="17.5703125" style="61" customWidth="1"/>
    <col min="7" max="8" width="13.28515625" style="61" customWidth="1"/>
    <col min="9" max="9" width="16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bestFit="1" customWidth="1"/>
    <col min="14" max="14" width="16.28515625" bestFit="1" customWidth="1"/>
    <col min="15" max="15" width="16.140625" customWidth="1"/>
    <col min="16" max="16" width="17.28515625" bestFit="1" customWidth="1"/>
    <col min="17" max="17" width="17.42578125" customWidth="1"/>
    <col min="18" max="18" width="15.5703125" customWidth="1"/>
    <col min="19" max="19" width="13" customWidth="1"/>
    <col min="21" max="21" width="14.28515625" bestFit="1" customWidth="1"/>
  </cols>
  <sheetData>
    <row r="1" spans="1:34" x14ac:dyDescent="0.25">
      <c r="A1" s="3" t="str">
        <f>+PPC!A1</f>
        <v>Evergy Missouri West, Inc. - DSIM Rider Update Filed 12/02/2019</v>
      </c>
      <c r="B1" s="3"/>
      <c r="C1" s="3"/>
    </row>
    <row r="2" spans="1:34" x14ac:dyDescent="0.25">
      <c r="D2" s="3" t="s">
        <v>78</v>
      </c>
    </row>
    <row r="3" spans="1:34" ht="30" x14ac:dyDescent="0.25">
      <c r="D3" s="6" t="s">
        <v>62</v>
      </c>
      <c r="E3" s="6" t="s">
        <v>61</v>
      </c>
      <c r="F3" s="86" t="s">
        <v>2</v>
      </c>
      <c r="G3" s="6" t="s">
        <v>3</v>
      </c>
      <c r="H3" s="86" t="s">
        <v>70</v>
      </c>
      <c r="I3" s="6" t="s">
        <v>11</v>
      </c>
      <c r="J3" s="6" t="s">
        <v>4</v>
      </c>
    </row>
    <row r="4" spans="1:34" x14ac:dyDescent="0.25">
      <c r="A4" s="61" t="s">
        <v>29</v>
      </c>
      <c r="D4" s="24">
        <f>SUM(C25:L25)</f>
        <v>1639.3862399999962</v>
      </c>
      <c r="E4" s="168">
        <f>SUM(C21:L21)</f>
        <v>1777249324.5429997</v>
      </c>
      <c r="F4" s="24">
        <f>SUM(C17:K17)</f>
        <v>0</v>
      </c>
      <c r="G4" s="24">
        <f>F4-D4</f>
        <v>-1639.3862399999962</v>
      </c>
      <c r="H4" s="24">
        <f>+B35</f>
        <v>1610.4062399999482</v>
      </c>
      <c r="I4" s="24">
        <f>SUM(C40:K40)</f>
        <v>28.980000000000004</v>
      </c>
      <c r="J4" s="36">
        <f>SUM(G4:I4)</f>
        <v>-4.7990056373237167E-11</v>
      </c>
      <c r="K4" s="62">
        <f>+J4-L35</f>
        <v>4.1069370126933791E-12</v>
      </c>
    </row>
    <row r="5" spans="1:34" ht="15.75" thickBot="1" x14ac:dyDescent="0.3">
      <c r="A5" t="s">
        <v>30</v>
      </c>
      <c r="D5" s="24">
        <f>SUM(C26:L26)</f>
        <v>-4276.5265599999893</v>
      </c>
      <c r="E5" s="168">
        <f>SUM(C22:L22)</f>
        <v>1795392659.954</v>
      </c>
      <c r="F5" s="24">
        <f>SUM(C18:K18)</f>
        <v>0</v>
      </c>
      <c r="G5" s="24">
        <f>F5-D5</f>
        <v>4276.5265599999893</v>
      </c>
      <c r="H5" s="24">
        <f>+B36</f>
        <v>-4149.4250599996813</v>
      </c>
      <c r="I5" s="24">
        <f>SUM(C41:K41)</f>
        <v>-127.10000000000002</v>
      </c>
      <c r="J5" s="36">
        <f>SUM(G5:I5)</f>
        <v>1.5000003080558599E-3</v>
      </c>
      <c r="K5" s="62">
        <f>+J5-L36</f>
        <v>6.3096194935496897E-12</v>
      </c>
    </row>
    <row r="6" spans="1:34" ht="16.5" thickTop="1" thickBot="1" x14ac:dyDescent="0.3">
      <c r="D6" s="40">
        <f t="shared" ref="D6" si="0">SUM(D4:D5)</f>
        <v>-2637.1403199999932</v>
      </c>
      <c r="E6" s="169">
        <f t="shared" ref="E6:H6" si="1">SUM(E4:E5)</f>
        <v>3572641984.4969997</v>
      </c>
      <c r="F6" s="40">
        <f t="shared" si="1"/>
        <v>0</v>
      </c>
      <c r="G6" s="40">
        <f t="shared" si="1"/>
        <v>2637.1403199999932</v>
      </c>
      <c r="H6" s="40">
        <f t="shared" si="1"/>
        <v>-2539.0188199997328</v>
      </c>
      <c r="I6" s="94">
        <f>SUM(I4:I5)</f>
        <v>-98.120000000000019</v>
      </c>
      <c r="J6" s="40">
        <f>SUM(J4:J5)</f>
        <v>1.5000002600658036E-3</v>
      </c>
    </row>
    <row r="7" spans="1:34" ht="16.5" thickTop="1" thickBot="1" x14ac:dyDescent="0.3"/>
    <row r="8" spans="1:34" ht="75.75" thickBot="1" x14ac:dyDescent="0.3">
      <c r="B8" s="145" t="s">
        <v>120</v>
      </c>
      <c r="C8" s="218" t="s">
        <v>121</v>
      </c>
      <c r="D8" s="276" t="s">
        <v>39</v>
      </c>
      <c r="E8" s="276"/>
      <c r="F8" s="277"/>
      <c r="G8" s="268" t="s">
        <v>39</v>
      </c>
      <c r="H8" s="269"/>
      <c r="I8" s="270"/>
      <c r="J8" s="278" t="s">
        <v>9</v>
      </c>
      <c r="K8" s="279"/>
      <c r="L8" s="280"/>
    </row>
    <row r="9" spans="1:34" x14ac:dyDescent="0.25">
      <c r="A9" t="s">
        <v>38</v>
      </c>
      <c r="C9" s="14"/>
      <c r="D9" s="20">
        <v>43616</v>
      </c>
      <c r="E9" s="20">
        <f>EOMONTH(D9,1)</f>
        <v>43646</v>
      </c>
      <c r="F9" s="20">
        <f t="shared" ref="F9:L9" si="2">EOMONTH(E9,1)</f>
        <v>43677</v>
      </c>
      <c r="G9" s="14">
        <f t="shared" si="2"/>
        <v>43708</v>
      </c>
      <c r="H9" s="20">
        <f t="shared" si="2"/>
        <v>43738</v>
      </c>
      <c r="I9" s="20">
        <f t="shared" si="2"/>
        <v>43769</v>
      </c>
      <c r="J9" s="14">
        <f t="shared" si="2"/>
        <v>43799</v>
      </c>
      <c r="K9" s="20">
        <f t="shared" si="2"/>
        <v>43830</v>
      </c>
      <c r="L9" s="122">
        <f t="shared" si="2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t="s">
        <v>29</v>
      </c>
      <c r="C10" s="124">
        <v>0</v>
      </c>
      <c r="D10" s="136">
        <v>0</v>
      </c>
      <c r="E10" s="136">
        <v>0</v>
      </c>
      <c r="F10" s="137">
        <v>0</v>
      </c>
      <c r="G10" s="16">
        <v>0</v>
      </c>
      <c r="H10" s="70">
        <v>0</v>
      </c>
      <c r="I10" s="72">
        <v>0</v>
      </c>
      <c r="J10" s="180">
        <v>0</v>
      </c>
      <c r="K10" s="171">
        <v>0</v>
      </c>
      <c r="L10" s="95"/>
    </row>
    <row r="11" spans="1:34" x14ac:dyDescent="0.25">
      <c r="A11" t="s">
        <v>30</v>
      </c>
      <c r="C11" s="124">
        <v>0</v>
      </c>
      <c r="D11" s="136">
        <v>0</v>
      </c>
      <c r="E11" s="136">
        <v>0</v>
      </c>
      <c r="F11" s="137">
        <v>0</v>
      </c>
      <c r="G11" s="16">
        <v>0</v>
      </c>
      <c r="H11" s="70">
        <v>0</v>
      </c>
      <c r="I11" s="72">
        <v>0</v>
      </c>
      <c r="J11" s="180">
        <v>0</v>
      </c>
      <c r="K11" s="171">
        <v>0</v>
      </c>
      <c r="L11" s="95"/>
      <c r="M11" s="79" t="s">
        <v>32</v>
      </c>
    </row>
    <row r="12" spans="1:34" x14ac:dyDescent="0.25">
      <c r="A12" t="s">
        <v>0</v>
      </c>
      <c r="C12" s="124">
        <v>0</v>
      </c>
      <c r="D12" s="136">
        <v>0</v>
      </c>
      <c r="E12" s="136">
        <v>0</v>
      </c>
      <c r="F12" s="137">
        <v>0</v>
      </c>
      <c r="G12" s="16">
        <v>0</v>
      </c>
      <c r="H12" s="70">
        <v>0</v>
      </c>
      <c r="I12" s="72">
        <v>0</v>
      </c>
      <c r="J12" s="180">
        <v>0</v>
      </c>
      <c r="K12" s="171">
        <v>0</v>
      </c>
      <c r="L12" s="95"/>
      <c r="M12" s="89">
        <v>0.5</v>
      </c>
    </row>
    <row r="13" spans="1:34" x14ac:dyDescent="0.25">
      <c r="A13" t="s">
        <v>1</v>
      </c>
      <c r="C13" s="124">
        <v>0</v>
      </c>
      <c r="D13" s="136">
        <v>0</v>
      </c>
      <c r="E13" s="136">
        <v>0</v>
      </c>
      <c r="F13" s="137">
        <v>0</v>
      </c>
      <c r="G13" s="16">
        <v>0</v>
      </c>
      <c r="H13" s="70">
        <v>0</v>
      </c>
      <c r="I13" s="72">
        <v>0</v>
      </c>
      <c r="J13" s="180">
        <v>0</v>
      </c>
      <c r="K13" s="171">
        <v>0</v>
      </c>
      <c r="L13" s="95"/>
      <c r="M13" s="79" t="s">
        <v>28</v>
      </c>
    </row>
    <row r="14" spans="1:34" s="61" customFormat="1" x14ac:dyDescent="0.25">
      <c r="A14" s="61" t="s">
        <v>27</v>
      </c>
      <c r="C14" s="124">
        <v>0</v>
      </c>
      <c r="D14" s="136">
        <v>0</v>
      </c>
      <c r="E14" s="136">
        <v>0</v>
      </c>
      <c r="F14" s="137">
        <v>0</v>
      </c>
      <c r="G14" s="16">
        <v>0</v>
      </c>
      <c r="H14" s="70">
        <v>0</v>
      </c>
      <c r="I14" s="72">
        <v>0</v>
      </c>
      <c r="J14" s="180">
        <v>0</v>
      </c>
      <c r="K14" s="171">
        <v>0</v>
      </c>
      <c r="L14" s="95"/>
      <c r="M14" s="89">
        <v>2.4400000000000002E-2</v>
      </c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6" x14ac:dyDescent="0.25">
      <c r="A17" s="61" t="s">
        <v>29</v>
      </c>
      <c r="C17" s="53">
        <f t="shared" ref="C17:H17" si="3">C10+($M$12*C$12)+($M$12*C$13)+C$14*(1-$M$14)</f>
        <v>0</v>
      </c>
      <c r="D17" s="54">
        <f t="shared" si="3"/>
        <v>0</v>
      </c>
      <c r="E17" s="54">
        <f t="shared" si="3"/>
        <v>0</v>
      </c>
      <c r="F17" s="135">
        <f t="shared" si="3"/>
        <v>0</v>
      </c>
      <c r="G17" s="53">
        <f t="shared" si="3"/>
        <v>0</v>
      </c>
      <c r="H17" s="54">
        <f t="shared" si="3"/>
        <v>0</v>
      </c>
      <c r="I17" s="135">
        <f t="shared" ref="I17" si="4">I10+($M$12*I$12)+($M$12*I$13)+I$14*(1-$M$14)</f>
        <v>0</v>
      </c>
      <c r="J17" s="53">
        <f t="shared" ref="J17:L17" si="5">J10+($M$12*J$12)+($M$12*J$13)+J$14*(1-$M$14)</f>
        <v>0</v>
      </c>
      <c r="K17" s="54">
        <f t="shared" si="5"/>
        <v>0</v>
      </c>
      <c r="L17" s="77">
        <f t="shared" si="5"/>
        <v>0</v>
      </c>
    </row>
    <row r="18" spans="1:16" x14ac:dyDescent="0.25">
      <c r="A18" t="s">
        <v>30</v>
      </c>
      <c r="C18" s="53">
        <f t="shared" ref="C18:H18" si="6">(C$11+$M$12*C$12+C$14*$M$14)+C$13*$M$12</f>
        <v>0</v>
      </c>
      <c r="D18" s="54">
        <f t="shared" si="6"/>
        <v>0</v>
      </c>
      <c r="E18" s="54">
        <f t="shared" si="6"/>
        <v>0</v>
      </c>
      <c r="F18" s="135">
        <f t="shared" si="6"/>
        <v>0</v>
      </c>
      <c r="G18" s="53">
        <f t="shared" si="6"/>
        <v>0</v>
      </c>
      <c r="H18" s="54">
        <f t="shared" si="6"/>
        <v>0</v>
      </c>
      <c r="I18" s="135">
        <f t="shared" ref="I18" si="7">(I$11+$M$12*I$12+I$14*$M$14)+I$13*$M$12</f>
        <v>0</v>
      </c>
      <c r="J18" s="53">
        <f t="shared" ref="J18:L18" si="8">(J$11+$M$12*J$12+J$14*$M$14)+J$13*$M$12</f>
        <v>0</v>
      </c>
      <c r="K18" s="54">
        <f t="shared" si="8"/>
        <v>0</v>
      </c>
      <c r="L18" s="77">
        <f t="shared" si="8"/>
        <v>0</v>
      </c>
    </row>
    <row r="19" spans="1:16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6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6" x14ac:dyDescent="0.25">
      <c r="A21" s="61" t="s">
        <v>29</v>
      </c>
      <c r="C21" s="129">
        <v>-836021094</v>
      </c>
      <c r="D21" s="138">
        <f>+'[3]May 2019 Combined'!$F$49</f>
        <v>193515857.24129999</v>
      </c>
      <c r="E21" s="138">
        <f>+'[3]June 2019 Combined'!$F$49</f>
        <v>259451677.39160001</v>
      </c>
      <c r="F21" s="138">
        <f>+'[3]July 2019 Combined'!$F$49</f>
        <v>363761391.66229981</v>
      </c>
      <c r="G21" s="210">
        <f>+'[3]August 2019 Combined'!$F$54</f>
        <v>371866716.61979985</v>
      </c>
      <c r="H21" s="93">
        <f>+'[3]September 2019 Combined'!$F$49</f>
        <v>329178131.7610001</v>
      </c>
      <c r="I21" s="205">
        <f>+'[3]October 2019 Combined'!$F$49</f>
        <v>259475549.86699998</v>
      </c>
      <c r="J21" s="227">
        <f>+'[1]Billed kWh Sales'!G21</f>
        <v>207260261</v>
      </c>
      <c r="K21" s="172">
        <f>+'[1]Billed kWh Sales'!H21</f>
        <v>266633201</v>
      </c>
      <c r="L21" s="96">
        <f>+'[1]Billed kWh Sales'!I21</f>
        <v>362127632</v>
      </c>
    </row>
    <row r="22" spans="1:16" x14ac:dyDescent="0.25">
      <c r="A22" s="61" t="s">
        <v>30</v>
      </c>
      <c r="C22" s="129">
        <v>-889792293</v>
      </c>
      <c r="D22" s="138">
        <f>+'[3]May 2019 Combined'!$F$50</f>
        <v>271075647.55299997</v>
      </c>
      <c r="E22" s="138">
        <f>+'[3]June 2019 Combined'!$F$50</f>
        <v>263023654.21219999</v>
      </c>
      <c r="F22" s="138">
        <f>+'[3]July 2019 Combined'!$F$50</f>
        <v>337656416.9716</v>
      </c>
      <c r="G22" s="210">
        <f>+'[3]August 2019 Combined'!$F$55</f>
        <v>324847431.9508</v>
      </c>
      <c r="H22" s="93">
        <f>+'[3]September 2019 Combined'!$F$50</f>
        <v>300248518.44930005</v>
      </c>
      <c r="I22" s="205">
        <f>+'[3]October 2019 Combined'!$F$50</f>
        <v>290047321.81709999</v>
      </c>
      <c r="J22" s="227">
        <f>+'[1]Billed kWh Sales'!G22</f>
        <v>268215039</v>
      </c>
      <c r="K22" s="172">
        <f>+'[1]Billed kWh Sales'!H22</f>
        <v>300387945</v>
      </c>
      <c r="L22" s="96">
        <f>+'[1]Billed kWh Sales'!I22</f>
        <v>329682978</v>
      </c>
    </row>
    <row r="23" spans="1:16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6" x14ac:dyDescent="0.25">
      <c r="A24" t="s">
        <v>40</v>
      </c>
      <c r="C24" s="126"/>
      <c r="D24" s="18"/>
      <c r="E24" s="18"/>
      <c r="F24" s="18"/>
      <c r="G24" s="118"/>
      <c r="H24" s="18"/>
      <c r="I24" s="61"/>
      <c r="J24" s="182"/>
      <c r="K24" s="73"/>
      <c r="L24" s="74"/>
      <c r="M24" s="79" t="s">
        <v>66</v>
      </c>
      <c r="N24" s="52"/>
    </row>
    <row r="25" spans="1:16" x14ac:dyDescent="0.25">
      <c r="A25" s="61" t="s">
        <v>29</v>
      </c>
      <c r="C25" s="124">
        <v>-33440.843760000003</v>
      </c>
      <c r="D25" s="136">
        <f>ROUND('[3]May 2019 Combined'!$F$8+'[3]May 2019 Combined'!$F$13,2)</f>
        <v>7788.3</v>
      </c>
      <c r="E25" s="136">
        <f>ROUND('[3]June 2019 Combined'!$F$8+'[3]June 2019 Combined'!$F$13,2)</f>
        <v>10378.19</v>
      </c>
      <c r="F25" s="137">
        <f>ROUND('[3]July 2019 Combined'!$F$8+'[3]July 2019 Combined'!$F$13,2)</f>
        <v>14544.34</v>
      </c>
      <c r="G25" s="219">
        <f>ROUND('[3]August 2019 Combined'!$F$8+'[3]August 2019 Combined'!$F$13,2)+13017.24</f>
        <v>2369.3999999999996</v>
      </c>
      <c r="H25" s="178">
        <f>ROUND('[3]September 2019 Combined'!$F$8+'[3]September 2019 Combined'!$F$13,2)</f>
        <v>0</v>
      </c>
      <c r="I25" s="179">
        <f>ROUND('[3]October 2019 Combined'!$F$8+'[3]October 2019 Combined'!$F$13,2)</f>
        <v>0</v>
      </c>
      <c r="J25" s="53">
        <f t="shared" ref="J25:L26" si="9">J21*$M25</f>
        <v>0</v>
      </c>
      <c r="K25" s="54">
        <f t="shared" si="9"/>
        <v>0</v>
      </c>
      <c r="L25" s="77">
        <f t="shared" si="9"/>
        <v>0</v>
      </c>
      <c r="M25" s="88">
        <v>0</v>
      </c>
      <c r="P25" s="217">
        <f>+M25+'PCR Cycle 2'!M25+'TDR Cycle 1'!M15+'TDR Cycle 2'!N15+EOR!M16</f>
        <v>3.7299999999999998E-3</v>
      </c>
    </row>
    <row r="26" spans="1:16" x14ac:dyDescent="0.25">
      <c r="A26" t="str">
        <f>A22</f>
        <v>Non-Residential</v>
      </c>
      <c r="C26" s="124">
        <v>71183.383440000005</v>
      </c>
      <c r="D26" s="136">
        <f>ROUND('[3]May 2019 Combined'!$F$9+'[3]May 2019 Combined'!$F$14,2)</f>
        <v>-12087.17</v>
      </c>
      <c r="E26" s="136">
        <f>ROUND('[3]June 2019 Combined'!$F$9+'[3]June 2019 Combined'!$F$14,2)</f>
        <v>-21022.28</v>
      </c>
      <c r="F26" s="137">
        <f>ROUND('[3]July 2019 Combined'!$F$9+'[3]July 2019 Combined'!$F$14,2)</f>
        <v>-26927.919999999998</v>
      </c>
      <c r="G26" s="219">
        <f>ROUND('[3]August 2019 Combined'!$F$9+'[3]August 2019 Combined'!$F$14,2)-13014.13</f>
        <v>-15422.539999999999</v>
      </c>
      <c r="H26" s="178">
        <f>ROUND('[3]September 2019 Combined'!$F$9+'[3]September 2019 Combined'!$F$14,2)</f>
        <v>0</v>
      </c>
      <c r="I26" s="179">
        <f>ROUND('[3]October 2019 Combined'!$F$9+'[3]October 2019 Combined'!$F$14,2)</f>
        <v>0</v>
      </c>
      <c r="J26" s="53">
        <f t="shared" si="9"/>
        <v>0</v>
      </c>
      <c r="K26" s="54">
        <f t="shared" si="9"/>
        <v>0</v>
      </c>
      <c r="L26" s="77">
        <f t="shared" si="9"/>
        <v>0</v>
      </c>
      <c r="M26" s="88">
        <v>0</v>
      </c>
      <c r="P26" s="217">
        <f>+M26+'PCR Cycle 2'!M26+'TDR Cycle 1'!M16+'TDR Cycle 2'!N16+EOR!M17</f>
        <v>4.3699999999999998E-3</v>
      </c>
    </row>
    <row r="27" spans="1:16" x14ac:dyDescent="0.25">
      <c r="C27" s="83"/>
      <c r="D27" s="18"/>
      <c r="E27" s="18"/>
      <c r="F27" s="18"/>
      <c r="G27" s="118"/>
      <c r="H27" s="18"/>
      <c r="I27" s="61"/>
      <c r="J27" s="12"/>
      <c r="K27" s="71"/>
      <c r="L27" s="13"/>
      <c r="M27" s="4"/>
    </row>
    <row r="28" spans="1:16" ht="15.75" thickBot="1" x14ac:dyDescent="0.3">
      <c r="A28" t="s">
        <v>16</v>
      </c>
      <c r="C28" s="130">
        <v>168.82000000000002</v>
      </c>
      <c r="D28" s="139">
        <v>-116.9</v>
      </c>
      <c r="E28" s="139">
        <v>-93.21</v>
      </c>
      <c r="F28" s="140">
        <v>-56.839999999999996</v>
      </c>
      <c r="G28" s="39">
        <v>0</v>
      </c>
      <c r="H28" s="149">
        <v>0</v>
      </c>
      <c r="I28" s="206">
        <v>0</v>
      </c>
      <c r="J28" s="184">
        <v>0</v>
      </c>
      <c r="K28" s="173">
        <v>0</v>
      </c>
      <c r="L28" s="100"/>
    </row>
    <row r="29" spans="1:16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6" x14ac:dyDescent="0.25">
      <c r="A30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6" x14ac:dyDescent="0.25">
      <c r="A31" s="61" t="s">
        <v>29</v>
      </c>
      <c r="C31" s="53">
        <f t="shared" ref="C31:C32" si="10">C17-C25</f>
        <v>33440.843760000003</v>
      </c>
      <c r="D31" s="54">
        <f t="shared" ref="D31:I32" si="11">D17-D25</f>
        <v>-7788.3</v>
      </c>
      <c r="E31" s="54">
        <f t="shared" si="11"/>
        <v>-10378.19</v>
      </c>
      <c r="F31" s="135">
        <f t="shared" ref="F31:H31" si="12">F17-F25</f>
        <v>-14544.34</v>
      </c>
      <c r="G31" s="53">
        <f t="shared" si="12"/>
        <v>-2369.3999999999996</v>
      </c>
      <c r="H31" s="54">
        <f t="shared" si="12"/>
        <v>0</v>
      </c>
      <c r="I31" s="135">
        <f t="shared" si="11"/>
        <v>0</v>
      </c>
      <c r="J31" s="53">
        <f t="shared" ref="J31:K31" si="13">J17-J25</f>
        <v>0</v>
      </c>
      <c r="K31" s="54">
        <f t="shared" si="13"/>
        <v>0</v>
      </c>
      <c r="L31" s="64">
        <f t="shared" ref="L31" si="14">L17-L25</f>
        <v>0</v>
      </c>
    </row>
    <row r="32" spans="1:16" x14ac:dyDescent="0.25">
      <c r="A32" t="s">
        <v>30</v>
      </c>
      <c r="C32" s="53">
        <f t="shared" si="10"/>
        <v>-71183.383440000005</v>
      </c>
      <c r="D32" s="54">
        <f t="shared" si="11"/>
        <v>12087.17</v>
      </c>
      <c r="E32" s="54">
        <f t="shared" si="11"/>
        <v>21022.28</v>
      </c>
      <c r="F32" s="135">
        <f t="shared" ref="F32:H32" si="15">F18-F26</f>
        <v>26927.919999999998</v>
      </c>
      <c r="G32" s="53">
        <f t="shared" si="15"/>
        <v>15422.539999999999</v>
      </c>
      <c r="H32" s="54">
        <f t="shared" si="15"/>
        <v>0</v>
      </c>
      <c r="I32" s="135">
        <f t="shared" si="11"/>
        <v>0</v>
      </c>
      <c r="J32" s="53">
        <f t="shared" ref="J32:K32" si="16">J18-J26</f>
        <v>0</v>
      </c>
      <c r="K32" s="54">
        <f t="shared" si="16"/>
        <v>0</v>
      </c>
      <c r="L32" s="64">
        <f t="shared" ref="L32" si="17">L18-L26</f>
        <v>0</v>
      </c>
    </row>
    <row r="33" spans="1:13" x14ac:dyDescent="0.25">
      <c r="A33" s="61"/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43">
        <v>1610.4062399999482</v>
      </c>
      <c r="C35" s="54">
        <f>B35+C31+B40</f>
        <v>35051.249999999949</v>
      </c>
      <c r="D35" s="54">
        <f t="shared" ref="D35" si="18">C35+D31+C40</f>
        <v>27101.009999999951</v>
      </c>
      <c r="E35" s="54">
        <f t="shared" ref="E35:I36" si="19">D35+E31+D40</f>
        <v>16818.259999999947</v>
      </c>
      <c r="F35" s="135">
        <f t="shared" si="19"/>
        <v>2340.9299999999475</v>
      </c>
      <c r="G35" s="252">
        <f t="shared" si="19"/>
        <v>-5.2096993385930546E-11</v>
      </c>
      <c r="H35" s="54">
        <f t="shared" si="19"/>
        <v>-5.2096993385930546E-11</v>
      </c>
      <c r="I35" s="135">
        <f t="shared" si="19"/>
        <v>-5.2096993385930546E-11</v>
      </c>
      <c r="J35" s="53">
        <f t="shared" ref="J35:J36" si="20">I35+J31+I40</f>
        <v>-5.2096993385930546E-11</v>
      </c>
      <c r="K35" s="54">
        <f t="shared" ref="K35:L36" si="21">J35+K31+J40</f>
        <v>-5.2096993385930546E-11</v>
      </c>
      <c r="L35" s="64">
        <f t="shared" si="21"/>
        <v>-5.2096993385930546E-11</v>
      </c>
    </row>
    <row r="36" spans="1:13" ht="15.75" thickBot="1" x14ac:dyDescent="0.3">
      <c r="A36" s="61" t="s">
        <v>30</v>
      </c>
      <c r="B36" s="144">
        <v>-4149.4250599996813</v>
      </c>
      <c r="C36" s="54">
        <f>B36+C32+B41</f>
        <v>-75332.808499999694</v>
      </c>
      <c r="D36" s="54">
        <f t="shared" ref="D36" si="22">C36+D32+C41</f>
        <v>-62914.878499999693</v>
      </c>
      <c r="E36" s="54">
        <f t="shared" si="19"/>
        <v>-42104.928499999696</v>
      </c>
      <c r="F36" s="135">
        <f t="shared" si="19"/>
        <v>-15337.228499999697</v>
      </c>
      <c r="G36" s="252">
        <f t="shared" si="19"/>
        <v>1.5000003017462404E-3</v>
      </c>
      <c r="H36" s="54">
        <f t="shared" si="19"/>
        <v>1.5000003017462404E-3</v>
      </c>
      <c r="I36" s="135">
        <f t="shared" si="19"/>
        <v>1.5000003017462404E-3</v>
      </c>
      <c r="J36" s="53">
        <f t="shared" si="20"/>
        <v>1.5000003017462404E-3</v>
      </c>
      <c r="K36" s="54">
        <f t="shared" si="21"/>
        <v>1.5000003017462404E-3</v>
      </c>
      <c r="L36" s="64">
        <f t="shared" si="21"/>
        <v>1.5000003017462404E-3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s="61" customFormat="1" x14ac:dyDescent="0.25">
      <c r="A38" s="52" t="s">
        <v>65</v>
      </c>
      <c r="B38" s="52"/>
      <c r="C38" s="131"/>
      <c r="D38" s="103">
        <f>+'[4]May 2019'!$F$43</f>
        <v>3.0790499999999998E-3</v>
      </c>
      <c r="E38" s="103">
        <f>+'[4]June 2019'!$F$43</f>
        <v>3.0450199999999998E-3</v>
      </c>
      <c r="F38" s="103">
        <f>+'[4]July 2019'!$F$43</f>
        <v>2.9619300000000002E-3</v>
      </c>
      <c r="G38" s="105">
        <f>+'[4]Aug 2019'!$F$43</f>
        <v>2.8524499999999999E-3</v>
      </c>
      <c r="H38" s="103">
        <f>+'[4]Sept 2019'!$F$43</f>
        <v>2.7438599999999999E-3</v>
      </c>
      <c r="I38" s="104">
        <f>+'[4]Oct 2019'!$F$43</f>
        <v>2.60867E-3</v>
      </c>
      <c r="J38" s="105">
        <f>+I38</f>
        <v>2.60867E-3</v>
      </c>
      <c r="K38" s="103">
        <f>+J38</f>
        <v>2.60867E-3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-161.94</v>
      </c>
      <c r="D40" s="54">
        <f>ROUND((C35+C40+D31/2)*D$38,2)</f>
        <v>95.44</v>
      </c>
      <c r="E40" s="54">
        <f t="shared" ref="E40:I41" si="23">ROUND((D35+D40+E31/2)*E$38,2)</f>
        <v>67.010000000000005</v>
      </c>
      <c r="F40" s="135">
        <f t="shared" si="23"/>
        <v>28.47</v>
      </c>
      <c r="G40" s="53">
        <f>ROUND((F35+F40+G31/2)*G$38,2)*0</f>
        <v>0</v>
      </c>
      <c r="H40" s="150">
        <f t="shared" si="23"/>
        <v>0</v>
      </c>
      <c r="I40" s="207">
        <f t="shared" si="23"/>
        <v>0</v>
      </c>
      <c r="J40" s="53">
        <f t="shared" ref="J40:K41" si="24">ROUND((I35+I40+J31/2)*J$38,2)</f>
        <v>0</v>
      </c>
      <c r="K40" s="150">
        <f t="shared" si="24"/>
        <v>0</v>
      </c>
      <c r="L40" s="64"/>
    </row>
    <row r="41" spans="1:13" ht="15.75" thickBot="1" x14ac:dyDescent="0.3">
      <c r="A41" t="s">
        <v>30</v>
      </c>
      <c r="C41" s="141">
        <v>330.76</v>
      </c>
      <c r="D41" s="54">
        <f>ROUND((C36+C41+D32/2)*D$38,2)</f>
        <v>-212.33</v>
      </c>
      <c r="E41" s="54">
        <f t="shared" si="23"/>
        <v>-160.22</v>
      </c>
      <c r="F41" s="135">
        <f t="shared" si="23"/>
        <v>-85.31</v>
      </c>
      <c r="G41" s="53">
        <f>ROUND((F36+F41+G32/2)*G$38,2)*0</f>
        <v>0</v>
      </c>
      <c r="H41" s="150">
        <f t="shared" si="23"/>
        <v>0</v>
      </c>
      <c r="I41" s="207">
        <f t="shared" si="23"/>
        <v>0</v>
      </c>
      <c r="J41" s="53">
        <f t="shared" si="24"/>
        <v>0</v>
      </c>
      <c r="K41" s="150">
        <f t="shared" si="24"/>
        <v>0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E42" si="25">SUM(D40:D41)+SUM(D35:D36)-D45</f>
        <v>0</v>
      </c>
      <c r="E42" s="45">
        <f t="shared" si="25"/>
        <v>0</v>
      </c>
      <c r="F42" s="65">
        <f t="shared" ref="F42:I42" si="26">SUM(F40:F41)+SUM(F35:F36)-F45</f>
        <v>0</v>
      </c>
      <c r="G42" s="151">
        <f t="shared" si="26"/>
        <v>-1.0771827874123119E-11</v>
      </c>
      <c r="H42" s="45">
        <f t="shared" si="26"/>
        <v>-1.0771827874123119E-11</v>
      </c>
      <c r="I42" s="65">
        <f t="shared" si="26"/>
        <v>-1.0771827874123119E-11</v>
      </c>
      <c r="J42" s="66">
        <f t="shared" ref="J42:K42" si="27">SUM(J40:J41)+SUM(J35:J36)-J45</f>
        <v>-1.0771827874123119E-11</v>
      </c>
      <c r="K42" s="45">
        <f t="shared" si="27"/>
        <v>-1.0771827874123119E-11</v>
      </c>
      <c r="L42" s="123">
        <f t="shared" ref="L42" si="28">SUM(L40:L41)+SUM(L35:L36)-L45</f>
        <v>-1.0771827874123119E-11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9.9999999999909051E-3</v>
      </c>
      <c r="E43" s="45">
        <f t="shared" ref="E43:I43" si="29">SUM(E40:E41)-E28</f>
        <v>0</v>
      </c>
      <c r="F43" s="65">
        <f t="shared" ref="F43:H43" si="30">SUM(F40:F41)-F28</f>
        <v>0</v>
      </c>
      <c r="G43" s="66">
        <f t="shared" si="30"/>
        <v>0</v>
      </c>
      <c r="H43" s="45">
        <f t="shared" si="30"/>
        <v>0</v>
      </c>
      <c r="I43" s="65">
        <f t="shared" si="29"/>
        <v>0</v>
      </c>
      <c r="J43" s="66">
        <f t="shared" ref="J43:K43" si="31">SUM(J40:J41)-J28</f>
        <v>0</v>
      </c>
      <c r="K43" s="45">
        <f t="shared" si="31"/>
        <v>0</v>
      </c>
      <c r="L43" s="123">
        <f t="shared" ref="L43" si="32">SUM(L40:L41)-L28</f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t="s">
        <v>42</v>
      </c>
      <c r="B45" s="146">
        <f>+B35+B36</f>
        <v>-2539.0188199997328</v>
      </c>
      <c r="C45" s="53">
        <f>(SUM(C10:C14)-SUM(C25:C26))+SUM(C40:C41)+B45</f>
        <v>-40112.738499999738</v>
      </c>
      <c r="D45" s="54">
        <f>(SUM(D10:D14)-SUM(D25:D26))+SUM(D40:D41)+C45</f>
        <v>-35930.758499999734</v>
      </c>
      <c r="E45" s="54">
        <f t="shared" ref="E45:I45" si="33">(SUM(E10:E14)-SUM(E25:E26))+SUM(E40:E41)+D45</f>
        <v>-25379.878499999737</v>
      </c>
      <c r="F45" s="135">
        <f t="shared" si="33"/>
        <v>-13053.138499999739</v>
      </c>
      <c r="G45" s="53">
        <f t="shared" si="33"/>
        <v>1.5000002604210749E-3</v>
      </c>
      <c r="H45" s="54">
        <f t="shared" si="33"/>
        <v>1.5000002604210749E-3</v>
      </c>
      <c r="I45" s="135">
        <f t="shared" si="33"/>
        <v>1.5000002604210749E-3</v>
      </c>
      <c r="J45" s="53">
        <f t="shared" ref="J45" si="34">(SUM(J10:J14)-SUM(J25:J26))+SUM(J40:J41)+I45</f>
        <v>1.5000002604210749E-3</v>
      </c>
      <c r="K45" s="54">
        <f t="shared" ref="K45:L45" si="35">(SUM(K10:K14)-SUM(K25:K26))+SUM(K40:K41)+J45</f>
        <v>1.5000002604210749E-3</v>
      </c>
      <c r="L45" s="77">
        <f t="shared" si="35"/>
        <v>1.5000002604210749E-3</v>
      </c>
    </row>
    <row r="46" spans="1:13" x14ac:dyDescent="0.25">
      <c r="C46" s="147"/>
      <c r="D46" s="71"/>
      <c r="E46" s="19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A47" s="61"/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9" spans="1:14" x14ac:dyDescent="0.25">
      <c r="A49" s="85" t="s">
        <v>13</v>
      </c>
      <c r="B49" s="85"/>
      <c r="C49" s="85"/>
      <c r="D49" s="59"/>
      <c r="E49" s="59"/>
      <c r="I49" s="59"/>
      <c r="M49" s="59"/>
      <c r="N49" s="59"/>
    </row>
    <row r="50" spans="1:14" ht="30.75" customHeight="1" x14ac:dyDescent="0.25">
      <c r="A50" s="274" t="s">
        <v>112</v>
      </c>
      <c r="B50" s="274"/>
      <c r="C50" s="274"/>
      <c r="D50" s="274"/>
      <c r="E50" s="274"/>
      <c r="F50" s="274"/>
      <c r="G50" s="274"/>
      <c r="H50" s="274"/>
      <c r="I50" s="274"/>
      <c r="J50" s="170"/>
      <c r="K50" s="170"/>
      <c r="L50" s="117"/>
      <c r="M50" s="59"/>
      <c r="N50" s="59"/>
    </row>
    <row r="51" spans="1:14" ht="33.75" customHeight="1" x14ac:dyDescent="0.25">
      <c r="A51" s="275" t="s">
        <v>145</v>
      </c>
      <c r="B51" s="275"/>
      <c r="C51" s="275"/>
      <c r="D51" s="275"/>
      <c r="E51" s="275"/>
      <c r="F51" s="275"/>
      <c r="G51" s="275"/>
      <c r="H51" s="275"/>
      <c r="I51" s="275"/>
      <c r="J51" s="170"/>
      <c r="K51" s="170"/>
      <c r="L51" s="117"/>
      <c r="M51" s="59"/>
      <c r="N51" s="59"/>
    </row>
    <row r="52" spans="1:14" ht="31.5" customHeight="1" x14ac:dyDescent="0.25">
      <c r="A52" s="274" t="s">
        <v>149</v>
      </c>
      <c r="B52" s="274"/>
      <c r="C52" s="274"/>
      <c r="D52" s="274"/>
      <c r="E52" s="274"/>
      <c r="F52" s="274"/>
      <c r="G52" s="274"/>
      <c r="H52" s="274"/>
      <c r="I52" s="274"/>
      <c r="J52" s="170"/>
      <c r="K52" s="170"/>
      <c r="L52" s="117"/>
      <c r="M52" s="59"/>
      <c r="N52" s="59"/>
    </row>
    <row r="53" spans="1:14" x14ac:dyDescent="0.25">
      <c r="A53" s="3" t="s">
        <v>37</v>
      </c>
      <c r="B53" s="3"/>
      <c r="C53" s="3"/>
      <c r="D53" s="61"/>
      <c r="E53" s="61"/>
      <c r="I53" s="4"/>
      <c r="M53" s="59"/>
      <c r="N53" s="59"/>
    </row>
    <row r="54" spans="1:14" s="61" customFormat="1" x14ac:dyDescent="0.25">
      <c r="A54" s="3" t="s">
        <v>144</v>
      </c>
      <c r="B54" s="3"/>
      <c r="C54" s="3"/>
      <c r="I54" s="4"/>
    </row>
    <row r="55" spans="1:14" x14ac:dyDescent="0.25">
      <c r="A55" s="3" t="s">
        <v>67</v>
      </c>
      <c r="B55" s="3"/>
      <c r="C55" s="3"/>
      <c r="D55" s="61"/>
      <c r="E55" s="61"/>
      <c r="I55" s="4"/>
      <c r="M55" s="59"/>
      <c r="N55" s="59"/>
    </row>
    <row r="56" spans="1:14" x14ac:dyDescent="0.25">
      <c r="C56" s="62"/>
      <c r="D56" s="59"/>
      <c r="E56" s="59"/>
      <c r="I56" s="59"/>
      <c r="M56" s="59"/>
      <c r="N56" s="59"/>
    </row>
    <row r="57" spans="1:14" ht="37.5" customHeight="1" x14ac:dyDescent="0.25">
      <c r="A57" s="273"/>
      <c r="B57" s="273"/>
      <c r="C57" s="273"/>
      <c r="D57" s="273"/>
      <c r="E57" s="273"/>
      <c r="F57" s="273"/>
      <c r="G57" s="273"/>
      <c r="H57" s="273"/>
      <c r="I57" s="273"/>
      <c r="J57" s="273"/>
      <c r="K57" s="273"/>
      <c r="L57" s="273"/>
      <c r="M57" s="59"/>
      <c r="N57" s="59"/>
    </row>
    <row r="58" spans="1:14" x14ac:dyDescent="0.25">
      <c r="C58" s="62"/>
      <c r="D58" s="59"/>
      <c r="E58" s="59"/>
      <c r="I58" s="59"/>
      <c r="M58" s="59"/>
      <c r="N58" s="59"/>
    </row>
    <row r="59" spans="1:14" x14ac:dyDescent="0.25">
      <c r="D59" s="59"/>
      <c r="E59" s="59"/>
      <c r="I59" s="59"/>
      <c r="M59" s="59"/>
      <c r="N59" s="59"/>
    </row>
    <row r="60" spans="1:14" x14ac:dyDescent="0.25">
      <c r="D60" s="59"/>
      <c r="E60" s="59"/>
      <c r="I60" s="59"/>
      <c r="M60" s="59"/>
      <c r="N60" s="59"/>
    </row>
    <row r="61" spans="1:14" x14ac:dyDescent="0.25">
      <c r="D61" s="59"/>
      <c r="E61" s="59"/>
      <c r="I61" s="59"/>
      <c r="M61" s="59"/>
      <c r="N61" s="59"/>
    </row>
    <row r="62" spans="1:14" x14ac:dyDescent="0.25">
      <c r="D62" s="59"/>
      <c r="E62" s="59"/>
      <c r="I62" s="59"/>
      <c r="M62" s="59"/>
      <c r="N62" s="59"/>
    </row>
    <row r="63" spans="1:14" x14ac:dyDescent="0.25">
      <c r="D63" s="59"/>
      <c r="E63" s="59"/>
      <c r="I63" s="59"/>
      <c r="M63" s="59"/>
      <c r="N63" s="59"/>
    </row>
    <row r="65" spans="13:13" x14ac:dyDescent="0.25">
      <c r="M65" s="8"/>
    </row>
  </sheetData>
  <mergeCells count="7">
    <mergeCell ref="A57:L57"/>
    <mergeCell ref="A50:I50"/>
    <mergeCell ref="A51:I51"/>
    <mergeCell ref="A52:I52"/>
    <mergeCell ref="D8:F8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70"/>
  <sheetViews>
    <sheetView workbookViewId="0">
      <pane xSplit="2" ySplit="9" topLeftCell="M34" activePane="bottomRight" state="frozen"/>
      <selection activeCell="F17" sqref="F17"/>
      <selection pane="topRight" activeCell="F17" sqref="F17"/>
      <selection pane="bottomLeft" activeCell="F17" sqref="F17"/>
      <selection pane="bottomRight" activeCell="Q1" sqref="Q1:Q1048576"/>
    </sheetView>
  </sheetViews>
  <sheetFormatPr defaultRowHeight="15" x14ac:dyDescent="0.25"/>
  <cols>
    <col min="1" max="1" width="54.5703125" style="61" customWidth="1"/>
    <col min="2" max="2" width="14.7109375" style="6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4" style="61" customWidth="1"/>
    <col min="10" max="10" width="15.7109375" style="6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28515625" style="61" customWidth="1"/>
    <col min="16" max="16" width="16.140625" style="6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Evergy Missouri West, Inc. - DSIM Rider Update Filed 12/02/2019</v>
      </c>
      <c r="B1" s="3"/>
      <c r="C1" s="3"/>
    </row>
    <row r="2" spans="1:34" x14ac:dyDescent="0.25">
      <c r="D2" s="3" t="s">
        <v>80</v>
      </c>
    </row>
    <row r="3" spans="1:34" ht="30" x14ac:dyDescent="0.25">
      <c r="D3" s="63" t="s">
        <v>62</v>
      </c>
      <c r="E3" s="63" t="s">
        <v>61</v>
      </c>
      <c r="F3" s="86" t="s">
        <v>2</v>
      </c>
      <c r="G3" s="63" t="s">
        <v>3</v>
      </c>
      <c r="H3" s="86" t="s">
        <v>70</v>
      </c>
      <c r="I3" s="63" t="s">
        <v>11</v>
      </c>
      <c r="J3" s="63" t="s">
        <v>4</v>
      </c>
    </row>
    <row r="4" spans="1:34" x14ac:dyDescent="0.25">
      <c r="A4" s="61" t="s">
        <v>29</v>
      </c>
      <c r="D4" s="24">
        <f>SUM(C25:L25)</f>
        <v>5782697.5526799997</v>
      </c>
      <c r="E4" s="168">
        <f>SUM(C21:L21)</f>
        <v>1777249324.5429997</v>
      </c>
      <c r="F4" s="24">
        <f>SUM(C17:K17)</f>
        <v>5008343.9849999994</v>
      </c>
      <c r="G4" s="24">
        <f>F4-D4</f>
        <v>-774353.56768000033</v>
      </c>
      <c r="H4" s="24">
        <f>+B35</f>
        <v>1559617.14</v>
      </c>
      <c r="I4" s="24">
        <f>SUM(C40:K40)</f>
        <v>23131.089999999997</v>
      </c>
      <c r="J4" s="36">
        <f>SUM(G4:I4)</f>
        <v>808394.66231999954</v>
      </c>
      <c r="K4" s="62">
        <f>+J4-L35</f>
        <v>0</v>
      </c>
    </row>
    <row r="5" spans="1:34" ht="15.75" thickBot="1" x14ac:dyDescent="0.3">
      <c r="A5" s="61" t="s">
        <v>30</v>
      </c>
      <c r="D5" s="24">
        <f>SUM(C26:L26)</f>
        <v>7015118.4697399996</v>
      </c>
      <c r="E5" s="168">
        <f>SUM(C22:L22)</f>
        <v>1795392659.954</v>
      </c>
      <c r="F5" s="24">
        <f>SUM(C18:K18)</f>
        <v>4428726.875</v>
      </c>
      <c r="G5" s="24">
        <f>F5-D5</f>
        <v>-2586391.5947399996</v>
      </c>
      <c r="H5" s="24">
        <f>+B36</f>
        <v>1138639.3800000001</v>
      </c>
      <c r="I5" s="24">
        <f>SUM(C41:K41)</f>
        <v>4293.7500000000009</v>
      </c>
      <c r="J5" s="36">
        <f>SUM(G5:I5)</f>
        <v>-1443458.4647399995</v>
      </c>
      <c r="K5" s="62">
        <f>+J5-L36</f>
        <v>0</v>
      </c>
    </row>
    <row r="6" spans="1:34" ht="16.5" thickTop="1" thickBot="1" x14ac:dyDescent="0.3">
      <c r="D6" s="40">
        <f t="shared" ref="D6" si="0">SUM(D4:D5)</f>
        <v>12797816.02242</v>
      </c>
      <c r="E6" s="169">
        <f t="shared" ref="E6:H6" si="1">SUM(E4:E5)</f>
        <v>3572641984.4969997</v>
      </c>
      <c r="F6" s="40">
        <f t="shared" si="1"/>
        <v>9437070.8599999994</v>
      </c>
      <c r="G6" s="40">
        <f t="shared" si="1"/>
        <v>-3360745.1624199999</v>
      </c>
      <c r="H6" s="40">
        <f t="shared" si="1"/>
        <v>2698256.52</v>
      </c>
      <c r="I6" s="94">
        <f>SUM(I4:I5)</f>
        <v>27424.839999999997</v>
      </c>
      <c r="J6" s="40">
        <f>SUM(J4:J5)</f>
        <v>-635063.80241999996</v>
      </c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06/01/2019 Filing</v>
      </c>
      <c r="C8" s="218" t="str">
        <f>+'PCR Cycle 1'!C8</f>
        <v>Reverse May-19 - October-19  Forecast From 06/01/2019 Filing</v>
      </c>
      <c r="D8" s="276" t="s">
        <v>39</v>
      </c>
      <c r="E8" s="276"/>
      <c r="F8" s="277"/>
      <c r="G8" s="268" t="s">
        <v>39</v>
      </c>
      <c r="H8" s="269"/>
      <c r="I8" s="270"/>
      <c r="J8" s="278" t="s">
        <v>9</v>
      </c>
      <c r="K8" s="279"/>
      <c r="L8" s="280"/>
    </row>
    <row r="9" spans="1:34" x14ac:dyDescent="0.25">
      <c r="A9" s="61" t="s">
        <v>38</v>
      </c>
      <c r="C9" s="14"/>
      <c r="D9" s="20">
        <f>+'PCR Cycle 1'!D9</f>
        <v>43616</v>
      </c>
      <c r="E9" s="20">
        <f t="shared" ref="E9:L9" si="2">EOMONTH(D9,1)</f>
        <v>43646</v>
      </c>
      <c r="F9" s="20">
        <f t="shared" si="2"/>
        <v>43677</v>
      </c>
      <c r="G9" s="14">
        <f t="shared" si="2"/>
        <v>43708</v>
      </c>
      <c r="H9" s="20">
        <f t="shared" si="2"/>
        <v>43738</v>
      </c>
      <c r="I9" s="20">
        <f t="shared" si="2"/>
        <v>43769</v>
      </c>
      <c r="J9" s="14">
        <f t="shared" si="2"/>
        <v>43799</v>
      </c>
      <c r="K9" s="20">
        <f t="shared" si="2"/>
        <v>43830</v>
      </c>
      <c r="L9" s="122">
        <f t="shared" si="2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A10" s="61" t="s">
        <v>29</v>
      </c>
      <c r="C10" s="124">
        <v>-1257902.8500000001</v>
      </c>
      <c r="D10" s="136">
        <f>ROUND([5]Pivot!C26,2)</f>
        <v>330245.64</v>
      </c>
      <c r="E10" s="136">
        <f>ROUND([5]Pivot!D26,2)</f>
        <v>528099.56999999995</v>
      </c>
      <c r="F10" s="137">
        <f>ROUND([5]Pivot!E26,2)</f>
        <v>844538.48</v>
      </c>
      <c r="G10" s="16">
        <f>ROUND([5]Pivot!F26,2)</f>
        <v>455560.32</v>
      </c>
      <c r="H10" s="70">
        <f>ROUND([5]Pivot!G26,2)</f>
        <v>720487.26</v>
      </c>
      <c r="I10" s="72">
        <f>ROUND([5]Pivot!H26,2)</f>
        <v>776217.95</v>
      </c>
      <c r="J10" s="180">
        <f>ROUND('[2]Program Costs - Missouri West'!BF153,2)</f>
        <v>665080.43000000005</v>
      </c>
      <c r="K10" s="171">
        <f>ROUND('[2]Program Costs - Missouri West'!BG153,2)</f>
        <v>1462960.28</v>
      </c>
      <c r="L10" s="95"/>
    </row>
    <row r="11" spans="1:34" x14ac:dyDescent="0.25">
      <c r="A11" s="61" t="s">
        <v>30</v>
      </c>
      <c r="C11" s="124">
        <v>-2048746.98</v>
      </c>
      <c r="D11" s="136">
        <f>ROUND([5]Pivot!C27,2)</f>
        <v>761758.71999999997</v>
      </c>
      <c r="E11" s="136">
        <f>ROUND([5]Pivot!D27,2)</f>
        <v>593552.93999999994</v>
      </c>
      <c r="F11" s="137">
        <f>ROUND([5]Pivot!E27,2)</f>
        <v>614175.15</v>
      </c>
      <c r="G11" s="16">
        <f>ROUND([5]Pivot!F27,2)</f>
        <v>701760.42</v>
      </c>
      <c r="H11" s="70">
        <f>ROUND([5]Pivot!G27,2)</f>
        <v>646042.4</v>
      </c>
      <c r="I11" s="72">
        <f>ROUND([5]Pivot!H27,2)</f>
        <v>556731.78</v>
      </c>
      <c r="J11" s="180">
        <f>ROUND('[2]Program Costs - Missouri West'!BF154,2)</f>
        <v>880550.86</v>
      </c>
      <c r="K11" s="171">
        <f>ROUND('[2]Program Costs - Missouri West'!BG154,2)</f>
        <v>1239844.68</v>
      </c>
      <c r="L11" s="95"/>
      <c r="M11" s="79" t="s">
        <v>32</v>
      </c>
    </row>
    <row r="12" spans="1:34" x14ac:dyDescent="0.25">
      <c r="A12" s="61" t="s">
        <v>0</v>
      </c>
      <c r="C12" s="124">
        <v>-147887.76</v>
      </c>
      <c r="D12" s="136">
        <f>ROUND([5]Pivot!C28,2)</f>
        <v>94271.53</v>
      </c>
      <c r="E12" s="136">
        <f>ROUND([5]Pivot!D28,2)</f>
        <v>69783.350000000006</v>
      </c>
      <c r="F12" s="137">
        <f>ROUND([5]Pivot!E28,2)</f>
        <v>46074.080000000002</v>
      </c>
      <c r="G12" s="16">
        <f>ROUND([5]Pivot!F28,2)</f>
        <v>58929.81</v>
      </c>
      <c r="H12" s="70">
        <f>ROUND([5]Pivot!G28,2)</f>
        <v>115134.19</v>
      </c>
      <c r="I12" s="72">
        <f>ROUND([5]Pivot!H28,2)</f>
        <v>83114.02</v>
      </c>
      <c r="J12" s="180">
        <f>ROUND('[2]Program Costs - Missouri West'!BF155,2)</f>
        <v>108427.84</v>
      </c>
      <c r="K12" s="171">
        <f>ROUND('[2]Program Costs - Missouri West'!BG155,2)</f>
        <v>243899.39</v>
      </c>
      <c r="L12" s="95"/>
      <c r="M12" s="89">
        <v>0.5</v>
      </c>
    </row>
    <row r="13" spans="1:34" x14ac:dyDescent="0.25">
      <c r="A13" s="61" t="s">
        <v>1</v>
      </c>
      <c r="C13" s="124">
        <v>0</v>
      </c>
      <c r="D13" s="136">
        <f>ROUND([5]Pivot!C29,2)</f>
        <v>56575.74</v>
      </c>
      <c r="E13" s="136">
        <f>ROUND([5]Pivot!D29,2)</f>
        <v>34511.85</v>
      </c>
      <c r="F13" s="137">
        <f>ROUND([5]Pivot!E29,2)</f>
        <v>92934.63</v>
      </c>
      <c r="G13" s="16">
        <f>ROUND([5]Pivot!F29,2)</f>
        <v>14865.33</v>
      </c>
      <c r="H13" s="70">
        <f>ROUND([5]Pivot!G29,2)</f>
        <v>39381.14</v>
      </c>
      <c r="I13" s="72">
        <f>ROUND([5]Pivot!H29,2)</f>
        <v>56098.67</v>
      </c>
      <c r="J13" s="180">
        <f>ROUND('[2]Program Costs - Missouri West'!BF156,2)</f>
        <v>0</v>
      </c>
      <c r="K13" s="171">
        <f>ROUND('[2]Program Costs - Missouri West'!BG156,2)</f>
        <v>0</v>
      </c>
      <c r="L13" s="95"/>
      <c r="M13" s="79"/>
    </row>
    <row r="14" spans="1:34" x14ac:dyDescent="0.25">
      <c r="C14" s="125"/>
      <c r="D14" s="44"/>
      <c r="E14" s="44"/>
      <c r="F14" s="44"/>
      <c r="G14" s="41"/>
      <c r="H14" s="44"/>
      <c r="I14" s="17"/>
      <c r="J14" s="41"/>
      <c r="K14" s="44"/>
      <c r="L14" s="42"/>
    </row>
    <row r="15" spans="1:34" x14ac:dyDescent="0.25">
      <c r="C15" s="125"/>
      <c r="D15" s="44"/>
      <c r="E15" s="44"/>
      <c r="F15" s="44"/>
      <c r="G15" s="41"/>
      <c r="H15" s="44"/>
      <c r="I15" s="17"/>
      <c r="J15" s="41"/>
      <c r="K15" s="44"/>
      <c r="L15" s="42"/>
    </row>
    <row r="16" spans="1:34" x14ac:dyDescent="0.25">
      <c r="A16" s="61" t="s">
        <v>41</v>
      </c>
      <c r="C16" s="126"/>
      <c r="D16" s="44"/>
      <c r="E16" s="44"/>
      <c r="F16" s="44"/>
      <c r="G16" s="41"/>
      <c r="H16" s="44"/>
      <c r="I16" s="18"/>
      <c r="J16" s="10"/>
      <c r="K16" s="17"/>
      <c r="L16" s="11"/>
    </row>
    <row r="17" spans="1:14" x14ac:dyDescent="0.25">
      <c r="A17" s="61" t="s">
        <v>29</v>
      </c>
      <c r="C17" s="53">
        <f t="shared" ref="C17:I17" si="3">C10+($M$12*C$12)+($M$12*C$13)</f>
        <v>-1331846.73</v>
      </c>
      <c r="D17" s="54">
        <f t="shared" si="3"/>
        <v>405669.27500000002</v>
      </c>
      <c r="E17" s="54">
        <f t="shared" si="3"/>
        <v>580247.17000000004</v>
      </c>
      <c r="F17" s="135">
        <f t="shared" si="3"/>
        <v>914042.83499999996</v>
      </c>
      <c r="G17" s="53">
        <f t="shared" si="3"/>
        <v>492457.88999999996</v>
      </c>
      <c r="H17" s="54">
        <f t="shared" si="3"/>
        <v>797744.92499999993</v>
      </c>
      <c r="I17" s="135">
        <f t="shared" si="3"/>
        <v>845824.29499999993</v>
      </c>
      <c r="J17" s="53">
        <f t="shared" ref="J17:K17" si="4">J10+($M$12*J$12)+($M$12*J$13)</f>
        <v>719294.35000000009</v>
      </c>
      <c r="K17" s="54">
        <f t="shared" si="4"/>
        <v>1584909.9750000001</v>
      </c>
      <c r="L17" s="77">
        <f t="shared" ref="L17" si="5">L10+($M$12*L$12)+($M$12*L$13)+L$14*(1-$M$14)</f>
        <v>0</v>
      </c>
    </row>
    <row r="18" spans="1:14" x14ac:dyDescent="0.25">
      <c r="A18" s="61" t="s">
        <v>30</v>
      </c>
      <c r="C18" s="53">
        <f t="shared" ref="C18:I18" si="6">(C$11+$M$12*C$12+C$13*$M$12)</f>
        <v>-2122690.86</v>
      </c>
      <c r="D18" s="54">
        <f t="shared" si="6"/>
        <v>837182.35499999998</v>
      </c>
      <c r="E18" s="54">
        <f t="shared" si="6"/>
        <v>645700.54</v>
      </c>
      <c r="F18" s="135">
        <f t="shared" si="6"/>
        <v>683679.50500000012</v>
      </c>
      <c r="G18" s="53">
        <f t="shared" si="6"/>
        <v>738657.99000000011</v>
      </c>
      <c r="H18" s="54">
        <f t="shared" si="6"/>
        <v>723300.06499999994</v>
      </c>
      <c r="I18" s="135">
        <f t="shared" si="6"/>
        <v>626338.125</v>
      </c>
      <c r="J18" s="53">
        <f t="shared" ref="J18:K18" si="7">(J$11+$M$12*J$12+J$13*$M$12)</f>
        <v>934764.78</v>
      </c>
      <c r="K18" s="54">
        <f t="shared" si="7"/>
        <v>1361794.375</v>
      </c>
      <c r="L18" s="77">
        <f t="shared" ref="L18" si="8">(L$11+$M$12*L$12+L$14*$M$14)+L$13*$M$12</f>
        <v>0</v>
      </c>
    </row>
    <row r="19" spans="1:14" x14ac:dyDescent="0.25">
      <c r="C19" s="126"/>
      <c r="D19" s="44"/>
      <c r="E19" s="44"/>
      <c r="F19" s="44"/>
      <c r="G19" s="41"/>
      <c r="H19" s="44"/>
      <c r="I19" s="17"/>
      <c r="J19" s="10"/>
      <c r="K19" s="17"/>
      <c r="L19" s="11"/>
    </row>
    <row r="20" spans="1:14" x14ac:dyDescent="0.25">
      <c r="A20" s="52" t="s">
        <v>63</v>
      </c>
      <c r="B20" s="52"/>
      <c r="C20" s="128"/>
      <c r="D20" s="44"/>
      <c r="E20" s="44"/>
      <c r="F20" s="44"/>
      <c r="G20" s="41"/>
      <c r="H20" s="44"/>
      <c r="I20" s="17"/>
      <c r="J20" s="10"/>
      <c r="K20" s="17"/>
      <c r="L20" s="11"/>
    </row>
    <row r="21" spans="1:14" x14ac:dyDescent="0.25">
      <c r="A21" s="61" t="s">
        <v>29</v>
      </c>
      <c r="C21" s="129">
        <v>-836021094</v>
      </c>
      <c r="D21" s="138">
        <f>+'[3]May 2019 Combined'!$F$55</f>
        <v>193515857.24129999</v>
      </c>
      <c r="E21" s="138">
        <f>+'[3]June 2019 Combined'!$F$55</f>
        <v>259451677.39160001</v>
      </c>
      <c r="F21" s="138">
        <f>+'[3]July 2019 Combined'!$F$55</f>
        <v>363761391.66229981</v>
      </c>
      <c r="G21" s="210">
        <f>+'[3]August 2019 Combined'!$F$60</f>
        <v>371866716.61979985</v>
      </c>
      <c r="H21" s="220">
        <f>+'[3]September 2019 Combined'!$F$55</f>
        <v>329178131.7610001</v>
      </c>
      <c r="I21" s="205">
        <f>+'[3]October 2019 Combined'!$F$55</f>
        <v>259475549.86699998</v>
      </c>
      <c r="J21" s="181">
        <f>+'PCR Cycle 1'!J21</f>
        <v>207260261</v>
      </c>
      <c r="K21" s="172">
        <f>+'PCR Cycle 1'!K21</f>
        <v>266633201</v>
      </c>
      <c r="L21" s="96">
        <f>+'PCR Cycle 1'!L21</f>
        <v>362127632</v>
      </c>
    </row>
    <row r="22" spans="1:14" x14ac:dyDescent="0.25">
      <c r="A22" s="61" t="s">
        <v>30</v>
      </c>
      <c r="C22" s="129">
        <v>-889792293</v>
      </c>
      <c r="D22" s="138">
        <f>+'[3]May 2019 Combined'!$F$56</f>
        <v>271075647.55299997</v>
      </c>
      <c r="E22" s="138">
        <f>+'[3]June 2019 Combined'!$F$56</f>
        <v>263023654.21219999</v>
      </c>
      <c r="F22" s="138">
        <f>+'[3]July 2019 Combined'!$F$56</f>
        <v>337656416.9716</v>
      </c>
      <c r="G22" s="210">
        <f>+'[3]August 2019 Combined'!$F$61</f>
        <v>324847431.9508</v>
      </c>
      <c r="H22" s="220">
        <f>+'[3]September 2019 Combined'!$F$56</f>
        <v>300248518.44930005</v>
      </c>
      <c r="I22" s="205">
        <f>+'[3]October 2019 Combined'!$F$56</f>
        <v>290047321.81709999</v>
      </c>
      <c r="J22" s="181">
        <f>+'PCR Cycle 1'!J22</f>
        <v>268215039</v>
      </c>
      <c r="K22" s="172">
        <f>+'PCR Cycle 1'!K22</f>
        <v>300387945</v>
      </c>
      <c r="L22" s="96">
        <f>+'PCR Cycle 1'!L22</f>
        <v>329682978</v>
      </c>
    </row>
    <row r="23" spans="1:14" x14ac:dyDescent="0.25">
      <c r="C23" s="126"/>
      <c r="D23" s="44"/>
      <c r="E23" s="44"/>
      <c r="F23" s="44"/>
      <c r="G23" s="41"/>
      <c r="H23" s="44"/>
      <c r="I23" s="17"/>
      <c r="J23" s="10"/>
      <c r="K23" s="17"/>
      <c r="L23" s="11"/>
    </row>
    <row r="24" spans="1:14" x14ac:dyDescent="0.25">
      <c r="A24" s="61" t="s">
        <v>40</v>
      </c>
      <c r="C24" s="126"/>
      <c r="D24" s="18"/>
      <c r="E24" s="18"/>
      <c r="F24" s="18"/>
      <c r="G24" s="118"/>
      <c r="H24" s="18"/>
      <c r="J24" s="182"/>
      <c r="K24" s="73"/>
      <c r="L24" s="74"/>
      <c r="M24" s="79" t="s">
        <v>66</v>
      </c>
      <c r="N24" s="52"/>
    </row>
    <row r="25" spans="1:14" x14ac:dyDescent="0.25">
      <c r="A25" s="61" t="s">
        <v>29</v>
      </c>
      <c r="C25" s="124">
        <v>8360.2109399998408</v>
      </c>
      <c r="D25" s="136">
        <f>ROUND('[3]May 2019 Combined'!$F$28+'[3]May 2019 Combined'!$F$33,2)</f>
        <v>-1842.19</v>
      </c>
      <c r="E25" s="136">
        <f>ROUND('[3]June 2019 Combined'!$F$28+'[3]June 2019 Combined'!$F$33,2)</f>
        <v>-2530.11</v>
      </c>
      <c r="F25" s="166">
        <f>ROUND('[3]July 2019 Combined'!$F$28+'[3]July 2019 Combined'!$F$33,2)</f>
        <v>-3555.12</v>
      </c>
      <c r="G25" s="219">
        <f>ROUND('[3]August 2019 Combined'!$F$28+'[3]August 2019 Combined'!$F$33,2)</f>
        <v>1209051.5</v>
      </c>
      <c r="H25" s="70">
        <f>ROUND('[3]September 2019 Combined'!$F$28+'[3]September 2019 Combined'!$F$33,2)</f>
        <v>1056778.58</v>
      </c>
      <c r="I25" s="179">
        <f>ROUND('[3]October 2019 Combined'!$F$28+'[3]October 2019 Combined'!$F$33,2)</f>
        <v>832806.97</v>
      </c>
      <c r="J25" s="53">
        <f>J21*$M25</f>
        <v>665305.43780999992</v>
      </c>
      <c r="K25" s="54">
        <f t="shared" ref="J25:L26" si="9">K21*$M25</f>
        <v>855892.57520999992</v>
      </c>
      <c r="L25" s="64">
        <f t="shared" si="9"/>
        <v>1162429.69872</v>
      </c>
      <c r="M25" s="88">
        <v>3.2099999999999997E-3</v>
      </c>
    </row>
    <row r="26" spans="1:14" x14ac:dyDescent="0.25">
      <c r="A26" s="61" t="str">
        <f>A22</f>
        <v>Non-Residential</v>
      </c>
      <c r="C26" s="124">
        <v>-1832972.1235800004</v>
      </c>
      <c r="D26" s="136">
        <f>ROUND('[3]May 2019 Combined'!$F$29+'[3]May 2019 Combined'!$F$34,2)</f>
        <v>561447.53</v>
      </c>
      <c r="E26" s="136">
        <f>ROUND('[3]June 2019 Combined'!$F$29+'[3]June 2019 Combined'!$F$34,2)</f>
        <v>539984.88</v>
      </c>
      <c r="F26" s="166">
        <f>ROUND('[3]July 2019 Combined'!$F$29+'[3]July 2019 Combined'!$F$34,2)</f>
        <v>694834.87</v>
      </c>
      <c r="G26" s="219">
        <f>ROUND('[3]August 2019 Combined'!$F$29+'[3]August 2019 Combined'!$F$34,2)</f>
        <v>1255063.22</v>
      </c>
      <c r="H26" s="70">
        <f>ROUND('[3]September 2019 Combined'!$F$29+'[3]September 2019 Combined'!$F$34,2)</f>
        <v>1157454.7</v>
      </c>
      <c r="I26" s="179">
        <f>ROUND('[3]October 2019 Combined'!$F$29+'[3]October 2019 Combined'!$F$34,2)</f>
        <v>1171921.58</v>
      </c>
      <c r="J26" s="53">
        <f t="shared" si="9"/>
        <v>1035310.0505400001</v>
      </c>
      <c r="K26" s="54">
        <f t="shared" si="9"/>
        <v>1159497.4677000002</v>
      </c>
      <c r="L26" s="64">
        <f t="shared" si="9"/>
        <v>1272576.2950800001</v>
      </c>
      <c r="M26" s="88">
        <v>3.8600000000000001E-3</v>
      </c>
    </row>
    <row r="27" spans="1:14" x14ac:dyDescent="0.25">
      <c r="C27" s="83"/>
      <c r="D27" s="18"/>
      <c r="E27" s="18"/>
      <c r="F27" s="18"/>
      <c r="G27" s="118"/>
      <c r="H27" s="18"/>
      <c r="J27" s="12"/>
      <c r="K27" s="71"/>
      <c r="L27" s="13"/>
      <c r="M27" s="4"/>
    </row>
    <row r="28" spans="1:14" ht="15.75" thickBot="1" x14ac:dyDescent="0.3">
      <c r="A28" s="61" t="s">
        <v>16</v>
      </c>
      <c r="C28" s="130">
        <v>-13323.67</v>
      </c>
      <c r="D28" s="139">
        <v>4300.29</v>
      </c>
      <c r="E28" s="139">
        <v>6354.34</v>
      </c>
      <c r="F28" s="140">
        <v>8561.82</v>
      </c>
      <c r="G28" s="39">
        <v>7804.0399999999991</v>
      </c>
      <c r="H28" s="149">
        <v>4885.75</v>
      </c>
      <c r="I28" s="206">
        <v>3059</v>
      </c>
      <c r="J28" s="184">
        <v>2311.6099999999997</v>
      </c>
      <c r="K28" s="173">
        <v>3471.6499999999996</v>
      </c>
      <c r="L28" s="100"/>
    </row>
    <row r="29" spans="1:14" x14ac:dyDescent="0.25">
      <c r="C29" s="126"/>
      <c r="D29" s="44"/>
      <c r="E29" s="44"/>
      <c r="F29" s="44"/>
      <c r="G29" s="41"/>
      <c r="H29" s="44"/>
      <c r="I29" s="17"/>
      <c r="J29" s="10"/>
      <c r="K29" s="17"/>
      <c r="L29" s="11"/>
    </row>
    <row r="30" spans="1:14" x14ac:dyDescent="0.25">
      <c r="A30" s="61" t="s">
        <v>68</v>
      </c>
      <c r="C30" s="126"/>
      <c r="D30" s="44"/>
      <c r="E30" s="44"/>
      <c r="F30" s="44"/>
      <c r="G30" s="41"/>
      <c r="H30" s="44"/>
      <c r="I30" s="17"/>
      <c r="J30" s="10"/>
      <c r="K30" s="17"/>
      <c r="L30" s="11"/>
    </row>
    <row r="31" spans="1:14" x14ac:dyDescent="0.25">
      <c r="A31" s="61" t="s">
        <v>29</v>
      </c>
      <c r="C31" s="53">
        <f t="shared" ref="C31:L32" si="10">C17-C25</f>
        <v>-1340206.9409399999</v>
      </c>
      <c r="D31" s="54">
        <f t="shared" si="10"/>
        <v>407511.46500000003</v>
      </c>
      <c r="E31" s="54">
        <f t="shared" si="10"/>
        <v>582777.28</v>
      </c>
      <c r="F31" s="135">
        <f t="shared" si="10"/>
        <v>917597.95499999996</v>
      </c>
      <c r="G31" s="53">
        <f t="shared" si="10"/>
        <v>-716593.6100000001</v>
      </c>
      <c r="H31" s="54">
        <f t="shared" si="10"/>
        <v>-259033.65500000014</v>
      </c>
      <c r="I31" s="135">
        <f t="shared" si="10"/>
        <v>13017.324999999953</v>
      </c>
      <c r="J31" s="53">
        <f t="shared" si="10"/>
        <v>53988.912190000177</v>
      </c>
      <c r="K31" s="54">
        <f t="shared" si="10"/>
        <v>729017.39979000017</v>
      </c>
      <c r="L31" s="64">
        <f t="shared" si="10"/>
        <v>-1162429.69872</v>
      </c>
    </row>
    <row r="32" spans="1:14" x14ac:dyDescent="0.25">
      <c r="A32" s="61" t="s">
        <v>30</v>
      </c>
      <c r="C32" s="53">
        <f t="shared" si="10"/>
        <v>-289718.73641999951</v>
      </c>
      <c r="D32" s="54">
        <f t="shared" si="10"/>
        <v>275734.82499999995</v>
      </c>
      <c r="E32" s="54">
        <f t="shared" si="10"/>
        <v>105715.66000000003</v>
      </c>
      <c r="F32" s="135">
        <f t="shared" si="10"/>
        <v>-11155.364999999874</v>
      </c>
      <c r="G32" s="53">
        <f t="shared" si="10"/>
        <v>-516405.22999999986</v>
      </c>
      <c r="H32" s="54">
        <f t="shared" si="10"/>
        <v>-434154.63500000001</v>
      </c>
      <c r="I32" s="135">
        <f t="shared" si="10"/>
        <v>-545583.45500000007</v>
      </c>
      <c r="J32" s="53">
        <f t="shared" si="10"/>
        <v>-100545.27054000006</v>
      </c>
      <c r="K32" s="54">
        <f t="shared" si="10"/>
        <v>202296.90729999985</v>
      </c>
      <c r="L32" s="64">
        <f t="shared" si="10"/>
        <v>-1272576.2950800001</v>
      </c>
    </row>
    <row r="33" spans="1:13" x14ac:dyDescent="0.25">
      <c r="C33" s="126"/>
      <c r="D33" s="44"/>
      <c r="E33" s="44"/>
      <c r="F33" s="44"/>
      <c r="G33" s="41"/>
      <c r="H33" s="44"/>
      <c r="I33" s="17"/>
      <c r="J33" s="10"/>
      <c r="K33" s="17"/>
      <c r="L33" s="11"/>
    </row>
    <row r="34" spans="1:13" ht="15.75" thickBot="1" x14ac:dyDescent="0.3">
      <c r="A34" s="61" t="s">
        <v>69</v>
      </c>
      <c r="C34" s="131"/>
      <c r="D34" s="44"/>
      <c r="E34" s="44"/>
      <c r="F34" s="44"/>
      <c r="G34" s="41"/>
      <c r="H34" s="44"/>
      <c r="I34" s="17"/>
      <c r="J34" s="10"/>
      <c r="K34" s="17"/>
      <c r="L34" s="11"/>
    </row>
    <row r="35" spans="1:13" x14ac:dyDescent="0.25">
      <c r="A35" s="61" t="s">
        <v>29</v>
      </c>
      <c r="B35" s="196">
        <f>1490730.79+69098.44-212.74+0.65</f>
        <v>1559617.14</v>
      </c>
      <c r="C35" s="54">
        <f>B35+C31+B40</f>
        <v>219410.19906000001</v>
      </c>
      <c r="D35" s="54">
        <f t="shared" ref="D35:L35" si="11">C35+D31+C40</f>
        <v>622057.36406000005</v>
      </c>
      <c r="E35" s="54">
        <f t="shared" si="11"/>
        <v>1206122.6140600001</v>
      </c>
      <c r="F35" s="135">
        <f t="shared" si="11"/>
        <v>2126505.94906</v>
      </c>
      <c r="G35" s="53">
        <f t="shared" si="11"/>
        <v>1414851.9690599998</v>
      </c>
      <c r="H35" s="54">
        <f t="shared" si="11"/>
        <v>1160876.1340599998</v>
      </c>
      <c r="I35" s="135">
        <f t="shared" si="11"/>
        <v>1177434.1190599997</v>
      </c>
      <c r="J35" s="53">
        <f t="shared" si="11"/>
        <v>1234477.5912500001</v>
      </c>
      <c r="K35" s="54">
        <f t="shared" si="11"/>
        <v>1966644.9210400002</v>
      </c>
      <c r="L35" s="64">
        <f t="shared" si="11"/>
        <v>808394.66232000012</v>
      </c>
    </row>
    <row r="36" spans="1:13" ht="15.75" thickBot="1" x14ac:dyDescent="0.3">
      <c r="A36" s="61" t="s">
        <v>30</v>
      </c>
      <c r="B36" s="197">
        <f>1207525.64-69098.44+212.74-0.65+0.09</f>
        <v>1138639.3800000001</v>
      </c>
      <c r="C36" s="54">
        <f>B36+C32+B41</f>
        <v>848920.64358000061</v>
      </c>
      <c r="D36" s="54">
        <f t="shared" ref="D36:L36" si="12">C36+D32+C41</f>
        <v>1116196.0985800005</v>
      </c>
      <c r="E36" s="54">
        <f t="shared" si="12"/>
        <v>1224924.0785800007</v>
      </c>
      <c r="F36" s="135">
        <f t="shared" si="12"/>
        <v>1217337.6835800007</v>
      </c>
      <c r="G36" s="53">
        <f t="shared" si="12"/>
        <v>704554.64358000073</v>
      </c>
      <c r="H36" s="54">
        <f t="shared" si="12"/>
        <v>273146.22858000069</v>
      </c>
      <c r="I36" s="135">
        <f t="shared" si="12"/>
        <v>-271092.1264199994</v>
      </c>
      <c r="J36" s="53">
        <f t="shared" si="12"/>
        <v>-371632.96695999947</v>
      </c>
      <c r="K36" s="54">
        <f t="shared" si="12"/>
        <v>-170174.37965999963</v>
      </c>
      <c r="L36" s="64">
        <f t="shared" si="12"/>
        <v>-1443458.4647399997</v>
      </c>
    </row>
    <row r="37" spans="1:13" x14ac:dyDescent="0.25">
      <c r="C37" s="126"/>
      <c r="D37" s="44"/>
      <c r="E37" s="44"/>
      <c r="F37" s="44"/>
      <c r="G37" s="41"/>
      <c r="H37" s="44"/>
      <c r="I37" s="17"/>
      <c r="J37" s="10"/>
      <c r="K37" s="17"/>
      <c r="L37" s="11"/>
    </row>
    <row r="38" spans="1:13" x14ac:dyDescent="0.25">
      <c r="A38" s="52" t="s">
        <v>65</v>
      </c>
      <c r="B38" s="52"/>
      <c r="C38" s="131"/>
      <c r="D38" s="103">
        <f>+'PCR Cycle 1'!D38</f>
        <v>3.0790499999999998E-3</v>
      </c>
      <c r="E38" s="103">
        <f>+'PCR Cycle 1'!E38</f>
        <v>3.0450199999999998E-3</v>
      </c>
      <c r="F38" s="103">
        <f>+'PCR Cycle 1'!F38</f>
        <v>2.9619300000000002E-3</v>
      </c>
      <c r="G38" s="105">
        <f>+'PCR Cycle 1'!G38</f>
        <v>2.8524499999999999E-3</v>
      </c>
      <c r="H38" s="103">
        <f>+'PCR Cycle 1'!H38</f>
        <v>2.7438599999999999E-3</v>
      </c>
      <c r="I38" s="103">
        <f>+'PCR Cycle 1'!I38</f>
        <v>2.60867E-3</v>
      </c>
      <c r="J38" s="105">
        <f>+I38</f>
        <v>2.60867E-3</v>
      </c>
      <c r="K38" s="103">
        <f>+J38</f>
        <v>2.60867E-3</v>
      </c>
      <c r="L38" s="119"/>
    </row>
    <row r="39" spans="1:13" x14ac:dyDescent="0.25">
      <c r="A39" s="52" t="s">
        <v>44</v>
      </c>
      <c r="B39" s="52"/>
      <c r="C39" s="126"/>
      <c r="D39" s="44"/>
      <c r="E39" s="44"/>
      <c r="F39" s="44"/>
      <c r="G39" s="41"/>
      <c r="H39" s="44"/>
      <c r="I39" s="17"/>
      <c r="J39" s="10"/>
      <c r="K39" s="17"/>
      <c r="L39" s="11"/>
      <c r="M39" s="87"/>
    </row>
    <row r="40" spans="1:13" x14ac:dyDescent="0.25">
      <c r="A40" s="61" t="s">
        <v>29</v>
      </c>
      <c r="C40" s="53">
        <v>-4864.3</v>
      </c>
      <c r="D40" s="54">
        <f t="shared" ref="D40" si="13">ROUND((C35+C40+D31/2)*D$38,2)</f>
        <v>1287.97</v>
      </c>
      <c r="E40" s="54">
        <f t="shared" ref="E40:E41" si="14">ROUND((D35+D40+E31/2)*E$38,2)</f>
        <v>2785.38</v>
      </c>
      <c r="F40" s="135">
        <f t="shared" ref="F40:F41" si="15">ROUND((E35+E40+F31/2)*F$38,2)</f>
        <v>4939.63</v>
      </c>
      <c r="G40" s="53">
        <f t="shared" ref="G40:G41" si="16">ROUND((F35+F40+G31/2)*G$38,2)</f>
        <v>5057.82</v>
      </c>
      <c r="H40" s="150">
        <f t="shared" ref="H40:I41" si="17">ROUND((G35+G40+H31/2)*H$38,2)</f>
        <v>3540.66</v>
      </c>
      <c r="I40" s="135">
        <f t="shared" si="17"/>
        <v>3054.56</v>
      </c>
      <c r="J40" s="53">
        <f t="shared" ref="J40:J41" si="18">ROUND((I35+I40+J31/2)*J$38,2)</f>
        <v>3149.93</v>
      </c>
      <c r="K40" s="150">
        <f t="shared" ref="K40:K41" si="19">ROUND((J35+J40+K31/2)*K$38,2)</f>
        <v>4179.4399999999996</v>
      </c>
      <c r="L40" s="64"/>
    </row>
    <row r="41" spans="1:13" ht="15.75" thickBot="1" x14ac:dyDescent="0.3">
      <c r="A41" s="61" t="s">
        <v>30</v>
      </c>
      <c r="C41" s="141">
        <v>-8459.369999999999</v>
      </c>
      <c r="D41" s="54">
        <f>ROUND((C36+C41+D32/2)*D$38,2)</f>
        <v>3012.32</v>
      </c>
      <c r="E41" s="54">
        <f t="shared" si="14"/>
        <v>3568.97</v>
      </c>
      <c r="F41" s="135">
        <f t="shared" si="15"/>
        <v>3622.19</v>
      </c>
      <c r="G41" s="53">
        <f t="shared" si="16"/>
        <v>2746.22</v>
      </c>
      <c r="H41" s="150">
        <f t="shared" si="17"/>
        <v>1345.1</v>
      </c>
      <c r="I41" s="135">
        <f t="shared" si="17"/>
        <v>4.43</v>
      </c>
      <c r="J41" s="53">
        <f t="shared" si="18"/>
        <v>-838.32</v>
      </c>
      <c r="K41" s="150">
        <f t="shared" si="19"/>
        <v>-707.79</v>
      </c>
      <c r="L41" s="64"/>
    </row>
    <row r="42" spans="1:13" ht="16.5" thickTop="1" thickBot="1" x14ac:dyDescent="0.3">
      <c r="A42" s="69" t="s">
        <v>25</v>
      </c>
      <c r="B42" s="69"/>
      <c r="C42" s="142">
        <v>0</v>
      </c>
      <c r="D42" s="45">
        <f t="shared" ref="D42:L42" si="20">SUM(D40:D41)+SUM(D35:D36)-D45</f>
        <v>0</v>
      </c>
      <c r="E42" s="45">
        <f t="shared" si="20"/>
        <v>0</v>
      </c>
      <c r="F42" s="65">
        <f t="shared" si="20"/>
        <v>0</v>
      </c>
      <c r="G42" s="151">
        <f t="shared" si="20"/>
        <v>0</v>
      </c>
      <c r="H42" s="45">
        <f t="shared" si="20"/>
        <v>0</v>
      </c>
      <c r="I42" s="65">
        <f t="shared" si="20"/>
        <v>0</v>
      </c>
      <c r="J42" s="66">
        <f t="shared" si="20"/>
        <v>0</v>
      </c>
      <c r="K42" s="45">
        <f t="shared" si="20"/>
        <v>0</v>
      </c>
      <c r="L42" s="123">
        <f t="shared" si="20"/>
        <v>0</v>
      </c>
    </row>
    <row r="43" spans="1:13" ht="16.5" thickTop="1" thickBot="1" x14ac:dyDescent="0.3">
      <c r="A43" s="69" t="s">
        <v>26</v>
      </c>
      <c r="B43" s="69"/>
      <c r="C43" s="134">
        <v>0</v>
      </c>
      <c r="D43" s="45">
        <f>SUM(D40:D41)-D28</f>
        <v>0</v>
      </c>
      <c r="E43" s="45">
        <f t="shared" ref="E43:I43" si="21">SUM(E40:E41)-E28</f>
        <v>1.0000000000218279E-2</v>
      </c>
      <c r="F43" s="65">
        <f>SUM(F40:F41)-F28</f>
        <v>0</v>
      </c>
      <c r="G43" s="66">
        <f t="shared" ref="G43:H43" si="22">SUM(G40:G41)-G28</f>
        <v>0</v>
      </c>
      <c r="H43" s="45">
        <f t="shared" si="22"/>
        <v>1.0000000000218279E-2</v>
      </c>
      <c r="I43" s="65">
        <f t="shared" si="21"/>
        <v>-1.0000000000218279E-2</v>
      </c>
      <c r="J43" s="66">
        <f t="shared" ref="J43:L43" si="23">SUM(J40:J41)-J28</f>
        <v>0</v>
      </c>
      <c r="K43" s="45">
        <f t="shared" si="23"/>
        <v>0</v>
      </c>
      <c r="L43" s="123">
        <f t="shared" si="23"/>
        <v>0</v>
      </c>
    </row>
    <row r="44" spans="1:13" ht="16.5" thickTop="1" thickBot="1" x14ac:dyDescent="0.3">
      <c r="C44" s="126"/>
      <c r="D44" s="17"/>
      <c r="E44" s="17"/>
      <c r="F44" s="17"/>
      <c r="G44" s="10"/>
      <c r="H44" s="17"/>
      <c r="I44" s="17"/>
      <c r="J44" s="10"/>
      <c r="K44" s="17"/>
      <c r="L44" s="11"/>
    </row>
    <row r="45" spans="1:13" ht="15.75" thickBot="1" x14ac:dyDescent="0.3">
      <c r="A45" s="61" t="s">
        <v>42</v>
      </c>
      <c r="B45" s="146">
        <f>+B35+B36</f>
        <v>2698256.52</v>
      </c>
      <c r="C45" s="53">
        <f t="shared" ref="C45:I45" si="24">(SUM(C10:C14)-SUM(C25:C26))+SUM(C40:C41)+B45</f>
        <v>1055007.1726400007</v>
      </c>
      <c r="D45" s="54">
        <f t="shared" si="24"/>
        <v>1742553.7526400005</v>
      </c>
      <c r="E45" s="54">
        <f t="shared" si="24"/>
        <v>2437401.0426400006</v>
      </c>
      <c r="F45" s="135">
        <f t="shared" si="24"/>
        <v>3352405.4526400003</v>
      </c>
      <c r="G45" s="53">
        <f t="shared" si="24"/>
        <v>2127210.6526400009</v>
      </c>
      <c r="H45" s="54">
        <f t="shared" si="24"/>
        <v>1438908.1226400007</v>
      </c>
      <c r="I45" s="135">
        <f t="shared" si="24"/>
        <v>909400.98264000053</v>
      </c>
      <c r="J45" s="53">
        <f t="shared" ref="J45" si="25">(SUM(J10:J14)-SUM(J25:J26))+SUM(J40:J41)+I45</f>
        <v>865156.23429000063</v>
      </c>
      <c r="K45" s="54">
        <f t="shared" ref="K45:L45" si="26">(SUM(K10:K14)-SUM(K25:K26))+SUM(K40:K41)+J45</f>
        <v>1799942.1913800007</v>
      </c>
      <c r="L45" s="77">
        <f t="shared" si="26"/>
        <v>-635063.80241999961</v>
      </c>
    </row>
    <row r="46" spans="1:13" x14ac:dyDescent="0.25">
      <c r="A46" s="61" t="s">
        <v>14</v>
      </c>
      <c r="C46" s="147"/>
      <c r="D46" s="71"/>
      <c r="E46" s="71"/>
      <c r="F46" s="71"/>
      <c r="G46" s="12"/>
      <c r="H46" s="71"/>
      <c r="I46" s="17"/>
      <c r="J46" s="10"/>
      <c r="K46" s="17"/>
      <c r="L46" s="11"/>
    </row>
    <row r="47" spans="1:13" ht="15.75" thickBot="1" x14ac:dyDescent="0.3">
      <c r="B47" s="17"/>
      <c r="C47" s="56"/>
      <c r="D47" s="57"/>
      <c r="E47" s="57"/>
      <c r="F47" s="57"/>
      <c r="G47" s="56"/>
      <c r="H47" s="57"/>
      <c r="I47" s="57"/>
      <c r="J47" s="56"/>
      <c r="K47" s="57"/>
      <c r="L47" s="58"/>
    </row>
    <row r="48" spans="1:13" x14ac:dyDescent="0.25">
      <c r="C48" s="214"/>
      <c r="D48" s="214"/>
      <c r="E48" s="214"/>
      <c r="F48" s="214"/>
      <c r="G48" s="214"/>
      <c r="H48" s="214"/>
    </row>
    <row r="49" spans="1:12" x14ac:dyDescent="0.25">
      <c r="A49" s="85" t="s">
        <v>13</v>
      </c>
      <c r="B49" s="85"/>
      <c r="C49" s="85"/>
    </row>
    <row r="50" spans="1:12" ht="39.75" customHeight="1" x14ac:dyDescent="0.25">
      <c r="A50" s="275" t="s">
        <v>153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</row>
    <row r="51" spans="1:12" ht="37.5" customHeight="1" x14ac:dyDescent="0.25">
      <c r="A51" s="274" t="s">
        <v>145</v>
      </c>
      <c r="B51" s="274"/>
      <c r="C51" s="274"/>
      <c r="D51" s="274"/>
      <c r="E51" s="274"/>
      <c r="F51" s="274"/>
      <c r="G51" s="274"/>
      <c r="H51" s="274"/>
      <c r="I51" s="274"/>
      <c r="J51" s="223"/>
      <c r="K51" s="223"/>
      <c r="L51" s="223"/>
    </row>
    <row r="52" spans="1:12" ht="33.75" customHeight="1" x14ac:dyDescent="0.25">
      <c r="A52" s="274" t="s">
        <v>148</v>
      </c>
      <c r="B52" s="274"/>
      <c r="C52" s="274"/>
      <c r="D52" s="274"/>
      <c r="E52" s="274"/>
      <c r="F52" s="274"/>
      <c r="G52" s="274"/>
      <c r="H52" s="274"/>
      <c r="I52" s="274"/>
      <c r="J52" s="223"/>
      <c r="K52" s="223"/>
      <c r="L52" s="223"/>
    </row>
    <row r="53" spans="1:12" x14ac:dyDescent="0.25">
      <c r="A53" s="3" t="s">
        <v>37</v>
      </c>
      <c r="B53" s="3"/>
      <c r="C53" s="3"/>
      <c r="I53" s="4"/>
    </row>
    <row r="54" spans="1:12" x14ac:dyDescent="0.25">
      <c r="A54" s="3" t="s">
        <v>144</v>
      </c>
      <c r="B54" s="3"/>
      <c r="C54" s="3"/>
      <c r="I54" s="4"/>
    </row>
    <row r="55" spans="1:12" x14ac:dyDescent="0.25">
      <c r="A55" s="3" t="s">
        <v>67</v>
      </c>
      <c r="B55" s="3"/>
      <c r="C55" s="3"/>
      <c r="I55" s="4"/>
    </row>
    <row r="56" spans="1:12" x14ac:dyDescent="0.25">
      <c r="C56" s="52"/>
      <c r="D56" s="52"/>
      <c r="E56" s="52"/>
      <c r="F56" s="52"/>
      <c r="G56" s="52"/>
      <c r="H56" s="52"/>
      <c r="I56" s="52"/>
      <c r="J56" s="52"/>
    </row>
    <row r="57" spans="1:12" x14ac:dyDescent="0.25">
      <c r="C57" s="52"/>
      <c r="D57" s="265"/>
      <c r="E57" s="265"/>
      <c r="F57" s="265"/>
      <c r="G57" s="265"/>
      <c r="H57" s="265"/>
      <c r="I57" s="265"/>
      <c r="J57" s="52"/>
    </row>
    <row r="58" spans="1:12" x14ac:dyDescent="0.25">
      <c r="C58" s="52"/>
      <c r="D58" s="265"/>
      <c r="E58" s="265"/>
      <c r="F58" s="265"/>
      <c r="G58" s="265"/>
      <c r="H58" s="265"/>
      <c r="I58" s="265"/>
      <c r="J58" s="52"/>
    </row>
    <row r="59" spans="1:12" x14ac:dyDescent="0.25">
      <c r="C59" s="52"/>
      <c r="D59" s="265"/>
      <c r="E59" s="265"/>
      <c r="F59" s="265"/>
      <c r="G59" s="265"/>
      <c r="H59" s="265"/>
      <c r="I59" s="265"/>
      <c r="J59" s="52"/>
    </row>
    <row r="60" spans="1:12" x14ac:dyDescent="0.25">
      <c r="C60" s="52"/>
      <c r="D60" s="52"/>
      <c r="E60" s="52"/>
      <c r="F60" s="52"/>
      <c r="G60" s="52"/>
      <c r="H60" s="52"/>
      <c r="I60" s="52"/>
      <c r="J60" s="52"/>
    </row>
    <row r="61" spans="1:12" x14ac:dyDescent="0.25">
      <c r="C61" s="52"/>
      <c r="D61" s="266"/>
      <c r="E61" s="266"/>
      <c r="F61" s="266"/>
      <c r="G61" s="266"/>
      <c r="H61" s="266"/>
      <c r="I61" s="266"/>
      <c r="J61" s="52"/>
    </row>
    <row r="62" spans="1:12" x14ac:dyDescent="0.25">
      <c r="C62" s="52"/>
      <c r="D62" s="266"/>
      <c r="E62" s="266"/>
      <c r="F62" s="266"/>
      <c r="G62" s="266"/>
      <c r="H62" s="266"/>
      <c r="I62" s="266"/>
      <c r="J62" s="52"/>
    </row>
    <row r="63" spans="1:12" x14ac:dyDescent="0.25">
      <c r="C63" s="52"/>
      <c r="D63" s="52"/>
      <c r="E63" s="52"/>
      <c r="F63" s="52"/>
      <c r="G63" s="52"/>
      <c r="H63" s="52"/>
      <c r="I63" s="52"/>
      <c r="J63" s="52"/>
    </row>
    <row r="64" spans="1:12" x14ac:dyDescent="0.25">
      <c r="C64" s="52"/>
      <c r="D64" s="52"/>
      <c r="E64" s="52"/>
      <c r="F64" s="52"/>
      <c r="G64" s="52"/>
      <c r="H64" s="52"/>
      <c r="I64" s="52"/>
      <c r="J64" s="52"/>
    </row>
    <row r="65" spans="3:13" x14ac:dyDescent="0.25">
      <c r="C65" s="52"/>
      <c r="D65" s="52"/>
      <c r="E65" s="52"/>
      <c r="F65" s="52"/>
      <c r="G65" s="52"/>
      <c r="H65" s="52"/>
      <c r="I65" s="52"/>
      <c r="J65" s="52"/>
    </row>
    <row r="66" spans="3:13" x14ac:dyDescent="0.25">
      <c r="D66" s="62"/>
      <c r="E66" s="62"/>
      <c r="F66" s="62"/>
      <c r="G66" s="62"/>
      <c r="H66" s="62"/>
    </row>
    <row r="67" spans="3:13" x14ac:dyDescent="0.25">
      <c r="D67" s="62"/>
      <c r="E67" s="62"/>
      <c r="F67" s="62"/>
      <c r="G67" s="62"/>
      <c r="H67" s="62"/>
    </row>
    <row r="70" spans="3:13" x14ac:dyDescent="0.25">
      <c r="M70" s="8"/>
    </row>
  </sheetData>
  <mergeCells count="6">
    <mergeCell ref="A52:I52"/>
    <mergeCell ref="D8:F8"/>
    <mergeCell ref="A51:I51"/>
    <mergeCell ref="A50:L50"/>
    <mergeCell ref="G8:I8"/>
    <mergeCell ref="J8:L8"/>
  </mergeCells>
  <pageMargins left="0.2" right="0.2" top="0.75" bottom="0.25" header="0.3" footer="0.3"/>
  <pageSetup scale="54" orientation="landscape" r:id="rId1"/>
  <headerFooter>
    <oddHeader>&amp;C&amp;F &amp;A</oddHeader>
    <oddFooter>&amp;R&amp;1#&amp;"Calibri"&amp;10&amp;KA80000Internal Use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7"/>
  <sheetViews>
    <sheetView workbookViewId="0">
      <selection activeCell="C7" sqref="C7"/>
    </sheetView>
  </sheetViews>
  <sheetFormatPr defaultRowHeight="15" x14ac:dyDescent="0.25"/>
  <cols>
    <col min="1" max="1" width="17.5703125" customWidth="1"/>
    <col min="2" max="2" width="16.140625" customWidth="1"/>
    <col min="3" max="3" width="15.140625" customWidth="1"/>
  </cols>
  <sheetData>
    <row r="1" spans="1:23" s="61" customFormat="1" x14ac:dyDescent="0.25">
      <c r="A1" s="3" t="str">
        <f>+PPC!A1</f>
        <v>Evergy Missouri West, Inc. - DSIM Rider Update Filed 12/02/2019</v>
      </c>
    </row>
    <row r="2" spans="1:23" x14ac:dyDescent="0.25">
      <c r="A2" s="9" t="str">
        <f>+PPC!A2</f>
        <v>Projections for Cycle 2 January - June 2020 DSIM</v>
      </c>
    </row>
    <row r="3" spans="1:23" s="61" customFormat="1" x14ac:dyDescent="0.25">
      <c r="A3" s="9"/>
    </row>
    <row r="4" spans="1:23" ht="40.5" customHeight="1" x14ac:dyDescent="0.25">
      <c r="B4" s="267" t="s">
        <v>84</v>
      </c>
      <c r="C4" s="267"/>
    </row>
    <row r="5" spans="1:23" ht="45" x14ac:dyDescent="0.25">
      <c r="B5" s="86" t="s">
        <v>87</v>
      </c>
      <c r="C5" s="6" t="s">
        <v>34</v>
      </c>
    </row>
    <row r="6" spans="1:23" x14ac:dyDescent="0.25">
      <c r="A6" s="22" t="s">
        <v>29</v>
      </c>
      <c r="B6" s="34">
        <f>+'[2]Missouri West Monthly TD Calc'!BA343</f>
        <v>21110518.751009211</v>
      </c>
      <c r="C6" s="107">
        <f>ROUND('[2]Missouri West Monthly TD Calc'!BA321,2)</f>
        <v>980827.22</v>
      </c>
    </row>
    <row r="7" spans="1:23" x14ac:dyDescent="0.25">
      <c r="A7" s="43" t="s">
        <v>30</v>
      </c>
      <c r="B7" s="34">
        <f>+'[2]Missouri West Monthly TD Calc'!BA344</f>
        <v>30762763.219136003</v>
      </c>
      <c r="C7" s="107">
        <f>ROUND('[2]Missouri West Monthly TD Calc'!BA322,2)</f>
        <v>922571.14</v>
      </c>
    </row>
    <row r="8" spans="1:23" x14ac:dyDescent="0.25">
      <c r="A8" s="22" t="s">
        <v>6</v>
      </c>
      <c r="B8" s="35">
        <f>SUM(B6:B7)</f>
        <v>51873281.970145211</v>
      </c>
      <c r="C8" s="24">
        <f>SUM(C6:C7)</f>
        <v>1903398.3599999999</v>
      </c>
    </row>
    <row r="9" spans="1:23" x14ac:dyDescent="0.25">
      <c r="B9" s="33"/>
      <c r="C9" s="61"/>
    </row>
    <row r="10" spans="1:23" x14ac:dyDescent="0.25">
      <c r="A10" s="61"/>
      <c r="B10" s="61"/>
      <c r="C10" s="61"/>
    </row>
    <row r="11" spans="1:23" x14ac:dyDescent="0.25">
      <c r="A11" s="85" t="s">
        <v>35</v>
      </c>
      <c r="B11" s="22"/>
      <c r="C11" s="2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x14ac:dyDescent="0.25">
      <c r="A12" s="272" t="s">
        <v>154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2"/>
      <c r="L12" s="272"/>
    </row>
    <row r="13" spans="1:23" x14ac:dyDescent="0.25">
      <c r="A13" s="272" t="s">
        <v>155</v>
      </c>
      <c r="B13" s="272"/>
      <c r="C13" s="272"/>
      <c r="D13" s="272"/>
      <c r="E13" s="272"/>
      <c r="F13" s="272"/>
      <c r="G13" s="272"/>
      <c r="H13" s="272"/>
      <c r="I13" s="272"/>
      <c r="J13" s="272"/>
      <c r="K13" s="272"/>
      <c r="L13" s="272"/>
    </row>
    <row r="33" spans="2:3" x14ac:dyDescent="0.25">
      <c r="B33" s="8"/>
      <c r="C33" s="8"/>
    </row>
    <row r="37" spans="2:3" x14ac:dyDescent="0.25">
      <c r="B37" s="8"/>
      <c r="C37" s="8"/>
    </row>
  </sheetData>
  <mergeCells count="3">
    <mergeCell ref="B4:C4"/>
    <mergeCell ref="A12:L12"/>
    <mergeCell ref="A13:L13"/>
  </mergeCells>
  <pageMargins left="0.2" right="0.2" top="0.75" bottom="0.2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55"/>
  <sheetViews>
    <sheetView zoomScaleNormal="100" workbookViewId="0">
      <pane xSplit="3" ySplit="11" topLeftCell="J33" activePane="bottomRight" state="frozen"/>
      <selection activeCell="F17" sqref="F17"/>
      <selection pane="topRight" activeCell="F17" sqref="F17"/>
      <selection pane="bottomLeft" activeCell="F17" sqref="F17"/>
      <selection pane="bottomRight" activeCell="O1" sqref="O1:O1048576"/>
    </sheetView>
  </sheetViews>
  <sheetFormatPr defaultRowHeight="15" outlineLevelRow="1" x14ac:dyDescent="0.25"/>
  <cols>
    <col min="1" max="1" width="37.7109375" customWidth="1"/>
    <col min="2" max="2" width="12.28515625" style="61" bestFit="1" customWidth="1"/>
    <col min="3" max="3" width="12.42578125" style="61" customWidth="1"/>
    <col min="4" max="4" width="15.42578125" customWidth="1"/>
    <col min="5" max="5" width="15.85546875" customWidth="1"/>
    <col min="6" max="6" width="12.28515625" style="61" customWidth="1"/>
    <col min="7" max="8" width="13.28515625" style="61" customWidth="1"/>
    <col min="9" max="9" width="12.28515625" bestFit="1" customWidth="1"/>
    <col min="10" max="10" width="12.28515625" style="61" bestFit="1" customWidth="1"/>
    <col min="11" max="11" width="13" style="61" customWidth="1"/>
    <col min="12" max="12" width="16" style="61" customWidth="1"/>
    <col min="13" max="13" width="15" bestFit="1" customWidth="1"/>
    <col min="14" max="14" width="16" bestFit="1" customWidth="1"/>
    <col min="15" max="15" width="15.28515625" bestFit="1" customWidth="1"/>
    <col min="16" max="16" width="17.42578125" bestFit="1" customWidth="1"/>
    <col min="17" max="17" width="16.28515625" bestFit="1" customWidth="1"/>
    <col min="18" max="18" width="15.28515625" bestFit="1" customWidth="1"/>
    <col min="19" max="19" width="12.42578125" customWidth="1"/>
    <col min="20" max="21" width="14.28515625" bestFit="1" customWidth="1"/>
  </cols>
  <sheetData>
    <row r="1" spans="1:34" x14ac:dyDescent="0.25">
      <c r="A1" s="3" t="str">
        <f>+PPC!A1</f>
        <v>Evergy Missouri West, Inc. - DSIM Rider Update Filed 12/02/2019</v>
      </c>
      <c r="B1" s="3"/>
      <c r="C1" s="3"/>
    </row>
    <row r="2" spans="1:34" x14ac:dyDescent="0.25">
      <c r="D2" s="3" t="s">
        <v>86</v>
      </c>
      <c r="K2"/>
      <c r="M2" s="61"/>
      <c r="O2" s="61"/>
      <c r="P2" s="61"/>
    </row>
    <row r="3" spans="1:34" ht="30" x14ac:dyDescent="0.25">
      <c r="D3" s="6" t="s">
        <v>62</v>
      </c>
      <c r="E3" s="86" t="s">
        <v>45</v>
      </c>
      <c r="F3" s="86" t="s">
        <v>46</v>
      </c>
      <c r="G3" s="6" t="s">
        <v>3</v>
      </c>
      <c r="H3" s="86" t="s">
        <v>70</v>
      </c>
      <c r="I3" s="6" t="s">
        <v>11</v>
      </c>
      <c r="J3" s="6" t="s">
        <v>10</v>
      </c>
      <c r="R3" s="6"/>
    </row>
    <row r="4" spans="1:34" x14ac:dyDescent="0.25">
      <c r="A4" s="22" t="s">
        <v>29</v>
      </c>
      <c r="B4" s="22"/>
      <c r="C4" s="22"/>
      <c r="D4" s="24">
        <f>SUM(C15:L15)</f>
        <v>1573.6390599999988</v>
      </c>
      <c r="E4" s="168">
        <f>M19</f>
        <v>0</v>
      </c>
      <c r="F4" s="24">
        <f>SUM(C23:K23)</f>
        <v>0</v>
      </c>
      <c r="G4" s="24">
        <f>F4-D4</f>
        <v>-1573.6390599999988</v>
      </c>
      <c r="H4" s="24">
        <f>+B33+B38</f>
        <v>1112.2699999999313</v>
      </c>
      <c r="I4" s="24">
        <f>SUM(C38:K38)</f>
        <v>461.37</v>
      </c>
      <c r="J4" s="36">
        <f>SUM(G4:I4)</f>
        <v>9.3999993248417013E-4</v>
      </c>
      <c r="K4" s="4">
        <f>+J4-L33-M38</f>
        <v>0</v>
      </c>
    </row>
    <row r="5" spans="1:34" ht="15.75" thickBot="1" x14ac:dyDescent="0.3">
      <c r="A5" s="22" t="s">
        <v>30</v>
      </c>
      <c r="B5" s="22"/>
      <c r="C5" s="22"/>
      <c r="D5" s="24">
        <f>SUM(C16:L16)</f>
        <v>13559.07293</v>
      </c>
      <c r="E5" s="168">
        <f>M20</f>
        <v>0</v>
      </c>
      <c r="F5" s="24">
        <f>SUM(C24:K24)</f>
        <v>0</v>
      </c>
      <c r="G5" s="24">
        <f>F5-D5</f>
        <v>-13559.07293</v>
      </c>
      <c r="H5" s="24">
        <f>+B34+B39</f>
        <v>13123.699999999953</v>
      </c>
      <c r="I5" s="24">
        <f>SUM(C39:K39)</f>
        <v>435.37000000000006</v>
      </c>
      <c r="J5" s="36">
        <f>SUM(G5:I5)</f>
        <v>-2.9300000467742393E-3</v>
      </c>
      <c r="K5" s="62">
        <f>+J5-L34-M39</f>
        <v>0</v>
      </c>
    </row>
    <row r="6" spans="1:34" ht="16.5" thickTop="1" thickBot="1" x14ac:dyDescent="0.3">
      <c r="D6" s="40">
        <f t="shared" ref="D6" si="0">SUM(D4:D5)</f>
        <v>15132.71199</v>
      </c>
      <c r="E6" s="169">
        <f t="shared" ref="E6:H6" si="1">SUM(E4:E5)</f>
        <v>0</v>
      </c>
      <c r="F6" s="40">
        <f t="shared" si="1"/>
        <v>0</v>
      </c>
      <c r="G6" s="40">
        <f t="shared" si="1"/>
        <v>-15132.71199</v>
      </c>
      <c r="H6" s="40">
        <f t="shared" si="1"/>
        <v>14235.969999999885</v>
      </c>
      <c r="I6" s="40">
        <f>SUM(I4:I5)</f>
        <v>896.74</v>
      </c>
      <c r="J6" s="40">
        <f>SUM(J4:J5)</f>
        <v>-1.9900001142900692E-3</v>
      </c>
      <c r="K6"/>
      <c r="S6" s="5"/>
    </row>
    <row r="7" spans="1:34" ht="15.75" thickTop="1" x14ac:dyDescent="0.25"/>
    <row r="8" spans="1:34" x14ac:dyDescent="0.25">
      <c r="I8" s="4"/>
      <c r="U8" s="4"/>
    </row>
    <row r="9" spans="1:34" ht="15.75" thickBot="1" x14ac:dyDescent="0.3">
      <c r="U9" s="4"/>
      <c r="V9" s="5"/>
    </row>
    <row r="10" spans="1:34" ht="90.75" thickBot="1" x14ac:dyDescent="0.3">
      <c r="B10" s="145" t="str">
        <f>+'PCR Cycle 1'!B8</f>
        <v>Cumulative Over/Under Carryover From 06/01/2019 Filing</v>
      </c>
      <c r="C10" s="218" t="str">
        <f>+'PCR Cycle 1'!C8</f>
        <v>Reverse May-19 - October-19  Forecast From 06/01/2019 Filing</v>
      </c>
      <c r="D10" s="276" t="s">
        <v>39</v>
      </c>
      <c r="E10" s="276"/>
      <c r="F10" s="277"/>
      <c r="G10" s="281" t="s">
        <v>39</v>
      </c>
      <c r="H10" s="282"/>
      <c r="I10" s="283"/>
      <c r="J10" s="278" t="s">
        <v>9</v>
      </c>
      <c r="K10" s="279"/>
      <c r="L10" s="280"/>
    </row>
    <row r="11" spans="1:34" x14ac:dyDescent="0.25">
      <c r="A11" t="s">
        <v>43</v>
      </c>
      <c r="C11" s="132"/>
      <c r="D11" s="20">
        <f>+'PCR Cycle 1'!D9</f>
        <v>43616</v>
      </c>
      <c r="E11" s="20">
        <f t="shared" ref="E11:L11" si="2">EOMONTH(D11,1)</f>
        <v>43646</v>
      </c>
      <c r="F11" s="20">
        <f t="shared" si="2"/>
        <v>43677</v>
      </c>
      <c r="G11" s="14">
        <f t="shared" si="2"/>
        <v>43708</v>
      </c>
      <c r="H11" s="20">
        <f t="shared" si="2"/>
        <v>43738</v>
      </c>
      <c r="I11" s="20">
        <f t="shared" si="2"/>
        <v>43769</v>
      </c>
      <c r="J11" s="14">
        <f t="shared" si="2"/>
        <v>43799</v>
      </c>
      <c r="K11" s="20">
        <f t="shared" si="2"/>
        <v>43830</v>
      </c>
      <c r="L11" s="15">
        <f t="shared" si="2"/>
        <v>43861</v>
      </c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x14ac:dyDescent="0.25">
      <c r="A12" t="s">
        <v>6</v>
      </c>
      <c r="C12" s="124">
        <v>0</v>
      </c>
      <c r="D12" s="136">
        <f t="shared" ref="D12:H12" si="3">+D23+D24</f>
        <v>0</v>
      </c>
      <c r="E12" s="136">
        <f t="shared" si="3"/>
        <v>0</v>
      </c>
      <c r="F12" s="137">
        <f t="shared" si="3"/>
        <v>0</v>
      </c>
      <c r="G12" s="16">
        <f t="shared" si="3"/>
        <v>0</v>
      </c>
      <c r="H12" s="70">
        <f t="shared" si="3"/>
        <v>0</v>
      </c>
      <c r="I12" s="72">
        <f>+I23+I24</f>
        <v>0</v>
      </c>
      <c r="J12" s="186">
        <f t="shared" ref="J12:K12" si="4">+J23+J24</f>
        <v>0</v>
      </c>
      <c r="K12" s="97">
        <f t="shared" si="4"/>
        <v>0</v>
      </c>
      <c r="L12" s="98"/>
    </row>
    <row r="13" spans="1:34" x14ac:dyDescent="0.25">
      <c r="C13" s="126"/>
      <c r="D13" s="17"/>
      <c r="E13" s="17"/>
      <c r="F13" s="17"/>
      <c r="G13" s="10"/>
      <c r="H13" s="17"/>
      <c r="I13" s="17"/>
      <c r="J13" s="41"/>
      <c r="K13" s="44"/>
      <c r="L13" s="42"/>
    </row>
    <row r="14" spans="1:34" x14ac:dyDescent="0.25">
      <c r="A14" t="s">
        <v>17</v>
      </c>
      <c r="C14" s="126"/>
      <c r="D14" s="18"/>
      <c r="E14" s="18"/>
      <c r="F14" s="18"/>
      <c r="G14" s="118"/>
      <c r="H14" s="18"/>
      <c r="I14" s="18"/>
      <c r="J14" s="41"/>
      <c r="K14" s="44"/>
      <c r="L14" s="42"/>
      <c r="M14" s="3" t="s">
        <v>92</v>
      </c>
      <c r="N14" s="52"/>
    </row>
    <row r="15" spans="1:34" x14ac:dyDescent="0.25">
      <c r="A15" t="s">
        <v>29</v>
      </c>
      <c r="C15" s="124">
        <v>-8360.2109400000008</v>
      </c>
      <c r="D15" s="166">
        <f>ROUND('[3]May 2019 Combined'!$F$18,2)</f>
        <v>1944.82</v>
      </c>
      <c r="E15" s="166">
        <f>ROUND('[3]June 2019 Combined'!$F$18,2)</f>
        <v>2594.52</v>
      </c>
      <c r="F15" s="221">
        <f>ROUND('[3]July 2019 Combined'!$F$18,2)</f>
        <v>3635.81</v>
      </c>
      <c r="G15" s="16">
        <f>ROUND('[3]August 2019 Combined'!$F$18,2)</f>
        <v>1758.7</v>
      </c>
      <c r="H15" s="148">
        <f>ROUND('[3]September 2019 Combined'!$F$18,2)</f>
        <v>0</v>
      </c>
      <c r="I15" s="208">
        <f>ROUND('[3]October 2019 Combined'!$F$18,2)</f>
        <v>0</v>
      </c>
      <c r="J15" s="187">
        <f>'PCR Cycle 1'!J21*'TDR Cycle 1'!$M15</f>
        <v>0</v>
      </c>
      <c r="K15" s="175">
        <f>'PCR Cycle 1'!K21*'TDR Cycle 1'!$M15</f>
        <v>0</v>
      </c>
      <c r="L15" s="102">
        <f>'PCR Cycle 1'!L21*'TDR Cycle 1'!$M15</f>
        <v>0</v>
      </c>
      <c r="M15" s="88">
        <v>0</v>
      </c>
      <c r="N15" s="4"/>
    </row>
    <row r="16" spans="1:34" x14ac:dyDescent="0.25">
      <c r="A16" t="s">
        <v>30</v>
      </c>
      <c r="C16" s="124">
        <v>8897.9229300000006</v>
      </c>
      <c r="D16" s="166">
        <f>ROUND('[3]May 2019 Combined'!$F$19,2)</f>
        <v>-1859.05</v>
      </c>
      <c r="E16" s="166">
        <f>ROUND('[3]June 2019 Combined'!$F$19,2)</f>
        <v>-2623.41</v>
      </c>
      <c r="F16" s="221">
        <f>ROUND('[3]July 2019 Combined'!$F$19,2)</f>
        <v>-3366.05</v>
      </c>
      <c r="G16" s="16">
        <f>ROUND('[3]August 2019 Combined'!$F$19,2)</f>
        <v>12509.66</v>
      </c>
      <c r="H16" s="148">
        <f>ROUND('[3]September 2019 Combined'!$F$19,2)</f>
        <v>0</v>
      </c>
      <c r="I16" s="208">
        <f>ROUND('[3]October 2019 Combined'!$F$19,2)</f>
        <v>0</v>
      </c>
      <c r="J16" s="187">
        <f>'PCR Cycle 1'!J22*'TDR Cycle 1'!$M16</f>
        <v>0</v>
      </c>
      <c r="K16" s="175">
        <f>'PCR Cycle 1'!K22*'TDR Cycle 1'!$M16</f>
        <v>0</v>
      </c>
      <c r="L16" s="102">
        <f>'PCR Cycle 1'!L22*'TDR Cycle 1'!$M16</f>
        <v>0</v>
      </c>
      <c r="M16" s="88">
        <v>0</v>
      </c>
      <c r="N16" s="4"/>
    </row>
    <row r="17" spans="1:14" x14ac:dyDescent="0.25">
      <c r="C17" s="83"/>
      <c r="D17" s="84"/>
      <c r="E17" s="84"/>
      <c r="F17" s="84"/>
      <c r="G17" s="83"/>
      <c r="H17" s="84"/>
      <c r="I17" s="84"/>
      <c r="J17" s="12"/>
      <c r="K17" s="71"/>
      <c r="L17" s="13"/>
      <c r="N17" s="4"/>
    </row>
    <row r="18" spans="1:14" x14ac:dyDescent="0.25">
      <c r="A18" s="52" t="s">
        <v>36</v>
      </c>
      <c r="B18" s="52"/>
      <c r="C18" s="83"/>
      <c r="D18" s="71"/>
      <c r="E18" s="71"/>
      <c r="F18" s="71"/>
      <c r="G18" s="12"/>
      <c r="H18" s="71"/>
      <c r="I18" s="111"/>
      <c r="J18" s="12"/>
      <c r="K18" s="71"/>
      <c r="L18" s="13"/>
      <c r="M18" s="7"/>
      <c r="N18" s="61"/>
    </row>
    <row r="19" spans="1:14" x14ac:dyDescent="0.25">
      <c r="A19" s="61" t="s">
        <v>29</v>
      </c>
      <c r="C19" s="129">
        <v>0</v>
      </c>
      <c r="D19" s="138">
        <v>0</v>
      </c>
      <c r="E19" s="138">
        <v>0</v>
      </c>
      <c r="F19" s="152">
        <v>0</v>
      </c>
      <c r="G19" s="92">
        <v>0</v>
      </c>
      <c r="H19" s="93">
        <v>0</v>
      </c>
      <c r="I19" s="205">
        <v>0</v>
      </c>
      <c r="J19" s="188">
        <v>0</v>
      </c>
      <c r="K19" s="176">
        <v>0</v>
      </c>
      <c r="L19" s="99"/>
      <c r="M19" s="75">
        <f>SUM(C19:K19)</f>
        <v>0</v>
      </c>
      <c r="N19" s="61"/>
    </row>
    <row r="20" spans="1:14" x14ac:dyDescent="0.25">
      <c r="A20" t="s">
        <v>30</v>
      </c>
      <c r="C20" s="129">
        <v>0</v>
      </c>
      <c r="D20" s="138">
        <v>0</v>
      </c>
      <c r="E20" s="138">
        <v>0</v>
      </c>
      <c r="F20" s="152">
        <v>0</v>
      </c>
      <c r="G20" s="92">
        <v>0</v>
      </c>
      <c r="H20" s="93">
        <v>0</v>
      </c>
      <c r="I20" s="205">
        <v>0</v>
      </c>
      <c r="J20" s="188">
        <v>0</v>
      </c>
      <c r="K20" s="176">
        <v>0</v>
      </c>
      <c r="L20" s="99"/>
      <c r="M20" s="75">
        <f>SUM(C20:K20)</f>
        <v>0</v>
      </c>
      <c r="N20" s="61"/>
    </row>
    <row r="21" spans="1:14" s="61" customFormat="1" x14ac:dyDescent="0.25">
      <c r="C21" s="83"/>
      <c r="D21" s="84"/>
      <c r="E21" s="84"/>
      <c r="F21" s="84"/>
      <c r="G21" s="83"/>
      <c r="H21" s="84"/>
      <c r="I21" s="84"/>
      <c r="J21" s="12"/>
      <c r="K21" s="71"/>
      <c r="L21" s="13"/>
    </row>
    <row r="22" spans="1:14" x14ac:dyDescent="0.25">
      <c r="A22" s="61" t="s">
        <v>88</v>
      </c>
      <c r="C22" s="49"/>
      <c r="D22" s="50"/>
      <c r="E22" s="50"/>
      <c r="F22" s="50"/>
      <c r="G22" s="49"/>
      <c r="H22" s="50"/>
      <c r="I22" s="50"/>
      <c r="J22" s="189"/>
      <c r="K22" s="67"/>
      <c r="L22" s="51"/>
      <c r="M22" s="61"/>
      <c r="N22" s="61"/>
    </row>
    <row r="23" spans="1:14" x14ac:dyDescent="0.25">
      <c r="A23" s="61" t="s">
        <v>29</v>
      </c>
      <c r="C23" s="124">
        <v>0</v>
      </c>
      <c r="D23" s="136">
        <v>0</v>
      </c>
      <c r="E23" s="136">
        <v>0</v>
      </c>
      <c r="F23" s="137">
        <v>0</v>
      </c>
      <c r="G23" s="16">
        <v>0</v>
      </c>
      <c r="H23" s="70">
        <v>0</v>
      </c>
      <c r="I23" s="72">
        <v>0</v>
      </c>
      <c r="J23" s="190">
        <v>0</v>
      </c>
      <c r="K23" s="174">
        <v>0</v>
      </c>
      <c r="L23" s="98"/>
    </row>
    <row r="24" spans="1:14" x14ac:dyDescent="0.25">
      <c r="A24" s="61" t="s">
        <v>30</v>
      </c>
      <c r="C24" s="124">
        <v>0</v>
      </c>
      <c r="D24" s="136">
        <v>0</v>
      </c>
      <c r="E24" s="136">
        <v>0</v>
      </c>
      <c r="F24" s="137">
        <v>0</v>
      </c>
      <c r="G24" s="16">
        <v>0</v>
      </c>
      <c r="H24" s="70">
        <v>0</v>
      </c>
      <c r="I24" s="72">
        <v>0</v>
      </c>
      <c r="J24" s="190">
        <v>0</v>
      </c>
      <c r="K24" s="174">
        <v>0</v>
      </c>
      <c r="L24" s="98"/>
      <c r="N24" s="62"/>
    </row>
    <row r="25" spans="1:14" s="61" customFormat="1" x14ac:dyDescent="0.25">
      <c r="C25" s="126"/>
      <c r="D25" s="18"/>
      <c r="E25" s="18"/>
      <c r="F25" s="18"/>
      <c r="G25" s="118"/>
      <c r="H25" s="18"/>
      <c r="I25" s="18"/>
      <c r="J25" s="12"/>
      <c r="K25" s="71"/>
      <c r="L25" s="13"/>
    </row>
    <row r="26" spans="1:14" ht="15.75" thickBot="1" x14ac:dyDescent="0.3">
      <c r="A26" s="3" t="s">
        <v>18</v>
      </c>
      <c r="B26" s="3"/>
      <c r="C26" s="130">
        <v>-1832.31</v>
      </c>
      <c r="D26" s="166">
        <v>914.45999999999992</v>
      </c>
      <c r="E26" s="166">
        <v>914.36999999999989</v>
      </c>
      <c r="F26" s="167">
        <v>914</v>
      </c>
      <c r="G26" s="39">
        <v>0</v>
      </c>
      <c r="H26" s="149">
        <v>0</v>
      </c>
      <c r="I26" s="209">
        <v>0</v>
      </c>
      <c r="J26" s="191">
        <v>0</v>
      </c>
      <c r="K26" s="177">
        <v>0</v>
      </c>
      <c r="L26" s="101"/>
    </row>
    <row r="27" spans="1:14" x14ac:dyDescent="0.25">
      <c r="C27" s="80"/>
      <c r="D27" s="82"/>
      <c r="E27" s="82"/>
      <c r="F27" s="46"/>
      <c r="G27" s="80"/>
      <c r="H27" s="46"/>
      <c r="I27" s="46"/>
      <c r="J27" s="192"/>
      <c r="K27" s="47"/>
      <c r="L27" s="76"/>
    </row>
    <row r="28" spans="1:14" x14ac:dyDescent="0.25">
      <c r="A28" t="s">
        <v>68</v>
      </c>
      <c r="C28" s="81"/>
      <c r="D28" s="48"/>
      <c r="E28" s="48"/>
      <c r="F28" s="48"/>
      <c r="G28" s="81"/>
      <c r="H28" s="48"/>
      <c r="I28" s="48"/>
      <c r="J28" s="192"/>
      <c r="K28" s="47"/>
      <c r="L28" s="76"/>
    </row>
    <row r="29" spans="1:14" x14ac:dyDescent="0.25">
      <c r="A29" s="61" t="s">
        <v>29</v>
      </c>
      <c r="C29" s="127">
        <f t="shared" ref="C29:C30" si="5">C23-C15</f>
        <v>8360.2109400000008</v>
      </c>
      <c r="D29" s="54">
        <f t="shared" ref="D29:I30" si="6">D23-D15</f>
        <v>-1944.82</v>
      </c>
      <c r="E29" s="54">
        <f t="shared" si="6"/>
        <v>-2594.52</v>
      </c>
      <c r="F29" s="135">
        <f t="shared" ref="F29:H29" si="7">F23-F15</f>
        <v>-3635.81</v>
      </c>
      <c r="G29" s="53">
        <f t="shared" si="7"/>
        <v>-1758.7</v>
      </c>
      <c r="H29" s="54">
        <f t="shared" si="7"/>
        <v>0</v>
      </c>
      <c r="I29" s="135">
        <f t="shared" si="6"/>
        <v>0</v>
      </c>
      <c r="J29" s="53">
        <f t="shared" ref="J29:K29" si="8">J23-J15</f>
        <v>0</v>
      </c>
      <c r="K29" s="54">
        <f t="shared" si="8"/>
        <v>0</v>
      </c>
      <c r="L29" s="77">
        <f t="shared" ref="L29" si="9">L23-L15</f>
        <v>0</v>
      </c>
    </row>
    <row r="30" spans="1:14" x14ac:dyDescent="0.25">
      <c r="A30" t="s">
        <v>30</v>
      </c>
      <c r="C30" s="127">
        <f t="shared" si="5"/>
        <v>-8897.9229300000006</v>
      </c>
      <c r="D30" s="54">
        <f t="shared" si="6"/>
        <v>1859.05</v>
      </c>
      <c r="E30" s="54">
        <f t="shared" si="6"/>
        <v>2623.41</v>
      </c>
      <c r="F30" s="135">
        <f t="shared" ref="F30:H30" si="10">F24-F16</f>
        <v>3366.05</v>
      </c>
      <c r="G30" s="53">
        <f t="shared" si="10"/>
        <v>-12509.66</v>
      </c>
      <c r="H30" s="54">
        <f t="shared" si="10"/>
        <v>0</v>
      </c>
      <c r="I30" s="135">
        <f t="shared" si="6"/>
        <v>0</v>
      </c>
      <c r="J30" s="53">
        <f t="shared" ref="J30:K30" si="11">J24-J16</f>
        <v>0</v>
      </c>
      <c r="K30" s="54">
        <f t="shared" si="11"/>
        <v>0</v>
      </c>
      <c r="L30" s="77">
        <f t="shared" ref="L30" si="12">L24-L16</f>
        <v>0</v>
      </c>
    </row>
    <row r="31" spans="1:14" x14ac:dyDescent="0.25">
      <c r="C31" s="126"/>
      <c r="D31" s="17"/>
      <c r="E31" s="17"/>
      <c r="F31" s="17"/>
      <c r="G31" s="10"/>
      <c r="H31" s="17"/>
      <c r="I31" s="17"/>
      <c r="J31" s="10"/>
      <c r="K31" s="17"/>
      <c r="L31" s="11"/>
    </row>
    <row r="32" spans="1:14" ht="15.75" thickBot="1" x14ac:dyDescent="0.3">
      <c r="A32" t="s">
        <v>69</v>
      </c>
      <c r="C32" s="126"/>
      <c r="D32" s="17"/>
      <c r="E32" s="17"/>
      <c r="F32" s="17"/>
      <c r="G32" s="10"/>
      <c r="H32" s="17"/>
      <c r="I32" s="17"/>
      <c r="J32" s="10"/>
      <c r="K32" s="17"/>
      <c r="L32" s="11"/>
    </row>
    <row r="33" spans="1:35" x14ac:dyDescent="0.25">
      <c r="A33" s="61" t="s">
        <v>29</v>
      </c>
      <c r="B33" s="143">
        <f>168709.73-6483.33+59.18-0.54</f>
        <v>162285.04</v>
      </c>
      <c r="C33" s="127">
        <f>B33+C29</f>
        <v>170645.25094</v>
      </c>
      <c r="D33" s="54">
        <f t="shared" ref="D33:L33" si="13">C33+D29</f>
        <v>168700.43093999999</v>
      </c>
      <c r="E33" s="54">
        <f t="shared" si="13"/>
        <v>166105.91094</v>
      </c>
      <c r="F33" s="135">
        <f t="shared" si="13"/>
        <v>162470.10094</v>
      </c>
      <c r="G33" s="53">
        <f t="shared" si="13"/>
        <v>160711.40093999999</v>
      </c>
      <c r="H33" s="54">
        <f t="shared" si="13"/>
        <v>160711.40093999999</v>
      </c>
      <c r="I33" s="135">
        <f t="shared" si="13"/>
        <v>160711.40093999999</v>
      </c>
      <c r="J33" s="53">
        <f t="shared" si="13"/>
        <v>160711.40093999999</v>
      </c>
      <c r="K33" s="54">
        <f t="shared" si="13"/>
        <v>160711.40093999999</v>
      </c>
      <c r="L33" s="77">
        <f t="shared" si="13"/>
        <v>160711.40093999999</v>
      </c>
    </row>
    <row r="34" spans="1:35" ht="15.75" thickBot="1" x14ac:dyDescent="0.3">
      <c r="A34" t="s">
        <v>30</v>
      </c>
      <c r="B34" s="144">
        <f>132483.55+4959.28-45.27+0.42</f>
        <v>137397.98000000001</v>
      </c>
      <c r="C34" s="127">
        <f>B34+C30</f>
        <v>128500.05707000001</v>
      </c>
      <c r="D34" s="54">
        <f t="shared" ref="D34:L34" si="14">C34+D30</f>
        <v>130359.10707000001</v>
      </c>
      <c r="E34" s="54">
        <f t="shared" si="14"/>
        <v>132982.51707</v>
      </c>
      <c r="F34" s="135">
        <f t="shared" si="14"/>
        <v>136348.56706999999</v>
      </c>
      <c r="G34" s="53">
        <f t="shared" si="14"/>
        <v>123838.90706999999</v>
      </c>
      <c r="H34" s="54">
        <f t="shared" si="14"/>
        <v>123838.90706999999</v>
      </c>
      <c r="I34" s="135">
        <f t="shared" si="14"/>
        <v>123838.90706999999</v>
      </c>
      <c r="J34" s="53">
        <f t="shared" si="14"/>
        <v>123838.90706999999</v>
      </c>
      <c r="K34" s="54">
        <f t="shared" si="14"/>
        <v>123838.90706999999</v>
      </c>
      <c r="L34" s="77">
        <f t="shared" si="14"/>
        <v>123838.90706999999</v>
      </c>
    </row>
    <row r="35" spans="1:35" x14ac:dyDescent="0.25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35" x14ac:dyDescent="0.25">
      <c r="A36" s="52" t="s">
        <v>90</v>
      </c>
      <c r="B36" s="52"/>
      <c r="C36" s="131"/>
      <c r="D36" s="200">
        <f>+'[6]MO West AFUDC Rate Jan Oct 2019'!$I$31</f>
        <v>3.0419833333333334E-3</v>
      </c>
      <c r="E36" s="200">
        <f>+'[6]MO West AFUDC Rate Jan Oct 2019'!$I$32</f>
        <v>3.0419833333333334E-3</v>
      </c>
      <c r="F36" s="200">
        <f>+'[6]MO West AFUDC Rate Jan Oct 2019'!$I$33</f>
        <v>3.0419833333333334E-3</v>
      </c>
      <c r="G36" s="201">
        <f>+'[6]MO West AFUDC Rate Jan Oct 2019'!$I$34</f>
        <v>3.0419833333333334E-3</v>
      </c>
      <c r="H36" s="200">
        <f>+'[6]MO West AFUDC Rate Jan Oct 2019'!$I$35</f>
        <v>3.0419833333333334E-3</v>
      </c>
      <c r="I36" s="200">
        <f>+'[6]MO West AFUDC Rate Jan Oct 2019'!$I$36</f>
        <v>3.0419833333333334E-3</v>
      </c>
      <c r="J36" s="105">
        <f>+I36</f>
        <v>3.0419833333333334E-3</v>
      </c>
      <c r="K36" s="103">
        <f>+J36</f>
        <v>3.0419833333333334E-3</v>
      </c>
      <c r="L36" s="106"/>
    </row>
    <row r="37" spans="1:35" s="61" customFormat="1" ht="15.75" thickBot="1" x14ac:dyDescent="0.3">
      <c r="A37" s="52" t="s">
        <v>101</v>
      </c>
      <c r="B37" s="52"/>
      <c r="C37" s="133"/>
      <c r="D37" s="103"/>
      <c r="E37" s="103"/>
      <c r="F37" s="103"/>
      <c r="G37" s="105"/>
      <c r="H37" s="103"/>
      <c r="I37" s="103"/>
      <c r="J37" s="105"/>
      <c r="K37" s="103"/>
      <c r="L37" s="106"/>
    </row>
    <row r="38" spans="1:35" x14ac:dyDescent="0.25">
      <c r="A38" s="61" t="s">
        <v>29</v>
      </c>
      <c r="B38" s="143">
        <v>-161172.77000000008</v>
      </c>
      <c r="C38" s="127">
        <v>-1063.77</v>
      </c>
      <c r="D38" s="54">
        <f t="shared" ref="D38:D39" si="15">ROUND((C33+D29/2)*D$36,2)</f>
        <v>516.14</v>
      </c>
      <c r="E38" s="54">
        <f t="shared" ref="E38:E39" si="16">ROUND((D33+E29/2)*E$36,2)</f>
        <v>509.24</v>
      </c>
      <c r="F38" s="135">
        <f t="shared" ref="F38:F39" si="17">ROUND((E33+F29/2)*F$36,2)</f>
        <v>499.76</v>
      </c>
      <c r="G38" s="53">
        <f>ROUND((F33+G29/2)*G$36,2)*0</f>
        <v>0</v>
      </c>
      <c r="H38" s="150">
        <f t="shared" ref="H38:K38" si="18">ROUND((G33+H29/2)*H$36,2)*0</f>
        <v>0</v>
      </c>
      <c r="I38" s="207">
        <f t="shared" si="18"/>
        <v>0</v>
      </c>
      <c r="J38" s="183">
        <f t="shared" si="18"/>
        <v>0</v>
      </c>
      <c r="K38" s="135">
        <f t="shared" si="18"/>
        <v>0</v>
      </c>
      <c r="L38" s="77">
        <f t="shared" ref="L38" si="19">ROUND((K33+L29/2)*L$36,2)</f>
        <v>0</v>
      </c>
      <c r="M38" s="195">
        <f>SUM(B38:L38)</f>
        <v>-160711.40000000005</v>
      </c>
    </row>
    <row r="39" spans="1:35" ht="15.75" thickBot="1" x14ac:dyDescent="0.3">
      <c r="A39" t="s">
        <v>30</v>
      </c>
      <c r="B39" s="144">
        <v>-124274.28000000006</v>
      </c>
      <c r="C39" s="127">
        <v>-768.54</v>
      </c>
      <c r="D39" s="54">
        <f t="shared" si="15"/>
        <v>393.72</v>
      </c>
      <c r="E39" s="54">
        <f t="shared" si="16"/>
        <v>400.54</v>
      </c>
      <c r="F39" s="135">
        <f t="shared" si="17"/>
        <v>409.65</v>
      </c>
      <c r="G39" s="53">
        <f>ROUND((F34+G30/2)*G$36,2)*0</f>
        <v>0</v>
      </c>
      <c r="H39" s="150">
        <f t="shared" ref="H39:K39" si="20">ROUND((G34+H30/2)*H$36,2)*0</f>
        <v>0</v>
      </c>
      <c r="I39" s="207">
        <f t="shared" si="20"/>
        <v>0</v>
      </c>
      <c r="J39" s="183">
        <f t="shared" si="20"/>
        <v>0</v>
      </c>
      <c r="K39" s="135">
        <f t="shared" si="20"/>
        <v>0</v>
      </c>
      <c r="L39" s="77">
        <f t="shared" ref="L39" si="21">ROUND((K34+L30/2)*L$36,2)</f>
        <v>0</v>
      </c>
      <c r="M39" s="195">
        <f>SUM(B39:L39)</f>
        <v>-123838.91000000006</v>
      </c>
    </row>
    <row r="40" spans="1:35" ht="16.5" thickTop="1" thickBot="1" x14ac:dyDescent="0.3">
      <c r="A40" s="69" t="s">
        <v>25</v>
      </c>
      <c r="B40" s="69"/>
      <c r="C40" s="134">
        <v>0</v>
      </c>
      <c r="D40" s="55">
        <f>SUM($B38:D39)+SUM(D33:D34)-D43</f>
        <v>1.6370904631912708E-11</v>
      </c>
      <c r="E40" s="55">
        <f>SUM($B38:E39)+SUM(E33:E34)-E43</f>
        <v>0</v>
      </c>
      <c r="F40" s="65">
        <f>SUM($B38:F39)+SUM(F33:F34)-F43</f>
        <v>2.3646862246096134E-11</v>
      </c>
      <c r="G40" s="185">
        <f>SUM($B38:G39)+SUM(G33:G34)-G43</f>
        <v>-2.0008883439004421E-11</v>
      </c>
      <c r="H40" s="65">
        <f>SUM($B38:H39)+SUM(H33:H34)-H43</f>
        <v>-2.0008883439004421E-11</v>
      </c>
      <c r="I40" s="65">
        <f>SUM($B38:I39)+SUM(I33:I34)-I43</f>
        <v>-2.0008883439004421E-11</v>
      </c>
      <c r="J40" s="193">
        <f>SUM($B38:J39)+SUM(J33:J34)-J43</f>
        <v>-2.0008883439004421E-11</v>
      </c>
      <c r="K40" s="65">
        <f>SUM($B38:K39)+SUM(K33:K34)-K43</f>
        <v>-2.0008883439004421E-11</v>
      </c>
      <c r="L40" s="78">
        <f>SUM($B38:L39)+SUM(L33:L34)-L43</f>
        <v>-2.0008883439004421E-11</v>
      </c>
    </row>
    <row r="41" spans="1:35" s="61" customFormat="1" ht="16.5" thickTop="1" thickBot="1" x14ac:dyDescent="0.3">
      <c r="A41" s="69" t="s">
        <v>26</v>
      </c>
      <c r="B41" s="69"/>
      <c r="C41" s="134">
        <v>0</v>
      </c>
      <c r="D41" s="55">
        <f t="shared" ref="D41:I41" si="22">SUM(D38:D39)-D26</f>
        <v>-4.5999999999999091</v>
      </c>
      <c r="E41" s="55">
        <f t="shared" si="22"/>
        <v>-4.5899999999999181</v>
      </c>
      <c r="F41" s="65">
        <f t="shared" ref="F41:H41" si="23">SUM(F38:F39)-F26</f>
        <v>-4.5900000000000318</v>
      </c>
      <c r="G41" s="185">
        <f t="shared" si="23"/>
        <v>0</v>
      </c>
      <c r="H41" s="65">
        <f t="shared" si="23"/>
        <v>0</v>
      </c>
      <c r="I41" s="65">
        <f t="shared" si="22"/>
        <v>0</v>
      </c>
      <c r="J41" s="66">
        <f t="shared" ref="J41:L41" si="24">SUM(J38:J39)-J26</f>
        <v>0</v>
      </c>
      <c r="K41" s="55">
        <f t="shared" si="24"/>
        <v>0</v>
      </c>
      <c r="L41" s="55">
        <f t="shared" si="24"/>
        <v>0</v>
      </c>
    </row>
    <row r="42" spans="1:35" ht="16.5" thickTop="1" thickBot="1" x14ac:dyDescent="0.3">
      <c r="C42" s="126"/>
      <c r="D42" s="17"/>
      <c r="E42" s="17"/>
      <c r="F42" s="17"/>
      <c r="G42" s="10"/>
      <c r="H42" s="17"/>
      <c r="I42" s="17"/>
      <c r="J42" s="10"/>
      <c r="K42" s="17"/>
      <c r="L42" s="11"/>
    </row>
    <row r="43" spans="1:35" ht="15.75" thickBot="1" x14ac:dyDescent="0.3">
      <c r="A43" t="s">
        <v>42</v>
      </c>
      <c r="B43" s="146">
        <f>SUM(B33:B34,B38:B39)</f>
        <v>14235.969999999885</v>
      </c>
      <c r="C43" s="127">
        <f t="shared" ref="C43" si="25">(C12-SUM(C15:C16))+SUM(C38:C39)+B43</f>
        <v>11865.948009999885</v>
      </c>
      <c r="D43" s="54">
        <f t="shared" ref="D43:I43" si="26">(D12-SUM(D15:D16))+SUM(D38:D39)+C43</f>
        <v>12690.038009999886</v>
      </c>
      <c r="E43" s="54">
        <f t="shared" si="26"/>
        <v>13628.708009999886</v>
      </c>
      <c r="F43" s="135">
        <f t="shared" si="26"/>
        <v>14268.358009999885</v>
      </c>
      <c r="G43" s="53">
        <f t="shared" si="26"/>
        <v>-1.9900001152564073E-3</v>
      </c>
      <c r="H43" s="54">
        <f t="shared" si="26"/>
        <v>-1.9900001152564073E-3</v>
      </c>
      <c r="I43" s="135">
        <f t="shared" si="26"/>
        <v>-1.9900001152564073E-3</v>
      </c>
      <c r="J43" s="183">
        <f t="shared" ref="J43" si="27">(J12-SUM(J15:J16))+SUM(J38:J39)+I43</f>
        <v>-1.9900001152564073E-3</v>
      </c>
      <c r="K43" s="135">
        <f t="shared" ref="K43" si="28">(K12-SUM(K15:K16))+SUM(K38:K39)+J43</f>
        <v>-1.9900001152564073E-3</v>
      </c>
      <c r="L43" s="77">
        <f t="shared" ref="L43" si="29">(L12-SUM(L15:L16))+SUM(L38:L39)+K43</f>
        <v>-1.9900001152564073E-3</v>
      </c>
    </row>
    <row r="44" spans="1:35" x14ac:dyDescent="0.25">
      <c r="A44" t="s">
        <v>14</v>
      </c>
      <c r="C44" s="147"/>
      <c r="D44" s="17"/>
      <c r="E44" s="224"/>
      <c r="F44" s="17"/>
      <c r="G44" s="10"/>
      <c r="H44" s="17"/>
      <c r="I44" s="224"/>
      <c r="J44" s="10"/>
      <c r="K44" s="17"/>
      <c r="L44" s="11"/>
    </row>
    <row r="45" spans="1:35" ht="15.75" thickBot="1" x14ac:dyDescent="0.3">
      <c r="A45" s="50"/>
      <c r="B45" s="50"/>
      <c r="C45" s="194"/>
      <c r="D45" s="57"/>
      <c r="E45" s="57"/>
      <c r="F45" s="57"/>
      <c r="G45" s="56"/>
      <c r="H45" s="57"/>
      <c r="I45" s="57"/>
      <c r="J45" s="56"/>
      <c r="K45" s="57"/>
      <c r="L45" s="58"/>
    </row>
    <row r="46" spans="1:35" x14ac:dyDescent="0.25">
      <c r="A46" s="61"/>
      <c r="D46" s="61"/>
      <c r="E46" s="61"/>
      <c r="I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x14ac:dyDescent="0.25">
      <c r="A47" s="85" t="s">
        <v>13</v>
      </c>
      <c r="B47" s="85"/>
      <c r="C47" s="85"/>
      <c r="D47" s="61"/>
      <c r="E47" s="61"/>
      <c r="I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ht="23.25" customHeight="1" outlineLevel="1" x14ac:dyDescent="0.25">
      <c r="A48" s="274" t="s">
        <v>102</v>
      </c>
      <c r="B48" s="274"/>
      <c r="C48" s="274"/>
      <c r="D48" s="274"/>
      <c r="E48" s="274"/>
      <c r="F48" s="274"/>
      <c r="G48" s="274"/>
      <c r="H48" s="274"/>
      <c r="I48" s="274"/>
      <c r="J48" s="170"/>
      <c r="K48" s="170"/>
      <c r="L48" s="117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ht="43.5" customHeight="1" outlineLevel="1" x14ac:dyDescent="0.25">
      <c r="A49" s="275" t="s">
        <v>145</v>
      </c>
      <c r="B49" s="275"/>
      <c r="C49" s="275"/>
      <c r="D49" s="275"/>
      <c r="E49" s="275"/>
      <c r="F49" s="275"/>
      <c r="G49" s="275"/>
      <c r="H49" s="275"/>
      <c r="I49" s="275"/>
      <c r="J49" s="170"/>
      <c r="K49" s="170"/>
      <c r="L49" s="117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ht="29.25" customHeight="1" outlineLevel="1" x14ac:dyDescent="0.25">
      <c r="A50" s="274" t="s">
        <v>146</v>
      </c>
      <c r="B50" s="274"/>
      <c r="C50" s="274"/>
      <c r="D50" s="274"/>
      <c r="E50" s="274"/>
      <c r="F50" s="274"/>
      <c r="G50" s="274"/>
      <c r="H50" s="274"/>
      <c r="I50" s="274"/>
      <c r="J50" s="170"/>
      <c r="K50" s="170"/>
      <c r="L50" s="117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outlineLevel="1" x14ac:dyDescent="0.25">
      <c r="A51" s="3" t="s">
        <v>89</v>
      </c>
      <c r="B51" s="3"/>
      <c r="C51" s="3"/>
      <c r="D51" s="61"/>
      <c r="E51" s="61"/>
      <c r="I51" s="61"/>
    </row>
    <row r="52" spans="1:35" outlineLevel="1" x14ac:dyDescent="0.25">
      <c r="A52" s="79" t="s">
        <v>147</v>
      </c>
      <c r="B52" s="3"/>
      <c r="C52" s="3"/>
      <c r="D52" s="61"/>
      <c r="E52" s="61"/>
      <c r="I52" s="61"/>
    </row>
    <row r="53" spans="1:35" outlineLevel="1" x14ac:dyDescent="0.25">
      <c r="A53" s="3" t="s">
        <v>91</v>
      </c>
      <c r="B53" s="3"/>
      <c r="C53" s="3"/>
      <c r="D53" s="61"/>
      <c r="E53" s="61"/>
      <c r="I53" s="61"/>
    </row>
    <row r="54" spans="1:35" outlineLevel="1" x14ac:dyDescent="0.25">
      <c r="A54" s="3"/>
      <c r="B54" s="3"/>
      <c r="C54" s="3"/>
      <c r="D54" s="214"/>
      <c r="E54" s="214"/>
      <c r="F54" s="214"/>
      <c r="G54" s="214"/>
      <c r="H54" s="214"/>
    </row>
    <row r="55" spans="1:35" x14ac:dyDescent="0.25">
      <c r="D55" s="214"/>
      <c r="E55" s="214"/>
      <c r="F55" s="214"/>
      <c r="G55" s="214"/>
      <c r="H55" s="214"/>
    </row>
  </sheetData>
  <mergeCells count="6">
    <mergeCell ref="J10:L10"/>
    <mergeCell ref="A48:I48"/>
    <mergeCell ref="A49:I49"/>
    <mergeCell ref="A50:I50"/>
    <mergeCell ref="D10:F10"/>
    <mergeCell ref="G10:I10"/>
  </mergeCells>
  <pageMargins left="0.2" right="0.2" top="0.75" bottom="0.25" header="0.3" footer="0.3"/>
  <pageSetup scale="57" orientation="landscape" r:id="rId1"/>
  <headerFooter>
    <oddHeader>&amp;C&amp;F &amp;A</oddHeader>
    <oddFooter>&amp;R&amp;1#&amp;"Calibri"&amp;10&amp;KA80000Internal Use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I59"/>
  <sheetViews>
    <sheetView zoomScaleNormal="100" workbookViewId="0">
      <pane xSplit="1" ySplit="2" topLeftCell="N9" activePane="bottomRight" state="frozen"/>
      <selection activeCell="F17" sqref="F17"/>
      <selection pane="topRight" activeCell="F17" sqref="F17"/>
      <selection pane="bottomLeft" activeCell="F17" sqref="F17"/>
      <selection pane="bottomRight" activeCell="P1" sqref="P1:P1048576"/>
    </sheetView>
  </sheetViews>
  <sheetFormatPr defaultRowHeight="15" x14ac:dyDescent="0.25"/>
  <cols>
    <col min="1" max="1" width="55.28515625" style="61" customWidth="1"/>
    <col min="2" max="2" width="13.28515625" style="61" customWidth="1"/>
    <col min="3" max="4" width="14.85546875" style="61" customWidth="1"/>
    <col min="5" max="5" width="15.42578125" style="61" customWidth="1"/>
    <col min="6" max="6" width="15.85546875" style="61" customWidth="1"/>
    <col min="7" max="7" width="12.28515625" style="61" customWidth="1"/>
    <col min="8" max="9" width="13.28515625" style="61" customWidth="1"/>
    <col min="10" max="10" width="12.5703125" style="61" bestFit="1" customWidth="1"/>
    <col min="11" max="11" width="12.7109375" style="61" customWidth="1"/>
    <col min="12" max="12" width="11.5703125" style="61" bestFit="1" customWidth="1"/>
    <col min="13" max="13" width="16" style="61" customWidth="1"/>
    <col min="14" max="14" width="15" style="61" bestFit="1" customWidth="1"/>
    <col min="15" max="15" width="16" style="61" bestFit="1" customWidth="1"/>
    <col min="16" max="16" width="15.28515625" style="61" bestFit="1" customWidth="1"/>
    <col min="17" max="17" width="17.42578125" style="61" bestFit="1" customWidth="1"/>
    <col min="18" max="18" width="16.28515625" style="61" bestFit="1" customWidth="1"/>
    <col min="19" max="19" width="15.28515625" style="61" bestFit="1" customWidth="1"/>
    <col min="20" max="20" width="12.42578125" style="61" customWidth="1"/>
    <col min="21" max="22" width="14.28515625" style="61" bestFit="1" customWidth="1"/>
    <col min="23" max="16384" width="9.140625" style="61"/>
  </cols>
  <sheetData>
    <row r="1" spans="1:35" x14ac:dyDescent="0.25">
      <c r="A1" s="3" t="str">
        <f>+PPC!A1</f>
        <v>Evergy Missouri West, Inc. - DSIM Rider Update Filed 12/02/2019</v>
      </c>
      <c r="B1" s="3"/>
      <c r="C1" s="3"/>
      <c r="D1" s="3"/>
    </row>
    <row r="2" spans="1:35" x14ac:dyDescent="0.25">
      <c r="E2" s="3" t="s">
        <v>81</v>
      </c>
    </row>
    <row r="3" spans="1:35" ht="30" x14ac:dyDescent="0.25">
      <c r="E3" s="63" t="s">
        <v>62</v>
      </c>
      <c r="F3" s="86" t="s">
        <v>97</v>
      </c>
      <c r="G3" s="86" t="s">
        <v>98</v>
      </c>
      <c r="H3" s="63" t="s">
        <v>3</v>
      </c>
      <c r="I3" s="86" t="s">
        <v>70</v>
      </c>
      <c r="J3" s="63" t="s">
        <v>11</v>
      </c>
      <c r="K3" s="63" t="s">
        <v>10</v>
      </c>
      <c r="S3" s="63"/>
    </row>
    <row r="4" spans="1:35" x14ac:dyDescent="0.25">
      <c r="A4" s="22" t="s">
        <v>29</v>
      </c>
      <c r="B4" s="22"/>
      <c r="C4" s="22"/>
      <c r="D4" s="22"/>
      <c r="E4" s="24">
        <f>SUM(C15:M15)</f>
        <v>950645.50982000004</v>
      </c>
      <c r="F4" s="168">
        <f>N19</f>
        <v>23788486.762424797</v>
      </c>
      <c r="G4" s="24">
        <f>SUM(C23:L23)</f>
        <v>1523628.63</v>
      </c>
      <c r="H4" s="24">
        <f>G4-E4</f>
        <v>572983.12017999985</v>
      </c>
      <c r="I4" s="24">
        <f>+B33</f>
        <v>91980.68</v>
      </c>
      <c r="J4" s="24">
        <f>SUM(C38:L38)</f>
        <v>12071.34</v>
      </c>
      <c r="K4" s="36">
        <f>SUM(H4:J4)</f>
        <v>677035.14017999975</v>
      </c>
      <c r="L4" s="62">
        <f>+K4-M33</f>
        <v>0</v>
      </c>
    </row>
    <row r="5" spans="1:35" ht="15.75" thickBot="1" x14ac:dyDescent="0.3">
      <c r="A5" s="22" t="s">
        <v>30</v>
      </c>
      <c r="B5" s="22"/>
      <c r="C5" s="22"/>
      <c r="D5" s="22"/>
      <c r="E5" s="24">
        <f>SUM(C16:M16)</f>
        <v>890290.19672999985</v>
      </c>
      <c r="F5" s="168">
        <f>N20</f>
        <v>24278015.822477676</v>
      </c>
      <c r="G5" s="24">
        <f>SUM(C24:L24)</f>
        <v>785024.92999999993</v>
      </c>
      <c r="H5" s="24">
        <f>G5-E5</f>
        <v>-105265.26672999992</v>
      </c>
      <c r="I5" s="24">
        <f>+B34</f>
        <v>-106428.26</v>
      </c>
      <c r="J5" s="24">
        <f>SUM(C39:L39)</f>
        <v>127.37999999999995</v>
      </c>
      <c r="K5" s="36">
        <f>SUM(H5:J5)</f>
        <v>-211566.14672999992</v>
      </c>
      <c r="L5" s="62">
        <f>+K5-M34</f>
        <v>0</v>
      </c>
    </row>
    <row r="6" spans="1:35" ht="16.5" thickTop="1" thickBot="1" x14ac:dyDescent="0.3">
      <c r="E6" s="40">
        <f t="shared" ref="E6" si="0">SUM(E4:E5)</f>
        <v>1840935.7065499998</v>
      </c>
      <c r="F6" s="169">
        <f t="shared" ref="F6:I6" si="1">SUM(F4:F5)</f>
        <v>48066502.584902473</v>
      </c>
      <c r="G6" s="40">
        <f t="shared" si="1"/>
        <v>2308653.5599999996</v>
      </c>
      <c r="H6" s="40">
        <f t="shared" si="1"/>
        <v>467717.85344999994</v>
      </c>
      <c r="I6" s="40">
        <f t="shared" si="1"/>
        <v>-14447.580000000002</v>
      </c>
      <c r="J6" s="40">
        <f>SUM(J4:J5)</f>
        <v>12198.72</v>
      </c>
      <c r="K6" s="40">
        <f>SUM(K4:K5)</f>
        <v>465468.99344999983</v>
      </c>
      <c r="T6" s="5"/>
    </row>
    <row r="7" spans="1:35" ht="15.75" thickTop="1" x14ac:dyDescent="0.25"/>
    <row r="8" spans="1:35" x14ac:dyDescent="0.25">
      <c r="J8" s="4"/>
      <c r="V8" s="4"/>
    </row>
    <row r="9" spans="1:35" ht="15.75" thickBot="1" x14ac:dyDescent="0.3">
      <c r="V9" s="4"/>
      <c r="W9" s="5"/>
    </row>
    <row r="10" spans="1:35" ht="90.75" thickBot="1" x14ac:dyDescent="0.3">
      <c r="B10" s="145" t="str">
        <f>+'PCR Cycle 1'!B8</f>
        <v>Cumulative Over/Under Carryover From 06/01/2019 Filing</v>
      </c>
      <c r="C10" s="218" t="str">
        <f>+'PCR Cycle 1'!C8</f>
        <v>Reverse May-19 - October-19  Forecast From 06/01/2019 Filing</v>
      </c>
      <c r="D10" s="232" t="s">
        <v>113</v>
      </c>
      <c r="E10" s="276" t="s">
        <v>39</v>
      </c>
      <c r="F10" s="276"/>
      <c r="G10" s="277"/>
      <c r="H10" s="281" t="s">
        <v>39</v>
      </c>
      <c r="I10" s="282"/>
      <c r="J10" s="283"/>
      <c r="K10" s="278" t="s">
        <v>9</v>
      </c>
      <c r="L10" s="279"/>
      <c r="M10" s="280"/>
    </row>
    <row r="11" spans="1:35" x14ac:dyDescent="0.25">
      <c r="A11" s="61" t="s">
        <v>83</v>
      </c>
      <c r="C11" s="132"/>
      <c r="D11" s="233"/>
      <c r="E11" s="20">
        <f>+'PCR Cycle 1'!D9</f>
        <v>43616</v>
      </c>
      <c r="F11" s="20">
        <f t="shared" ref="F11:M11" si="2">EOMONTH(E11,1)</f>
        <v>43646</v>
      </c>
      <c r="G11" s="20">
        <f t="shared" si="2"/>
        <v>43677</v>
      </c>
      <c r="H11" s="14">
        <f t="shared" si="2"/>
        <v>43708</v>
      </c>
      <c r="I11" s="20">
        <f t="shared" si="2"/>
        <v>43738</v>
      </c>
      <c r="J11" s="20">
        <f t="shared" si="2"/>
        <v>43769</v>
      </c>
      <c r="K11" s="14">
        <f t="shared" si="2"/>
        <v>43799</v>
      </c>
      <c r="L11" s="20">
        <f t="shared" si="2"/>
        <v>43830</v>
      </c>
      <c r="M11" s="15">
        <f t="shared" si="2"/>
        <v>43861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x14ac:dyDescent="0.25">
      <c r="A12" s="61" t="s">
        <v>6</v>
      </c>
      <c r="C12" s="124">
        <v>-478463.11</v>
      </c>
      <c r="D12" s="234">
        <f>+D23+D24</f>
        <v>0</v>
      </c>
      <c r="E12" s="136">
        <f t="shared" ref="E12:I12" si="3">+E23+E24</f>
        <v>212821.59</v>
      </c>
      <c r="F12" s="136">
        <f t="shared" si="3"/>
        <v>384896.11</v>
      </c>
      <c r="G12" s="137">
        <f t="shared" si="3"/>
        <v>474138.34</v>
      </c>
      <c r="H12" s="16">
        <f t="shared" si="3"/>
        <v>482333.19</v>
      </c>
      <c r="I12" s="70">
        <f t="shared" si="3"/>
        <v>445839.14999999997</v>
      </c>
      <c r="J12" s="72">
        <f t="shared" ref="J12:L12" si="4">+J23+J24</f>
        <v>293093.40999999997</v>
      </c>
      <c r="K12" s="186">
        <f t="shared" si="4"/>
        <v>228267.11</v>
      </c>
      <c r="L12" s="97">
        <f t="shared" si="4"/>
        <v>265727.77</v>
      </c>
      <c r="M12" s="98"/>
    </row>
    <row r="13" spans="1:35" x14ac:dyDescent="0.25">
      <c r="C13" s="126"/>
      <c r="D13" s="235"/>
      <c r="E13" s="17"/>
      <c r="F13" s="17"/>
      <c r="G13" s="17"/>
      <c r="H13" s="10"/>
      <c r="I13" s="17"/>
      <c r="J13" s="17"/>
      <c r="K13" s="41"/>
      <c r="L13" s="44"/>
      <c r="M13" s="42"/>
    </row>
    <row r="14" spans="1:35" x14ac:dyDescent="0.25">
      <c r="A14" s="61" t="s">
        <v>82</v>
      </c>
      <c r="C14" s="126"/>
      <c r="D14" s="235"/>
      <c r="E14" s="18"/>
      <c r="F14" s="18"/>
      <c r="G14" s="18"/>
      <c r="H14" s="118"/>
      <c r="I14" s="18"/>
      <c r="J14" s="18"/>
      <c r="K14" s="41"/>
      <c r="L14" s="44"/>
      <c r="M14" s="42"/>
      <c r="N14" s="3" t="s">
        <v>92</v>
      </c>
      <c r="O14" s="52"/>
    </row>
    <row r="15" spans="1:35" x14ac:dyDescent="0.25">
      <c r="A15" s="61" t="s">
        <v>29</v>
      </c>
      <c r="C15" s="124">
        <v>0</v>
      </c>
      <c r="D15" s="234">
        <v>0</v>
      </c>
      <c r="E15" s="166">
        <f>ROUND('[3]May 2019 Combined'!$F$38,2)</f>
        <v>19.78</v>
      </c>
      <c r="F15" s="166">
        <f>ROUND('[3]June 2019 Combined'!$F$38,2)</f>
        <v>40.68</v>
      </c>
      <c r="G15" s="166">
        <f>ROUND('[3]July 2019 Combined'!$F$38,2)</f>
        <v>30.63</v>
      </c>
      <c r="H15" s="16">
        <f>ROUND('[3]August 2019 Combined'!$F$43,2)</f>
        <v>195497.73</v>
      </c>
      <c r="I15" s="148">
        <f>ROUND('[3]September 2019 Combined'!$F$38,2)</f>
        <v>174501.11</v>
      </c>
      <c r="J15" s="208">
        <f>ROUND('[3]October 2019 Combined'!$F$38,2)</f>
        <v>137464.4</v>
      </c>
      <c r="K15" s="53">
        <f>'PCR Cycle 1'!J21*'TDR Cycle 2'!$N15</f>
        <v>109847.93832999999</v>
      </c>
      <c r="L15" s="54">
        <f>'PCR Cycle 1'!K21*'TDR Cycle 2'!$N15</f>
        <v>141315.59652999998</v>
      </c>
      <c r="M15" s="77">
        <f>'PCR Cycle 1'!L21*'TDR Cycle 2'!$N15</f>
        <v>191927.64496000001</v>
      </c>
      <c r="N15" s="88">
        <v>5.2999999999999998E-4</v>
      </c>
      <c r="O15" s="4"/>
    </row>
    <row r="16" spans="1:35" x14ac:dyDescent="0.25">
      <c r="A16" s="61" t="s">
        <v>30</v>
      </c>
      <c r="C16" s="124">
        <v>-347018.99426999997</v>
      </c>
      <c r="D16" s="234">
        <v>0</v>
      </c>
      <c r="E16" s="166">
        <f>ROUND('[3]May 2019 Combined'!$F$39,2)</f>
        <v>105829.48</v>
      </c>
      <c r="F16" s="166">
        <f>ROUND('[3]June 2019 Combined'!$F$39,2)</f>
        <v>102437.12</v>
      </c>
      <c r="G16" s="166">
        <f>ROUND('[3]July 2019 Combined'!$F$39,2)</f>
        <v>131709.12</v>
      </c>
      <c r="H16" s="16">
        <f>ROUND('[3]August 2019 Combined'!$F$44,2)</f>
        <v>149581.99</v>
      </c>
      <c r="I16" s="148">
        <f>ROUND('[3]September 2019 Combined'!$F$39,2)</f>
        <v>149955.21</v>
      </c>
      <c r="J16" s="208">
        <f>ROUND('[3]October 2019 Combined'!$F$39,2)</f>
        <v>148653.29</v>
      </c>
      <c r="K16" s="53">
        <f>'PCR Cycle 1'!J22*'TDR Cycle 2'!$N16</f>
        <v>134107.51949999997</v>
      </c>
      <c r="L16" s="54">
        <f>'PCR Cycle 1'!K22*'TDR Cycle 2'!$N16</f>
        <v>150193.97249999997</v>
      </c>
      <c r="M16" s="77">
        <f>'PCR Cycle 1'!L22*'TDR Cycle 2'!$N16</f>
        <v>164841.48899999997</v>
      </c>
      <c r="N16" s="88">
        <v>4.999999999999999E-4</v>
      </c>
      <c r="O16" s="4"/>
    </row>
    <row r="17" spans="1:15" x14ac:dyDescent="0.25">
      <c r="C17" s="83"/>
      <c r="D17" s="236"/>
      <c r="E17" s="84"/>
      <c r="F17" s="84"/>
      <c r="G17" s="84"/>
      <c r="H17" s="83"/>
      <c r="I17" s="84"/>
      <c r="J17" s="84"/>
      <c r="K17" s="12"/>
      <c r="L17" s="71"/>
      <c r="M17" s="13"/>
      <c r="O17" s="4"/>
    </row>
    <row r="18" spans="1:15" x14ac:dyDescent="0.25">
      <c r="A18" s="52" t="s">
        <v>96</v>
      </c>
      <c r="B18" s="52"/>
      <c r="C18" s="83"/>
      <c r="D18" s="236"/>
      <c r="E18" s="71"/>
      <c r="F18" s="71"/>
      <c r="G18" s="71"/>
      <c r="H18" s="12"/>
      <c r="I18" s="71"/>
      <c r="J18" s="111"/>
      <c r="K18" s="12"/>
      <c r="L18" s="71"/>
      <c r="M18" s="13"/>
      <c r="N18" s="7"/>
    </row>
    <row r="19" spans="1:15" x14ac:dyDescent="0.25">
      <c r="A19" s="61" t="s">
        <v>29</v>
      </c>
      <c r="C19" s="129">
        <v>-3582869.6930082091</v>
      </c>
      <c r="D19" s="237"/>
      <c r="E19" s="138">
        <f>+'[7]Monthly TD Calc'!AN285</f>
        <v>2292149.8453767812</v>
      </c>
      <c r="F19" s="138">
        <f>+'[7]Monthly TD Calc'!AO285</f>
        <v>3094646.2726273248</v>
      </c>
      <c r="G19" s="152">
        <f>+'[7]Monthly TD Calc'!AP285</f>
        <v>4109655.1399542545</v>
      </c>
      <c r="H19" s="92">
        <f>+'[7]Monthly TD Calc'!AQ285</f>
        <v>4115929.8321298803</v>
      </c>
      <c r="I19" s="93">
        <f>+'[7]Monthly TD Calc'!AR285</f>
        <v>3800218.3907751157</v>
      </c>
      <c r="J19" s="205">
        <f>+'[7]Monthly TD Calc'!AS285</f>
        <v>3953849.6123330332</v>
      </c>
      <c r="K19" s="188">
        <f>+'[2]Missouri West Monthly TD Calc'!AT338</f>
        <v>2564623.1041083457</v>
      </c>
      <c r="L19" s="176">
        <f>+'[2]Missouri West Monthly TD Calc'!AU338</f>
        <v>3440284.2581282724</v>
      </c>
      <c r="M19" s="99"/>
      <c r="N19" s="75">
        <f>SUM(C19:L19)</f>
        <v>23788486.762424797</v>
      </c>
    </row>
    <row r="20" spans="1:15" x14ac:dyDescent="0.25">
      <c r="A20" s="61" t="s">
        <v>30</v>
      </c>
      <c r="C20" s="129">
        <v>-7448415.173729673</v>
      </c>
      <c r="D20" s="237"/>
      <c r="E20" s="138">
        <f>+'[7]Monthly TD Calc'!AN286</f>
        <v>3662298.8116327953</v>
      </c>
      <c r="F20" s="138">
        <f>+'[7]Monthly TD Calc'!AO286</f>
        <v>3672482.183625096</v>
      </c>
      <c r="G20" s="152">
        <f>+'[7]Monthly TD Calc'!AP286</f>
        <v>3848580.0725345118</v>
      </c>
      <c r="H20" s="92">
        <f>+'[7]Monthly TD Calc'!AQ286</f>
        <v>4028371.8211139892</v>
      </c>
      <c r="I20" s="93">
        <f>+'[7]Monthly TD Calc'!AR286</f>
        <v>3786521.1280836337</v>
      </c>
      <c r="J20" s="205">
        <f>+'[7]Monthly TD Calc'!AS286</f>
        <v>4104068.9999347143</v>
      </c>
      <c r="K20" s="188">
        <f>+'[2]Missouri West Monthly TD Calc'!AT339</f>
        <v>4029147.1139081805</v>
      </c>
      <c r="L20" s="176">
        <f>+'[2]Missouri West Monthly TD Calc'!AU339</f>
        <v>4594960.8653744254</v>
      </c>
      <c r="M20" s="99"/>
      <c r="N20" s="75">
        <f>SUM(C20:L20)</f>
        <v>24278015.822477676</v>
      </c>
    </row>
    <row r="21" spans="1:15" x14ac:dyDescent="0.25">
      <c r="C21" s="83"/>
      <c r="D21" s="236"/>
      <c r="E21" s="84"/>
      <c r="F21" s="84"/>
      <c r="G21" s="84"/>
      <c r="H21" s="83"/>
      <c r="I21" s="84"/>
      <c r="J21" s="84"/>
      <c r="K21" s="12"/>
      <c r="L21" s="71"/>
      <c r="M21" s="13"/>
    </row>
    <row r="22" spans="1:15" x14ac:dyDescent="0.25">
      <c r="A22" s="61" t="s">
        <v>93</v>
      </c>
      <c r="C22" s="49"/>
      <c r="D22" s="238"/>
      <c r="E22" s="50"/>
      <c r="F22" s="50"/>
      <c r="G22" s="50"/>
      <c r="H22" s="49"/>
      <c r="I22" s="50"/>
      <c r="J22" s="50"/>
      <c r="K22" s="189"/>
      <c r="L22" s="67"/>
      <c r="M22" s="51"/>
    </row>
    <row r="23" spans="1:15" x14ac:dyDescent="0.25">
      <c r="A23" s="61" t="s">
        <v>29</v>
      </c>
      <c r="C23" s="124">
        <v>-215629.92</v>
      </c>
      <c r="D23" s="234"/>
      <c r="E23" s="136">
        <f>ROUND('[7]Monthly TD Calc'!AN318,2)</f>
        <v>109164.79</v>
      </c>
      <c r="F23" s="136">
        <f>ROUND('[7]Monthly TD Calc'!AO318,2)</f>
        <v>243316.56</v>
      </c>
      <c r="G23" s="137">
        <f>ROUND('[7]Monthly TD Calc'!AP318,2)</f>
        <v>327418.28000000003</v>
      </c>
      <c r="H23" s="16">
        <f>ROUND('[7]Monthly TD Calc'!AQ318,2)</f>
        <v>327918.19</v>
      </c>
      <c r="I23" s="70">
        <f>ROUND('[7]Monthly TD Calc'!AR318,2)</f>
        <v>299567.40999999997</v>
      </c>
      <c r="J23" s="205">
        <f>ROUND('[7]Monthly TD Calc'!AS318,2)</f>
        <v>180910.36</v>
      </c>
      <c r="K23" s="190">
        <f>ROUND('[2]Missouri West Monthly TD Calc'!AT317,2)</f>
        <v>111769.92</v>
      </c>
      <c r="L23" s="174">
        <f>ROUND('[2]Missouri West Monthly TD Calc'!AU317,2)</f>
        <v>139193.04</v>
      </c>
      <c r="M23" s="98"/>
    </row>
    <row r="24" spans="1:15" x14ac:dyDescent="0.25">
      <c r="A24" s="61" t="s">
        <v>30</v>
      </c>
      <c r="C24" s="124">
        <v>-262833.19</v>
      </c>
      <c r="D24" s="234"/>
      <c r="E24" s="136">
        <f>ROUND('[7]Monthly TD Calc'!AN319,2)</f>
        <v>103656.8</v>
      </c>
      <c r="F24" s="136">
        <f>ROUND('[7]Monthly TD Calc'!AO319,2)</f>
        <v>141579.54999999999</v>
      </c>
      <c r="G24" s="137">
        <f>ROUND('[7]Monthly TD Calc'!AP319,2)</f>
        <v>146720.06</v>
      </c>
      <c r="H24" s="16">
        <f>ROUND('[7]Monthly TD Calc'!AQ319,2)</f>
        <v>154415</v>
      </c>
      <c r="I24" s="70">
        <f>ROUND('[7]Monthly TD Calc'!AR319,2)</f>
        <v>146271.74</v>
      </c>
      <c r="J24" s="205">
        <f>ROUND('[7]Monthly TD Calc'!AS319,2)</f>
        <v>112183.05</v>
      </c>
      <c r="K24" s="190">
        <f>ROUND('[2]Missouri West Monthly TD Calc'!AT318,2)</f>
        <v>116497.19</v>
      </c>
      <c r="L24" s="174">
        <f>ROUND('[2]Missouri West Monthly TD Calc'!AU318,2)</f>
        <v>126534.73</v>
      </c>
      <c r="M24" s="98"/>
      <c r="O24" s="62"/>
    </row>
    <row r="25" spans="1:15" x14ac:dyDescent="0.25">
      <c r="C25" s="126"/>
      <c r="D25" s="235"/>
      <c r="E25" s="234"/>
      <c r="F25" s="212"/>
      <c r="G25" s="212"/>
      <c r="H25" s="118"/>
      <c r="I25" s="18"/>
      <c r="J25" s="18"/>
      <c r="K25" s="12"/>
      <c r="L25" s="71"/>
      <c r="M25" s="13"/>
    </row>
    <row r="26" spans="1:15" ht="15.75" thickBot="1" x14ac:dyDescent="0.3">
      <c r="A26" s="3" t="s">
        <v>18</v>
      </c>
      <c r="B26" s="3"/>
      <c r="C26" s="130">
        <v>289.2</v>
      </c>
      <c r="D26" s="239"/>
      <c r="E26" s="166">
        <v>-283.63</v>
      </c>
      <c r="F26" s="166">
        <v>311.48999999999995</v>
      </c>
      <c r="G26" s="167">
        <v>1229.24</v>
      </c>
      <c r="H26" s="39">
        <v>1871.3999999999999</v>
      </c>
      <c r="I26" s="149">
        <v>2160.13</v>
      </c>
      <c r="J26" s="209">
        <v>2226.7599999999998</v>
      </c>
      <c r="K26" s="191">
        <v>2221.2000000000003</v>
      </c>
      <c r="L26" s="177">
        <v>2172.91</v>
      </c>
      <c r="M26" s="101"/>
    </row>
    <row r="27" spans="1:15" x14ac:dyDescent="0.25">
      <c r="C27" s="80"/>
      <c r="D27" s="240"/>
      <c r="E27" s="82"/>
      <c r="F27" s="82"/>
      <c r="G27" s="46"/>
      <c r="H27" s="80"/>
      <c r="I27" s="46"/>
      <c r="J27" s="46"/>
      <c r="K27" s="192"/>
      <c r="L27" s="47"/>
      <c r="M27" s="76"/>
    </row>
    <row r="28" spans="1:15" x14ac:dyDescent="0.25">
      <c r="A28" s="61" t="s">
        <v>68</v>
      </c>
      <c r="C28" s="81"/>
      <c r="D28" s="241"/>
      <c r="E28" s="202"/>
      <c r="F28" s="202"/>
      <c r="G28" s="202"/>
      <c r="H28" s="203"/>
      <c r="I28" s="202"/>
      <c r="J28" s="202"/>
      <c r="K28" s="192"/>
      <c r="L28" s="47"/>
      <c r="M28" s="76"/>
    </row>
    <row r="29" spans="1:15" x14ac:dyDescent="0.25">
      <c r="A29" s="61" t="s">
        <v>29</v>
      </c>
      <c r="C29" s="127">
        <f>(C23-C15)-0</f>
        <v>-215629.92</v>
      </c>
      <c r="D29" s="242">
        <f t="shared" ref="D29:D30" si="5">D23-D15</f>
        <v>0</v>
      </c>
      <c r="E29" s="54">
        <f t="shared" ref="E29:M30" si="6">E23-E15</f>
        <v>109145.01</v>
      </c>
      <c r="F29" s="54">
        <f t="shared" si="6"/>
        <v>243275.88</v>
      </c>
      <c r="G29" s="135">
        <f t="shared" si="6"/>
        <v>327387.65000000002</v>
      </c>
      <c r="H29" s="53">
        <f t="shared" si="6"/>
        <v>132420.46</v>
      </c>
      <c r="I29" s="54">
        <f t="shared" si="6"/>
        <v>125066.29999999999</v>
      </c>
      <c r="J29" s="135">
        <f t="shared" si="6"/>
        <v>43445.959999999992</v>
      </c>
      <c r="K29" s="53">
        <f t="shared" si="6"/>
        <v>1921.9816700000083</v>
      </c>
      <c r="L29" s="54">
        <f t="shared" si="6"/>
        <v>-2122.5565299999726</v>
      </c>
      <c r="M29" s="77">
        <f>M23-M15</f>
        <v>-191927.64496000001</v>
      </c>
    </row>
    <row r="30" spans="1:15" x14ac:dyDescent="0.25">
      <c r="A30" s="61" t="s">
        <v>30</v>
      </c>
      <c r="C30" s="127">
        <f>(C24-C16)-0</f>
        <v>84185.804269999964</v>
      </c>
      <c r="D30" s="242">
        <f t="shared" si="5"/>
        <v>0</v>
      </c>
      <c r="E30" s="54">
        <f t="shared" si="6"/>
        <v>-2172.679999999993</v>
      </c>
      <c r="F30" s="54">
        <f t="shared" si="6"/>
        <v>39142.429999999993</v>
      </c>
      <c r="G30" s="135">
        <f t="shared" si="6"/>
        <v>15010.940000000002</v>
      </c>
      <c r="H30" s="53">
        <f t="shared" si="6"/>
        <v>4833.0100000000093</v>
      </c>
      <c r="I30" s="54">
        <f t="shared" si="6"/>
        <v>-3683.4700000000012</v>
      </c>
      <c r="J30" s="135">
        <f t="shared" si="6"/>
        <v>-36470.240000000005</v>
      </c>
      <c r="K30" s="53">
        <f t="shared" si="6"/>
        <v>-17610.329499999963</v>
      </c>
      <c r="L30" s="54">
        <f t="shared" si="6"/>
        <v>-23659.242499999978</v>
      </c>
      <c r="M30" s="77">
        <f t="shared" si="6"/>
        <v>-164841.48899999997</v>
      </c>
    </row>
    <row r="31" spans="1:15" x14ac:dyDescent="0.25">
      <c r="C31" s="126"/>
      <c r="D31" s="235"/>
      <c r="E31" s="71"/>
      <c r="F31" s="71"/>
      <c r="G31" s="71"/>
      <c r="H31" s="10"/>
      <c r="I31" s="17"/>
      <c r="J31" s="17"/>
      <c r="K31" s="10"/>
      <c r="L31" s="17"/>
      <c r="M31" s="11"/>
    </row>
    <row r="32" spans="1:15" ht="15.75" thickBot="1" x14ac:dyDescent="0.3">
      <c r="A32" s="61" t="s">
        <v>69</v>
      </c>
      <c r="C32" s="126"/>
      <c r="D32" s="235"/>
      <c r="E32" s="71"/>
      <c r="F32" s="17"/>
      <c r="G32" s="17"/>
      <c r="H32" s="10"/>
      <c r="I32" s="17"/>
      <c r="J32" s="17"/>
      <c r="K32" s="10"/>
      <c r="L32" s="17"/>
      <c r="M32" s="11"/>
    </row>
    <row r="33" spans="1:13" x14ac:dyDescent="0.25">
      <c r="A33" s="61" t="s">
        <v>29</v>
      </c>
      <c r="B33" s="143">
        <v>91980.68</v>
      </c>
      <c r="C33" s="127">
        <f>(B33+B38+C29)-0</f>
        <v>-123649.24000000002</v>
      </c>
      <c r="D33" s="242">
        <f t="shared" ref="D33:D34" si="7">+C33+D29+C38</f>
        <v>-123420.16000000002</v>
      </c>
      <c r="E33" s="54">
        <f>D33+D38+E29</f>
        <v>-14275.150000000023</v>
      </c>
      <c r="F33" s="54">
        <f t="shared" ref="F33:M33" si="8">E33+E38+F29</f>
        <v>228788.74</v>
      </c>
      <c r="G33" s="135">
        <f t="shared" si="8"/>
        <v>556502.67000000004</v>
      </c>
      <c r="H33" s="53">
        <f t="shared" si="8"/>
        <v>690086.6</v>
      </c>
      <c r="I33" s="54">
        <f t="shared" si="8"/>
        <v>816932.48</v>
      </c>
      <c r="J33" s="135">
        <f t="shared" si="8"/>
        <v>862448.40999999992</v>
      </c>
      <c r="K33" s="53">
        <f t="shared" si="8"/>
        <v>866563.57166999998</v>
      </c>
      <c r="L33" s="54">
        <f t="shared" si="8"/>
        <v>866699.08513999998</v>
      </c>
      <c r="M33" s="77">
        <f t="shared" si="8"/>
        <v>677035.14017999987</v>
      </c>
    </row>
    <row r="34" spans="1:13" ht="15.75" thickBot="1" x14ac:dyDescent="0.3">
      <c r="A34" s="61" t="s">
        <v>30</v>
      </c>
      <c r="B34" s="144">
        <v>-106428.26</v>
      </c>
      <c r="C34" s="127">
        <f>(B34+B39+C30)-0</f>
        <v>-22242.455730000031</v>
      </c>
      <c r="D34" s="242">
        <f t="shared" si="7"/>
        <v>-22182.335730000032</v>
      </c>
      <c r="E34" s="54">
        <f>D34+D39+E30</f>
        <v>-24355.015730000025</v>
      </c>
      <c r="F34" s="54">
        <f t="shared" ref="F34:M34" si="9">E34+E39+F30</f>
        <v>14715.764269999967</v>
      </c>
      <c r="G34" s="135">
        <f t="shared" si="9"/>
        <v>29711.924269999967</v>
      </c>
      <c r="H34" s="53">
        <f t="shared" si="9"/>
        <v>34610.704269999973</v>
      </c>
      <c r="I34" s="54">
        <f t="shared" si="9"/>
        <v>31019.064269999973</v>
      </c>
      <c r="J34" s="135">
        <f t="shared" si="9"/>
        <v>-5361.0057300000335</v>
      </c>
      <c r="K34" s="53">
        <f t="shared" si="9"/>
        <v>-22937.755229999995</v>
      </c>
      <c r="L34" s="54">
        <f t="shared" si="9"/>
        <v>-46633.867729999969</v>
      </c>
      <c r="M34" s="77">
        <f t="shared" si="9"/>
        <v>-211566.14672999995</v>
      </c>
    </row>
    <row r="35" spans="1:13" x14ac:dyDescent="0.25">
      <c r="C35" s="126"/>
      <c r="D35" s="235"/>
      <c r="E35" s="17"/>
      <c r="F35" s="17"/>
      <c r="G35" s="17"/>
      <c r="H35" s="10"/>
      <c r="I35" s="17"/>
      <c r="J35" s="17"/>
      <c r="K35" s="10"/>
      <c r="L35" s="17"/>
      <c r="M35" s="11"/>
    </row>
    <row r="36" spans="1:13" x14ac:dyDescent="0.25">
      <c r="A36" s="52" t="s">
        <v>95</v>
      </c>
      <c r="B36" s="52"/>
      <c r="C36" s="131"/>
      <c r="D36" s="243"/>
      <c r="E36" s="103">
        <f>+'PCR Cycle 2'!D38</f>
        <v>3.0790499999999998E-3</v>
      </c>
      <c r="F36" s="103">
        <f>+'PCR Cycle 2'!E38</f>
        <v>3.0450199999999998E-3</v>
      </c>
      <c r="G36" s="103">
        <f>+'PCR Cycle 2'!F38</f>
        <v>2.9619300000000002E-3</v>
      </c>
      <c r="H36" s="105">
        <f>+'PCR Cycle 2'!G38</f>
        <v>2.8524499999999999E-3</v>
      </c>
      <c r="I36" s="103">
        <f>+'PCR Cycle 2'!H38</f>
        <v>2.7438599999999999E-3</v>
      </c>
      <c r="J36" s="104">
        <f>+'PCR Cycle 2'!I38</f>
        <v>2.60867E-3</v>
      </c>
      <c r="K36" s="105">
        <f>+'PCR Cycle 2'!J38</f>
        <v>2.60867E-3</v>
      </c>
      <c r="L36" s="103">
        <f>+'PCR Cycle 2'!K38</f>
        <v>2.60867E-3</v>
      </c>
      <c r="M36" s="106"/>
    </row>
    <row r="37" spans="1:13" x14ac:dyDescent="0.25">
      <c r="A37" s="52" t="s">
        <v>44</v>
      </c>
      <c r="B37" s="52"/>
      <c r="C37" s="133"/>
      <c r="D37" s="244"/>
      <c r="E37" s="103"/>
      <c r="F37" s="103"/>
      <c r="G37" s="103"/>
      <c r="H37" s="105"/>
      <c r="I37" s="103"/>
      <c r="J37" s="103"/>
      <c r="K37" s="105"/>
      <c r="L37" s="103"/>
      <c r="M37" s="106"/>
    </row>
    <row r="38" spans="1:13" x14ac:dyDescent="0.25">
      <c r="A38" s="61" t="s">
        <v>29</v>
      </c>
      <c r="C38" s="127">
        <v>229.07999999999998</v>
      </c>
      <c r="D38" s="242"/>
      <c r="E38" s="213">
        <f>ROUND((D33+D38+E29/2)*E$36,2)</f>
        <v>-211.99</v>
      </c>
      <c r="F38" s="213">
        <f t="shared" ref="F38:M38" si="10">ROUND((E33+E38+F29/2)*F$36,2)</f>
        <v>326.27999999999997</v>
      </c>
      <c r="G38" s="216">
        <f t="shared" si="10"/>
        <v>1163.47</v>
      </c>
      <c r="H38" s="53">
        <f t="shared" si="10"/>
        <v>1779.58</v>
      </c>
      <c r="I38" s="150">
        <f t="shared" si="10"/>
        <v>2069.9699999999998</v>
      </c>
      <c r="J38" s="135">
        <f t="shared" si="10"/>
        <v>2193.1799999999998</v>
      </c>
      <c r="K38" s="183">
        <f t="shared" si="10"/>
        <v>2258.0700000000002</v>
      </c>
      <c r="L38" s="135">
        <f t="shared" si="10"/>
        <v>2263.6999999999998</v>
      </c>
      <c r="M38" s="77">
        <f t="shared" si="10"/>
        <v>0</v>
      </c>
    </row>
    <row r="39" spans="1:13" ht="15.75" thickBot="1" x14ac:dyDescent="0.3">
      <c r="A39" s="61" t="s">
        <v>30</v>
      </c>
      <c r="C39" s="127">
        <v>60.12</v>
      </c>
      <c r="D39" s="242"/>
      <c r="E39" s="213">
        <f>ROUND((D34+D39+E30/2)*E$36,2)</f>
        <v>-71.650000000000006</v>
      </c>
      <c r="F39" s="213">
        <f t="shared" ref="F39:M39" si="11">ROUND((E34+E39+F30/2)*F$36,2)</f>
        <v>-14.78</v>
      </c>
      <c r="G39" s="216">
        <f t="shared" si="11"/>
        <v>65.77</v>
      </c>
      <c r="H39" s="53">
        <f t="shared" si="11"/>
        <v>91.83</v>
      </c>
      <c r="I39" s="150">
        <f t="shared" si="11"/>
        <v>90.17</v>
      </c>
      <c r="J39" s="135">
        <f t="shared" si="11"/>
        <v>33.58</v>
      </c>
      <c r="K39" s="183">
        <f t="shared" si="11"/>
        <v>-36.869999999999997</v>
      </c>
      <c r="L39" s="135">
        <f t="shared" si="11"/>
        <v>-90.79</v>
      </c>
      <c r="M39" s="77">
        <f t="shared" si="11"/>
        <v>0</v>
      </c>
    </row>
    <row r="40" spans="1:13" ht="16.5" thickTop="1" thickBot="1" x14ac:dyDescent="0.3">
      <c r="A40" s="69" t="s">
        <v>25</v>
      </c>
      <c r="B40" s="69"/>
      <c r="C40" s="134">
        <v>0</v>
      </c>
      <c r="D40" s="245"/>
      <c r="E40" s="55">
        <f>SUM(E38:E39)+SUM(E33:E34)-E43</f>
        <v>0</v>
      </c>
      <c r="F40" s="55">
        <f t="shared" ref="F40:M40" si="12">SUM(F38:F39)+SUM(F33:F34)-F43</f>
        <v>0</v>
      </c>
      <c r="G40" s="65">
        <f t="shared" si="12"/>
        <v>0</v>
      </c>
      <c r="H40" s="66">
        <f t="shared" si="12"/>
        <v>0</v>
      </c>
      <c r="I40" s="55">
        <f t="shared" si="12"/>
        <v>0</v>
      </c>
      <c r="J40" s="65">
        <f t="shared" si="12"/>
        <v>0</v>
      </c>
      <c r="K40" s="193">
        <f t="shared" si="12"/>
        <v>0</v>
      </c>
      <c r="L40" s="65">
        <f t="shared" si="12"/>
        <v>0</v>
      </c>
      <c r="M40" s="78">
        <f t="shared" si="12"/>
        <v>0</v>
      </c>
    </row>
    <row r="41" spans="1:13" ht="16.5" thickTop="1" thickBot="1" x14ac:dyDescent="0.3">
      <c r="A41" s="69" t="s">
        <v>26</v>
      </c>
      <c r="B41" s="69"/>
      <c r="C41" s="134">
        <v>0</v>
      </c>
      <c r="D41" s="245"/>
      <c r="E41" s="55">
        <f>SUM(E38:E39)-E26</f>
        <v>-9.9999999999909051E-3</v>
      </c>
      <c r="F41" s="55">
        <f t="shared" ref="F41:J41" si="13">SUM(F38:F39)-F26</f>
        <v>1.0000000000047748E-2</v>
      </c>
      <c r="G41" s="65">
        <f t="shared" ref="G41:I41" si="14">SUM(G38:G39)-G26</f>
        <v>0</v>
      </c>
      <c r="H41" s="66">
        <f t="shared" si="14"/>
        <v>9.9999999999909051E-3</v>
      </c>
      <c r="I41" s="55">
        <f t="shared" si="14"/>
        <v>9.9999999997635314E-3</v>
      </c>
      <c r="J41" s="65">
        <f t="shared" si="13"/>
        <v>0</v>
      </c>
      <c r="K41" s="66">
        <f t="shared" ref="K41:M41" si="15">SUM(K38:K39)-K26</f>
        <v>0</v>
      </c>
      <c r="L41" s="55">
        <f t="shared" si="15"/>
        <v>0</v>
      </c>
      <c r="M41" s="55">
        <f t="shared" si="15"/>
        <v>0</v>
      </c>
    </row>
    <row r="42" spans="1:13" ht="16.5" thickTop="1" thickBot="1" x14ac:dyDescent="0.3">
      <c r="C42" s="126"/>
      <c r="D42" s="235"/>
      <c r="E42" s="17"/>
      <c r="F42" s="17"/>
      <c r="G42" s="17"/>
      <c r="H42" s="10"/>
      <c r="I42" s="17"/>
      <c r="J42" s="17"/>
      <c r="K42" s="10"/>
      <c r="L42" s="17"/>
      <c r="M42" s="11"/>
    </row>
    <row r="43" spans="1:13" ht="15.75" thickBot="1" x14ac:dyDescent="0.3">
      <c r="A43" s="61" t="s">
        <v>42</v>
      </c>
      <c r="B43" s="146">
        <f>+B33+B34</f>
        <v>-14447.580000000002</v>
      </c>
      <c r="C43" s="127">
        <f t="shared" ref="C43" si="16">(C12-SUM(C15:C16))+SUM(C38:C39)+B43</f>
        <v>-145602.49573000002</v>
      </c>
      <c r="D43" s="242">
        <f>(D12-SUM(D15:D16))+SUM(D38:D39)+C43</f>
        <v>-145602.49573000002</v>
      </c>
      <c r="E43" s="54">
        <f>(E12-SUM(E15:E16))+SUM(E38:E39)+D43</f>
        <v>-38913.805730000022</v>
      </c>
      <c r="F43" s="54">
        <f t="shared" ref="F43:M43" si="17">(F12-SUM(F15:F16))+SUM(F38:F39)+E43</f>
        <v>243816.00426999998</v>
      </c>
      <c r="G43" s="135">
        <f t="shared" si="17"/>
        <v>587443.83426999999</v>
      </c>
      <c r="H43" s="53">
        <f t="shared" si="17"/>
        <v>726568.71427</v>
      </c>
      <c r="I43" s="54">
        <f t="shared" si="17"/>
        <v>850111.68426999997</v>
      </c>
      <c r="J43" s="135">
        <f t="shared" si="17"/>
        <v>859314.16426999995</v>
      </c>
      <c r="K43" s="183">
        <f t="shared" si="17"/>
        <v>845847.01643999992</v>
      </c>
      <c r="L43" s="135">
        <f t="shared" si="17"/>
        <v>822238.12740999996</v>
      </c>
      <c r="M43" s="77">
        <f t="shared" si="17"/>
        <v>465468.99344999995</v>
      </c>
    </row>
    <row r="44" spans="1:13" x14ac:dyDescent="0.25">
      <c r="A44" s="61" t="s">
        <v>14</v>
      </c>
      <c r="C44" s="147"/>
      <c r="D44" s="17"/>
      <c r="E44" s="17"/>
      <c r="F44" s="17"/>
      <c r="G44" s="17"/>
      <c r="H44" s="10"/>
      <c r="I44" s="17"/>
      <c r="J44" s="17"/>
      <c r="K44" s="10"/>
      <c r="L44" s="17"/>
      <c r="M44" s="11"/>
    </row>
    <row r="45" spans="1:13" ht="15.75" thickBot="1" x14ac:dyDescent="0.3">
      <c r="A45" s="50"/>
      <c r="B45" s="50"/>
      <c r="C45" s="194"/>
      <c r="D45" s="231"/>
      <c r="E45" s="57"/>
      <c r="F45" s="57"/>
      <c r="G45" s="57"/>
      <c r="H45" s="56"/>
      <c r="I45" s="57"/>
      <c r="J45" s="57"/>
      <c r="K45" s="56"/>
      <c r="L45" s="57"/>
      <c r="M45" s="58"/>
    </row>
    <row r="47" spans="1:13" x14ac:dyDescent="0.25">
      <c r="A47" s="85" t="s">
        <v>13</v>
      </c>
      <c r="B47" s="85"/>
      <c r="C47" s="85"/>
      <c r="D47" s="85"/>
    </row>
    <row r="48" spans="1:13" ht="43.5" customHeight="1" x14ac:dyDescent="0.25">
      <c r="A48" s="275" t="s">
        <v>156</v>
      </c>
      <c r="B48" s="275"/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</row>
    <row r="49" spans="1:13" ht="35.25" customHeight="1" x14ac:dyDescent="0.25">
      <c r="A49" s="274" t="s">
        <v>145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4"/>
      <c r="L49" s="274"/>
      <c r="M49" s="274"/>
    </row>
    <row r="50" spans="1:13" ht="33" customHeight="1" x14ac:dyDescent="0.25">
      <c r="A50" s="275" t="s">
        <v>157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</row>
    <row r="51" spans="1:13" x14ac:dyDescent="0.25">
      <c r="A51" s="3" t="s">
        <v>89</v>
      </c>
      <c r="B51" s="3"/>
      <c r="C51" s="3"/>
      <c r="D51" s="3"/>
    </row>
    <row r="52" spans="1:13" x14ac:dyDescent="0.25">
      <c r="A52" s="3" t="s">
        <v>144</v>
      </c>
      <c r="B52" s="3"/>
      <c r="C52" s="3"/>
      <c r="D52" s="3"/>
    </row>
    <row r="53" spans="1:13" x14ac:dyDescent="0.25">
      <c r="A53" s="3" t="s">
        <v>94</v>
      </c>
      <c r="B53" s="3"/>
      <c r="C53" s="3"/>
      <c r="D53" s="3"/>
    </row>
    <row r="54" spans="1:13" x14ac:dyDescent="0.25">
      <c r="A54" s="3"/>
      <c r="B54" s="3"/>
      <c r="C54" s="3"/>
      <c r="D54" s="3"/>
      <c r="E54" s="4"/>
      <c r="F54" s="4"/>
      <c r="G54" s="4"/>
      <c r="H54" s="4"/>
      <c r="I54" s="4"/>
      <c r="J54" s="4"/>
    </row>
    <row r="55" spans="1:13" x14ac:dyDescent="0.25">
      <c r="E55" s="4"/>
      <c r="F55" s="4"/>
      <c r="G55" s="4"/>
      <c r="H55" s="4"/>
      <c r="I55" s="4"/>
      <c r="J55" s="4"/>
    </row>
    <row r="56" spans="1:13" x14ac:dyDescent="0.25">
      <c r="E56" s="4"/>
      <c r="F56" s="4"/>
      <c r="G56" s="4"/>
      <c r="H56" s="4"/>
      <c r="I56" s="4"/>
      <c r="J56" s="4"/>
      <c r="K56" s="214"/>
    </row>
    <row r="57" spans="1:13" x14ac:dyDescent="0.25">
      <c r="J57" s="214"/>
      <c r="K57" s="214"/>
      <c r="L57" s="215"/>
      <c r="M57" s="215"/>
    </row>
    <row r="58" spans="1:13" x14ac:dyDescent="0.25">
      <c r="E58" s="211"/>
    </row>
    <row r="59" spans="1:13" x14ac:dyDescent="0.25">
      <c r="E59" s="211"/>
    </row>
  </sheetData>
  <mergeCells count="6">
    <mergeCell ref="A50:M50"/>
    <mergeCell ref="E10:G10"/>
    <mergeCell ref="A48:M48"/>
    <mergeCell ref="A49:M49"/>
    <mergeCell ref="H10:J10"/>
    <mergeCell ref="K10:M10"/>
  </mergeCells>
  <pageMargins left="0.2" right="0.2" top="0.75" bottom="0.25" header="0.3" footer="0.3"/>
  <pageSetup scale="50" orientation="landscape" r:id="rId1"/>
  <headerFooter>
    <oddHeader>&amp;C&amp;F &amp;A</oddHeader>
    <oddFooter>&amp;R&amp;1#&amp;"Calibri"&amp;10&amp;KA80000Internal Use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G23"/>
  <sheetViews>
    <sheetView topLeftCell="A10" workbookViewId="0">
      <selection activeCell="C15" sqref="C15"/>
    </sheetView>
  </sheetViews>
  <sheetFormatPr defaultRowHeight="15" x14ac:dyDescent="0.25"/>
  <cols>
    <col min="1" max="1" width="27.42578125" customWidth="1"/>
    <col min="2" max="2" width="14.28515625" bestFit="1" customWidth="1"/>
    <col min="3" max="3" width="12.28515625" bestFit="1" customWidth="1"/>
    <col min="4" max="4" width="11.5703125" bestFit="1" customWidth="1"/>
    <col min="5" max="5" width="11.85546875" customWidth="1"/>
    <col min="6" max="6" width="12.7109375" customWidth="1"/>
    <col min="7" max="7" width="14.42578125" customWidth="1"/>
    <col min="15" max="15" width="12" bestFit="1" customWidth="1"/>
  </cols>
  <sheetData>
    <row r="1" spans="1:7" x14ac:dyDescent="0.25">
      <c r="A1" s="79" t="str">
        <f>+PPC!A1</f>
        <v>Evergy Missouri West, Inc. - DSIM Rider Update Filed 12/02/2019</v>
      </c>
      <c r="B1" s="61"/>
      <c r="C1" s="61"/>
      <c r="D1" s="61"/>
    </row>
    <row r="2" spans="1:7" x14ac:dyDescent="0.25">
      <c r="A2" s="9" t="str">
        <f>+PPC!A2</f>
        <v>Projections for Cycle 2 January - June 2020 DSIM</v>
      </c>
      <c r="B2" s="61"/>
      <c r="C2" s="61"/>
      <c r="D2" s="61"/>
    </row>
    <row r="3" spans="1:7" x14ac:dyDescent="0.25">
      <c r="A3" s="61"/>
      <c r="B3" s="267" t="s">
        <v>132</v>
      </c>
      <c r="C3" s="267"/>
      <c r="D3" s="267"/>
    </row>
    <row r="4" spans="1:7" ht="75" x14ac:dyDescent="0.25">
      <c r="A4" s="61"/>
      <c r="B4" s="86" t="s">
        <v>122</v>
      </c>
      <c r="C4" s="86" t="s">
        <v>133</v>
      </c>
      <c r="D4" s="86" t="s">
        <v>136</v>
      </c>
      <c r="E4" s="86" t="s">
        <v>134</v>
      </c>
      <c r="F4" s="86" t="s">
        <v>123</v>
      </c>
      <c r="G4" s="86" t="s">
        <v>135</v>
      </c>
    </row>
    <row r="5" spans="1:7" x14ac:dyDescent="0.25">
      <c r="A5" s="22"/>
      <c r="B5" s="86"/>
      <c r="C5" s="86"/>
      <c r="D5" s="198"/>
      <c r="E5" s="61"/>
      <c r="F5" s="61"/>
      <c r="G5" s="61"/>
    </row>
    <row r="6" spans="1:7" x14ac:dyDescent="0.25">
      <c r="A6" s="22"/>
      <c r="B6" s="86"/>
      <c r="C6" s="86"/>
      <c r="D6" s="199"/>
      <c r="E6" s="61"/>
      <c r="F6" s="61"/>
      <c r="G6" s="61"/>
    </row>
    <row r="7" spans="1:7" x14ac:dyDescent="0.25">
      <c r="A7" s="22"/>
      <c r="B7" s="86"/>
      <c r="C7" s="86"/>
      <c r="D7" s="199"/>
      <c r="E7" s="61"/>
      <c r="F7" s="61"/>
      <c r="G7" s="61"/>
    </row>
    <row r="8" spans="1:7" x14ac:dyDescent="0.25">
      <c r="A8" s="22" t="s">
        <v>29</v>
      </c>
      <c r="B8" s="36">
        <f>+'[8]EO Matrix @Meter'!$S$18</f>
        <v>5181939.6500000004</v>
      </c>
      <c r="C8" s="36">
        <f>+'[7]TD EO Ex Post Gross Adj'!$DD$363</f>
        <v>-722286.32999999984</v>
      </c>
      <c r="D8" s="36">
        <f>+'[7]TD EO NTG Adj'!$DD$370</f>
        <v>574414.55000000005</v>
      </c>
      <c r="E8" s="259">
        <f>+'[7]EO TD Carrying Costs'!$AN$48</f>
        <v>2229.4899999999998</v>
      </c>
      <c r="F8" s="263">
        <f>SUM(B8:E8)</f>
        <v>5036297.3600000003</v>
      </c>
      <c r="G8" s="262">
        <f>ROUND(F8/4,2)</f>
        <v>1259074.3400000001</v>
      </c>
    </row>
    <row r="9" spans="1:7" x14ac:dyDescent="0.25">
      <c r="A9" s="22" t="s">
        <v>30</v>
      </c>
      <c r="B9" s="255">
        <f>+'[8]EO Matrix @Meter'!$T$18</f>
        <v>5060008.6900000004</v>
      </c>
      <c r="C9" s="255">
        <f>SUM('[7]TD EO Ex Post Gross Adj'!$DD$364:$DD$367)</f>
        <v>194085.34999999995</v>
      </c>
      <c r="D9" s="255">
        <f>SUM('[7]TD EO NTG Adj'!$DD$371:$DD$374)</f>
        <v>562321.1399999999</v>
      </c>
      <c r="E9" s="260">
        <f>SUM('[7]EO TD Carrying Costs'!$AN$49:$AN$52)</f>
        <v>20418.359999999997</v>
      </c>
      <c r="F9" s="263">
        <f>SUM(B9:E9)</f>
        <v>5836833.54</v>
      </c>
      <c r="G9" s="262">
        <f>ROUND(F9/4,2)</f>
        <v>1459208.39</v>
      </c>
    </row>
    <row r="10" spans="1:7" x14ac:dyDescent="0.25">
      <c r="A10" s="22" t="s">
        <v>6</v>
      </c>
      <c r="B10" s="256">
        <f t="shared" ref="B10:G10" si="0">SUM(B8:B9)</f>
        <v>10241948.34</v>
      </c>
      <c r="C10" s="256">
        <f t="shared" si="0"/>
        <v>-528200.97999999986</v>
      </c>
      <c r="D10" s="256">
        <f t="shared" si="0"/>
        <v>1136735.69</v>
      </c>
      <c r="E10" s="261">
        <f t="shared" si="0"/>
        <v>22647.85</v>
      </c>
      <c r="F10" s="256">
        <f t="shared" si="0"/>
        <v>10873130.9</v>
      </c>
      <c r="G10" s="264">
        <f t="shared" si="0"/>
        <v>2718282.73</v>
      </c>
    </row>
    <row r="11" spans="1:7" x14ac:dyDescent="0.25">
      <c r="A11" s="61"/>
      <c r="B11" s="257"/>
      <c r="C11" s="257"/>
      <c r="D11" s="258"/>
    </row>
    <row r="12" spans="1:7" x14ac:dyDescent="0.25">
      <c r="A12" s="61"/>
      <c r="B12" s="229"/>
      <c r="C12" s="229"/>
      <c r="D12" s="229"/>
    </row>
    <row r="13" spans="1:7" x14ac:dyDescent="0.25">
      <c r="A13" s="61"/>
      <c r="B13" s="61"/>
      <c r="C13" s="61"/>
      <c r="D13" s="61"/>
    </row>
    <row r="14" spans="1:7" x14ac:dyDescent="0.25">
      <c r="A14" s="61"/>
      <c r="B14" s="61"/>
      <c r="C14" s="61"/>
      <c r="D14" s="61"/>
    </row>
    <row r="15" spans="1:7" x14ac:dyDescent="0.25">
      <c r="A15" s="61"/>
      <c r="B15" s="61"/>
      <c r="C15" s="61"/>
      <c r="D15" s="61"/>
    </row>
    <row r="16" spans="1:7" x14ac:dyDescent="0.25">
      <c r="A16" s="61"/>
      <c r="B16" s="61"/>
      <c r="C16" s="61"/>
      <c r="D16" s="61"/>
    </row>
    <row r="17" spans="1:4" x14ac:dyDescent="0.25">
      <c r="A17" s="68" t="s">
        <v>13</v>
      </c>
      <c r="B17" s="61"/>
      <c r="C17" s="61"/>
      <c r="D17" s="61"/>
    </row>
    <row r="18" spans="1:4" x14ac:dyDescent="0.25">
      <c r="A18" s="3" t="s">
        <v>137</v>
      </c>
      <c r="B18" s="61"/>
      <c r="C18" s="61"/>
      <c r="D18" s="61"/>
    </row>
    <row r="19" spans="1:4" x14ac:dyDescent="0.25">
      <c r="A19" s="3" t="s">
        <v>138</v>
      </c>
      <c r="B19" s="61"/>
      <c r="C19" s="61"/>
      <c r="D19" s="61"/>
    </row>
    <row r="20" spans="1:4" x14ac:dyDescent="0.25">
      <c r="A20" s="3" t="s">
        <v>139</v>
      </c>
    </row>
    <row r="21" spans="1:4" x14ac:dyDescent="0.25">
      <c r="A21" s="3" t="s">
        <v>140</v>
      </c>
    </row>
    <row r="22" spans="1:4" x14ac:dyDescent="0.25">
      <c r="A22" s="3" t="s">
        <v>142</v>
      </c>
    </row>
    <row r="23" spans="1:4" x14ac:dyDescent="0.25">
      <c r="A23" s="3" t="s">
        <v>141</v>
      </c>
    </row>
  </sheetData>
  <mergeCells count="1">
    <mergeCell ref="B3:D3"/>
  </mergeCells>
  <pageMargins left="0.45" right="0.45" top="0.5" bottom="0.5" header="0.3" footer="0.3"/>
  <pageSetup orientation="landscape" r:id="rId1"/>
  <headerFooter>
    <oddHeader>&amp;C&amp;F &amp;A</oddHeader>
    <oddFooter>&amp;R&amp;1#&amp;"Calibri"&amp;10&amp;KA80000Internal Use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54"/>
  <sheetViews>
    <sheetView workbookViewId="0">
      <pane xSplit="2" ySplit="9" topLeftCell="M34" activePane="bottomRight" state="frozen"/>
      <selection activeCell="F17" sqref="F17"/>
      <selection pane="topRight" activeCell="F17" sqref="F17"/>
      <selection pane="bottomLeft" activeCell="F17" sqref="F17"/>
      <selection pane="bottomRight" activeCell="O1" sqref="O1:O1048576"/>
    </sheetView>
  </sheetViews>
  <sheetFormatPr defaultRowHeight="15" x14ac:dyDescent="0.25"/>
  <cols>
    <col min="1" max="1" width="54.5703125" style="61" customWidth="1"/>
    <col min="2" max="2" width="14.7109375" style="61" bestFit="1" customWidth="1"/>
    <col min="3" max="3" width="15" style="61" customWidth="1"/>
    <col min="4" max="4" width="13.85546875" style="61" customWidth="1"/>
    <col min="5" max="5" width="15.85546875" style="61" customWidth="1"/>
    <col min="6" max="6" width="17.5703125" style="61" customWidth="1"/>
    <col min="7" max="8" width="13.28515625" style="61" customWidth="1"/>
    <col min="9" max="9" width="16" style="61" customWidth="1"/>
    <col min="10" max="10" width="15.85546875" style="61" bestFit="1" customWidth="1"/>
    <col min="11" max="11" width="12.5703125" style="61" bestFit="1" customWidth="1"/>
    <col min="12" max="12" width="16" style="61" customWidth="1"/>
    <col min="13" max="13" width="15" style="61" bestFit="1" customWidth="1"/>
    <col min="14" max="14" width="16.28515625" style="61" bestFit="1" customWidth="1"/>
    <col min="15" max="15" width="16.140625" style="61" customWidth="1"/>
    <col min="16" max="16" width="17.28515625" style="61" bestFit="1" customWidth="1"/>
    <col min="17" max="17" width="17.42578125" style="61" customWidth="1"/>
    <col min="18" max="18" width="15.5703125" style="61" customWidth="1"/>
    <col min="19" max="19" width="13" style="61" customWidth="1"/>
    <col min="20" max="20" width="9.140625" style="61"/>
    <col min="21" max="21" width="14.28515625" style="61" bestFit="1" customWidth="1"/>
    <col min="22" max="16384" width="9.140625" style="61"/>
  </cols>
  <sheetData>
    <row r="1" spans="1:34" x14ac:dyDescent="0.25">
      <c r="A1" s="3" t="str">
        <f>+PPC!A1</f>
        <v>Evergy Missouri West, Inc. - DSIM Rider Update Filed 12/02/2019</v>
      </c>
      <c r="B1" s="3"/>
      <c r="C1" s="3"/>
    </row>
    <row r="2" spans="1:34" x14ac:dyDescent="0.25">
      <c r="D2" s="3" t="s">
        <v>100</v>
      </c>
    </row>
    <row r="3" spans="1:34" ht="30" x14ac:dyDescent="0.25">
      <c r="D3" s="63" t="s">
        <v>62</v>
      </c>
      <c r="E3" s="86" t="s">
        <v>2</v>
      </c>
      <c r="F3" s="63" t="s">
        <v>3</v>
      </c>
      <c r="G3" s="86" t="s">
        <v>70</v>
      </c>
      <c r="H3" s="63" t="s">
        <v>11</v>
      </c>
      <c r="I3" s="63" t="s">
        <v>77</v>
      </c>
      <c r="K3" s="228"/>
      <c r="L3" s="228"/>
      <c r="M3" s="228"/>
      <c r="N3" s="229"/>
    </row>
    <row r="4" spans="1:34" x14ac:dyDescent="0.25">
      <c r="A4" s="61" t="s">
        <v>29</v>
      </c>
      <c r="D4" s="24">
        <f>SUM(C16:L16)</f>
        <v>-17233.928719999989</v>
      </c>
      <c r="E4" s="24">
        <f>SUM(C12:K12)</f>
        <v>0</v>
      </c>
      <c r="F4" s="24">
        <f>E4-D4</f>
        <v>17233.928719999989</v>
      </c>
      <c r="G4" s="24">
        <f>+B26</f>
        <v>-12113.234100000056</v>
      </c>
      <c r="H4" s="24">
        <f>SUM(C31:K31)</f>
        <v>37.740000000000009</v>
      </c>
      <c r="I4" s="36">
        <f>SUM(F4:H4)</f>
        <v>5158.4346199999327</v>
      </c>
      <c r="J4" s="62">
        <f>+I4-L26</f>
        <v>1.0913936421275139E-11</v>
      </c>
      <c r="K4" s="230"/>
      <c r="L4" s="230"/>
      <c r="M4" s="230"/>
      <c r="N4" s="229"/>
    </row>
    <row r="5" spans="1:34" ht="15.75" thickBot="1" x14ac:dyDescent="0.3">
      <c r="A5" s="61" t="s">
        <v>30</v>
      </c>
      <c r="D5" s="24">
        <f>SUM(C17:L17)</f>
        <v>10582.805379999985</v>
      </c>
      <c r="E5" s="24">
        <f>SUM(C13:K13)</f>
        <v>0</v>
      </c>
      <c r="F5" s="24">
        <f>E5-D5</f>
        <v>-10582.805379999985</v>
      </c>
      <c r="G5" s="24">
        <f>+B27</f>
        <v>22361.915540000013</v>
      </c>
      <c r="H5" s="24">
        <f>SUM(C32:K32)</f>
        <v>435.45000000000005</v>
      </c>
      <c r="I5" s="36">
        <f>SUM(F5:H5)</f>
        <v>12214.560160000028</v>
      </c>
      <c r="J5" s="62">
        <f>+I5-L27</f>
        <v>0</v>
      </c>
      <c r="K5" s="230"/>
      <c r="L5" s="230"/>
      <c r="M5" s="230"/>
      <c r="N5" s="229"/>
    </row>
    <row r="6" spans="1:34" ht="16.5" thickTop="1" thickBot="1" x14ac:dyDescent="0.3">
      <c r="D6" s="40">
        <f t="shared" ref="D6" si="0">SUM(D4:D5)</f>
        <v>-6651.1233400000037</v>
      </c>
      <c r="E6" s="40">
        <f>SUM(E4:E5)</f>
        <v>0</v>
      </c>
      <c r="F6" s="40">
        <f>SUM(F4:F5)</f>
        <v>6651.1233400000037</v>
      </c>
      <c r="G6" s="40">
        <f>SUM(G4:G5)</f>
        <v>10248.681439999957</v>
      </c>
      <c r="H6" s="94">
        <f>SUM(H4:H5)</f>
        <v>473.19000000000005</v>
      </c>
      <c r="I6" s="40">
        <f>SUM(I4:I5)</f>
        <v>17372.994779999961</v>
      </c>
      <c r="K6" s="229"/>
      <c r="L6" s="229"/>
      <c r="M6" s="229"/>
      <c r="N6" s="229"/>
    </row>
    <row r="7" spans="1:34" ht="16.5" thickTop="1" thickBot="1" x14ac:dyDescent="0.3"/>
    <row r="8" spans="1:34" ht="75.75" thickBot="1" x14ac:dyDescent="0.3">
      <c r="B8" s="145" t="str">
        <f>+'PCR Cycle 1'!B8</f>
        <v>Cumulative Over/Under Carryover From 06/01/2019 Filing</v>
      </c>
      <c r="C8" s="218" t="str">
        <f>+'PCR Cycle 1'!C8</f>
        <v>Reverse May-19 - October-19  Forecast From 06/01/2019 Filing</v>
      </c>
      <c r="D8" s="276" t="s">
        <v>39</v>
      </c>
      <c r="E8" s="276"/>
      <c r="F8" s="277"/>
      <c r="G8" s="268" t="s">
        <v>39</v>
      </c>
      <c r="H8" s="269"/>
      <c r="I8" s="270"/>
      <c r="J8" s="278" t="s">
        <v>9</v>
      </c>
      <c r="K8" s="279"/>
      <c r="L8" s="280"/>
    </row>
    <row r="9" spans="1:34" x14ac:dyDescent="0.25">
      <c r="C9" s="14"/>
      <c r="D9" s="20">
        <f>+'PCR Cycle 1'!D9</f>
        <v>43616</v>
      </c>
      <c r="E9" s="20">
        <f t="shared" ref="E9:L9" si="1">EOMONTH(D9,1)</f>
        <v>43646</v>
      </c>
      <c r="F9" s="20">
        <f t="shared" si="1"/>
        <v>43677</v>
      </c>
      <c r="G9" s="14">
        <f t="shared" si="1"/>
        <v>43708</v>
      </c>
      <c r="H9" s="20">
        <f t="shared" si="1"/>
        <v>43738</v>
      </c>
      <c r="I9" s="20">
        <f t="shared" si="1"/>
        <v>43769</v>
      </c>
      <c r="J9" s="14">
        <f t="shared" si="1"/>
        <v>43799</v>
      </c>
      <c r="K9" s="20">
        <f t="shared" si="1"/>
        <v>43830</v>
      </c>
      <c r="L9" s="122">
        <f t="shared" si="1"/>
        <v>43861</v>
      </c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x14ac:dyDescent="0.25">
      <c r="C10" s="125"/>
      <c r="D10" s="44"/>
      <c r="E10" s="44"/>
      <c r="F10" s="44"/>
      <c r="G10" s="41"/>
      <c r="H10" s="44"/>
      <c r="I10" s="17"/>
      <c r="J10" s="41"/>
      <c r="K10" s="44"/>
      <c r="L10" s="42"/>
    </row>
    <row r="11" spans="1:34" x14ac:dyDescent="0.25">
      <c r="A11" s="61" t="s">
        <v>103</v>
      </c>
      <c r="C11" s="126"/>
      <c r="D11" s="44"/>
      <c r="E11" s="44"/>
      <c r="F11" s="44"/>
      <c r="G11" s="41"/>
      <c r="H11" s="44"/>
      <c r="I11" s="18"/>
      <c r="J11" s="10"/>
      <c r="K11" s="17"/>
      <c r="L11" s="11"/>
    </row>
    <row r="12" spans="1:34" x14ac:dyDescent="0.25">
      <c r="A12" s="61" t="s">
        <v>29</v>
      </c>
      <c r="C12" s="53">
        <v>0</v>
      </c>
      <c r="D12" s="54">
        <v>0</v>
      </c>
      <c r="E12" s="54">
        <v>0</v>
      </c>
      <c r="F12" s="135">
        <v>0</v>
      </c>
      <c r="G12" s="53">
        <v>0</v>
      </c>
      <c r="H12" s="54">
        <v>0</v>
      </c>
      <c r="I12" s="135">
        <v>0</v>
      </c>
      <c r="J12" s="53">
        <v>0</v>
      </c>
      <c r="K12" s="54">
        <v>0</v>
      </c>
      <c r="L12" s="54">
        <v>0</v>
      </c>
    </row>
    <row r="13" spans="1:34" x14ac:dyDescent="0.25">
      <c r="A13" s="61" t="s">
        <v>30</v>
      </c>
      <c r="C13" s="53">
        <v>0</v>
      </c>
      <c r="D13" s="54">
        <v>0</v>
      </c>
      <c r="E13" s="54">
        <v>0</v>
      </c>
      <c r="F13" s="135">
        <v>0</v>
      </c>
      <c r="G13" s="53">
        <v>0</v>
      </c>
      <c r="H13" s="54">
        <v>0</v>
      </c>
      <c r="I13" s="135">
        <v>0</v>
      </c>
      <c r="J13" s="53">
        <v>0</v>
      </c>
      <c r="K13" s="54">
        <v>0</v>
      </c>
      <c r="L13" s="54">
        <v>0</v>
      </c>
    </row>
    <row r="14" spans="1:34" x14ac:dyDescent="0.25">
      <c r="C14" s="126"/>
      <c r="D14" s="44"/>
      <c r="E14" s="44"/>
      <c r="F14" s="44"/>
      <c r="G14" s="41"/>
      <c r="H14" s="44"/>
      <c r="I14" s="17"/>
      <c r="J14" s="10"/>
      <c r="K14" s="17"/>
      <c r="L14" s="11"/>
    </row>
    <row r="15" spans="1:34" x14ac:dyDescent="0.25">
      <c r="A15" s="61" t="s">
        <v>105</v>
      </c>
      <c r="C15" s="126"/>
      <c r="D15" s="18"/>
      <c r="E15" s="18"/>
      <c r="F15" s="18"/>
      <c r="G15" s="118"/>
      <c r="H15" s="18"/>
      <c r="J15" s="182"/>
      <c r="K15" s="73"/>
      <c r="L15" s="74"/>
      <c r="M15" s="79" t="s">
        <v>66</v>
      </c>
      <c r="N15" s="52"/>
    </row>
    <row r="16" spans="1:34" x14ac:dyDescent="0.25">
      <c r="A16" s="61" t="s">
        <v>29</v>
      </c>
      <c r="C16" s="124">
        <v>-125403.16409999998</v>
      </c>
      <c r="D16" s="136">
        <f>ROUND('[3]May 2019 Combined'!$F$23,2)</f>
        <v>29032.6</v>
      </c>
      <c r="E16" s="136">
        <f>ROUND('[3]June 2019 Combined'!$F$23,2)</f>
        <v>38925.21</v>
      </c>
      <c r="F16" s="137">
        <f>ROUND('[3]July 2019 Combined'!$F$23,2)</f>
        <v>54570.79</v>
      </c>
      <c r="G16" s="219">
        <f>ROUND('[3]August 2019 Combined'!$F$23,2)</f>
        <v>-3715.22</v>
      </c>
      <c r="H16" s="178">
        <f>ROUND('[3]September 2019 Combined'!$F$23,2)</f>
        <v>-3294.06</v>
      </c>
      <c r="I16" s="179">
        <f>ROUND('[3]October 2019 Combined'!$F$23,2)</f>
        <v>-2611.15</v>
      </c>
      <c r="J16" s="53">
        <f>+$M16*'PCR Cycle 1'!J21</f>
        <v>-2072.6026100000004</v>
      </c>
      <c r="K16" s="54">
        <f>+$M16*'PCR Cycle 1'!K21</f>
        <v>-2666.3320100000001</v>
      </c>
      <c r="L16" s="54">
        <f>+$M16*'PCR Cycle 1'!L21*0</f>
        <v>0</v>
      </c>
      <c r="M16" s="88">
        <v>-1.0000000000000001E-5</v>
      </c>
    </row>
    <row r="17" spans="1:13" x14ac:dyDescent="0.25">
      <c r="A17" s="61" t="s">
        <v>30</v>
      </c>
      <c r="C17" s="124">
        <v>-195754.30446000001</v>
      </c>
      <c r="D17" s="136">
        <f>ROUND('[3]May 2019 Combined'!$F$24,2)</f>
        <v>59960.56</v>
      </c>
      <c r="E17" s="136">
        <f>ROUND('[3]June 2019 Combined'!$F$24,2)</f>
        <v>57667.45</v>
      </c>
      <c r="F17" s="137">
        <f>ROUND('[3]July 2019 Combined'!$F$24,2)</f>
        <v>74206.52</v>
      </c>
      <c r="G17" s="219">
        <f>ROUND('[3]August 2019 Combined'!$F$24,2)</f>
        <v>3722.17</v>
      </c>
      <c r="H17" s="178">
        <f>ROUND('[3]September 2019 Combined'!$F$24,2)</f>
        <v>3067.62</v>
      </c>
      <c r="I17" s="179">
        <f>ROUND('[3]October 2019 Combined'!$F$24,2)</f>
        <v>2026.76</v>
      </c>
      <c r="J17" s="53">
        <f>+$M17*'PCR Cycle 1'!J22</f>
        <v>2682.1503900000002</v>
      </c>
      <c r="K17" s="54">
        <f>+$M17*'PCR Cycle 1'!K22</f>
        <v>3003.8794500000004</v>
      </c>
      <c r="L17" s="54">
        <f>+$M17*'PCR Cycle 1'!L22*0</f>
        <v>0</v>
      </c>
      <c r="M17" s="88">
        <v>1.0000000000000001E-5</v>
      </c>
    </row>
    <row r="18" spans="1:13" x14ac:dyDescent="0.25">
      <c r="C18" s="83"/>
      <c r="D18" s="18"/>
      <c r="E18" s="18"/>
      <c r="F18" s="18"/>
      <c r="G18" s="118"/>
      <c r="H18" s="18"/>
      <c r="J18" s="12"/>
      <c r="K18" s="71"/>
      <c r="L18" s="13"/>
      <c r="M18" s="4"/>
    </row>
    <row r="19" spans="1:13" ht="15.75" thickBot="1" x14ac:dyDescent="0.3">
      <c r="A19" s="61" t="s">
        <v>106</v>
      </c>
      <c r="C19" s="130">
        <v>-1472.34</v>
      </c>
      <c r="D19" s="139">
        <v>878.87</v>
      </c>
      <c r="E19" s="139">
        <v>589.29</v>
      </c>
      <c r="F19" s="140">
        <v>241.17000000000002</v>
      </c>
      <c r="G19" s="39">
        <v>49.28</v>
      </c>
      <c r="H19" s="149">
        <v>47.839999999999996</v>
      </c>
      <c r="I19" s="206">
        <v>46.67</v>
      </c>
      <c r="J19" s="184">
        <v>46.75</v>
      </c>
      <c r="K19" s="173">
        <v>45.64</v>
      </c>
      <c r="L19" s="100"/>
    </row>
    <row r="20" spans="1:13" x14ac:dyDescent="0.25">
      <c r="C20" s="126"/>
      <c r="D20" s="44"/>
      <c r="E20" s="44"/>
      <c r="F20" s="44"/>
      <c r="G20" s="41"/>
      <c r="H20" s="44"/>
      <c r="I20" s="17"/>
      <c r="J20" s="10"/>
      <c r="K20" s="17"/>
      <c r="L20" s="11"/>
    </row>
    <row r="21" spans="1:13" x14ac:dyDescent="0.25">
      <c r="A21" s="61" t="s">
        <v>68</v>
      </c>
      <c r="C21" s="126"/>
      <c r="D21" s="44"/>
      <c r="E21" s="44"/>
      <c r="F21" s="44"/>
      <c r="G21" s="41"/>
      <c r="H21" s="44"/>
      <c r="I21" s="17"/>
      <c r="J21" s="10"/>
      <c r="K21" s="17"/>
      <c r="L21" s="11"/>
    </row>
    <row r="22" spans="1:13" x14ac:dyDescent="0.25">
      <c r="A22" s="61" t="s">
        <v>29</v>
      </c>
      <c r="C22" s="53">
        <f t="shared" ref="C22" si="2">C12-C16</f>
        <v>125403.16409999998</v>
      </c>
      <c r="D22" s="54">
        <f t="shared" ref="D22:L22" si="3">D12-D16</f>
        <v>-29032.6</v>
      </c>
      <c r="E22" s="54">
        <f t="shared" si="3"/>
        <v>-38925.21</v>
      </c>
      <c r="F22" s="135">
        <f t="shared" si="3"/>
        <v>-54570.79</v>
      </c>
      <c r="G22" s="53">
        <f t="shared" si="3"/>
        <v>3715.22</v>
      </c>
      <c r="H22" s="54">
        <f t="shared" si="3"/>
        <v>3294.06</v>
      </c>
      <c r="I22" s="135">
        <f t="shared" si="3"/>
        <v>2611.15</v>
      </c>
      <c r="J22" s="53">
        <f t="shared" si="3"/>
        <v>2072.6026100000004</v>
      </c>
      <c r="K22" s="54">
        <f t="shared" si="3"/>
        <v>2666.3320100000001</v>
      </c>
      <c r="L22" s="64">
        <f t="shared" si="3"/>
        <v>0</v>
      </c>
    </row>
    <row r="23" spans="1:13" x14ac:dyDescent="0.25">
      <c r="A23" s="61" t="s">
        <v>30</v>
      </c>
      <c r="C23" s="53">
        <f t="shared" ref="C23" si="4">C13-C17</f>
        <v>195754.30446000001</v>
      </c>
      <c r="D23" s="54">
        <f t="shared" ref="D23:L23" si="5">D13-D17</f>
        <v>-59960.56</v>
      </c>
      <c r="E23" s="54">
        <f t="shared" si="5"/>
        <v>-57667.45</v>
      </c>
      <c r="F23" s="135">
        <f t="shared" si="5"/>
        <v>-74206.52</v>
      </c>
      <c r="G23" s="53">
        <f t="shared" si="5"/>
        <v>-3722.17</v>
      </c>
      <c r="H23" s="54">
        <f t="shared" si="5"/>
        <v>-3067.62</v>
      </c>
      <c r="I23" s="135">
        <f t="shared" si="5"/>
        <v>-2026.76</v>
      </c>
      <c r="J23" s="53">
        <f t="shared" si="5"/>
        <v>-2682.1503900000002</v>
      </c>
      <c r="K23" s="54">
        <f t="shared" si="5"/>
        <v>-3003.8794500000004</v>
      </c>
      <c r="L23" s="64">
        <f t="shared" si="5"/>
        <v>0</v>
      </c>
    </row>
    <row r="24" spans="1:13" x14ac:dyDescent="0.25">
      <c r="C24" s="126"/>
      <c r="D24" s="44"/>
      <c r="E24" s="44"/>
      <c r="F24" s="44"/>
      <c r="G24" s="41"/>
      <c r="H24" s="44"/>
      <c r="I24" s="17"/>
      <c r="J24" s="10"/>
      <c r="K24" s="17"/>
      <c r="L24" s="11"/>
    </row>
    <row r="25" spans="1:13" ht="15.75" thickBot="1" x14ac:dyDescent="0.3">
      <c r="A25" s="61" t="s">
        <v>69</v>
      </c>
      <c r="C25" s="131"/>
      <c r="D25" s="44"/>
      <c r="E25" s="44"/>
      <c r="F25" s="44"/>
      <c r="G25" s="41"/>
      <c r="H25" s="44"/>
      <c r="I25" s="17"/>
      <c r="J25" s="10"/>
      <c r="K25" s="17"/>
      <c r="L25" s="11"/>
    </row>
    <row r="26" spans="1:13" x14ac:dyDescent="0.25">
      <c r="A26" s="61" t="s">
        <v>29</v>
      </c>
      <c r="B26" s="143">
        <v>-12113.234100000056</v>
      </c>
      <c r="C26" s="54">
        <f>B26+C22+B31</f>
        <v>113289.92999999992</v>
      </c>
      <c r="D26" s="54">
        <f t="shared" ref="D26:L27" si="6">C26+D22+C31</f>
        <v>83762.339999999924</v>
      </c>
      <c r="E26" s="54">
        <f t="shared" si="6"/>
        <v>45139.729999999923</v>
      </c>
      <c r="F26" s="135">
        <f t="shared" si="6"/>
        <v>-9234.3400000000784</v>
      </c>
      <c r="G26" s="53">
        <f t="shared" si="6"/>
        <v>-5465.6500000000788</v>
      </c>
      <c r="H26" s="54">
        <f t="shared" si="6"/>
        <v>-2192.4800000000787</v>
      </c>
      <c r="I26" s="135">
        <f t="shared" si="6"/>
        <v>408.12999999992138</v>
      </c>
      <c r="J26" s="53">
        <f t="shared" si="6"/>
        <v>2478.3926099999217</v>
      </c>
      <c r="K26" s="54">
        <f t="shared" si="6"/>
        <v>5148.484619999922</v>
      </c>
      <c r="L26" s="64">
        <f t="shared" si="6"/>
        <v>5158.4346199999218</v>
      </c>
    </row>
    <row r="27" spans="1:13" ht="15.75" thickBot="1" x14ac:dyDescent="0.3">
      <c r="A27" s="61" t="s">
        <v>30</v>
      </c>
      <c r="B27" s="144">
        <v>22361.915540000013</v>
      </c>
      <c r="C27" s="54">
        <f>B27+C23+B32</f>
        <v>218116.22000000003</v>
      </c>
      <c r="D27" s="54">
        <f t="shared" si="6"/>
        <v>157178.31000000003</v>
      </c>
      <c r="E27" s="54">
        <f t="shared" si="6"/>
        <v>100087.13000000003</v>
      </c>
      <c r="F27" s="135">
        <f t="shared" si="6"/>
        <v>26273.180000000029</v>
      </c>
      <c r="G27" s="53">
        <f t="shared" si="6"/>
        <v>22738.730000000032</v>
      </c>
      <c r="H27" s="54">
        <f t="shared" si="6"/>
        <v>19741.280000000032</v>
      </c>
      <c r="I27" s="135">
        <f t="shared" si="6"/>
        <v>17772.900000000034</v>
      </c>
      <c r="J27" s="53">
        <f t="shared" si="6"/>
        <v>15139.759610000034</v>
      </c>
      <c r="K27" s="54">
        <f t="shared" si="6"/>
        <v>12178.870160000033</v>
      </c>
      <c r="L27" s="64">
        <f t="shared" si="6"/>
        <v>12214.560160000034</v>
      </c>
    </row>
    <row r="28" spans="1:13" x14ac:dyDescent="0.25">
      <c r="C28" s="126"/>
      <c r="D28" s="44"/>
      <c r="E28" s="44"/>
      <c r="F28" s="44"/>
      <c r="G28" s="41"/>
      <c r="H28" s="44"/>
      <c r="I28" s="17"/>
      <c r="J28" s="10"/>
      <c r="K28" s="17"/>
      <c r="L28" s="11"/>
    </row>
    <row r="29" spans="1:13" x14ac:dyDescent="0.25">
      <c r="A29" s="52" t="s">
        <v>107</v>
      </c>
      <c r="B29" s="52"/>
      <c r="C29" s="131"/>
      <c r="D29" s="103">
        <f>+'PCR Cycle 1'!D38</f>
        <v>3.0790499999999998E-3</v>
      </c>
      <c r="E29" s="103">
        <f>+'PCR Cycle 1'!E38</f>
        <v>3.0450199999999998E-3</v>
      </c>
      <c r="F29" s="103">
        <f>+'PCR Cycle 1'!F38</f>
        <v>2.9619300000000002E-3</v>
      </c>
      <c r="G29" s="105">
        <f>+'PCR Cycle 1'!G38</f>
        <v>2.8524499999999999E-3</v>
      </c>
      <c r="H29" s="103">
        <f>+'PCR Cycle 1'!H38</f>
        <v>2.7438599999999999E-3</v>
      </c>
      <c r="I29" s="104">
        <f>+'PCR Cycle 1'!I38</f>
        <v>2.60867E-3</v>
      </c>
      <c r="J29" s="105">
        <f>+I29</f>
        <v>2.60867E-3</v>
      </c>
      <c r="K29" s="103">
        <f>+J29</f>
        <v>2.60867E-3</v>
      </c>
      <c r="L29" s="119"/>
    </row>
    <row r="30" spans="1:13" x14ac:dyDescent="0.25">
      <c r="A30" s="52" t="s">
        <v>44</v>
      </c>
      <c r="B30" s="52"/>
      <c r="C30" s="126"/>
      <c r="D30" s="44"/>
      <c r="E30" s="44"/>
      <c r="F30" s="44"/>
      <c r="G30" s="41"/>
      <c r="H30" s="44"/>
      <c r="I30" s="17"/>
      <c r="J30" s="10"/>
      <c r="K30" s="17"/>
      <c r="L30" s="11"/>
      <c r="M30" s="87"/>
    </row>
    <row r="31" spans="1:13" x14ac:dyDescent="0.25">
      <c r="A31" s="61" t="s">
        <v>29</v>
      </c>
      <c r="C31" s="53">
        <v>-494.99</v>
      </c>
      <c r="D31" s="54">
        <f>ROUND((C26+C31+D22/2)*D$29,2)</f>
        <v>302.60000000000002</v>
      </c>
      <c r="E31" s="54">
        <f t="shared" ref="E31:K32" si="7">ROUND((D26+D31+E22/2)*E$29,2)</f>
        <v>196.72</v>
      </c>
      <c r="F31" s="135">
        <f t="shared" si="7"/>
        <v>53.47</v>
      </c>
      <c r="G31" s="53">
        <f t="shared" si="7"/>
        <v>-20.89</v>
      </c>
      <c r="H31" s="150">
        <f t="shared" si="7"/>
        <v>-10.54</v>
      </c>
      <c r="I31" s="207">
        <f t="shared" si="7"/>
        <v>-2.34</v>
      </c>
      <c r="J31" s="53">
        <f t="shared" si="7"/>
        <v>3.76</v>
      </c>
      <c r="K31" s="150">
        <f t="shared" si="7"/>
        <v>9.9499999999999993</v>
      </c>
      <c r="L31" s="64"/>
    </row>
    <row r="32" spans="1:13" ht="15.75" thickBot="1" x14ac:dyDescent="0.3">
      <c r="A32" s="61" t="s">
        <v>30</v>
      </c>
      <c r="C32" s="141">
        <v>-977.34999999999991</v>
      </c>
      <c r="D32" s="54">
        <f>ROUND((C27+C32+D23/2)*D$29,2)</f>
        <v>576.27</v>
      </c>
      <c r="E32" s="54">
        <f t="shared" si="7"/>
        <v>392.57</v>
      </c>
      <c r="F32" s="135">
        <f t="shared" si="7"/>
        <v>187.72</v>
      </c>
      <c r="G32" s="53">
        <f t="shared" si="7"/>
        <v>70.17</v>
      </c>
      <c r="H32" s="150">
        <f t="shared" si="7"/>
        <v>58.38</v>
      </c>
      <c r="I32" s="207">
        <f t="shared" si="7"/>
        <v>49.01</v>
      </c>
      <c r="J32" s="53">
        <f t="shared" si="7"/>
        <v>42.99</v>
      </c>
      <c r="K32" s="150">
        <f t="shared" si="7"/>
        <v>35.69</v>
      </c>
      <c r="L32" s="64"/>
    </row>
    <row r="33" spans="1:12" ht="16.5" thickTop="1" thickBot="1" x14ac:dyDescent="0.3">
      <c r="A33" s="69" t="s">
        <v>25</v>
      </c>
      <c r="B33" s="69"/>
      <c r="C33" s="142">
        <v>0</v>
      </c>
      <c r="D33" s="45">
        <f t="shared" ref="D33:I33" si="8">SUM(D31:D32)+SUM(D26:D27)-D36</f>
        <v>0</v>
      </c>
      <c r="E33" s="45">
        <f t="shared" si="8"/>
        <v>0</v>
      </c>
      <c r="F33" s="65">
        <f t="shared" ref="F33:H33" si="9">SUM(F31:F32)+SUM(F26:F27)-F36</f>
        <v>4.0017766878008842E-11</v>
      </c>
      <c r="G33" s="151">
        <f t="shared" si="9"/>
        <v>4.3655745685100555E-11</v>
      </c>
      <c r="H33" s="45">
        <f t="shared" si="9"/>
        <v>4.3655745685100555E-11</v>
      </c>
      <c r="I33" s="65">
        <f t="shared" si="8"/>
        <v>4.3655745685100555E-11</v>
      </c>
      <c r="J33" s="66">
        <f t="shared" ref="J33:L33" si="10">SUM(J31:J32)+SUM(J26:J27)-J36</f>
        <v>4.7293724492192268E-11</v>
      </c>
      <c r="K33" s="45">
        <f t="shared" si="10"/>
        <v>4.3655745685100555E-11</v>
      </c>
      <c r="L33" s="123">
        <f t="shared" si="10"/>
        <v>4.7293724492192268E-11</v>
      </c>
    </row>
    <row r="34" spans="1:12" ht="16.5" thickTop="1" thickBot="1" x14ac:dyDescent="0.3">
      <c r="A34" s="69" t="s">
        <v>26</v>
      </c>
      <c r="B34" s="69"/>
      <c r="C34" s="134">
        <v>0</v>
      </c>
      <c r="D34" s="45">
        <f>SUM(D31:D32)-D19</f>
        <v>0</v>
      </c>
      <c r="E34" s="45">
        <f t="shared" ref="E34:I34" si="11">SUM(E31:E32)-E19</f>
        <v>0</v>
      </c>
      <c r="F34" s="65">
        <f t="shared" ref="F34:H34" si="12">SUM(F31:F32)-F19</f>
        <v>1.999999999998181E-2</v>
      </c>
      <c r="G34" s="66">
        <f t="shared" si="12"/>
        <v>0</v>
      </c>
      <c r="H34" s="45">
        <f t="shared" si="12"/>
        <v>0</v>
      </c>
      <c r="I34" s="65">
        <f t="shared" si="11"/>
        <v>0</v>
      </c>
      <c r="J34" s="66">
        <f t="shared" ref="J34:L34" si="13">SUM(J31:J32)-J19</f>
        <v>0</v>
      </c>
      <c r="K34" s="45">
        <f t="shared" si="13"/>
        <v>0</v>
      </c>
      <c r="L34" s="123">
        <f t="shared" si="13"/>
        <v>0</v>
      </c>
    </row>
    <row r="35" spans="1:12" ht="16.5" thickTop="1" thickBot="1" x14ac:dyDescent="0.3">
      <c r="C35" s="126"/>
      <c r="D35" s="17"/>
      <c r="E35" s="17"/>
      <c r="F35" s="17"/>
      <c r="G35" s="10"/>
      <c r="H35" s="17"/>
      <c r="I35" s="17"/>
      <c r="J35" s="10"/>
      <c r="K35" s="17"/>
      <c r="L35" s="11"/>
    </row>
    <row r="36" spans="1:12" ht="15.75" thickBot="1" x14ac:dyDescent="0.3">
      <c r="A36" s="61" t="s">
        <v>42</v>
      </c>
      <c r="B36" s="146">
        <f>+B26+B27</f>
        <v>10248.681439999957</v>
      </c>
      <c r="C36" s="53">
        <f>(SUM(C12:C13)-SUM(C16:C17))+SUM(C31:C32)+B36</f>
        <v>329933.80999999994</v>
      </c>
      <c r="D36" s="54">
        <f t="shared" ref="D36:L36" si="14">(SUM(D12:D13)-SUM(D16:D17))+SUM(D31:D32)+C36</f>
        <v>241819.51999999993</v>
      </c>
      <c r="E36" s="54">
        <f t="shared" si="14"/>
        <v>145816.14999999991</v>
      </c>
      <c r="F36" s="135">
        <f t="shared" si="14"/>
        <v>17280.029999999912</v>
      </c>
      <c r="G36" s="53">
        <f t="shared" si="14"/>
        <v>17322.35999999991</v>
      </c>
      <c r="H36" s="54">
        <f t="shared" si="14"/>
        <v>17596.639999999908</v>
      </c>
      <c r="I36" s="135">
        <f t="shared" si="14"/>
        <v>18227.69999999991</v>
      </c>
      <c r="J36" s="53">
        <f t="shared" si="14"/>
        <v>17664.902219999909</v>
      </c>
      <c r="K36" s="54">
        <f t="shared" si="14"/>
        <v>17372.99477999991</v>
      </c>
      <c r="L36" s="77">
        <f t="shared" si="14"/>
        <v>17372.99477999991</v>
      </c>
    </row>
    <row r="37" spans="1:12" x14ac:dyDescent="0.25">
      <c r="C37" s="147"/>
      <c r="D37" s="71"/>
      <c r="E37" s="71"/>
      <c r="F37" s="71"/>
      <c r="G37" s="12"/>
      <c r="H37" s="71"/>
      <c r="I37" s="17"/>
      <c r="J37" s="10"/>
      <c r="K37" s="17"/>
      <c r="L37" s="11"/>
    </row>
    <row r="38" spans="1:12" ht="15.75" thickBot="1" x14ac:dyDescent="0.3">
      <c r="B38" s="17"/>
      <c r="C38" s="56"/>
      <c r="D38" s="57"/>
      <c r="E38" s="57"/>
      <c r="F38" s="57"/>
      <c r="G38" s="56"/>
      <c r="H38" s="57"/>
      <c r="I38" s="57"/>
      <c r="J38" s="56"/>
      <c r="K38" s="57"/>
      <c r="L38" s="58"/>
    </row>
    <row r="40" spans="1:12" x14ac:dyDescent="0.25">
      <c r="A40" s="85" t="s">
        <v>13</v>
      </c>
      <c r="B40" s="85"/>
      <c r="C40" s="85"/>
    </row>
    <row r="41" spans="1:12" ht="30.75" customHeight="1" x14ac:dyDescent="0.25">
      <c r="A41" s="274" t="s">
        <v>104</v>
      </c>
      <c r="B41" s="274"/>
      <c r="C41" s="274"/>
      <c r="D41" s="274"/>
      <c r="E41" s="274"/>
      <c r="F41" s="274"/>
      <c r="G41" s="274"/>
      <c r="H41" s="274"/>
      <c r="I41" s="274"/>
      <c r="J41" s="204"/>
      <c r="K41" s="204"/>
      <c r="L41" s="204"/>
    </row>
    <row r="42" spans="1:12" ht="30.75" customHeight="1" x14ac:dyDescent="0.25">
      <c r="A42" s="274" t="s">
        <v>143</v>
      </c>
      <c r="B42" s="274"/>
      <c r="C42" s="274"/>
      <c r="D42" s="274"/>
      <c r="E42" s="274"/>
      <c r="F42" s="274"/>
      <c r="G42" s="274"/>
      <c r="H42" s="274"/>
      <c r="I42" s="274"/>
      <c r="J42" s="204"/>
      <c r="K42" s="204"/>
      <c r="L42" s="204"/>
    </row>
    <row r="43" spans="1:12" x14ac:dyDescent="0.25">
      <c r="A43" s="3" t="s">
        <v>108</v>
      </c>
      <c r="B43" s="3"/>
      <c r="C43" s="3"/>
      <c r="I43" s="4"/>
    </row>
    <row r="44" spans="1:12" x14ac:dyDescent="0.25">
      <c r="A44" s="3" t="s">
        <v>144</v>
      </c>
      <c r="B44" s="3"/>
      <c r="C44" s="3"/>
      <c r="I44" s="4"/>
    </row>
    <row r="45" spans="1:12" x14ac:dyDescent="0.25">
      <c r="A45" s="3" t="s">
        <v>109</v>
      </c>
      <c r="B45" s="3"/>
      <c r="C45" s="3"/>
      <c r="I45" s="4"/>
    </row>
    <row r="46" spans="1:12" x14ac:dyDescent="0.25">
      <c r="C46" s="62"/>
    </row>
    <row r="47" spans="1:12" x14ac:dyDescent="0.25">
      <c r="C47" s="62"/>
    </row>
    <row r="54" spans="13:13" x14ac:dyDescent="0.25">
      <c r="M54" s="8"/>
    </row>
  </sheetData>
  <mergeCells count="5">
    <mergeCell ref="D8:F8"/>
    <mergeCell ref="A42:I42"/>
    <mergeCell ref="A41:I41"/>
    <mergeCell ref="G8:I8"/>
    <mergeCell ref="J8:L8"/>
  </mergeCells>
  <pageMargins left="0.7" right="0.7" top="0.75" bottom="0.75" header="0.3" footer="0.3"/>
  <pageSetup orientation="portrait" r:id="rId1"/>
  <headerFooter>
    <oddFooter>&amp;R&amp;1#&amp;"Calibri"&amp;10&amp;KA80000Internal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925DDD79CB154991C6089F2A32D6FE" ma:contentTypeVersion="" ma:contentTypeDescription="Create a new document." ma:contentTypeScope="" ma:versionID="3441e2133dc23d47401545fc31bad8af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E36353-2D23-4413-BFF3-128FB6002D9C}"/>
</file>

<file path=customXml/itemProps2.xml><?xml version="1.0" encoding="utf-8"?>
<ds:datastoreItem xmlns:ds="http://schemas.openxmlformats.org/officeDocument/2006/customXml" ds:itemID="{BBE680F6-EEBC-41A4-AEB5-0B773B5EACA2}"/>
</file>

<file path=customXml/itemProps3.xml><?xml version="1.0" encoding="utf-8"?>
<ds:datastoreItem xmlns:ds="http://schemas.openxmlformats.org/officeDocument/2006/customXml" ds:itemID="{D59E3970-10CB-4EDC-A3B1-00FFD34024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3</vt:i4>
      </vt:variant>
    </vt:vector>
  </HeadingPairs>
  <TitlesOfParts>
    <vt:vector size="14" baseType="lpstr">
      <vt:lpstr>tariff tables</vt:lpstr>
      <vt:lpstr>PPC</vt:lpstr>
      <vt:lpstr>PCR Cycle 1</vt:lpstr>
      <vt:lpstr>PCR Cycle 2</vt:lpstr>
      <vt:lpstr>PTD</vt:lpstr>
      <vt:lpstr>TDR Cycle 1</vt:lpstr>
      <vt:lpstr>TDR Cycle 2</vt:lpstr>
      <vt:lpstr>EO</vt:lpstr>
      <vt:lpstr>EOR</vt:lpstr>
      <vt:lpstr>OA</vt:lpstr>
      <vt:lpstr>OAR</vt:lpstr>
      <vt:lpstr>OAR!Print_Area</vt:lpstr>
      <vt:lpstr>'PCR Cycle 1'!Print_Area</vt:lpstr>
      <vt:lpstr>'PCR Cycle 2'!Print_Area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Unspecified User</dc:creator>
  <cp:lastModifiedBy>Mark Foltz</cp:lastModifiedBy>
  <cp:lastPrinted>2019-11-15T22:27:01Z</cp:lastPrinted>
  <dcterms:created xsi:type="dcterms:W3CDTF">2013-08-12T19:20:10Z</dcterms:created>
  <dcterms:modified xsi:type="dcterms:W3CDTF">2019-11-26T21:06:51Z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0x01010065925DDD79CB154991C6089F2A32D6FE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MSIP_Label_d275ac46-98b9-4d64-949f-e82ee8dc823c_Enabled">
    <vt:lpwstr>True</vt:lpwstr>
  </property>
  <property fmtid="{D5CDD505-2E9C-101B-9397-08002B2CF9AE}" pid="6" name="MSIP_Label_d275ac46-98b9-4d64-949f-e82ee8dc823c_SiteId">
    <vt:lpwstr>9ef58ab0-3510-4d99-8d3e-3c9e02ebab7f</vt:lpwstr>
  </property>
  <property fmtid="{D5CDD505-2E9C-101B-9397-08002B2CF9AE}" pid="7" name="MSIP_Label_d275ac46-98b9-4d64-949f-e82ee8dc823c_Owner">
    <vt:lpwstr>Mark.Foltz@kcpl.com</vt:lpwstr>
  </property>
  <property fmtid="{D5CDD505-2E9C-101B-9397-08002B2CF9AE}" pid="8" name="MSIP_Label_d275ac46-98b9-4d64-949f-e82ee8dc823c_SetDate">
    <vt:lpwstr>2018-11-19T15:35:58.2008381Z</vt:lpwstr>
  </property>
  <property fmtid="{D5CDD505-2E9C-101B-9397-08002B2CF9AE}" pid="9" name="MSIP_Label_d275ac46-98b9-4d64-949f-e82ee8dc823c_Name">
    <vt:lpwstr>Internal Use Only</vt:lpwstr>
  </property>
  <property fmtid="{D5CDD505-2E9C-101B-9397-08002B2CF9AE}" pid="10" name="MSIP_Label_d275ac46-98b9-4d64-949f-e82ee8dc823c_Application">
    <vt:lpwstr>Microsoft Azure Information Protection</vt:lpwstr>
  </property>
  <property fmtid="{D5CDD505-2E9C-101B-9397-08002B2CF9AE}" pid="11" name="MSIP_Label_d275ac46-98b9-4d64-949f-e82ee8dc823c_Extended_MSFT_Method">
    <vt:lpwstr>Automatic</vt:lpwstr>
  </property>
  <property fmtid="{D5CDD505-2E9C-101B-9397-08002B2CF9AE}" pid="12" name="Sensitivity">
    <vt:lpwstr>Internal Use Only</vt:lpwstr>
  </property>
</Properties>
</file>