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2055" windowWidth="12240" windowHeight="5580" tabRatio="865"/>
  </bookViews>
  <sheets>
    <sheet name="Notes" sheetId="18" r:id="rId1"/>
    <sheet name="Summary" sheetId="1" r:id="rId2"/>
    <sheet name="Avoided Costs—Low Growth" sheetId="15" r:id="rId3"/>
    <sheet name="Avoided Costs—High Growth" sheetId="2" r:id="rId4"/>
    <sheet name="Divisional Costs" sheetId="13" r:id="rId5"/>
    <sheet name="Escalation Rates" sheetId="4" r:id="rId6"/>
    <sheet name="Monthly Price Ratios" sheetId="9" r:id="rId7"/>
    <sheet name="Heating Loadshapes" sheetId="11" r:id="rId8"/>
    <sheet name="Area Usage Weights" sheetId="10" r:id="rId9"/>
    <sheet name="Avd. Costs Predicted—Low" sheetId="14" r:id="rId10"/>
    <sheet name="Avd. Costs Predicted—High" sheetId="16" r:id="rId11"/>
    <sheet name="Admin Cost Assumptions" sheetId="19" r:id="rId12"/>
    <sheet name="Sheet1" sheetId="17" r:id="rId13"/>
  </sheets>
  <externalReferences>
    <externalReference r:id="rId14"/>
    <externalReference r:id="rId15"/>
  </externalReferences>
  <definedNames>
    <definedName name="_xlnm._FilterDatabase" localSheetId="1" hidden="1">Summary!$A$2:$K$5</definedName>
  </definedNames>
  <calcPr calcId="145621"/>
</workbook>
</file>

<file path=xl/calcChain.xml><?xml version="1.0" encoding="utf-8"?>
<calcChain xmlns="http://schemas.openxmlformats.org/spreadsheetml/2006/main">
  <c r="F4" i="1" l="1"/>
  <c r="N4" i="1" s="1"/>
  <c r="G4" i="1"/>
  <c r="L4" i="1" s="1"/>
  <c r="H4" i="1"/>
  <c r="I4" i="1"/>
  <c r="G5" i="1"/>
  <c r="L5" i="1" s="1"/>
  <c r="H5" i="1"/>
  <c r="I5" i="1"/>
  <c r="M4" i="1" l="1"/>
  <c r="S4" i="1"/>
  <c r="Q4" i="1"/>
  <c r="M5" i="1"/>
  <c r="F5" i="1"/>
  <c r="N5" i="1" s="1"/>
  <c r="H3" i="1"/>
  <c r="B18" i="19"/>
  <c r="B20" i="19" s="1"/>
  <c r="B19" i="19"/>
  <c r="B16" i="19"/>
  <c r="AA4" i="1" l="1"/>
  <c r="AB4" i="1"/>
  <c r="Z4" i="1"/>
  <c r="V4" i="1"/>
  <c r="W4" i="1"/>
  <c r="X4" i="1"/>
  <c r="S5" i="1"/>
  <c r="Q5" i="1"/>
  <c r="I3" i="1"/>
  <c r="AA5" i="1" l="1"/>
  <c r="AB5" i="1"/>
  <c r="Z5" i="1"/>
  <c r="V5" i="1"/>
  <c r="W5" i="1"/>
  <c r="X5" i="1"/>
  <c r="G3" i="1"/>
  <c r="M3" i="1" l="1"/>
  <c r="P4" i="15" l="1"/>
  <c r="B5" i="13"/>
  <c r="B3" i="13"/>
  <c r="L3" i="1" l="1"/>
  <c r="K8" i="10" l="1"/>
  <c r="K9" i="10"/>
  <c r="E18" i="17" l="1"/>
  <c r="F7" i="17"/>
  <c r="F6" i="17"/>
  <c r="C3" i="10" l="1"/>
  <c r="B3" i="10"/>
  <c r="J10" i="10"/>
  <c r="J9" i="10"/>
  <c r="J8" i="10"/>
  <c r="C4" i="11" l="1"/>
  <c r="C25" i="16" l="1"/>
  <c r="C26" i="16"/>
  <c r="C24" i="16"/>
  <c r="B25" i="16"/>
  <c r="B26" i="16"/>
  <c r="B24" i="16"/>
  <c r="C26" i="2"/>
  <c r="C27" i="2"/>
  <c r="C25" i="2"/>
  <c r="B26" i="2"/>
  <c r="B27" i="2"/>
  <c r="B25" i="2"/>
  <c r="C25" i="14"/>
  <c r="C26" i="15" s="1"/>
  <c r="C26" i="14"/>
  <c r="C24" i="14"/>
  <c r="C25" i="15" s="1"/>
  <c r="B25" i="14"/>
  <c r="B26" i="14"/>
  <c r="B24" i="14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12" i="15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5" i="4"/>
  <c r="C27" i="15"/>
  <c r="B27" i="15"/>
  <c r="B26" i="15"/>
  <c r="B25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AQ34" i="15" l="1"/>
  <c r="AQ32" i="15"/>
  <c r="AQ31" i="15"/>
  <c r="AQ30" i="15"/>
  <c r="AQ28" i="15"/>
  <c r="AQ27" i="15"/>
  <c r="AQ25" i="15"/>
  <c r="AQ20" i="15"/>
  <c r="AQ18" i="15"/>
  <c r="AQ16" i="15"/>
  <c r="AQ17" i="15"/>
  <c r="AQ15" i="15"/>
  <c r="AQ12" i="15"/>
  <c r="AQ24" i="15"/>
  <c r="AQ21" i="15"/>
  <c r="AQ19" i="15"/>
  <c r="AQ13" i="15"/>
  <c r="AQ11" i="15"/>
  <c r="AQ22" i="15"/>
  <c r="AQ26" i="15" l="1"/>
  <c r="AQ14" i="15"/>
  <c r="AQ23" i="15"/>
  <c r="AQ29" i="15"/>
  <c r="AQ33" i="15"/>
  <c r="X10" i="2"/>
  <c r="W10" i="2"/>
  <c r="V10" i="2"/>
  <c r="U10" i="2"/>
  <c r="T10" i="2"/>
  <c r="S10" i="2"/>
  <c r="Q10" i="2"/>
  <c r="R10" i="2"/>
  <c r="P10" i="2"/>
  <c r="O10" i="2"/>
  <c r="N10" i="2"/>
  <c r="M10" i="2"/>
  <c r="B7" i="13" l="1"/>
  <c r="N4" i="15" s="1"/>
  <c r="C7" i="13"/>
  <c r="O4" i="15" s="1"/>
  <c r="O4" i="2" l="1"/>
  <c r="N4" i="2"/>
  <c r="E5" i="4" l="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C14" i="11"/>
  <c r="C13" i="11"/>
  <c r="C12" i="11"/>
  <c r="C11" i="11"/>
  <c r="C10" i="11"/>
  <c r="C9" i="11"/>
  <c r="C8" i="11"/>
  <c r="C7" i="11"/>
  <c r="C6" i="11"/>
  <c r="C3" i="11"/>
  <c r="C5" i="11"/>
  <c r="C4" i="10"/>
  <c r="B4" i="10"/>
  <c r="B15" i="9"/>
  <c r="E6" i="4"/>
  <c r="E7" i="4"/>
  <c r="E8" i="4"/>
  <c r="E9" i="4"/>
  <c r="E10" i="4"/>
  <c r="L16" i="2"/>
  <c r="E11" i="4"/>
  <c r="E12" i="4"/>
  <c r="L18" i="2"/>
  <c r="E13" i="4"/>
  <c r="E14" i="4"/>
  <c r="E15" i="4"/>
  <c r="E16" i="4"/>
  <c r="L22" i="2"/>
  <c r="E17" i="4"/>
  <c r="E18" i="4"/>
  <c r="L24" i="2"/>
  <c r="E19" i="4"/>
  <c r="E20" i="4"/>
  <c r="E21" i="4"/>
  <c r="E22" i="4"/>
  <c r="E23" i="4"/>
  <c r="E24" i="4"/>
  <c r="L30" i="2"/>
  <c r="E25" i="4"/>
  <c r="E26" i="4"/>
  <c r="E27" i="4"/>
  <c r="E28" i="4"/>
  <c r="L34" i="2"/>
  <c r="N3" i="15" l="1"/>
  <c r="N3" i="2"/>
  <c r="P4" i="2" s="1"/>
  <c r="G6" i="2" s="1"/>
  <c r="K11" i="2" s="1"/>
  <c r="O3" i="2"/>
  <c r="O3" i="15"/>
  <c r="L14" i="2"/>
  <c r="L20" i="2"/>
  <c r="L31" i="2"/>
  <c r="L25" i="2"/>
  <c r="L33" i="2"/>
  <c r="L27" i="2"/>
  <c r="L13" i="2"/>
  <c r="L29" i="2"/>
  <c r="L23" i="2"/>
  <c r="L17" i="2"/>
  <c r="L28" i="2"/>
  <c r="L19" i="2"/>
  <c r="L32" i="2"/>
  <c r="L26" i="2"/>
  <c r="L21" i="2"/>
  <c r="L15" i="2"/>
  <c r="L12" i="2"/>
  <c r="C4" i="9"/>
  <c r="C3" i="9"/>
  <c r="C13" i="9"/>
  <c r="C5" i="9"/>
  <c r="C11" i="9"/>
  <c r="C9" i="9"/>
  <c r="C7" i="9"/>
  <c r="C14" i="9"/>
  <c r="C10" i="9"/>
  <c r="C6" i="9"/>
  <c r="C12" i="9"/>
  <c r="C8" i="9"/>
  <c r="C15" i="9" l="1"/>
  <c r="AQ12" i="2"/>
  <c r="AQ11" i="2"/>
  <c r="O11" i="2"/>
  <c r="AD11" i="2" s="1"/>
  <c r="G6" i="15" l="1"/>
  <c r="K11" i="15" s="1"/>
  <c r="K12" i="2"/>
  <c r="T12" i="2" s="1"/>
  <c r="Q11" i="2"/>
  <c r="AF11" i="2" s="1"/>
  <c r="V11" i="2"/>
  <c r="AK11" i="2" s="1"/>
  <c r="R11" i="2"/>
  <c r="AG11" i="2" s="1"/>
  <c r="S11" i="2"/>
  <c r="AH11" i="2" s="1"/>
  <c r="M11" i="2"/>
  <c r="AB11" i="2" s="1"/>
  <c r="X11" i="2"/>
  <c r="AM11" i="2" s="1"/>
  <c r="W11" i="2"/>
  <c r="AL11" i="2" s="1"/>
  <c r="T11" i="2"/>
  <c r="AI11" i="2" s="1"/>
  <c r="U11" i="2"/>
  <c r="AJ11" i="2" s="1"/>
  <c r="N11" i="2"/>
  <c r="AC11" i="2" s="1"/>
  <c r="P11" i="2"/>
  <c r="AE11" i="2" s="1"/>
  <c r="AQ13" i="2"/>
  <c r="R11" i="15" l="1"/>
  <c r="AG11" i="15" s="1"/>
  <c r="O11" i="15"/>
  <c r="AD11" i="15" s="1"/>
  <c r="S11" i="15"/>
  <c r="AH11" i="15" s="1"/>
  <c r="M11" i="15"/>
  <c r="AB11" i="15" s="1"/>
  <c r="T11" i="15"/>
  <c r="AI11" i="15" s="1"/>
  <c r="X11" i="15"/>
  <c r="AM11" i="15" s="1"/>
  <c r="K12" i="15"/>
  <c r="W12" i="15" s="1"/>
  <c r="Q11" i="15"/>
  <c r="AF11" i="15" s="1"/>
  <c r="N11" i="15"/>
  <c r="AC11" i="15" s="1"/>
  <c r="V11" i="15"/>
  <c r="AK11" i="15" s="1"/>
  <c r="W11" i="15"/>
  <c r="AL11" i="15" s="1"/>
  <c r="P11" i="15"/>
  <c r="AE11" i="15" s="1"/>
  <c r="U11" i="15"/>
  <c r="AJ11" i="15" s="1"/>
  <c r="O12" i="2"/>
  <c r="AD12" i="2" s="1"/>
  <c r="K13" i="2"/>
  <c r="N13" i="2" s="1"/>
  <c r="X12" i="2"/>
  <c r="AM12" i="2" s="1"/>
  <c r="P12" i="2"/>
  <c r="AE12" i="2" s="1"/>
  <c r="W12" i="2"/>
  <c r="AL12" i="2" s="1"/>
  <c r="Q12" i="2"/>
  <c r="AF12" i="2" s="1"/>
  <c r="M12" i="2"/>
  <c r="AB12" i="2" s="1"/>
  <c r="N12" i="2"/>
  <c r="AC12" i="2" s="1"/>
  <c r="R12" i="2"/>
  <c r="AG12" i="2" s="1"/>
  <c r="R12" i="15"/>
  <c r="V12" i="2"/>
  <c r="AK12" i="2" s="1"/>
  <c r="S12" i="2"/>
  <c r="AH12" i="2" s="1"/>
  <c r="U12" i="2"/>
  <c r="AJ12" i="2" s="1"/>
  <c r="AI12" i="2"/>
  <c r="AQ14" i="2"/>
  <c r="N12" i="15" l="1"/>
  <c r="K13" i="15"/>
  <c r="P13" i="15" s="1"/>
  <c r="AC12" i="15"/>
  <c r="U12" i="15"/>
  <c r="AJ12" i="15" s="1"/>
  <c r="Q12" i="15"/>
  <c r="P12" i="15"/>
  <c r="AE12" i="15" s="1"/>
  <c r="S12" i="15"/>
  <c r="AH12" i="15" s="1"/>
  <c r="AL12" i="15"/>
  <c r="AF12" i="15"/>
  <c r="O12" i="15"/>
  <c r="AD12" i="15" s="1"/>
  <c r="X12" i="15"/>
  <c r="AM12" i="15" s="1"/>
  <c r="M12" i="15"/>
  <c r="AB12" i="15" s="1"/>
  <c r="V12" i="15"/>
  <c r="AK12" i="15" s="1"/>
  <c r="T12" i="15"/>
  <c r="AI12" i="15" s="1"/>
  <c r="AG12" i="15"/>
  <c r="AC13" i="2"/>
  <c r="S13" i="2"/>
  <c r="AH13" i="2" s="1"/>
  <c r="K14" i="2"/>
  <c r="W14" i="2" s="1"/>
  <c r="W13" i="2"/>
  <c r="AL13" i="2" s="1"/>
  <c r="X13" i="2"/>
  <c r="AM13" i="2" s="1"/>
  <c r="O13" i="2"/>
  <c r="AD13" i="2" s="1"/>
  <c r="R13" i="2"/>
  <c r="AG13" i="2" s="1"/>
  <c r="P13" i="2"/>
  <c r="AE13" i="2" s="1"/>
  <c r="M13" i="2"/>
  <c r="AB13" i="2" s="1"/>
  <c r="T13" i="2"/>
  <c r="AI13" i="2" s="1"/>
  <c r="V13" i="2"/>
  <c r="AK13" i="2" s="1"/>
  <c r="U13" i="2"/>
  <c r="AJ13" i="2" s="1"/>
  <c r="Q13" i="2"/>
  <c r="AF13" i="2" s="1"/>
  <c r="U13" i="15"/>
  <c r="AJ13" i="15" s="1"/>
  <c r="AQ15" i="2"/>
  <c r="N13" i="15" l="1"/>
  <c r="AC13" i="15" s="1"/>
  <c r="S13" i="15"/>
  <c r="X13" i="15"/>
  <c r="AM13" i="15" s="1"/>
  <c r="R14" i="2"/>
  <c r="AG14" i="2" s="1"/>
  <c r="AE13" i="15"/>
  <c r="V13" i="15"/>
  <c r="AK13" i="15" s="1"/>
  <c r="Q13" i="15"/>
  <c r="T13" i="15"/>
  <c r="AI13" i="15" s="1"/>
  <c r="R13" i="15"/>
  <c r="AG13" i="15" s="1"/>
  <c r="M13" i="15"/>
  <c r="O13" i="15"/>
  <c r="AD13" i="15" s="1"/>
  <c r="K14" i="15"/>
  <c r="R14" i="15" s="1"/>
  <c r="W13" i="15"/>
  <c r="AL13" i="15" s="1"/>
  <c r="N14" i="2"/>
  <c r="AC14" i="2" s="1"/>
  <c r="M14" i="2"/>
  <c r="AB14" i="2" s="1"/>
  <c r="O14" i="2"/>
  <c r="AD14" i="2" s="1"/>
  <c r="V14" i="2"/>
  <c r="AK14" i="2" s="1"/>
  <c r="T14" i="2"/>
  <c r="AI14" i="2" s="1"/>
  <c r="AF13" i="15"/>
  <c r="AH13" i="15"/>
  <c r="B3" i="2"/>
  <c r="C3" i="2"/>
  <c r="K15" i="2"/>
  <c r="U15" i="2" s="1"/>
  <c r="U14" i="2"/>
  <c r="AJ14" i="2" s="1"/>
  <c r="X14" i="2"/>
  <c r="AM14" i="2" s="1"/>
  <c r="S14" i="2"/>
  <c r="AH14" i="2" s="1"/>
  <c r="P14" i="2"/>
  <c r="AE14" i="2" s="1"/>
  <c r="Q14" i="2"/>
  <c r="AF14" i="2" s="1"/>
  <c r="AL14" i="2"/>
  <c r="AB13" i="15"/>
  <c r="T14" i="15"/>
  <c r="AI14" i="15" s="1"/>
  <c r="T15" i="2"/>
  <c r="AI15" i="2" s="1"/>
  <c r="AQ16" i="2"/>
  <c r="V15" i="2" l="1"/>
  <c r="W15" i="2"/>
  <c r="AL15" i="2" s="1"/>
  <c r="R15" i="2"/>
  <c r="AG15" i="2" s="1"/>
  <c r="P14" i="15"/>
  <c r="AE14" i="15" s="1"/>
  <c r="X14" i="15"/>
  <c r="AM14" i="15" s="1"/>
  <c r="K15" i="15"/>
  <c r="K16" i="15" s="1"/>
  <c r="O14" i="15"/>
  <c r="AD14" i="15" s="1"/>
  <c r="Q14" i="15"/>
  <c r="AF14" i="15" s="1"/>
  <c r="N14" i="15"/>
  <c r="AC14" i="15" s="1"/>
  <c r="P15" i="2"/>
  <c r="AE15" i="2" s="1"/>
  <c r="X15" i="2"/>
  <c r="AM15" i="2" s="1"/>
  <c r="AG14" i="15"/>
  <c r="M14" i="15"/>
  <c r="AB14" i="15" s="1"/>
  <c r="U14" i="15"/>
  <c r="AJ14" i="15" s="1"/>
  <c r="S14" i="15"/>
  <c r="AH14" i="15" s="1"/>
  <c r="W14" i="15"/>
  <c r="AL14" i="15" s="1"/>
  <c r="V14" i="15"/>
  <c r="AK14" i="15" s="1"/>
  <c r="AK15" i="2"/>
  <c r="B3" i="15"/>
  <c r="N15" i="2"/>
  <c r="AC15" i="2" s="1"/>
  <c r="M15" i="2"/>
  <c r="AB15" i="2" s="1"/>
  <c r="S15" i="2"/>
  <c r="AH15" i="2" s="1"/>
  <c r="AJ15" i="2"/>
  <c r="Q15" i="2"/>
  <c r="AF15" i="2" s="1"/>
  <c r="K16" i="2"/>
  <c r="S16" i="2" s="1"/>
  <c r="O15" i="2"/>
  <c r="AD15" i="2" s="1"/>
  <c r="C4" i="2"/>
  <c r="B4" i="2"/>
  <c r="R15" i="15"/>
  <c r="AG15" i="15" s="1"/>
  <c r="X15" i="15"/>
  <c r="AM15" i="15" s="1"/>
  <c r="S15" i="15"/>
  <c r="U15" i="15"/>
  <c r="M15" i="15"/>
  <c r="C3" i="15"/>
  <c r="AQ17" i="2"/>
  <c r="AQ20" i="2"/>
  <c r="AQ32" i="2"/>
  <c r="AQ22" i="2"/>
  <c r="AQ21" i="2"/>
  <c r="AQ33" i="2"/>
  <c r="AQ18" i="2"/>
  <c r="AQ27" i="2"/>
  <c r="AQ29" i="2"/>
  <c r="AQ25" i="2"/>
  <c r="AQ19" i="2"/>
  <c r="AQ28" i="2"/>
  <c r="AQ23" i="2"/>
  <c r="AQ24" i="2"/>
  <c r="AQ31" i="2"/>
  <c r="AQ30" i="2"/>
  <c r="AQ34" i="2"/>
  <c r="AQ26" i="2"/>
  <c r="B4" i="15" l="1"/>
  <c r="Q15" i="15"/>
  <c r="AF15" i="15" s="1"/>
  <c r="W15" i="15"/>
  <c r="AL15" i="15" s="1"/>
  <c r="T15" i="15"/>
  <c r="AI15" i="15" s="1"/>
  <c r="O15" i="15"/>
  <c r="AD15" i="15" s="1"/>
  <c r="V15" i="15"/>
  <c r="AK15" i="15" s="1"/>
  <c r="P15" i="15"/>
  <c r="AE15" i="15" s="1"/>
  <c r="N15" i="15"/>
  <c r="AC15" i="15" s="1"/>
  <c r="C4" i="15"/>
  <c r="AJ15" i="15"/>
  <c r="B5" i="15" s="1"/>
  <c r="AH15" i="15"/>
  <c r="Q16" i="2"/>
  <c r="AF16" i="2" s="1"/>
  <c r="AB15" i="15"/>
  <c r="W16" i="2"/>
  <c r="AL16" i="2" s="1"/>
  <c r="X16" i="2"/>
  <c r="AM16" i="2" s="1"/>
  <c r="T16" i="2"/>
  <c r="AI16" i="2" s="1"/>
  <c r="R16" i="2"/>
  <c r="AG16" i="2" s="1"/>
  <c r="M16" i="2"/>
  <c r="AB16" i="2" s="1"/>
  <c r="AH16" i="2"/>
  <c r="P16" i="2"/>
  <c r="AE16" i="2" s="1"/>
  <c r="U16" i="2"/>
  <c r="AJ16" i="2" s="1"/>
  <c r="V16" i="2"/>
  <c r="AK16" i="2" s="1"/>
  <c r="K17" i="2"/>
  <c r="X17" i="2" s="1"/>
  <c r="B5" i="2"/>
  <c r="O16" i="2"/>
  <c r="AD16" i="2" s="1"/>
  <c r="N16" i="2"/>
  <c r="AC16" i="2" s="1"/>
  <c r="V17" i="2"/>
  <c r="C5" i="2"/>
  <c r="W16" i="15"/>
  <c r="K17" i="15"/>
  <c r="X16" i="15"/>
  <c r="AM16" i="15" s="1"/>
  <c r="Q16" i="15"/>
  <c r="AF16" i="15" s="1"/>
  <c r="M16" i="15"/>
  <c r="AB16" i="15" s="1"/>
  <c r="U16" i="15"/>
  <c r="AJ16" i="15" s="1"/>
  <c r="N16" i="15"/>
  <c r="AC16" i="15" s="1"/>
  <c r="V16" i="15"/>
  <c r="S16" i="15"/>
  <c r="AH16" i="15" s="1"/>
  <c r="R16" i="15"/>
  <c r="AG16" i="15" s="1"/>
  <c r="P16" i="15"/>
  <c r="AE16" i="15" s="1"/>
  <c r="T16" i="15"/>
  <c r="AI16" i="15" s="1"/>
  <c r="O16" i="15"/>
  <c r="AK16" i="15" l="1"/>
  <c r="C5" i="15"/>
  <c r="AD16" i="15"/>
  <c r="N17" i="2"/>
  <c r="AC17" i="2" s="1"/>
  <c r="S17" i="2"/>
  <c r="AH17" i="2" s="1"/>
  <c r="W17" i="2"/>
  <c r="O17" i="2"/>
  <c r="AD17" i="2" s="1"/>
  <c r="AM17" i="2"/>
  <c r="U17" i="2"/>
  <c r="AJ17" i="2" s="1"/>
  <c r="AL17" i="2"/>
  <c r="Q17" i="2"/>
  <c r="AF17" i="2" s="1"/>
  <c r="M17" i="2"/>
  <c r="AB17" i="2" s="1"/>
  <c r="R17" i="2"/>
  <c r="AG17" i="2" s="1"/>
  <c r="B6" i="2"/>
  <c r="P17" i="2"/>
  <c r="AE17" i="2" s="1"/>
  <c r="K18" i="2"/>
  <c r="X18" i="2" s="1"/>
  <c r="AM18" i="2" s="1"/>
  <c r="T17" i="2"/>
  <c r="AI17" i="2" s="1"/>
  <c r="C6" i="2"/>
  <c r="AK17" i="2"/>
  <c r="V17" i="15"/>
  <c r="U17" i="15"/>
  <c r="AJ17" i="15" s="1"/>
  <c r="K18" i="15"/>
  <c r="T17" i="15"/>
  <c r="AI17" i="15" s="1"/>
  <c r="M17" i="15"/>
  <c r="AB17" i="15" s="1"/>
  <c r="S17" i="15"/>
  <c r="AH17" i="15" s="1"/>
  <c r="X17" i="15"/>
  <c r="AM17" i="15" s="1"/>
  <c r="R17" i="15"/>
  <c r="AG17" i="15" s="1"/>
  <c r="Q17" i="15"/>
  <c r="AF17" i="15" s="1"/>
  <c r="N17" i="15"/>
  <c r="AC17" i="15" s="1"/>
  <c r="W17" i="15"/>
  <c r="P17" i="15"/>
  <c r="AE17" i="15" s="1"/>
  <c r="O17" i="15"/>
  <c r="AD17" i="15" s="1"/>
  <c r="AL16" i="15"/>
  <c r="AL17" i="15"/>
  <c r="M18" i="2"/>
  <c r="AB18" i="2" s="1"/>
  <c r="P18" i="2"/>
  <c r="K19" i="2"/>
  <c r="C6" i="15" l="1"/>
  <c r="O18" i="2"/>
  <c r="AD18" i="2" s="1"/>
  <c r="W18" i="2"/>
  <c r="AL18" i="2" s="1"/>
  <c r="S18" i="2"/>
  <c r="AH18" i="2" s="1"/>
  <c r="T18" i="2"/>
  <c r="AI18" i="2" s="1"/>
  <c r="Q18" i="2"/>
  <c r="AF18" i="2" s="1"/>
  <c r="U18" i="2"/>
  <c r="AJ18" i="2" s="1"/>
  <c r="N18" i="2"/>
  <c r="AC18" i="2" s="1"/>
  <c r="R18" i="2"/>
  <c r="AG18" i="2" s="1"/>
  <c r="V18" i="2"/>
  <c r="AK18" i="2" s="1"/>
  <c r="B7" i="2"/>
  <c r="AE18" i="2"/>
  <c r="C7" i="2"/>
  <c r="B6" i="15"/>
  <c r="AK17" i="15"/>
  <c r="B7" i="15" s="1"/>
  <c r="P18" i="15"/>
  <c r="AE18" i="15" s="1"/>
  <c r="T18" i="15"/>
  <c r="AI18" i="15" s="1"/>
  <c r="S18" i="15"/>
  <c r="AH18" i="15" s="1"/>
  <c r="K19" i="15"/>
  <c r="Q18" i="15"/>
  <c r="AF18" i="15" s="1"/>
  <c r="U18" i="15"/>
  <c r="AJ18" i="15" s="1"/>
  <c r="V18" i="15"/>
  <c r="AK18" i="15" s="1"/>
  <c r="R18" i="15"/>
  <c r="AG18" i="15" s="1"/>
  <c r="M18" i="15"/>
  <c r="AB18" i="15" s="1"/>
  <c r="X18" i="15"/>
  <c r="AM18" i="15" s="1"/>
  <c r="W18" i="15"/>
  <c r="AL18" i="15" s="1"/>
  <c r="N18" i="15"/>
  <c r="AC18" i="15" s="1"/>
  <c r="O18" i="15"/>
  <c r="AD18" i="15" s="1"/>
  <c r="Q19" i="2"/>
  <c r="P19" i="2"/>
  <c r="AE19" i="2" s="1"/>
  <c r="S19" i="2"/>
  <c r="O19" i="2"/>
  <c r="AD19" i="2" s="1"/>
  <c r="V19" i="2"/>
  <c r="W19" i="2"/>
  <c r="X19" i="2"/>
  <c r="AM19" i="2" s="1"/>
  <c r="R19" i="2"/>
  <c r="K20" i="2"/>
  <c r="U19" i="2"/>
  <c r="T19" i="2"/>
  <c r="M19" i="2"/>
  <c r="N19" i="2"/>
  <c r="AJ19" i="2" l="1"/>
  <c r="AL19" i="2"/>
  <c r="AC19" i="2"/>
  <c r="AH19" i="2"/>
  <c r="AG19" i="2"/>
  <c r="AI19" i="2"/>
  <c r="C8" i="2"/>
  <c r="AF19" i="2"/>
  <c r="AK19" i="2"/>
  <c r="B8" i="2"/>
  <c r="C8" i="15"/>
  <c r="S19" i="15"/>
  <c r="AH19" i="15" s="1"/>
  <c r="P19" i="15"/>
  <c r="AE19" i="15" s="1"/>
  <c r="O19" i="15"/>
  <c r="AD19" i="15" s="1"/>
  <c r="U19" i="15"/>
  <c r="AJ19" i="15" s="1"/>
  <c r="N19" i="15"/>
  <c r="AC19" i="15" s="1"/>
  <c r="R19" i="15"/>
  <c r="AG19" i="15" s="1"/>
  <c r="M19" i="15"/>
  <c r="AB19" i="15" s="1"/>
  <c r="V19" i="15"/>
  <c r="AK19" i="15" s="1"/>
  <c r="K20" i="15"/>
  <c r="T19" i="15"/>
  <c r="AI19" i="15" s="1"/>
  <c r="W19" i="15"/>
  <c r="AL19" i="15" s="1"/>
  <c r="Q19" i="15"/>
  <c r="AF19" i="15" s="1"/>
  <c r="X19" i="15"/>
  <c r="AM19" i="15" s="1"/>
  <c r="B8" i="15"/>
  <c r="C7" i="15"/>
  <c r="AB19" i="2"/>
  <c r="S20" i="2"/>
  <c r="AH20" i="2" s="1"/>
  <c r="X20" i="2"/>
  <c r="AM20" i="2" s="1"/>
  <c r="R20" i="2"/>
  <c r="AG20" i="2" s="1"/>
  <c r="W20" i="2"/>
  <c r="AL20" i="2" s="1"/>
  <c r="N20" i="2"/>
  <c r="AC20" i="2" s="1"/>
  <c r="U20" i="2"/>
  <c r="AJ20" i="2" s="1"/>
  <c r="M20" i="2"/>
  <c r="AB20" i="2" s="1"/>
  <c r="P20" i="2"/>
  <c r="AE20" i="2" s="1"/>
  <c r="T20" i="2"/>
  <c r="AI20" i="2" s="1"/>
  <c r="K21" i="2"/>
  <c r="V20" i="2"/>
  <c r="AK20" i="2" s="1"/>
  <c r="O20" i="2"/>
  <c r="AD20" i="2" s="1"/>
  <c r="Q20" i="2"/>
  <c r="AF20" i="2" s="1"/>
  <c r="C9" i="15" l="1"/>
  <c r="B9" i="15"/>
  <c r="P20" i="15"/>
  <c r="AE20" i="15" s="1"/>
  <c r="W20" i="15"/>
  <c r="AL20" i="15" s="1"/>
  <c r="O20" i="15"/>
  <c r="AD20" i="15" s="1"/>
  <c r="S20" i="15"/>
  <c r="AH20" i="15" s="1"/>
  <c r="R20" i="15"/>
  <c r="AG20" i="15" s="1"/>
  <c r="K21" i="15"/>
  <c r="V20" i="15"/>
  <c r="AK20" i="15" s="1"/>
  <c r="N20" i="15"/>
  <c r="AC20" i="15" s="1"/>
  <c r="M20" i="15"/>
  <c r="AB20" i="15" s="1"/>
  <c r="X20" i="15"/>
  <c r="AM20" i="15" s="1"/>
  <c r="Q20" i="15"/>
  <c r="AF20" i="15" s="1"/>
  <c r="T20" i="15"/>
  <c r="AI20" i="15" s="1"/>
  <c r="U20" i="15"/>
  <c r="AJ20" i="15" s="1"/>
  <c r="C10" i="2"/>
  <c r="B10" i="2"/>
  <c r="C9" i="2"/>
  <c r="B9" i="2"/>
  <c r="K22" i="2"/>
  <c r="Q21" i="2"/>
  <c r="AF21" i="2" s="1"/>
  <c r="R21" i="2"/>
  <c r="AG21" i="2" s="1"/>
  <c r="P21" i="2"/>
  <c r="AE21" i="2" s="1"/>
  <c r="X21" i="2"/>
  <c r="AM21" i="2" s="1"/>
  <c r="T21" i="2"/>
  <c r="AI21" i="2" s="1"/>
  <c r="M21" i="2"/>
  <c r="AB21" i="2" s="1"/>
  <c r="O21" i="2"/>
  <c r="AD21" i="2" s="1"/>
  <c r="N21" i="2"/>
  <c r="AC21" i="2" s="1"/>
  <c r="W21" i="2"/>
  <c r="AL21" i="2" s="1"/>
  <c r="S21" i="2"/>
  <c r="AH21" i="2" s="1"/>
  <c r="U21" i="2"/>
  <c r="AJ21" i="2" s="1"/>
  <c r="V21" i="2"/>
  <c r="AK21" i="2" s="1"/>
  <c r="K22" i="15" l="1"/>
  <c r="N21" i="15"/>
  <c r="AC21" i="15" s="1"/>
  <c r="O21" i="15"/>
  <c r="AD21" i="15" s="1"/>
  <c r="R21" i="15"/>
  <c r="AG21" i="15" s="1"/>
  <c r="Q21" i="15"/>
  <c r="AF21" i="15" s="1"/>
  <c r="X21" i="15"/>
  <c r="AM21" i="15" s="1"/>
  <c r="V21" i="15"/>
  <c r="AK21" i="15" s="1"/>
  <c r="U21" i="15"/>
  <c r="AJ21" i="15" s="1"/>
  <c r="P21" i="15"/>
  <c r="AE21" i="15" s="1"/>
  <c r="S21" i="15"/>
  <c r="AH21" i="15" s="1"/>
  <c r="T21" i="15"/>
  <c r="AI21" i="15" s="1"/>
  <c r="W21" i="15"/>
  <c r="AL21" i="15" s="1"/>
  <c r="M21" i="15"/>
  <c r="AB21" i="15" s="1"/>
  <c r="C10" i="15"/>
  <c r="B10" i="15"/>
  <c r="C11" i="2"/>
  <c r="B11" i="2"/>
  <c r="Q22" i="2"/>
  <c r="AF22" i="2" s="1"/>
  <c r="R22" i="2"/>
  <c r="AG22" i="2" s="1"/>
  <c r="U22" i="2"/>
  <c r="AJ22" i="2" s="1"/>
  <c r="O22" i="2"/>
  <c r="AD22" i="2" s="1"/>
  <c r="N22" i="2"/>
  <c r="AC22" i="2" s="1"/>
  <c r="X22" i="2"/>
  <c r="AM22" i="2" s="1"/>
  <c r="V22" i="2"/>
  <c r="AK22" i="2" s="1"/>
  <c r="P22" i="2"/>
  <c r="AE22" i="2" s="1"/>
  <c r="M22" i="2"/>
  <c r="AB22" i="2" s="1"/>
  <c r="K23" i="2"/>
  <c r="S22" i="2"/>
  <c r="AH22" i="2" s="1"/>
  <c r="T22" i="2"/>
  <c r="AI22" i="2" s="1"/>
  <c r="W22" i="2"/>
  <c r="AL22" i="2" s="1"/>
  <c r="B11" i="15" l="1"/>
  <c r="C11" i="15"/>
  <c r="M22" i="15"/>
  <c r="AB22" i="15" s="1"/>
  <c r="T22" i="15"/>
  <c r="AI22" i="15" s="1"/>
  <c r="K23" i="15"/>
  <c r="W22" i="15"/>
  <c r="AL22" i="15" s="1"/>
  <c r="O22" i="15"/>
  <c r="AD22" i="15" s="1"/>
  <c r="S22" i="15"/>
  <c r="AH22" i="15" s="1"/>
  <c r="U22" i="15"/>
  <c r="AJ22" i="15" s="1"/>
  <c r="V22" i="15"/>
  <c r="AK22" i="15" s="1"/>
  <c r="N22" i="15"/>
  <c r="AC22" i="15" s="1"/>
  <c r="R22" i="15"/>
  <c r="AG22" i="15" s="1"/>
  <c r="X22" i="15"/>
  <c r="AM22" i="15" s="1"/>
  <c r="Q22" i="15"/>
  <c r="AF22" i="15" s="1"/>
  <c r="P22" i="15"/>
  <c r="AE22" i="15" s="1"/>
  <c r="U23" i="2"/>
  <c r="AJ23" i="2" s="1"/>
  <c r="Q23" i="2"/>
  <c r="AF23" i="2" s="1"/>
  <c r="V23" i="2"/>
  <c r="AK23" i="2" s="1"/>
  <c r="P23" i="2"/>
  <c r="AE23" i="2" s="1"/>
  <c r="O23" i="2"/>
  <c r="AD23" i="2" s="1"/>
  <c r="N23" i="2"/>
  <c r="AC23" i="2" s="1"/>
  <c r="T23" i="2"/>
  <c r="AI23" i="2" s="1"/>
  <c r="M23" i="2"/>
  <c r="AB23" i="2" s="1"/>
  <c r="K24" i="2"/>
  <c r="W23" i="2"/>
  <c r="AL23" i="2" s="1"/>
  <c r="S23" i="2"/>
  <c r="AH23" i="2" s="1"/>
  <c r="R23" i="2"/>
  <c r="AG23" i="2" s="1"/>
  <c r="X23" i="2"/>
  <c r="AM23" i="2" s="1"/>
  <c r="C12" i="2"/>
  <c r="B12" i="2"/>
  <c r="B12" i="15" l="1"/>
  <c r="C12" i="15"/>
  <c r="V23" i="15"/>
  <c r="AK23" i="15" s="1"/>
  <c r="N23" i="15"/>
  <c r="AC23" i="15" s="1"/>
  <c r="T23" i="15"/>
  <c r="AI23" i="15" s="1"/>
  <c r="P23" i="15"/>
  <c r="AE23" i="15" s="1"/>
  <c r="U23" i="15"/>
  <c r="AJ23" i="15" s="1"/>
  <c r="M23" i="15"/>
  <c r="AB23" i="15" s="1"/>
  <c r="O23" i="15"/>
  <c r="AD23" i="15" s="1"/>
  <c r="W23" i="15"/>
  <c r="AL23" i="15" s="1"/>
  <c r="K24" i="15"/>
  <c r="Q23" i="15"/>
  <c r="AF23" i="15" s="1"/>
  <c r="S23" i="15"/>
  <c r="AH23" i="15" s="1"/>
  <c r="X23" i="15"/>
  <c r="AM23" i="15" s="1"/>
  <c r="R23" i="15"/>
  <c r="AG23" i="15" s="1"/>
  <c r="B13" i="2"/>
  <c r="C13" i="2"/>
  <c r="T24" i="2"/>
  <c r="AI24" i="2" s="1"/>
  <c r="Q24" i="2"/>
  <c r="AF24" i="2" s="1"/>
  <c r="K25" i="2"/>
  <c r="V24" i="2"/>
  <c r="AK24" i="2" s="1"/>
  <c r="U24" i="2"/>
  <c r="AJ24" i="2" s="1"/>
  <c r="M24" i="2"/>
  <c r="AB24" i="2" s="1"/>
  <c r="P24" i="2"/>
  <c r="AE24" i="2" s="1"/>
  <c r="X24" i="2"/>
  <c r="AM24" i="2" s="1"/>
  <c r="O24" i="2"/>
  <c r="AD24" i="2" s="1"/>
  <c r="S24" i="2"/>
  <c r="AH24" i="2" s="1"/>
  <c r="N24" i="2"/>
  <c r="AC24" i="2" s="1"/>
  <c r="R24" i="2"/>
  <c r="AG24" i="2" s="1"/>
  <c r="W24" i="2"/>
  <c r="AL24" i="2" s="1"/>
  <c r="C13" i="15" l="1"/>
  <c r="B13" i="15"/>
  <c r="V24" i="15"/>
  <c r="AK24" i="15" s="1"/>
  <c r="W24" i="15"/>
  <c r="AL24" i="15" s="1"/>
  <c r="O24" i="15"/>
  <c r="AD24" i="15" s="1"/>
  <c r="X24" i="15"/>
  <c r="AM24" i="15" s="1"/>
  <c r="P24" i="15"/>
  <c r="AE24" i="15" s="1"/>
  <c r="U24" i="15"/>
  <c r="AJ24" i="15" s="1"/>
  <c r="R24" i="15"/>
  <c r="AG24" i="15" s="1"/>
  <c r="S24" i="15"/>
  <c r="AH24" i="15" s="1"/>
  <c r="K25" i="15"/>
  <c r="Q24" i="15"/>
  <c r="AF24" i="15" s="1"/>
  <c r="M24" i="15"/>
  <c r="AB24" i="15" s="1"/>
  <c r="N24" i="15"/>
  <c r="AC24" i="15" s="1"/>
  <c r="T24" i="15"/>
  <c r="AI24" i="15" s="1"/>
  <c r="C14" i="2"/>
  <c r="B14" i="2"/>
  <c r="K26" i="2"/>
  <c r="X25" i="2"/>
  <c r="AM25" i="2" s="1"/>
  <c r="T25" i="2"/>
  <c r="AI25" i="2" s="1"/>
  <c r="R25" i="2"/>
  <c r="AG25" i="2" s="1"/>
  <c r="N25" i="2"/>
  <c r="AC25" i="2" s="1"/>
  <c r="W25" i="2"/>
  <c r="AL25" i="2" s="1"/>
  <c r="O25" i="2"/>
  <c r="AD25" i="2" s="1"/>
  <c r="V25" i="2"/>
  <c r="AK25" i="2" s="1"/>
  <c r="P25" i="2"/>
  <c r="AE25" i="2" s="1"/>
  <c r="M25" i="2"/>
  <c r="AB25" i="2" s="1"/>
  <c r="Q25" i="2"/>
  <c r="AF25" i="2" s="1"/>
  <c r="U25" i="2"/>
  <c r="AJ25" i="2" s="1"/>
  <c r="S25" i="2"/>
  <c r="AH25" i="2" s="1"/>
  <c r="U25" i="15" l="1"/>
  <c r="AJ25" i="15" s="1"/>
  <c r="M25" i="15"/>
  <c r="AB25" i="15" s="1"/>
  <c r="R25" i="15"/>
  <c r="AG25" i="15" s="1"/>
  <c r="X25" i="15"/>
  <c r="AM25" i="15" s="1"/>
  <c r="W25" i="15"/>
  <c r="AL25" i="15" s="1"/>
  <c r="Q25" i="15"/>
  <c r="AF25" i="15" s="1"/>
  <c r="T25" i="15"/>
  <c r="AI25" i="15" s="1"/>
  <c r="S25" i="15"/>
  <c r="AH25" i="15" s="1"/>
  <c r="P25" i="15"/>
  <c r="AE25" i="15" s="1"/>
  <c r="V25" i="15"/>
  <c r="AK25" i="15" s="1"/>
  <c r="N25" i="15"/>
  <c r="AC25" i="15" s="1"/>
  <c r="O25" i="15"/>
  <c r="AD25" i="15" s="1"/>
  <c r="K26" i="15"/>
  <c r="B14" i="15"/>
  <c r="C14" i="15"/>
  <c r="U26" i="2"/>
  <c r="AJ26" i="2" s="1"/>
  <c r="N26" i="2"/>
  <c r="AC26" i="2" s="1"/>
  <c r="P26" i="2"/>
  <c r="AE26" i="2" s="1"/>
  <c r="V26" i="2"/>
  <c r="AK26" i="2" s="1"/>
  <c r="Q26" i="2"/>
  <c r="AF26" i="2" s="1"/>
  <c r="S26" i="2"/>
  <c r="AH26" i="2" s="1"/>
  <c r="R26" i="2"/>
  <c r="AG26" i="2" s="1"/>
  <c r="K27" i="2"/>
  <c r="W26" i="2"/>
  <c r="AL26" i="2" s="1"/>
  <c r="O26" i="2"/>
  <c r="AD26" i="2" s="1"/>
  <c r="T26" i="2"/>
  <c r="AI26" i="2" s="1"/>
  <c r="X26" i="2"/>
  <c r="AM26" i="2" s="1"/>
  <c r="M26" i="2"/>
  <c r="AB26" i="2" s="1"/>
  <c r="B15" i="2"/>
  <c r="C15" i="2"/>
  <c r="C15" i="15" l="1"/>
  <c r="B15" i="15"/>
  <c r="U26" i="15"/>
  <c r="AJ26" i="15" s="1"/>
  <c r="O26" i="15"/>
  <c r="AD26" i="15" s="1"/>
  <c r="W26" i="15"/>
  <c r="AL26" i="15" s="1"/>
  <c r="X26" i="15"/>
  <c r="AM26" i="15" s="1"/>
  <c r="P26" i="15"/>
  <c r="AE26" i="15" s="1"/>
  <c r="K27" i="15"/>
  <c r="V26" i="15"/>
  <c r="AK26" i="15" s="1"/>
  <c r="S26" i="15"/>
  <c r="AH26" i="15" s="1"/>
  <c r="Q26" i="15"/>
  <c r="AF26" i="15" s="1"/>
  <c r="R26" i="15"/>
  <c r="AG26" i="15" s="1"/>
  <c r="N26" i="15"/>
  <c r="AC26" i="15" s="1"/>
  <c r="T26" i="15"/>
  <c r="AI26" i="15" s="1"/>
  <c r="M26" i="15"/>
  <c r="AB26" i="15" s="1"/>
  <c r="N27" i="2"/>
  <c r="AC27" i="2" s="1"/>
  <c r="T27" i="2"/>
  <c r="AI27" i="2" s="1"/>
  <c r="W27" i="2"/>
  <c r="AL27" i="2" s="1"/>
  <c r="Q27" i="2"/>
  <c r="AF27" i="2" s="1"/>
  <c r="O27" i="2"/>
  <c r="AD27" i="2" s="1"/>
  <c r="M27" i="2"/>
  <c r="AB27" i="2" s="1"/>
  <c r="P27" i="2"/>
  <c r="AE27" i="2" s="1"/>
  <c r="U27" i="2"/>
  <c r="AJ27" i="2" s="1"/>
  <c r="X27" i="2"/>
  <c r="AM27" i="2" s="1"/>
  <c r="S27" i="2"/>
  <c r="AH27" i="2" s="1"/>
  <c r="V27" i="2"/>
  <c r="AK27" i="2" s="1"/>
  <c r="K28" i="2"/>
  <c r="R27" i="2"/>
  <c r="AG27" i="2" s="1"/>
  <c r="B16" i="2"/>
  <c r="C16" i="2"/>
  <c r="X27" i="15" l="1"/>
  <c r="AM27" i="15" s="1"/>
  <c r="U27" i="15"/>
  <c r="AJ27" i="15" s="1"/>
  <c r="K28" i="15"/>
  <c r="O27" i="15"/>
  <c r="AD27" i="15" s="1"/>
  <c r="P27" i="15"/>
  <c r="AE27" i="15" s="1"/>
  <c r="S27" i="15"/>
  <c r="AH27" i="15" s="1"/>
  <c r="Q27" i="15"/>
  <c r="AF27" i="15" s="1"/>
  <c r="T27" i="15"/>
  <c r="AI27" i="15" s="1"/>
  <c r="R27" i="15"/>
  <c r="AG27" i="15" s="1"/>
  <c r="N27" i="15"/>
  <c r="AC27" i="15" s="1"/>
  <c r="M27" i="15"/>
  <c r="AB27" i="15" s="1"/>
  <c r="V27" i="15"/>
  <c r="AK27" i="15" s="1"/>
  <c r="W27" i="15"/>
  <c r="AL27" i="15" s="1"/>
  <c r="B16" i="15"/>
  <c r="C16" i="15"/>
  <c r="X28" i="2"/>
  <c r="AM28" i="2" s="1"/>
  <c r="M28" i="2"/>
  <c r="AB28" i="2" s="1"/>
  <c r="R28" i="2"/>
  <c r="AG28" i="2" s="1"/>
  <c r="N28" i="2"/>
  <c r="AC28" i="2" s="1"/>
  <c r="T28" i="2"/>
  <c r="AI28" i="2" s="1"/>
  <c r="V28" i="2"/>
  <c r="AK28" i="2" s="1"/>
  <c r="W28" i="2"/>
  <c r="AL28" i="2" s="1"/>
  <c r="Q28" i="2"/>
  <c r="AF28" i="2" s="1"/>
  <c r="O28" i="2"/>
  <c r="AD28" i="2" s="1"/>
  <c r="P28" i="2"/>
  <c r="AE28" i="2" s="1"/>
  <c r="S28" i="2"/>
  <c r="AH28" i="2" s="1"/>
  <c r="K29" i="2"/>
  <c r="U28" i="2"/>
  <c r="AJ28" i="2" s="1"/>
  <c r="C17" i="2"/>
  <c r="B17" i="2"/>
  <c r="M28" i="15" l="1"/>
  <c r="AB28" i="15" s="1"/>
  <c r="Q28" i="15"/>
  <c r="AF28" i="15" s="1"/>
  <c r="S28" i="15"/>
  <c r="AH28" i="15" s="1"/>
  <c r="W28" i="15"/>
  <c r="AL28" i="15" s="1"/>
  <c r="P28" i="15"/>
  <c r="AE28" i="15" s="1"/>
  <c r="X28" i="15"/>
  <c r="AM28" i="15" s="1"/>
  <c r="N28" i="15"/>
  <c r="AC28" i="15" s="1"/>
  <c r="O28" i="15"/>
  <c r="AD28" i="15" s="1"/>
  <c r="V28" i="15"/>
  <c r="AK28" i="15" s="1"/>
  <c r="R28" i="15"/>
  <c r="AG28" i="15" s="1"/>
  <c r="T28" i="15"/>
  <c r="AI28" i="15" s="1"/>
  <c r="U28" i="15"/>
  <c r="AJ28" i="15" s="1"/>
  <c r="K29" i="15"/>
  <c r="C17" i="15"/>
  <c r="B17" i="15"/>
  <c r="C18" i="2"/>
  <c r="B18" i="2"/>
  <c r="N29" i="2"/>
  <c r="AC29" i="2" s="1"/>
  <c r="O29" i="2"/>
  <c r="AD29" i="2" s="1"/>
  <c r="Q29" i="2"/>
  <c r="AF29" i="2" s="1"/>
  <c r="P29" i="2"/>
  <c r="AE29" i="2" s="1"/>
  <c r="V29" i="2"/>
  <c r="AK29" i="2" s="1"/>
  <c r="X29" i="2"/>
  <c r="AM29" i="2" s="1"/>
  <c r="T29" i="2"/>
  <c r="AI29" i="2" s="1"/>
  <c r="U29" i="2"/>
  <c r="AJ29" i="2" s="1"/>
  <c r="R29" i="2"/>
  <c r="AG29" i="2" s="1"/>
  <c r="K30" i="2"/>
  <c r="W29" i="2"/>
  <c r="AL29" i="2" s="1"/>
  <c r="M29" i="2"/>
  <c r="AB29" i="2" s="1"/>
  <c r="S29" i="2"/>
  <c r="AH29" i="2" s="1"/>
  <c r="U29" i="15" l="1"/>
  <c r="AJ29" i="15" s="1"/>
  <c r="T29" i="15"/>
  <c r="AI29" i="15" s="1"/>
  <c r="V29" i="15"/>
  <c r="AK29" i="15" s="1"/>
  <c r="M29" i="15"/>
  <c r="AB29" i="15" s="1"/>
  <c r="S29" i="15"/>
  <c r="AH29" i="15" s="1"/>
  <c r="X29" i="15"/>
  <c r="AM29" i="15" s="1"/>
  <c r="W29" i="15"/>
  <c r="AL29" i="15" s="1"/>
  <c r="Q29" i="15"/>
  <c r="AF29" i="15" s="1"/>
  <c r="O29" i="15"/>
  <c r="AD29" i="15" s="1"/>
  <c r="R29" i="15"/>
  <c r="AG29" i="15" s="1"/>
  <c r="P29" i="15"/>
  <c r="AE29" i="15" s="1"/>
  <c r="N29" i="15"/>
  <c r="AC29" i="15" s="1"/>
  <c r="K30" i="15"/>
  <c r="B18" i="15"/>
  <c r="C18" i="15"/>
  <c r="B19" i="2"/>
  <c r="C19" i="2"/>
  <c r="T30" i="2"/>
  <c r="AI30" i="2" s="1"/>
  <c r="O30" i="2"/>
  <c r="AD30" i="2" s="1"/>
  <c r="Q30" i="2"/>
  <c r="AF30" i="2" s="1"/>
  <c r="R30" i="2"/>
  <c r="AG30" i="2" s="1"/>
  <c r="V30" i="2"/>
  <c r="AK30" i="2" s="1"/>
  <c r="P30" i="2"/>
  <c r="AE30" i="2" s="1"/>
  <c r="W30" i="2"/>
  <c r="AL30" i="2" s="1"/>
  <c r="S30" i="2"/>
  <c r="AH30" i="2" s="1"/>
  <c r="K31" i="2"/>
  <c r="U30" i="2"/>
  <c r="AJ30" i="2" s="1"/>
  <c r="N30" i="2"/>
  <c r="AC30" i="2" s="1"/>
  <c r="M30" i="2"/>
  <c r="AB30" i="2" s="1"/>
  <c r="X30" i="2"/>
  <c r="AM30" i="2" s="1"/>
  <c r="C19" i="15" l="1"/>
  <c r="B19" i="15"/>
  <c r="Q30" i="15"/>
  <c r="AF30" i="15" s="1"/>
  <c r="S30" i="15"/>
  <c r="AH30" i="15" s="1"/>
  <c r="N30" i="15"/>
  <c r="AC30" i="15" s="1"/>
  <c r="O30" i="15"/>
  <c r="AD30" i="15" s="1"/>
  <c r="M30" i="15"/>
  <c r="AB30" i="15" s="1"/>
  <c r="U30" i="15"/>
  <c r="AJ30" i="15" s="1"/>
  <c r="V30" i="15"/>
  <c r="AK30" i="15" s="1"/>
  <c r="T30" i="15"/>
  <c r="AI30" i="15" s="1"/>
  <c r="P30" i="15"/>
  <c r="AE30" i="15" s="1"/>
  <c r="W30" i="15"/>
  <c r="AL30" i="15" s="1"/>
  <c r="X30" i="15"/>
  <c r="AM30" i="15" s="1"/>
  <c r="R30" i="15"/>
  <c r="AG30" i="15" s="1"/>
  <c r="K31" i="15"/>
  <c r="T31" i="2"/>
  <c r="AI31" i="2" s="1"/>
  <c r="K32" i="2"/>
  <c r="Q31" i="2"/>
  <c r="AF31" i="2" s="1"/>
  <c r="S31" i="2"/>
  <c r="AH31" i="2" s="1"/>
  <c r="O31" i="2"/>
  <c r="AD31" i="2" s="1"/>
  <c r="V31" i="2"/>
  <c r="AK31" i="2" s="1"/>
  <c r="P31" i="2"/>
  <c r="AE31" i="2" s="1"/>
  <c r="X31" i="2"/>
  <c r="AM31" i="2" s="1"/>
  <c r="W31" i="2"/>
  <c r="AL31" i="2" s="1"/>
  <c r="R31" i="2"/>
  <c r="AG31" i="2" s="1"/>
  <c r="N31" i="2"/>
  <c r="AC31" i="2" s="1"/>
  <c r="M31" i="2"/>
  <c r="AB31" i="2" s="1"/>
  <c r="U31" i="2"/>
  <c r="AJ31" i="2" s="1"/>
  <c r="C20" i="2"/>
  <c r="B20" i="2"/>
  <c r="W31" i="15" l="1"/>
  <c r="AL31" i="15" s="1"/>
  <c r="V31" i="15"/>
  <c r="AK31" i="15" s="1"/>
  <c r="R31" i="15"/>
  <c r="AG31" i="15" s="1"/>
  <c r="U31" i="15"/>
  <c r="AJ31" i="15" s="1"/>
  <c r="N31" i="15"/>
  <c r="AC31" i="15" s="1"/>
  <c r="Q31" i="15"/>
  <c r="AF31" i="15" s="1"/>
  <c r="M31" i="15"/>
  <c r="AB31" i="15" s="1"/>
  <c r="P31" i="15"/>
  <c r="AE31" i="15" s="1"/>
  <c r="X31" i="15"/>
  <c r="AM31" i="15" s="1"/>
  <c r="K32" i="15"/>
  <c r="T31" i="15"/>
  <c r="AI31" i="15" s="1"/>
  <c r="O31" i="15"/>
  <c r="AD31" i="15" s="1"/>
  <c r="S31" i="15"/>
  <c r="AH31" i="15" s="1"/>
  <c r="C20" i="15"/>
  <c r="B20" i="15"/>
  <c r="Q32" i="2"/>
  <c r="AF32" i="2" s="1"/>
  <c r="W32" i="2"/>
  <c r="AL32" i="2" s="1"/>
  <c r="O32" i="2"/>
  <c r="AD32" i="2" s="1"/>
  <c r="S32" i="2"/>
  <c r="AH32" i="2" s="1"/>
  <c r="M32" i="2"/>
  <c r="AB32" i="2" s="1"/>
  <c r="N32" i="2"/>
  <c r="AC32" i="2" s="1"/>
  <c r="V32" i="2"/>
  <c r="AK32" i="2" s="1"/>
  <c r="K33" i="2"/>
  <c r="T32" i="2"/>
  <c r="AI32" i="2" s="1"/>
  <c r="R32" i="2"/>
  <c r="AG32" i="2" s="1"/>
  <c r="X32" i="2"/>
  <c r="AM32" i="2" s="1"/>
  <c r="P32" i="2"/>
  <c r="AE32" i="2" s="1"/>
  <c r="U32" i="2"/>
  <c r="AJ32" i="2" s="1"/>
  <c r="C21" i="2"/>
  <c r="B21" i="2"/>
  <c r="B21" i="15" l="1"/>
  <c r="C21" i="15"/>
  <c r="M32" i="15"/>
  <c r="AB32" i="15" s="1"/>
  <c r="X32" i="15"/>
  <c r="AM32" i="15" s="1"/>
  <c r="V32" i="15"/>
  <c r="AK32" i="15" s="1"/>
  <c r="R32" i="15"/>
  <c r="AG32" i="15" s="1"/>
  <c r="T32" i="15"/>
  <c r="AI32" i="15" s="1"/>
  <c r="K33" i="15"/>
  <c r="O32" i="15"/>
  <c r="AD32" i="15" s="1"/>
  <c r="P32" i="15"/>
  <c r="AE32" i="15" s="1"/>
  <c r="U32" i="15"/>
  <c r="AJ32" i="15" s="1"/>
  <c r="Q32" i="15"/>
  <c r="AF32" i="15" s="1"/>
  <c r="N32" i="15"/>
  <c r="AC32" i="15" s="1"/>
  <c r="S32" i="15"/>
  <c r="AH32" i="15" s="1"/>
  <c r="W32" i="15"/>
  <c r="AL32" i="15" s="1"/>
  <c r="B22" i="2"/>
  <c r="C22" i="2"/>
  <c r="K34" i="2"/>
  <c r="S33" i="2"/>
  <c r="AH33" i="2" s="1"/>
  <c r="O33" i="2"/>
  <c r="AD33" i="2" s="1"/>
  <c r="U33" i="2"/>
  <c r="AJ33" i="2" s="1"/>
  <c r="W33" i="2"/>
  <c r="AL33" i="2" s="1"/>
  <c r="P33" i="2"/>
  <c r="AE33" i="2" s="1"/>
  <c r="V33" i="2"/>
  <c r="AK33" i="2" s="1"/>
  <c r="X33" i="2"/>
  <c r="AM33" i="2" s="1"/>
  <c r="Q33" i="2"/>
  <c r="AF33" i="2" s="1"/>
  <c r="N33" i="2"/>
  <c r="AC33" i="2" s="1"/>
  <c r="T33" i="2"/>
  <c r="AI33" i="2" s="1"/>
  <c r="R33" i="2"/>
  <c r="AG33" i="2" s="1"/>
  <c r="M33" i="2"/>
  <c r="AB33" i="2" s="1"/>
  <c r="V33" i="15" l="1"/>
  <c r="AK33" i="15" s="1"/>
  <c r="R33" i="15"/>
  <c r="AG33" i="15" s="1"/>
  <c r="S33" i="15"/>
  <c r="AH33" i="15" s="1"/>
  <c r="N33" i="15"/>
  <c r="AC33" i="15" s="1"/>
  <c r="Q33" i="15"/>
  <c r="AF33" i="15" s="1"/>
  <c r="M33" i="15"/>
  <c r="AB33" i="15" s="1"/>
  <c r="W33" i="15"/>
  <c r="AL33" i="15" s="1"/>
  <c r="X33" i="15"/>
  <c r="AM33" i="15" s="1"/>
  <c r="K34" i="15"/>
  <c r="U33" i="15"/>
  <c r="AJ33" i="15" s="1"/>
  <c r="O33" i="15"/>
  <c r="AD33" i="15" s="1"/>
  <c r="T33" i="15"/>
  <c r="AI33" i="15" s="1"/>
  <c r="P33" i="15"/>
  <c r="AE33" i="15" s="1"/>
  <c r="B22" i="15"/>
  <c r="C22" i="15"/>
  <c r="B23" i="2"/>
  <c r="C23" i="2"/>
  <c r="X34" i="2"/>
  <c r="AM34" i="2" s="1"/>
  <c r="R34" i="2"/>
  <c r="AG34" i="2" s="1"/>
  <c r="V34" i="2"/>
  <c r="AK34" i="2" s="1"/>
  <c r="W34" i="2"/>
  <c r="AL34" i="2" s="1"/>
  <c r="S34" i="2"/>
  <c r="AH34" i="2" s="1"/>
  <c r="P34" i="2"/>
  <c r="AE34" i="2" s="1"/>
  <c r="M34" i="2"/>
  <c r="AB34" i="2" s="1"/>
  <c r="T34" i="2"/>
  <c r="AI34" i="2" s="1"/>
  <c r="U34" i="2"/>
  <c r="AJ34" i="2" s="1"/>
  <c r="N34" i="2"/>
  <c r="AC34" i="2" s="1"/>
  <c r="O34" i="2"/>
  <c r="AD34" i="2" s="1"/>
  <c r="Q34" i="2"/>
  <c r="AF34" i="2" s="1"/>
  <c r="C23" i="15" l="1"/>
  <c r="B23" i="15"/>
  <c r="M34" i="15"/>
  <c r="AB34" i="15" s="1"/>
  <c r="O34" i="15"/>
  <c r="AD34" i="15" s="1"/>
  <c r="R34" i="15"/>
  <c r="AG34" i="15" s="1"/>
  <c r="X34" i="15"/>
  <c r="AM34" i="15" s="1"/>
  <c r="V34" i="15"/>
  <c r="AK34" i="15" s="1"/>
  <c r="W34" i="15"/>
  <c r="AL34" i="15" s="1"/>
  <c r="N34" i="15"/>
  <c r="AC34" i="15" s="1"/>
  <c r="Q34" i="15"/>
  <c r="AF34" i="15" s="1"/>
  <c r="U34" i="15"/>
  <c r="AJ34" i="15" s="1"/>
  <c r="T34" i="15"/>
  <c r="AI34" i="15" s="1"/>
  <c r="P34" i="15"/>
  <c r="AE34" i="15" s="1"/>
  <c r="S34" i="15"/>
  <c r="AH34" i="15" s="1"/>
  <c r="C24" i="2"/>
  <c r="B24" i="2"/>
  <c r="C24" i="15" l="1"/>
  <c r="B24" i="15"/>
  <c r="F3" i="1" l="1"/>
  <c r="N3" i="1" s="1"/>
  <c r="Q3" i="1" l="1"/>
  <c r="S3" i="1"/>
  <c r="Z3" i="1" l="1"/>
  <c r="AA3" i="1"/>
  <c r="V3" i="1"/>
  <c r="W3" i="1"/>
  <c r="X3" i="1"/>
  <c r="AB3" i="1"/>
</calcChain>
</file>

<file path=xl/comments1.xml><?xml version="1.0" encoding="utf-8"?>
<comments xmlns="http://schemas.openxmlformats.org/spreadsheetml/2006/main">
  <authors>
    <author>Scott Hoover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Scott Hoover:</t>
        </r>
        <r>
          <rPr>
            <sz val="9"/>
            <color indexed="81"/>
            <rFont val="Tahoma"/>
            <family val="2"/>
          </rPr>
          <t xml:space="preserve">
Cost of capital, provided by utility.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Scott Hoover:</t>
        </r>
        <r>
          <rPr>
            <sz val="9"/>
            <color indexed="81"/>
            <rFont val="Tahoma"/>
            <family val="2"/>
          </rPr>
          <t xml:space="preserve">
As there are no price data for the 23rd through the 25th years. These figures were estimated from a quadratic regression.</t>
        </r>
      </text>
    </comment>
  </commentList>
</comments>
</file>

<file path=xl/comments2.xml><?xml version="1.0" encoding="utf-8"?>
<comments xmlns="http://schemas.openxmlformats.org/spreadsheetml/2006/main">
  <authors>
    <author>Scott Hoover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Scott Hoover:</t>
        </r>
        <r>
          <rPr>
            <sz val="9"/>
            <color indexed="81"/>
            <rFont val="Tahoma"/>
            <family val="2"/>
          </rPr>
          <t xml:space="preserve">
Cost of capital, provided by utility.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Scott Hoover:</t>
        </r>
        <r>
          <rPr>
            <sz val="9"/>
            <color indexed="81"/>
            <rFont val="Tahoma"/>
            <family val="2"/>
          </rPr>
          <t xml:space="preserve">
As there are no price data for the 23rd through the 25th years. These figures were estimated from a quadratic regression.</t>
        </r>
      </text>
    </comment>
  </commentList>
</comments>
</file>

<file path=xl/comments3.xml><?xml version="1.0" encoding="utf-8"?>
<comments xmlns="http://schemas.openxmlformats.org/spreadsheetml/2006/main">
  <authors>
    <author>Scott Hoover</author>
    <author>Katie</author>
    <author>Scott Dimetrosky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Scott Hoover:</t>
        </r>
        <r>
          <rPr>
            <sz val="9"/>
            <color indexed="81"/>
            <rFont val="Tahoma"/>
            <family val="2"/>
          </rPr>
          <t xml:space="preserve">
see tariff sheet</t>
        </r>
      </text>
    </comment>
    <comment ref="B3" authorId="0">
      <text>
        <r>
          <rPr>
            <b/>
            <sz val="9"/>
            <color indexed="81"/>
            <rFont val="Tahoma"/>
            <family val="2"/>
          </rPr>
          <t>Scott Hoover:</t>
        </r>
        <r>
          <rPr>
            <sz val="9"/>
            <color indexed="81"/>
            <rFont val="Tahoma"/>
            <family val="2"/>
          </rPr>
          <t xml:space="preserve">
There are North and South service areas in the tariff sheet. This is a weighted average based on the volume data provided by the utility. Excludes lake of the ozarks</t>
        </r>
      </text>
    </comment>
    <comment ref="C3" authorId="1">
      <text>
        <r>
          <rPr>
            <b/>
            <sz val="9"/>
            <color indexed="81"/>
            <rFont val="Tahoma"/>
            <charset val="1"/>
          </rPr>
          <t>Katie:</t>
        </r>
        <r>
          <rPr>
            <sz val="9"/>
            <color indexed="81"/>
            <rFont val="Tahoma"/>
            <charset val="1"/>
          </rPr>
          <t xml:space="preserve">
Residential service </t>
        </r>
      </text>
    </comment>
    <comment ref="A4" authorId="0">
      <text>
        <r>
          <rPr>
            <b/>
            <sz val="9"/>
            <color indexed="81"/>
            <rFont val="Tahoma"/>
            <family val="2"/>
          </rPr>
          <t>Scott Hoover:</t>
        </r>
        <r>
          <rPr>
            <sz val="9"/>
            <color indexed="81"/>
            <rFont val="Tahoma"/>
            <family val="2"/>
          </rPr>
          <t xml:space="preserve">
see tariff sheet</t>
        </r>
      </text>
    </comment>
    <comment ref="A5" authorId="1">
      <text>
        <r>
          <rPr>
            <b/>
            <sz val="9"/>
            <color indexed="81"/>
            <rFont val="Tahoma"/>
            <charset val="1"/>
          </rPr>
          <t>Katie:</t>
        </r>
        <r>
          <rPr>
            <sz val="9"/>
            <color indexed="81"/>
            <rFont val="Tahoma"/>
            <charset val="1"/>
          </rPr>
          <t xml:space="preserve">
includes both PGA and RPGA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Scott Hoover:</t>
        </r>
        <r>
          <rPr>
            <sz val="9"/>
            <color indexed="81"/>
            <rFont val="Tahoma"/>
            <family val="2"/>
          </rPr>
          <t xml:space="preserve">
see tariff sheet</t>
        </r>
      </text>
    </comment>
    <comment ref="A7" authorId="2">
      <text>
        <r>
          <rPr>
            <b/>
            <sz val="9"/>
            <color indexed="81"/>
            <rFont val="Tahoma"/>
            <family val="2"/>
          </rPr>
          <t>Scott Dimetrosky:</t>
        </r>
        <r>
          <rPr>
            <sz val="9"/>
            <color indexed="81"/>
            <rFont val="Tahoma"/>
            <family val="2"/>
          </rPr>
          <t xml:space="preserve">
This combines energy and demand avoided costs into one figure. Scott H, Scott D, and Ted W decided on this method on 12/6/12 due to the fact that the utilities were unable to provide the necessary figures to calculate energy and demand avoided costs separately.</t>
        </r>
      </text>
    </comment>
  </commentList>
</comments>
</file>

<file path=xl/comments4.xml><?xml version="1.0" encoding="utf-8"?>
<comments xmlns="http://schemas.openxmlformats.org/spreadsheetml/2006/main">
  <authors>
    <author>Scott Hoover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Scott Hoover:</t>
        </r>
        <r>
          <rPr>
            <sz val="9"/>
            <color indexed="81"/>
            <rFont val="Tahoma"/>
            <family val="2"/>
          </rPr>
          <t xml:space="preserve">
These are the projected average prices to all users based on EIA estimates for the West North Central Region. Nominal dollars.</t>
        </r>
      </text>
    </comment>
    <comment ref="D3" authorId="0">
      <text>
        <r>
          <rPr>
            <b/>
            <sz val="9"/>
            <color indexed="81"/>
            <rFont val="Tahoma"/>
            <family val="2"/>
          </rPr>
          <t>Scott Hoover:</t>
        </r>
        <r>
          <rPr>
            <sz val="9"/>
            <color indexed="81"/>
            <rFont val="Tahoma"/>
            <family val="2"/>
          </rPr>
          <t xml:space="preserve">
These are the projected average prices to all users based on EIA estimates for the West North Central Region. Nominal dollars.</t>
        </r>
      </text>
    </comment>
  </commentList>
</comments>
</file>

<file path=xl/comments5.xml><?xml version="1.0" encoding="utf-8"?>
<comments xmlns="http://schemas.openxmlformats.org/spreadsheetml/2006/main">
  <authors>
    <author>Scott Hoover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Scott Hoover:</t>
        </r>
        <r>
          <rPr>
            <sz val="9"/>
            <color indexed="81"/>
            <rFont val="Tahoma"/>
            <family val="2"/>
          </rPr>
          <t xml:space="preserve">
Price data obtained from http://www.eia.gov/dnav/ng/ng_pri_sum_dcu_SMO_m.htm</t>
        </r>
      </text>
    </comment>
  </commentList>
</comments>
</file>

<file path=xl/comments6.xml><?xml version="1.0" encoding="utf-8"?>
<comments xmlns="http://schemas.openxmlformats.org/spreadsheetml/2006/main">
  <authors>
    <author>Scott Hoover</author>
  </authors>
  <commentList>
    <comment ref="C2" authorId="0">
      <text>
        <r>
          <rPr>
            <b/>
            <sz val="9"/>
            <color indexed="81"/>
            <rFont val="Tahoma"/>
            <family val="2"/>
          </rPr>
          <t>Scott Hoover:</t>
        </r>
        <r>
          <rPr>
            <sz val="9"/>
            <color indexed="81"/>
            <rFont val="Tahoma"/>
            <family val="2"/>
          </rPr>
          <t xml:space="preserve">
The Heat load shape is from the IA potential study - Res and small commercial heating</t>
        </r>
      </text>
    </comment>
  </commentList>
</comments>
</file>

<file path=xl/comments7.xml><?xml version="1.0" encoding="utf-8"?>
<comments xmlns="http://schemas.openxmlformats.org/spreadsheetml/2006/main">
  <authors>
    <author>Scott Hoover</author>
  </authors>
  <commentList>
    <comment ref="I7" authorId="0">
      <text>
        <r>
          <rPr>
            <b/>
            <sz val="9"/>
            <color indexed="81"/>
            <rFont val="Tahoma"/>
            <family val="2"/>
          </rPr>
          <t>Scott Hoover:</t>
        </r>
        <r>
          <rPr>
            <sz val="9"/>
            <color indexed="81"/>
            <rFont val="Tahoma"/>
            <family val="2"/>
          </rPr>
          <t xml:space="preserve">
This table was provided by the utility.</t>
        </r>
      </text>
    </comment>
  </commentList>
</comments>
</file>

<file path=xl/comments8.xml><?xml version="1.0" encoding="utf-8"?>
<comments xmlns="http://schemas.openxmlformats.org/spreadsheetml/2006/main">
  <authors>
    <author>Scott D</author>
  </authors>
  <commentList>
    <comment ref="B17" authorId="0">
      <text>
        <r>
          <rPr>
            <b/>
            <sz val="9"/>
            <color indexed="81"/>
            <rFont val="Tahoma"/>
            <family val="2"/>
          </rPr>
          <t>Scott D:</t>
        </r>
        <r>
          <rPr>
            <sz val="9"/>
            <color indexed="81"/>
            <rFont val="Tahoma"/>
            <family val="2"/>
          </rPr>
          <t xml:space="preserve">
Simple average of incentive/inc costs from summary sheet is about .47, but includes aerators/SHs which have 100%. If drop those, or use $ weighted avg, get closer to 30%, so used approximate avg of 40%)</t>
        </r>
      </text>
    </comment>
  </commentList>
</comments>
</file>

<file path=xl/sharedStrings.xml><?xml version="1.0" encoding="utf-8"?>
<sst xmlns="http://schemas.openxmlformats.org/spreadsheetml/2006/main" count="313" uniqueCount="136">
  <si>
    <t>EUL</t>
  </si>
  <si>
    <t>Incentive</t>
  </si>
  <si>
    <t>Measure Description</t>
  </si>
  <si>
    <t>Measure Name</t>
  </si>
  <si>
    <t>Non-heat</t>
  </si>
  <si>
    <t>Heat</t>
  </si>
  <si>
    <t>Avoided Costs Summary</t>
  </si>
  <si>
    <t>Discount Rate:</t>
  </si>
  <si>
    <t>-</t>
  </si>
  <si>
    <t>Year</t>
  </si>
  <si>
    <t>Y/Y Change</t>
  </si>
  <si>
    <t>(Source: EIA Annual Energy Outlook 2012)</t>
  </si>
  <si>
    <t>Annual Average</t>
  </si>
  <si>
    <t>Annual Escalation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</si>
  <si>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</si>
  <si>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</si>
  <si>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</si>
  <si>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</si>
  <si>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</si>
  <si>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</si>
  <si>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</si>
  <si>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</si>
  <si>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</si>
  <si>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</si>
  <si>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</si>
  <si>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</si>
  <si>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Monthly Ratio &gt;&gt;&gt;</t>
  </si>
  <si>
    <t>Avg.</t>
  </si>
  <si>
    <t>Month</t>
  </si>
  <si>
    <t>Monthly Ratio</t>
  </si>
  <si>
    <t>Share</t>
  </si>
  <si>
    <t>Region</t>
  </si>
  <si>
    <t>NPV Demand Costs</t>
  </si>
  <si>
    <t>Non-Heat</t>
  </si>
  <si>
    <t>Demand</t>
  </si>
  <si>
    <t>Thermostat</t>
  </si>
  <si>
    <t>Furnace</t>
  </si>
  <si>
    <t>Apex Savings Estimate (Thms)</t>
  </si>
  <si>
    <t>Number of Units</t>
  </si>
  <si>
    <t>Heat/Non-Heat</t>
  </si>
  <si>
    <t>Residential</t>
  </si>
  <si>
    <t>AFUE 95%</t>
  </si>
  <si>
    <t>Commodity Charge (per therm)</t>
  </si>
  <si>
    <t>Upstream Pipeline (per therm)</t>
  </si>
  <si>
    <t>Total Avoided Cost (per therm)</t>
  </si>
  <si>
    <t xml:space="preserve">Total Avoided Cost </t>
  </si>
  <si>
    <t>Usage Weight</t>
  </si>
  <si>
    <t>Total Avoided Cost (per thm)</t>
  </si>
  <si>
    <t>Total Avoided Costs</t>
  </si>
  <si>
    <t>Parameters</t>
  </si>
  <si>
    <t>NPV Avoided Costs</t>
  </si>
  <si>
    <t>Incremental Cost</t>
  </si>
  <si>
    <t>Distribution Charge (per therm)</t>
  </si>
  <si>
    <t>NOTE: avoided costs were only calculated for 22 years out. Had to predict the 23rd through 25th years with a regression.</t>
  </si>
  <si>
    <t>System Wghtd Avg.</t>
  </si>
  <si>
    <t>Price</t>
  </si>
  <si>
    <t>MO Gas Price Data</t>
  </si>
  <si>
    <t>2012 Annual Costs by Region—CNG MO</t>
  </si>
  <si>
    <t>Direct Install</t>
  </si>
  <si>
    <t>Self Install</t>
  </si>
  <si>
    <t>Usage Share by Division</t>
  </si>
  <si>
    <t>Measure Specifics</t>
  </si>
  <si>
    <t>NG Price (Low Growth)</t>
  </si>
  <si>
    <t>NG Price (High Growth)</t>
  </si>
  <si>
    <t>UCT</t>
  </si>
  <si>
    <t>Load Shapes</t>
  </si>
  <si>
    <t>B/C Tests (Low Growth)</t>
  </si>
  <si>
    <t>B/C Tests (High Growth)</t>
  </si>
  <si>
    <t>TRC</t>
  </si>
  <si>
    <t>TRC + Admin.</t>
  </si>
  <si>
    <t>MGU</t>
  </si>
  <si>
    <t>SMNG</t>
  </si>
  <si>
    <t>Measure Costs (Inc. Only)</t>
  </si>
  <si>
    <t>TRC Costs (Inc. and Admin.)</t>
  </si>
  <si>
    <t>Measure Level TRC</t>
  </si>
  <si>
    <t>Volume</t>
  </si>
  <si>
    <t>Service Territory</t>
  </si>
  <si>
    <t>Actual Sales Volumes Ccf</t>
  </si>
  <si>
    <t>MGU North</t>
  </si>
  <si>
    <t>MGU South</t>
  </si>
  <si>
    <t>*** THE MATH HERE IS ACTUAL - ADJUSTED CCF VOLUME</t>
  </si>
  <si>
    <t>&lt;&lt; MGU North Weight for Avoided Cost</t>
  </si>
  <si>
    <t>&lt;&lt; MGU South Weight for Avoided Cost</t>
  </si>
  <si>
    <t>Expected Useful Life (EUL)</t>
  </si>
  <si>
    <t>Administrative Costs</t>
  </si>
  <si>
    <t>Planning and design</t>
  </si>
  <si>
    <t>Administration and delivery</t>
  </si>
  <si>
    <t>Advertising and promotion</t>
  </si>
  <si>
    <t>Customer incentives</t>
  </si>
  <si>
    <t>Equipment and installation</t>
  </si>
  <si>
    <t>Measurement and verification</t>
  </si>
  <si>
    <t>Miscellaneous</t>
  </si>
  <si>
    <t>Total Costs</t>
  </si>
  <si>
    <t>CNG Rebate Program Costs 2012 annual report</t>
  </si>
  <si>
    <t xml:space="preserve">Planned </t>
  </si>
  <si>
    <t xml:space="preserve">Actual </t>
  </si>
  <si>
    <t>Source</t>
  </si>
  <si>
    <t>Planned 2012</t>
  </si>
  <si>
    <t>Actual 2012</t>
  </si>
  <si>
    <t>NPV Savings (Low Growth)</t>
  </si>
  <si>
    <t>NPV Savings (High Growth)</t>
  </si>
  <si>
    <t>Purchase Gas Adjustment (per therm)</t>
  </si>
  <si>
    <t>Net To Gross</t>
  </si>
  <si>
    <t>Net Savings per Year</t>
  </si>
  <si>
    <t>Avoided Costs and B-C Ratios, Developed for Summit Utilities MO Service Territory</t>
  </si>
  <si>
    <t>The Summary Tab contains the key information for each measure. The Tabs include:</t>
  </si>
  <si>
    <t>Efficiency tiers/level of measure that was screened</t>
  </si>
  <si>
    <t>Whether or not measure should use a heating or non-heating load shape</t>
  </si>
  <si>
    <t>Sector</t>
  </si>
  <si>
    <t>Sector for savings</t>
  </si>
  <si>
    <t>Default to screening one measure at a time, but can scale to multiple measures</t>
  </si>
  <si>
    <t>Per unit savings, links to separate workbook that has algorithms and assumptions. Based on CNG modeling, adjusted for MO.</t>
  </si>
  <si>
    <t>Links to separate workbook, matches CNG. Mostly based on IL TRM and CNG data tracking.</t>
  </si>
  <si>
    <t>Links to separate workbook, matches CNG. Mostly based on IL TRM.</t>
  </si>
  <si>
    <t>Matches CNG, professional judgement.</t>
  </si>
  <si>
    <t>Matches CNG 2014-16 proposed programs</t>
  </si>
  <si>
    <t>General measure name, measures selected based on CNG proposed 2014-16 plan.</t>
  </si>
  <si>
    <t>Units * incremental costs</t>
  </si>
  <si>
    <t>Units * (incremental costs + administrative costs)</t>
  </si>
  <si>
    <t>Units * Per Unit Savings * NTG</t>
  </si>
  <si>
    <t>Apex Per Unit Annual Savings Estimate (Thms)</t>
  </si>
  <si>
    <t>Total Resource Cost Test, only screening for measure cost/savings (Low and High Avoided Cost Growth Scenarios)</t>
  </si>
  <si>
    <t>TRC Test, also incorporating potential administrative costs  (Low and High Avoided Cost Growth Scenarios)</t>
  </si>
  <si>
    <t>Utility Cost Test  (Low and High Avoided Cost Growth Scenarios)</t>
  </si>
  <si>
    <t>CNG Colorado</t>
  </si>
  <si>
    <t>Total</t>
  </si>
  <si>
    <t>Residential Sector</t>
  </si>
  <si>
    <t>Total Residential</t>
  </si>
  <si>
    <t>Incentives</t>
  </si>
  <si>
    <t>Assumed incentive/inc cost</t>
  </si>
  <si>
    <t>Non-incentive costs (full admin)</t>
  </si>
  <si>
    <t>Max ratio of non-incentive to inc cost</t>
  </si>
  <si>
    <t>Ratio to use for non-incentive costs</t>
  </si>
  <si>
    <t>Rounded down from 62%%; Assumes that non-incentive costs are 66% of inc costs</t>
  </si>
  <si>
    <t xml:space="preserve">Estimate for non-incentive program costs (e.g., admin, marketing, EM&amp;V, etc.). Based on CNG filing, looking at combination of incremental cost and incentive costs. </t>
  </si>
  <si>
    <t>SNG MO Commodity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</si>
</sst>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 Unicode MS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Palatino Linotype"/>
      <family val="1"/>
    </font>
    <font>
      <sz val="10"/>
      <color rgb="FF000000"/>
      <name val="Palatino Linotype"/>
      <family val="1"/>
    </font>
    <font>
      <i/>
      <sz val="10"/>
      <color rgb="FF000000"/>
      <name val="Palatino Linotype"/>
      <family val="1"/>
    </font>
    <font>
      <b/>
      <sz val="10"/>
      <color theme="1"/>
      <name val="Palatino Linotype"/>
      <family val="1"/>
    </font>
    <font>
      <b/>
      <sz val="10"/>
      <color rgb="FF000000"/>
      <name val="Palatino Linotype"/>
      <family val="1"/>
    </font>
    <font>
      <b/>
      <sz val="11"/>
      <color theme="1"/>
      <name val="Palatino Linotype"/>
      <family val="1"/>
    </font>
    <font>
      <b/>
      <sz val="11"/>
      <color rgb="FFFFFFFF"/>
      <name val="Palatino Linotype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8" fontId="0" fillId="0" borderId="0" xfId="0" applyNumberFormat="1"/>
    <xf numFmtId="44" fontId="0" fillId="0" borderId="0" xfId="1" applyFont="1"/>
    <xf numFmtId="0" fontId="0" fillId="2" borderId="0" xfId="0" applyFill="1"/>
    <xf numFmtId="0" fontId="0" fillId="0" borderId="0" xfId="0" applyFill="1" applyBorder="1"/>
    <xf numFmtId="164" fontId="0" fillId="0" borderId="0" xfId="0" applyNumberFormat="1" applyFill="1" applyBorder="1"/>
    <xf numFmtId="0" fontId="2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3" fillId="0" borderId="0" xfId="3"/>
    <xf numFmtId="0" fontId="0" fillId="0" borderId="0" xfId="0" applyAlignment="1">
      <alignment horizontal="center" wrapText="1"/>
    </xf>
    <xf numFmtId="10" fontId="0" fillId="0" borderId="0" xfId="2" applyNumberFormat="1" applyFont="1"/>
    <xf numFmtId="10" fontId="0" fillId="0" borderId="0" xfId="2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0" xfId="0" applyNumberFormat="1"/>
    <xf numFmtId="0" fontId="0" fillId="0" borderId="0" xfId="0" applyFill="1"/>
    <xf numFmtId="8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Border="1"/>
    <xf numFmtId="165" fontId="0" fillId="0" borderId="0" xfId="0" applyNumberFormat="1" applyBorder="1" applyAlignment="1">
      <alignment horizontal="center"/>
    </xf>
    <xf numFmtId="8" fontId="0" fillId="0" borderId="0" xfId="1" applyNumberFormat="1" applyFont="1"/>
    <xf numFmtId="165" fontId="0" fillId="0" borderId="0" xfId="0" applyNumberForma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44" fontId="0" fillId="0" borderId="0" xfId="1" applyFont="1" applyFill="1"/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2" fontId="0" fillId="0" borderId="0" xfId="0" applyNumberFormat="1" applyFill="1" applyAlignment="1">
      <alignment horizontal="center"/>
    </xf>
    <xf numFmtId="0" fontId="0" fillId="0" borderId="0" xfId="0" applyFont="1" applyFill="1"/>
    <xf numFmtId="0" fontId="0" fillId="0" borderId="0" xfId="0" applyAlignment="1">
      <alignment wrapText="1"/>
    </xf>
    <xf numFmtId="44" fontId="0" fillId="0" borderId="0" xfId="1" applyFont="1" applyFill="1" applyAlignment="1"/>
    <xf numFmtId="44" fontId="0" fillId="0" borderId="0" xfId="1" applyFont="1" applyFill="1" applyAlignment="1">
      <alignment horizontal="center" vertical="center" wrapText="1"/>
    </xf>
    <xf numFmtId="0" fontId="7" fillId="0" borderId="1" xfId="0" applyFont="1" applyBorder="1"/>
    <xf numFmtId="2" fontId="0" fillId="0" borderId="0" xfId="0" applyNumberFormat="1" applyAlignment="1">
      <alignment horizontal="center" wrapText="1"/>
    </xf>
    <xf numFmtId="2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44" fontId="0" fillId="0" borderId="0" xfId="1" applyFont="1" applyFill="1" applyAlignment="1">
      <alignment horizontal="center"/>
    </xf>
    <xf numFmtId="0" fontId="0" fillId="0" borderId="1" xfId="0" applyFont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164" fontId="8" fillId="0" borderId="0" xfId="4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43" fontId="0" fillId="0" borderId="0" xfId="4" applyFont="1"/>
    <xf numFmtId="0" fontId="9" fillId="0" borderId="5" xfId="0" applyFont="1" applyBorder="1" applyAlignment="1">
      <alignment vertical="center"/>
    </xf>
    <xf numFmtId="6" fontId="10" fillId="0" borderId="6" xfId="0" applyNumberFormat="1" applyFont="1" applyBorder="1" applyAlignment="1">
      <alignment horizontal="center" vertical="center" wrapText="1"/>
    </xf>
    <xf numFmtId="9" fontId="10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6" fontId="10" fillId="0" borderId="8" xfId="0" applyNumberFormat="1" applyFont="1" applyBorder="1" applyAlignment="1">
      <alignment horizontal="center" vertical="center" wrapText="1"/>
    </xf>
    <xf numFmtId="9" fontId="10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6" fontId="10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/>
    </xf>
    <xf numFmtId="6" fontId="13" fillId="0" borderId="8" xfId="0" applyNumberFormat="1" applyFont="1" applyBorder="1" applyAlignment="1">
      <alignment horizontal="center" vertical="center" wrapText="1"/>
    </xf>
    <xf numFmtId="9" fontId="13" fillId="0" borderId="8" xfId="0" applyNumberFormat="1" applyFont="1" applyBorder="1" applyAlignment="1">
      <alignment horizontal="center" vertical="center" wrapText="1"/>
    </xf>
    <xf numFmtId="0" fontId="14" fillId="4" borderId="5" xfId="0" applyFont="1" applyFill="1" applyBorder="1" applyAlignment="1">
      <alignment vertical="center"/>
    </xf>
    <xf numFmtId="0" fontId="15" fillId="4" borderId="6" xfId="0" applyFont="1" applyFill="1" applyBorder="1" applyAlignment="1">
      <alignment horizontal="center" vertical="center" wrapText="1"/>
    </xf>
    <xf numFmtId="6" fontId="9" fillId="0" borderId="8" xfId="0" applyNumberFormat="1" applyFont="1" applyBorder="1" applyAlignment="1">
      <alignment horizontal="center" vertical="center" wrapText="1"/>
    </xf>
    <xf numFmtId="6" fontId="9" fillId="0" borderId="10" xfId="0" applyNumberFormat="1" applyFont="1" applyBorder="1" applyAlignment="1">
      <alignment horizontal="center" vertical="center" wrapText="1"/>
    </xf>
    <xf numFmtId="165" fontId="0" fillId="3" borderId="0" xfId="0" applyNumberFormat="1" applyFill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4" fontId="0" fillId="0" borderId="0" xfId="4" applyNumberFormat="1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0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/>
    </xf>
    <xf numFmtId="6" fontId="0" fillId="0" borderId="0" xfId="0" applyNumberFormat="1"/>
    <xf numFmtId="6" fontId="9" fillId="0" borderId="14" xfId="0" applyNumberFormat="1" applyFont="1" applyBorder="1" applyAlignment="1">
      <alignment horizontal="center" vertical="center"/>
    </xf>
    <xf numFmtId="6" fontId="9" fillId="0" borderId="14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9" fontId="0" fillId="0" borderId="0" xfId="0" applyNumberFormat="1"/>
    <xf numFmtId="0" fontId="2" fillId="0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9" fillId="6" borderId="15" xfId="0" applyFont="1" applyFill="1" applyBorder="1" applyAlignment="1">
      <alignment horizontal="justify" vertical="center"/>
    </xf>
    <xf numFmtId="0" fontId="9" fillId="6" borderId="16" xfId="0" applyFont="1" applyFill="1" applyBorder="1" applyAlignment="1">
      <alignment horizontal="justify" vertical="center"/>
    </xf>
    <xf numFmtId="0" fontId="9" fillId="6" borderId="12" xfId="0" applyFont="1" applyFill="1" applyBorder="1" applyAlignment="1">
      <alignment horizontal="justify" vertical="center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B1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'Avd. Costs Predicted—Low'!$B$1</c:f>
              <c:strCache>
                <c:ptCount val="1"/>
                <c:pt idx="0">
                  <c:v>Non-heat</c:v>
                </c:pt>
              </c:strCache>
            </c:strRef>
          </c:tx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'Avd. Costs Predicted—Low'!$A$2:$A$23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xVal>
          <c:yVal>
            <c:numRef>
              <c:f>'Avd. Costs Predicted—Low'!$B$2:$B$23</c:f>
              <c:numCache>
                <c:formatCode>0.00</c:formatCode>
                <c:ptCount val="22"/>
                <c:pt idx="0">
                  <c:v>1.6572890154345572</c:v>
                </c:pt>
                <c:pt idx="1">
                  <c:v>2.1226843971775882</c:v>
                </c:pt>
                <c:pt idx="2">
                  <c:v>2.5462116590660515</c:v>
                </c:pt>
                <c:pt idx="3">
                  <c:v>2.9364016550957071</c:v>
                </c:pt>
                <c:pt idx="4">
                  <c:v>3.2997463272353289</c:v>
                </c:pt>
                <c:pt idx="5">
                  <c:v>3.6387305294680865</c:v>
                </c:pt>
                <c:pt idx="6">
                  <c:v>3.9576601770149868</c:v>
                </c:pt>
                <c:pt idx="7">
                  <c:v>4.2606470308672009</c:v>
                </c:pt>
                <c:pt idx="8">
                  <c:v>4.550061638612914</c:v>
                </c:pt>
                <c:pt idx="9">
                  <c:v>4.8221194844434034</c:v>
                </c:pt>
                <c:pt idx="10">
                  <c:v>5.0766802441412029</c:v>
                </c:pt>
                <c:pt idx="11">
                  <c:v>5.3145195478691276</c:v>
                </c:pt>
                <c:pt idx="12">
                  <c:v>5.5361865866566999</c:v>
                </c:pt>
                <c:pt idx="13">
                  <c:v>5.7435806105912102</c:v>
                </c:pt>
                <c:pt idx="14">
                  <c:v>5.9360992050877908</c:v>
                </c:pt>
                <c:pt idx="15">
                  <c:v>6.1150715003602274</c:v>
                </c:pt>
                <c:pt idx="16">
                  <c:v>6.2822928638329731</c:v>
                </c:pt>
                <c:pt idx="17">
                  <c:v>6.4379698294738352</c:v>
                </c:pt>
                <c:pt idx="18">
                  <c:v>6.5837964912916318</c:v>
                </c:pt>
                <c:pt idx="19">
                  <c:v>6.7209222090792684</c:v>
                </c:pt>
                <c:pt idx="20">
                  <c:v>6.8504752435800844</c:v>
                </c:pt>
                <c:pt idx="21">
                  <c:v>6.9741567890954359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401024"/>
        <c:axId val="66402944"/>
      </c:scatterChart>
      <c:valAx>
        <c:axId val="6640102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EUL (years out)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402944"/>
        <c:crosses val="autoZero"/>
        <c:crossBetween val="midCat"/>
      </c:valAx>
      <c:valAx>
        <c:axId val="66402944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Non-Heat Avoided Cost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4010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'Avd. Costs Predicted—Low'!$C$1</c:f>
              <c:strCache>
                <c:ptCount val="1"/>
                <c:pt idx="0">
                  <c:v>Heat</c:v>
                </c:pt>
              </c:strCache>
            </c:strRef>
          </c:tx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'Avd. Costs Predicted—Low'!$A$2:$A$26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'Avd. Costs Predicted—Low'!$C$2:$C$26</c:f>
              <c:numCache>
                <c:formatCode>0.00</c:formatCode>
                <c:ptCount val="25"/>
                <c:pt idx="0">
                  <c:v>1.4862843313986376</c:v>
                </c:pt>
                <c:pt idx="1">
                  <c:v>1.9036586441153498</c:v>
                </c:pt>
                <c:pt idx="2">
                  <c:v>2.283484931143466</c:v>
                </c:pt>
                <c:pt idx="3">
                  <c:v>2.6334138041199817</c:v>
                </c:pt>
                <c:pt idx="4">
                  <c:v>2.9592673444915709</c:v>
                </c:pt>
                <c:pt idx="5">
                  <c:v>3.2632740106059339</c:v>
                </c:pt>
                <c:pt idx="6">
                  <c:v>3.5492954187929389</c:v>
                </c:pt>
                <c:pt idx="7">
                  <c:v>3.8210190646425035</c:v>
                </c:pt>
                <c:pt idx="8">
                  <c:v>4.0805708946276598</c:v>
                </c:pt>
                <c:pt idx="9">
                  <c:v>4.3245568920765685</c:v>
                </c:pt>
                <c:pt idx="10">
                  <c:v>4.5528512118989717</c:v>
                </c:pt>
                <c:pt idx="11">
                  <c:v>4.7661494521150205</c:v>
                </c:pt>
                <c:pt idx="12">
                  <c:v>4.9649441363669489</c:v>
                </c:pt>
                <c:pt idx="13">
                  <c:v>5.1509385436965314</c:v>
                </c:pt>
                <c:pt idx="14">
                  <c:v>5.3235924186925763</c:v>
                </c:pt>
                <c:pt idx="15">
                  <c:v>5.4840977474195167</c:v>
                </c:pt>
                <c:pt idx="16">
                  <c:v>5.6340646452206764</c:v>
                </c:pt>
                <c:pt idx="17">
                  <c:v>5.7736783351907546</c:v>
                </c:pt>
                <c:pt idx="18">
                  <c:v>5.9044581089908768</c:v>
                </c:pt>
                <c:pt idx="19">
                  <c:v>6.0274347315844441</c:v>
                </c:pt>
                <c:pt idx="20">
                  <c:v>6.1436200459565535</c:v>
                </c:pt>
                <c:pt idx="21">
                  <c:v>6.2545397114286843</c:v>
                </c:pt>
                <c:pt idx="22">
                  <c:v>6.2645999999999979</c:v>
                </c:pt>
                <c:pt idx="23">
                  <c:v>6.3151999999999981</c:v>
                </c:pt>
                <c:pt idx="24">
                  <c:v>6.3515999999999995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435712"/>
        <c:axId val="66441984"/>
      </c:scatterChart>
      <c:valAx>
        <c:axId val="6643571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EUL (years out)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441984"/>
        <c:crosses val="autoZero"/>
        <c:crossBetween val="midCat"/>
      </c:valAx>
      <c:valAx>
        <c:axId val="66441984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Heat</a:t>
                </a:r>
                <a:r>
                  <a:rPr lang="en-US" baseline="0"/>
                  <a:t> Avoided Cost</a:t>
                </a:r>
                <a:endParaRPr lang="en-US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435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'Avd. Costs Predicted—High'!$B$1</c:f>
              <c:strCache>
                <c:ptCount val="1"/>
                <c:pt idx="0">
                  <c:v>Non-heat</c:v>
                </c:pt>
              </c:strCache>
            </c:strRef>
          </c:tx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'Avd. Costs Predicted—High'!$A$2:$A$23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xVal>
          <c:yVal>
            <c:numRef>
              <c:f>'Avd. Costs Predicted—High'!$B$2:$B$23</c:f>
              <c:numCache>
                <c:formatCode>0.00</c:formatCode>
                <c:ptCount val="22"/>
                <c:pt idx="0">
                  <c:v>1.6814186791947057</c:v>
                </c:pt>
                <c:pt idx="1">
                  <c:v>2.1640333829252745</c:v>
                </c:pt>
                <c:pt idx="2">
                  <c:v>2.6119730589645886</c:v>
                </c:pt>
                <c:pt idx="3">
                  <c:v>3.0279697776610268</c:v>
                </c:pt>
                <c:pt idx="4">
                  <c:v>3.4167146458854791</c:v>
                </c:pt>
                <c:pt idx="5">
                  <c:v>3.7826819132700882</c:v>
                </c:pt>
                <c:pt idx="6">
                  <c:v>4.128832606231799</c:v>
                </c:pt>
                <c:pt idx="7">
                  <c:v>4.4604244439915242</c:v>
                </c:pt>
                <c:pt idx="8">
                  <c:v>4.7783631428606936</c:v>
                </c:pt>
                <c:pt idx="9">
                  <c:v>5.0804532500892412</c:v>
                </c:pt>
                <c:pt idx="10">
                  <c:v>5.3632065388388961</c:v>
                </c:pt>
                <c:pt idx="11">
                  <c:v>5.6305068106189333</c:v>
                </c:pt>
                <c:pt idx="12">
                  <c:v>5.8828192457168687</c:v>
                </c:pt>
                <c:pt idx="13">
                  <c:v>6.1184755088542602</c:v>
                </c:pt>
                <c:pt idx="14">
                  <c:v>6.3384590185191509</c:v>
                </c:pt>
                <c:pt idx="15">
                  <c:v>6.5428104235742426</c:v>
                </c:pt>
                <c:pt idx="16">
                  <c:v>6.7340920174357795</c:v>
                </c:pt>
                <c:pt idx="17">
                  <c:v>6.9128895975944928</c:v>
                </c:pt>
                <c:pt idx="18">
                  <c:v>7.0800194932537241</c:v>
                </c:pt>
                <c:pt idx="19">
                  <c:v>7.2380393517743711</c:v>
                </c:pt>
                <c:pt idx="20">
                  <c:v>7.3883187611054435</c:v>
                </c:pt>
                <c:pt idx="21">
                  <c:v>7.524532984829162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583168"/>
        <c:axId val="67175168"/>
      </c:scatterChart>
      <c:valAx>
        <c:axId val="6658316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EUL (years out)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7175168"/>
        <c:crosses val="autoZero"/>
        <c:crossBetween val="midCat"/>
      </c:valAx>
      <c:valAx>
        <c:axId val="67175168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Non-Heat Avoided Cost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65831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'Avd. Costs Predicted—High'!$C$1</c:f>
              <c:strCache>
                <c:ptCount val="1"/>
                <c:pt idx="0">
                  <c:v>Heat</c:v>
                </c:pt>
              </c:strCache>
            </c:strRef>
          </c:tx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'Avd. Costs Predicted—High'!$A$2:$A$26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'Avd. Costs Predicted—High'!$C$2:$C$26</c:f>
              <c:numCache>
                <c:formatCode>0.00</c:formatCode>
                <c:ptCount val="25"/>
                <c:pt idx="0">
                  <c:v>1.507924214867739</c:v>
                </c:pt>
                <c:pt idx="1">
                  <c:v>1.9407411017094447</c:v>
                </c:pt>
                <c:pt idx="2">
                  <c:v>2.3424608474560515</c:v>
                </c:pt>
                <c:pt idx="3">
                  <c:v>2.71553361820005</c:v>
                </c:pt>
                <c:pt idx="4">
                  <c:v>3.064166476544393</c:v>
                </c:pt>
                <c:pt idx="5">
                  <c:v>3.3923720039163925</c:v>
                </c:pt>
                <c:pt idx="6">
                  <c:v>3.7028056980158306</c:v>
                </c:pt>
                <c:pt idx="7">
                  <c:v>4.0001827688176501</c:v>
                </c:pt>
                <c:pt idx="8">
                  <c:v>4.2853154777619675</c:v>
                </c:pt>
                <c:pt idx="9">
                  <c:v>4.5562349063364662</c:v>
                </c:pt>
                <c:pt idx="10">
                  <c:v>4.8098127547420164</c:v>
                </c:pt>
                <c:pt idx="11">
                  <c:v>5.0495320807167285</c:v>
                </c:pt>
                <c:pt idx="12">
                  <c:v>5.2758100656732427</c:v>
                </c:pt>
                <c:pt idx="13">
                  <c:v>5.487150518807919</c:v>
                </c:pt>
                <c:pt idx="14">
                  <c:v>5.6844353861641865</c:v>
                </c:pt>
                <c:pt idx="15">
                  <c:v>5.8677011223176594</c:v>
                </c:pt>
                <c:pt idx="16">
                  <c:v>6.0392456345865799</c:v>
                </c:pt>
                <c:pt idx="17">
                  <c:v>6.1995942758959588</c:v>
                </c:pt>
                <c:pt idx="18">
                  <c:v>6.3494791438418616</c:v>
                </c:pt>
                <c:pt idx="19">
                  <c:v>6.491193979082885</c:v>
                </c:pt>
                <c:pt idx="20">
                  <c:v>6.625967050852779</c:v>
                </c:pt>
                <c:pt idx="21">
                  <c:v>6.7481262304217706</c:v>
                </c:pt>
                <c:pt idx="22">
                  <c:v>6.8063000000000002</c:v>
                </c:pt>
                <c:pt idx="23">
                  <c:v>6.8788999999999998</c:v>
                </c:pt>
                <c:pt idx="24">
                  <c:v>6.9370999999999992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212032"/>
        <c:axId val="67213952"/>
      </c:scatterChart>
      <c:valAx>
        <c:axId val="6721203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EUL (years out)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7213952"/>
        <c:crosses val="autoZero"/>
        <c:crossBetween val="midCat"/>
      </c:valAx>
      <c:valAx>
        <c:axId val="6721395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Heat</a:t>
                </a:r>
                <a:r>
                  <a:rPr lang="en-US" baseline="0"/>
                  <a:t> Avoided Cost</a:t>
                </a:r>
                <a:endParaRPr lang="en-US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672120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209549</xdr:colOff>
      <xdr:row>0</xdr:row>
      <xdr:rowOff>147637</xdr:rowOff>
    </xdr:from>
    <xdr:to>
      <xdr:col>10</xdr:col>
      <xdr:colOff>219074</xdr:colOff>
      <xdr:row>14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314325</xdr:colOff>
      <xdr:row>0</xdr:row>
      <xdr:rowOff>147637</xdr:rowOff>
    </xdr:from>
    <xdr:to>
      <xdr:col>17</xdr:col>
      <xdr:colOff>457200</xdr:colOff>
      <xdr:row>14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209549</xdr:colOff>
      <xdr:row>0</xdr:row>
      <xdr:rowOff>147637</xdr:rowOff>
    </xdr:from>
    <xdr:to>
      <xdr:col>10</xdr:col>
      <xdr:colOff>219074</xdr:colOff>
      <xdr:row>14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314325</xdr:colOff>
      <xdr:row>0</xdr:row>
      <xdr:rowOff>147637</xdr:rowOff>
    </xdr:from>
    <xdr:to>
      <xdr:col>17</xdr:col>
      <xdr:colOff>457200</xdr:colOff>
      <xdr:row>14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NG%20MISSOURI/Rate%20Cases/2014%20Rate%20Case%20GR-2014-0086/Martha%20Wankum/Energy%20Efficiency%20Program/Savings%20Calcul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%202012/2012-07%20CO%20Gas%202014-2016%20Plan/Prior%20CO%20Gas%20Work%20&amp;%20Data/2008-085%20(CO%20GAS)%20CO%20Gas%20Utilities%20Filing/Prelim%20Potentials%20Data/heat%20non-heat%20loadshap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D Weights"/>
      <sheetName val="Res.Furnace"/>
      <sheetName val="Res.Thermostat"/>
      <sheetName val="Res.Water Heater"/>
      <sheetName val="Res.Boilers"/>
      <sheetName val="Res.Attic.Insulation"/>
      <sheetName val="Res.Wall.Insulation"/>
      <sheetName val="Res.Crawlspace.Insulation"/>
      <sheetName val="Res.Floor.Insulation"/>
      <sheetName val="Res.Pipe.Wrap"/>
      <sheetName val="Res.Infiltration"/>
      <sheetName val="Res.Faucet.Aerator"/>
      <sheetName val="Res.Low-Flow.Showerhead"/>
      <sheetName val="Res.Furnace.Tune-up"/>
      <sheetName val="Res.Proper.Sizing"/>
      <sheetName val="Res.Duct.Sealing"/>
    </sheetNames>
    <sheetDataSet>
      <sheetData sheetId="0"/>
      <sheetData sheetId="1">
        <row r="6">
          <cell r="B6">
            <v>20</v>
          </cell>
        </row>
        <row r="7">
          <cell r="B7">
            <v>754</v>
          </cell>
        </row>
        <row r="34">
          <cell r="B34">
            <v>122.59671850371637</v>
          </cell>
        </row>
      </sheetData>
      <sheetData sheetId="2">
        <row r="6">
          <cell r="B6">
            <v>5</v>
          </cell>
        </row>
        <row r="7">
          <cell r="B7">
            <v>50</v>
          </cell>
        </row>
        <row r="31">
          <cell r="B31">
            <v>34.509419699291243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</sheetNames>
    <sheetDataSet>
      <sheetData sheetId="0">
        <row r="40">
          <cell r="B40">
            <v>0.18048778165127805</v>
          </cell>
          <cell r="C40">
            <v>0.14927415726421192</v>
          </cell>
          <cell r="D40">
            <v>0.12248828986460271</v>
          </cell>
          <cell r="E40">
            <v>7.9054928533970156E-2</v>
          </cell>
          <cell r="F40">
            <v>3.7304064445210346E-2</v>
          </cell>
          <cell r="G40">
            <v>1.0803976124436605E-2</v>
          </cell>
          <cell r="H40">
            <v>1.9586011635646309E-3</v>
          </cell>
          <cell r="I40">
            <v>4.531459610125607E-3</v>
          </cell>
          <cell r="J40">
            <v>2.3958813110786206E-2</v>
          </cell>
          <cell r="K40">
            <v>7.6274440687433623E-2</v>
          </cell>
          <cell r="L40">
            <v>0.13108278076318253</v>
          </cell>
          <cell r="M40">
            <v>0.18278070678119765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ia.gov/oiaf/aeo/tablebrowser/" TargetMode="External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20"/>
  <sheetViews>
    <sheetView tabSelected="1" view="pageLayout" zoomScaleNormal="100" workbookViewId="0">
      <selection activeCell="B12" sqref="B12"/>
    </sheetView>
  </sheetViews>
  <sheetFormatPr defaultRowHeight="15" x14ac:dyDescent="0.25"/>
  <cols>
    <col min="1" max="1" width="27.7109375" customWidth="1"/>
    <col min="2" max="2" width="70.7109375" style="46" customWidth="1"/>
  </cols>
  <sheetData>
    <row r="1" spans="1:2" x14ac:dyDescent="0.25">
      <c r="A1" s="6" t="s">
        <v>104</v>
      </c>
    </row>
    <row r="3" spans="1:2" x14ac:dyDescent="0.25">
      <c r="A3" t="s">
        <v>105</v>
      </c>
    </row>
    <row r="4" spans="1:2" ht="30" x14ac:dyDescent="0.25">
      <c r="A4" s="92" t="s">
        <v>3</v>
      </c>
      <c r="B4" s="93" t="s">
        <v>116</v>
      </c>
    </row>
    <row r="5" spans="1:2" x14ac:dyDescent="0.25">
      <c r="A5" s="92" t="s">
        <v>2</v>
      </c>
      <c r="B5" s="93" t="s">
        <v>106</v>
      </c>
    </row>
    <row r="6" spans="1:2" x14ac:dyDescent="0.25">
      <c r="A6" s="92" t="s">
        <v>39</v>
      </c>
      <c r="B6" s="93" t="s">
        <v>107</v>
      </c>
    </row>
    <row r="7" spans="1:2" x14ac:dyDescent="0.25">
      <c r="A7" s="92" t="s">
        <v>108</v>
      </c>
      <c r="B7" s="93" t="s">
        <v>109</v>
      </c>
    </row>
    <row r="8" spans="1:2" ht="30" x14ac:dyDescent="0.25">
      <c r="A8" s="92" t="s">
        <v>38</v>
      </c>
      <c r="B8" s="93" t="s">
        <v>110</v>
      </c>
    </row>
    <row r="9" spans="1:2" ht="30" x14ac:dyDescent="0.25">
      <c r="A9" s="92" t="s">
        <v>37</v>
      </c>
      <c r="B9" s="93" t="s">
        <v>111</v>
      </c>
    </row>
    <row r="10" spans="1:2" ht="30" x14ac:dyDescent="0.25">
      <c r="A10" s="92" t="s">
        <v>51</v>
      </c>
      <c r="B10" s="93" t="s">
        <v>112</v>
      </c>
    </row>
    <row r="11" spans="1:2" ht="45" x14ac:dyDescent="0.25">
      <c r="A11" s="92" t="s">
        <v>84</v>
      </c>
      <c r="B11" s="93" t="s">
        <v>134</v>
      </c>
    </row>
    <row r="12" spans="1:2" x14ac:dyDescent="0.25">
      <c r="A12" s="92" t="s">
        <v>83</v>
      </c>
      <c r="B12" s="93" t="s">
        <v>113</v>
      </c>
    </row>
    <row r="13" spans="1:2" x14ac:dyDescent="0.25">
      <c r="A13" s="92" t="s">
        <v>102</v>
      </c>
      <c r="B13" s="93" t="s">
        <v>114</v>
      </c>
    </row>
    <row r="14" spans="1:2" x14ac:dyDescent="0.25">
      <c r="A14" s="92" t="s">
        <v>1</v>
      </c>
      <c r="B14" s="93" t="s">
        <v>115</v>
      </c>
    </row>
    <row r="15" spans="1:2" x14ac:dyDescent="0.25">
      <c r="A15" s="92" t="s">
        <v>72</v>
      </c>
      <c r="B15" s="93" t="s">
        <v>117</v>
      </c>
    </row>
    <row r="16" spans="1:2" x14ac:dyDescent="0.25">
      <c r="A16" s="92" t="s">
        <v>73</v>
      </c>
      <c r="B16" s="93" t="s">
        <v>118</v>
      </c>
    </row>
    <row r="17" spans="1:2" x14ac:dyDescent="0.25">
      <c r="A17" s="92" t="s">
        <v>103</v>
      </c>
      <c r="B17" s="93" t="s">
        <v>119</v>
      </c>
    </row>
    <row r="18" spans="1:2" ht="30" x14ac:dyDescent="0.25">
      <c r="A18" s="92" t="s">
        <v>74</v>
      </c>
      <c r="B18" s="93" t="s">
        <v>121</v>
      </c>
    </row>
    <row r="19" spans="1:2" ht="30" x14ac:dyDescent="0.25">
      <c r="A19" s="92" t="s">
        <v>69</v>
      </c>
      <c r="B19" s="93" t="s">
        <v>122</v>
      </c>
    </row>
    <row r="20" spans="1:2" x14ac:dyDescent="0.25">
      <c r="A20" s="92" t="s">
        <v>64</v>
      </c>
      <c r="B20" s="93" t="s">
        <v>123</v>
      </c>
    </row>
  </sheetData>
  <pageMargins left="0.7" right="0.7" top="0.75" bottom="0.75" header="0.3" footer="0.3"/>
  <pageSetup scale="91" orientation="portrait" horizontalDpi="4294967293" verticalDpi="4294967293" r:id="rId1"/>
  <headerFooter>
    <oddHeader>&amp;R&amp;"-,Bold"&amp;KFF0000Schedule MRW-6 Avoided Costs &amp; Benefit Cost Ratios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Layout" zoomScaleNormal="100" workbookViewId="0">
      <selection activeCell="B12" sqref="B12"/>
    </sheetView>
  </sheetViews>
  <sheetFormatPr defaultRowHeight="15" x14ac:dyDescent="0.25"/>
  <cols>
    <col min="1" max="1" width="9.140625" style="7"/>
    <col min="2" max="3" width="9.5703125" style="7" bestFit="1" customWidth="1"/>
  </cols>
  <sheetData>
    <row r="1" spans="1:3" x14ac:dyDescent="0.25">
      <c r="A1" s="7" t="s">
        <v>0</v>
      </c>
      <c r="B1" s="7" t="s">
        <v>4</v>
      </c>
      <c r="C1" s="7" t="s">
        <v>5</v>
      </c>
    </row>
    <row r="2" spans="1:3" x14ac:dyDescent="0.25">
      <c r="A2" s="7">
        <v>1</v>
      </c>
      <c r="B2" s="15">
        <v>1.6572890154345572</v>
      </c>
      <c r="C2" s="15">
        <v>1.4862843313986376</v>
      </c>
    </row>
    <row r="3" spans="1:3" x14ac:dyDescent="0.25">
      <c r="A3" s="7">
        <v>2</v>
      </c>
      <c r="B3" s="15">
        <v>2.1226843971775882</v>
      </c>
      <c r="C3" s="15">
        <v>1.9036586441153498</v>
      </c>
    </row>
    <row r="4" spans="1:3" x14ac:dyDescent="0.25">
      <c r="A4" s="7">
        <v>3</v>
      </c>
      <c r="B4" s="15">
        <v>2.5462116590660515</v>
      </c>
      <c r="C4" s="15">
        <v>2.283484931143466</v>
      </c>
    </row>
    <row r="5" spans="1:3" x14ac:dyDescent="0.25">
      <c r="A5" s="7">
        <v>4</v>
      </c>
      <c r="B5" s="15">
        <v>2.9364016550957071</v>
      </c>
      <c r="C5" s="15">
        <v>2.6334138041199817</v>
      </c>
    </row>
    <row r="6" spans="1:3" x14ac:dyDescent="0.25">
      <c r="A6" s="7">
        <v>5</v>
      </c>
      <c r="B6" s="15">
        <v>3.2997463272353289</v>
      </c>
      <c r="C6" s="15">
        <v>2.9592673444915709</v>
      </c>
    </row>
    <row r="7" spans="1:3" x14ac:dyDescent="0.25">
      <c r="A7" s="7">
        <v>6</v>
      </c>
      <c r="B7" s="15">
        <v>3.6387305294680865</v>
      </c>
      <c r="C7" s="15">
        <v>3.2632740106059339</v>
      </c>
    </row>
    <row r="8" spans="1:3" x14ac:dyDescent="0.25">
      <c r="A8" s="7">
        <v>7</v>
      </c>
      <c r="B8" s="15">
        <v>3.9576601770149868</v>
      </c>
      <c r="C8" s="15">
        <v>3.5492954187929389</v>
      </c>
    </row>
    <row r="9" spans="1:3" x14ac:dyDescent="0.25">
      <c r="A9" s="7">
        <v>8</v>
      </c>
      <c r="B9" s="15">
        <v>4.2606470308672009</v>
      </c>
      <c r="C9" s="15">
        <v>3.8210190646425035</v>
      </c>
    </row>
    <row r="10" spans="1:3" x14ac:dyDescent="0.25">
      <c r="A10" s="7">
        <v>9</v>
      </c>
      <c r="B10" s="15">
        <v>4.550061638612914</v>
      </c>
      <c r="C10" s="15">
        <v>4.0805708946276598</v>
      </c>
    </row>
    <row r="11" spans="1:3" x14ac:dyDescent="0.25">
      <c r="A11" s="7">
        <v>10</v>
      </c>
      <c r="B11" s="15">
        <v>4.8221194844434034</v>
      </c>
      <c r="C11" s="15">
        <v>4.3245568920765685</v>
      </c>
    </row>
    <row r="12" spans="1:3" x14ac:dyDescent="0.25">
      <c r="A12" s="7">
        <v>11</v>
      </c>
      <c r="B12" s="15">
        <v>5.0766802441412029</v>
      </c>
      <c r="C12" s="15">
        <v>4.5528512118989717</v>
      </c>
    </row>
    <row r="13" spans="1:3" x14ac:dyDescent="0.25">
      <c r="A13" s="7">
        <v>12</v>
      </c>
      <c r="B13" s="15">
        <v>5.3145195478691276</v>
      </c>
      <c r="C13" s="15">
        <v>4.7661494521150205</v>
      </c>
    </row>
    <row r="14" spans="1:3" x14ac:dyDescent="0.25">
      <c r="A14" s="7">
        <v>13</v>
      </c>
      <c r="B14" s="15">
        <v>5.5361865866566999</v>
      </c>
      <c r="C14" s="15">
        <v>4.9649441363669489</v>
      </c>
    </row>
    <row r="15" spans="1:3" x14ac:dyDescent="0.25">
      <c r="A15" s="7">
        <v>14</v>
      </c>
      <c r="B15" s="15">
        <v>5.7435806105912102</v>
      </c>
      <c r="C15" s="15">
        <v>5.1509385436965314</v>
      </c>
    </row>
    <row r="16" spans="1:3" x14ac:dyDescent="0.25">
      <c r="A16" s="7">
        <v>15</v>
      </c>
      <c r="B16" s="15">
        <v>5.9360992050877908</v>
      </c>
      <c r="C16" s="15">
        <v>5.3235924186925763</v>
      </c>
    </row>
    <row r="17" spans="1:7" x14ac:dyDescent="0.25">
      <c r="A17" s="7">
        <v>16</v>
      </c>
      <c r="B17" s="15">
        <v>6.1150715003602274</v>
      </c>
      <c r="C17" s="15">
        <v>5.4840977474195167</v>
      </c>
    </row>
    <row r="18" spans="1:7" x14ac:dyDescent="0.25">
      <c r="A18" s="7">
        <v>17</v>
      </c>
      <c r="B18" s="15">
        <v>6.2822928638329731</v>
      </c>
      <c r="C18" s="15">
        <v>5.6340646452206764</v>
      </c>
    </row>
    <row r="19" spans="1:7" x14ac:dyDescent="0.25">
      <c r="A19" s="7">
        <v>18</v>
      </c>
      <c r="B19" s="15">
        <v>6.4379698294738352</v>
      </c>
      <c r="C19" s="15">
        <v>5.7736783351907546</v>
      </c>
      <c r="G19" t="s">
        <v>53</v>
      </c>
    </row>
    <row r="20" spans="1:7" x14ac:dyDescent="0.25">
      <c r="A20" s="7">
        <v>19</v>
      </c>
      <c r="B20" s="15">
        <v>6.5837964912916318</v>
      </c>
      <c r="C20" s="15">
        <v>5.9044581089908768</v>
      </c>
    </row>
    <row r="21" spans="1:7" x14ac:dyDescent="0.25">
      <c r="A21" s="7">
        <v>20</v>
      </c>
      <c r="B21" s="15">
        <v>6.7209222090792684</v>
      </c>
      <c r="C21" s="15">
        <v>6.0274347315844441</v>
      </c>
    </row>
    <row r="22" spans="1:7" x14ac:dyDescent="0.25">
      <c r="A22" s="7">
        <v>21</v>
      </c>
      <c r="B22" s="15">
        <v>6.8504752435800844</v>
      </c>
      <c r="C22" s="15">
        <v>6.1436200459565535</v>
      </c>
    </row>
    <row r="23" spans="1:7" x14ac:dyDescent="0.25">
      <c r="A23" s="7">
        <v>22</v>
      </c>
      <c r="B23" s="15">
        <v>6.9741567890954359</v>
      </c>
      <c r="C23" s="15">
        <v>6.2545397114286843</v>
      </c>
    </row>
    <row r="24" spans="1:7" x14ac:dyDescent="0.25">
      <c r="A24" s="7">
        <v>23</v>
      </c>
      <c r="B24" s="15">
        <f>1.3176+0.4285*A24-0.0079*A24^2</f>
        <v>6.9939999999999998</v>
      </c>
      <c r="C24" s="15">
        <f>1.1816+0.3843*A24-0.0071*A24^2</f>
        <v>6.2645999999999979</v>
      </c>
    </row>
    <row r="25" spans="1:7" x14ac:dyDescent="0.25">
      <c r="A25" s="7">
        <v>24</v>
      </c>
      <c r="B25" s="15">
        <f t="shared" ref="B25:B26" si="0">1.3176+0.4285*A25-0.0079*A25^2</f>
        <v>7.0511999999999988</v>
      </c>
      <c r="C25" s="15">
        <f t="shared" ref="C25:C26" si="1">1.1816+0.3843*A25-0.0071*A25^2</f>
        <v>6.3151999999999981</v>
      </c>
    </row>
    <row r="26" spans="1:7" x14ac:dyDescent="0.25">
      <c r="A26" s="7">
        <v>25</v>
      </c>
      <c r="B26" s="15">
        <f t="shared" si="0"/>
        <v>7.0926</v>
      </c>
      <c r="C26" s="15">
        <f t="shared" si="1"/>
        <v>6.3515999999999995</v>
      </c>
    </row>
  </sheetData>
  <pageMargins left="0.7" right="0.7" top="0.75" bottom="0.75" header="0.3" footer="0.3"/>
  <pageSetup scale="91" orientation="portrait" r:id="rId1"/>
  <headerFooter>
    <oddHeader>&amp;R&amp;"-,Bold"&amp;KFF0000Schedule MRW-6 Avoided Costs &amp; Benefit Cost Ratios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Layout" zoomScaleNormal="100" workbookViewId="0">
      <selection activeCell="B12" sqref="B12"/>
    </sheetView>
  </sheetViews>
  <sheetFormatPr defaultRowHeight="15" x14ac:dyDescent="0.25"/>
  <cols>
    <col min="1" max="1" width="9.140625" style="52"/>
    <col min="2" max="3" width="9.5703125" style="52" bestFit="1" customWidth="1"/>
  </cols>
  <sheetData>
    <row r="1" spans="1:3" x14ac:dyDescent="0.25">
      <c r="A1" s="52" t="s">
        <v>0</v>
      </c>
      <c r="B1" s="52" t="s">
        <v>4</v>
      </c>
      <c r="C1" s="52" t="s">
        <v>5</v>
      </c>
    </row>
    <row r="2" spans="1:3" x14ac:dyDescent="0.25">
      <c r="A2" s="52">
        <v>1</v>
      </c>
      <c r="B2" s="15">
        <v>1.6814186791947057</v>
      </c>
      <c r="C2" s="15">
        <v>1.507924214867739</v>
      </c>
    </row>
    <row r="3" spans="1:3" x14ac:dyDescent="0.25">
      <c r="A3" s="52">
        <v>2</v>
      </c>
      <c r="B3" s="15">
        <v>2.1640333829252745</v>
      </c>
      <c r="C3" s="15">
        <v>1.9407411017094447</v>
      </c>
    </row>
    <row r="4" spans="1:3" x14ac:dyDescent="0.25">
      <c r="A4" s="52">
        <v>3</v>
      </c>
      <c r="B4" s="15">
        <v>2.6119730589645886</v>
      </c>
      <c r="C4" s="15">
        <v>2.3424608474560515</v>
      </c>
    </row>
    <row r="5" spans="1:3" x14ac:dyDescent="0.25">
      <c r="A5" s="52">
        <v>4</v>
      </c>
      <c r="B5" s="15">
        <v>3.0279697776610268</v>
      </c>
      <c r="C5" s="15">
        <v>2.71553361820005</v>
      </c>
    </row>
    <row r="6" spans="1:3" x14ac:dyDescent="0.25">
      <c r="A6" s="52">
        <v>5</v>
      </c>
      <c r="B6" s="15">
        <v>3.4167146458854791</v>
      </c>
      <c r="C6" s="15">
        <v>3.064166476544393</v>
      </c>
    </row>
    <row r="7" spans="1:3" x14ac:dyDescent="0.25">
      <c r="A7" s="52">
        <v>6</v>
      </c>
      <c r="B7" s="15">
        <v>3.7826819132700882</v>
      </c>
      <c r="C7" s="15">
        <v>3.3923720039163925</v>
      </c>
    </row>
    <row r="8" spans="1:3" x14ac:dyDescent="0.25">
      <c r="A8" s="52">
        <v>7</v>
      </c>
      <c r="B8" s="15">
        <v>4.128832606231799</v>
      </c>
      <c r="C8" s="15">
        <v>3.7028056980158306</v>
      </c>
    </row>
    <row r="9" spans="1:3" x14ac:dyDescent="0.25">
      <c r="A9" s="52">
        <v>8</v>
      </c>
      <c r="B9" s="15">
        <v>4.4604244439915242</v>
      </c>
      <c r="C9" s="15">
        <v>4.0001827688176501</v>
      </c>
    </row>
    <row r="10" spans="1:3" x14ac:dyDescent="0.25">
      <c r="A10" s="52">
        <v>9</v>
      </c>
      <c r="B10" s="15">
        <v>4.7783631428606936</v>
      </c>
      <c r="C10" s="15">
        <v>4.2853154777619675</v>
      </c>
    </row>
    <row r="11" spans="1:3" x14ac:dyDescent="0.25">
      <c r="A11" s="52">
        <v>10</v>
      </c>
      <c r="B11" s="15">
        <v>5.0804532500892412</v>
      </c>
      <c r="C11" s="15">
        <v>4.5562349063364662</v>
      </c>
    </row>
    <row r="12" spans="1:3" x14ac:dyDescent="0.25">
      <c r="A12" s="52">
        <v>11</v>
      </c>
      <c r="B12" s="15">
        <v>5.3632065388388961</v>
      </c>
      <c r="C12" s="15">
        <v>4.8098127547420164</v>
      </c>
    </row>
    <row r="13" spans="1:3" x14ac:dyDescent="0.25">
      <c r="A13" s="52">
        <v>12</v>
      </c>
      <c r="B13" s="15">
        <v>5.6305068106189333</v>
      </c>
      <c r="C13" s="15">
        <v>5.0495320807167285</v>
      </c>
    </row>
    <row r="14" spans="1:3" x14ac:dyDescent="0.25">
      <c r="A14" s="52">
        <v>13</v>
      </c>
      <c r="B14" s="15">
        <v>5.8828192457168687</v>
      </c>
      <c r="C14" s="15">
        <v>5.2758100656732427</v>
      </c>
    </row>
    <row r="15" spans="1:3" x14ac:dyDescent="0.25">
      <c r="A15" s="52">
        <v>14</v>
      </c>
      <c r="B15" s="15">
        <v>6.1184755088542602</v>
      </c>
      <c r="C15" s="15">
        <v>5.487150518807919</v>
      </c>
    </row>
    <row r="16" spans="1:3" x14ac:dyDescent="0.25">
      <c r="A16" s="52">
        <v>15</v>
      </c>
      <c r="B16" s="15">
        <v>6.3384590185191509</v>
      </c>
      <c r="C16" s="15">
        <v>5.6844353861641865</v>
      </c>
    </row>
    <row r="17" spans="1:7" x14ac:dyDescent="0.25">
      <c r="A17" s="52">
        <v>16</v>
      </c>
      <c r="B17" s="15">
        <v>6.5428104235742426</v>
      </c>
      <c r="C17" s="15">
        <v>5.8677011223176594</v>
      </c>
    </row>
    <row r="18" spans="1:7" x14ac:dyDescent="0.25">
      <c r="A18" s="52">
        <v>17</v>
      </c>
      <c r="B18" s="15">
        <v>6.7340920174357795</v>
      </c>
      <c r="C18" s="15">
        <v>6.0392456345865799</v>
      </c>
    </row>
    <row r="19" spans="1:7" x14ac:dyDescent="0.25">
      <c r="A19" s="52">
        <v>18</v>
      </c>
      <c r="B19" s="15">
        <v>6.9128895975944928</v>
      </c>
      <c r="C19" s="15">
        <v>6.1995942758959588</v>
      </c>
      <c r="G19" t="s">
        <v>53</v>
      </c>
    </row>
    <row r="20" spans="1:7" x14ac:dyDescent="0.25">
      <c r="A20" s="52">
        <v>19</v>
      </c>
      <c r="B20" s="15">
        <v>7.0800194932537241</v>
      </c>
      <c r="C20" s="15">
        <v>6.3494791438418616</v>
      </c>
    </row>
    <row r="21" spans="1:7" x14ac:dyDescent="0.25">
      <c r="A21" s="52">
        <v>20</v>
      </c>
      <c r="B21" s="15">
        <v>7.2380393517743711</v>
      </c>
      <c r="C21" s="15">
        <v>6.491193979082885</v>
      </c>
    </row>
    <row r="22" spans="1:7" x14ac:dyDescent="0.25">
      <c r="A22" s="52">
        <v>21</v>
      </c>
      <c r="B22" s="15">
        <v>7.3883187611054435</v>
      </c>
      <c r="C22" s="15">
        <v>6.625967050852779</v>
      </c>
    </row>
    <row r="23" spans="1:7" x14ac:dyDescent="0.25">
      <c r="A23" s="52">
        <v>22</v>
      </c>
      <c r="B23" s="15">
        <v>7.524532984829162</v>
      </c>
      <c r="C23" s="15">
        <v>6.7481262304217706</v>
      </c>
    </row>
    <row r="24" spans="1:7" x14ac:dyDescent="0.25">
      <c r="A24" s="52">
        <v>23</v>
      </c>
      <c r="B24" s="15">
        <f>1.2958+0.4583*A24-0.0081*A24^2</f>
        <v>7.5517999999999992</v>
      </c>
      <c r="C24" s="15">
        <f>1.1621+0.411*A24-0.0072*A24^2</f>
        <v>6.8063000000000002</v>
      </c>
    </row>
    <row r="25" spans="1:7" x14ac:dyDescent="0.25">
      <c r="A25" s="52">
        <v>24</v>
      </c>
      <c r="B25" s="15">
        <f t="shared" ref="B25:B26" si="0">1.2958+0.4583*A25-0.0081*A25^2</f>
        <v>7.6294000000000004</v>
      </c>
      <c r="C25" s="15">
        <f t="shared" ref="C25:C26" si="1">1.1621+0.411*A25-0.0072*A25^2</f>
        <v>6.8788999999999998</v>
      </c>
    </row>
    <row r="26" spans="1:7" x14ac:dyDescent="0.25">
      <c r="A26" s="52">
        <v>25</v>
      </c>
      <c r="B26" s="15">
        <f t="shared" si="0"/>
        <v>7.6907999999999994</v>
      </c>
      <c r="C26" s="15">
        <f t="shared" si="1"/>
        <v>6.9370999999999992</v>
      </c>
    </row>
  </sheetData>
  <pageMargins left="0.7" right="0.7" top="0.75" bottom="0.75" header="0.3" footer="0.3"/>
  <pageSetup scale="91" orientation="portrait" r:id="rId1"/>
  <headerFooter>
    <oddHeader>&amp;R&amp;"-,Bold"&amp;KFF0000Schedule MRW-6 Avoided Costs &amp; Benefit Cost Ratios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E22"/>
  <sheetViews>
    <sheetView tabSelected="1" view="pageLayout" zoomScaleNormal="100" workbookViewId="0">
      <selection activeCell="B12" sqref="B12"/>
    </sheetView>
  </sheetViews>
  <sheetFormatPr defaultRowHeight="15" x14ac:dyDescent="0.25"/>
  <cols>
    <col min="1" max="1" width="34.140625" customWidth="1"/>
  </cols>
  <sheetData>
    <row r="3" spans="1:5" ht="15.75" thickBot="1" x14ac:dyDescent="0.3">
      <c r="A3" t="s">
        <v>124</v>
      </c>
    </row>
    <row r="4" spans="1:5" ht="16.5" thickTop="1" thickBot="1" x14ac:dyDescent="0.3">
      <c r="A4" s="94"/>
      <c r="B4" s="95">
        <v>2014</v>
      </c>
      <c r="C4" s="96">
        <v>2015</v>
      </c>
      <c r="D4" s="95">
        <v>2016</v>
      </c>
      <c r="E4" s="96" t="s">
        <v>125</v>
      </c>
    </row>
    <row r="5" spans="1:5" ht="16.5" thickTop="1" thickBot="1" x14ac:dyDescent="0.3">
      <c r="A5" s="106" t="s">
        <v>126</v>
      </c>
      <c r="B5" s="107"/>
      <c r="C5" s="107"/>
      <c r="D5" s="107"/>
      <c r="E5" s="108"/>
    </row>
    <row r="6" spans="1:5" ht="16.5" thickTop="1" thickBot="1" x14ac:dyDescent="0.3">
      <c r="A6" s="97" t="s">
        <v>85</v>
      </c>
      <c r="B6" s="99">
        <v>2757</v>
      </c>
      <c r="C6" s="100">
        <v>2820</v>
      </c>
      <c r="D6" s="99">
        <v>2885</v>
      </c>
      <c r="E6" s="100">
        <v>8462</v>
      </c>
    </row>
    <row r="7" spans="1:5" ht="16.5" thickTop="1" thickBot="1" x14ac:dyDescent="0.3">
      <c r="A7" s="97" t="s">
        <v>86</v>
      </c>
      <c r="B7" s="99">
        <v>33126</v>
      </c>
      <c r="C7" s="100">
        <v>33738</v>
      </c>
      <c r="D7" s="99">
        <v>33738</v>
      </c>
      <c r="E7" s="100">
        <v>100602</v>
      </c>
    </row>
    <row r="8" spans="1:5" ht="16.5" thickTop="1" thickBot="1" x14ac:dyDescent="0.3">
      <c r="A8" s="97" t="s">
        <v>87</v>
      </c>
      <c r="B8" s="99">
        <v>5050</v>
      </c>
      <c r="C8" s="100">
        <v>5167</v>
      </c>
      <c r="D8" s="99">
        <v>5285</v>
      </c>
      <c r="E8" s="100">
        <v>15502</v>
      </c>
    </row>
    <row r="9" spans="1:5" ht="16.5" thickTop="1" thickBot="1" x14ac:dyDescent="0.3">
      <c r="A9" s="97" t="s">
        <v>88</v>
      </c>
      <c r="B9" s="99">
        <v>22308</v>
      </c>
      <c r="C9" s="100">
        <v>21695</v>
      </c>
      <c r="D9" s="99">
        <v>21695</v>
      </c>
      <c r="E9" s="100">
        <v>65698</v>
      </c>
    </row>
    <row r="10" spans="1:5" ht="16.5" thickTop="1" thickBot="1" x14ac:dyDescent="0.3">
      <c r="A10" s="97" t="s">
        <v>89</v>
      </c>
      <c r="B10" s="99">
        <v>0</v>
      </c>
      <c r="C10" s="100">
        <v>0</v>
      </c>
      <c r="D10" s="99">
        <v>0</v>
      </c>
      <c r="E10" s="100">
        <v>0</v>
      </c>
    </row>
    <row r="11" spans="1:5" ht="16.5" thickTop="1" thickBot="1" x14ac:dyDescent="0.3">
      <c r="A11" s="97" t="s">
        <v>90</v>
      </c>
      <c r="B11" s="99">
        <v>3159</v>
      </c>
      <c r="C11" s="100">
        <v>3232</v>
      </c>
      <c r="D11" s="99">
        <v>3306</v>
      </c>
      <c r="E11" s="100">
        <v>9697</v>
      </c>
    </row>
    <row r="12" spans="1:5" ht="16.5" thickTop="1" thickBot="1" x14ac:dyDescent="0.3">
      <c r="A12" s="97" t="s">
        <v>91</v>
      </c>
      <c r="B12" s="99">
        <v>744</v>
      </c>
      <c r="C12" s="100">
        <v>744</v>
      </c>
      <c r="D12" s="99">
        <v>744</v>
      </c>
      <c r="E12" s="100">
        <v>2232</v>
      </c>
    </row>
    <row r="13" spans="1:5" ht="16.5" thickTop="1" thickBot="1" x14ac:dyDescent="0.3">
      <c r="A13" s="97" t="s">
        <v>127</v>
      </c>
      <c r="B13" s="99">
        <v>67144</v>
      </c>
      <c r="C13" s="100">
        <v>67396</v>
      </c>
      <c r="D13" s="99">
        <v>67653</v>
      </c>
      <c r="E13" s="100">
        <v>202193</v>
      </c>
    </row>
    <row r="14" spans="1:5" ht="15.75" thickTop="1" x14ac:dyDescent="0.25"/>
    <row r="16" spans="1:5" x14ac:dyDescent="0.25">
      <c r="A16" s="101" t="s">
        <v>128</v>
      </c>
      <c r="B16" s="98">
        <f>E9</f>
        <v>65698</v>
      </c>
    </row>
    <row r="17" spans="1:3" x14ac:dyDescent="0.25">
      <c r="A17" s="101" t="s">
        <v>129</v>
      </c>
      <c r="B17" s="102">
        <v>0.4</v>
      </c>
    </row>
    <row r="18" spans="1:3" x14ac:dyDescent="0.25">
      <c r="A18" s="101" t="s">
        <v>51</v>
      </c>
      <c r="B18" s="98">
        <f>B16/B17</f>
        <v>164245</v>
      </c>
    </row>
    <row r="19" spans="1:3" x14ac:dyDescent="0.25">
      <c r="A19" s="101" t="s">
        <v>130</v>
      </c>
      <c r="B19" s="98">
        <f>E13-E7</f>
        <v>101591</v>
      </c>
    </row>
    <row r="20" spans="1:3" x14ac:dyDescent="0.25">
      <c r="A20" s="101" t="s">
        <v>131</v>
      </c>
      <c r="B20">
        <f>B19/B18</f>
        <v>0.61853328868458701</v>
      </c>
    </row>
    <row r="22" spans="1:3" x14ac:dyDescent="0.25">
      <c r="A22" s="101" t="s">
        <v>132</v>
      </c>
      <c r="B22" s="102">
        <v>0.6</v>
      </c>
      <c r="C22" t="s">
        <v>133</v>
      </c>
    </row>
  </sheetData>
  <mergeCells count="1">
    <mergeCell ref="A5:E5"/>
  </mergeCells>
  <pageMargins left="0.7" right="0.7" top="0.75" bottom="0.75" header="0.3" footer="0.3"/>
  <pageSetup scale="91" orientation="portrait" r:id="rId1"/>
  <headerFooter>
    <oddHeader>&amp;R&amp;"-,Bold"&amp;KFF0000Schedule MRW-6 Avoided Costs &amp; Benefit Cost Ratios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view="pageLayout" topLeftCell="A2" zoomScaleNormal="100" workbookViewId="0">
      <selection activeCell="B12" sqref="B12"/>
    </sheetView>
  </sheetViews>
  <sheetFormatPr defaultRowHeight="15" x14ac:dyDescent="0.25"/>
  <cols>
    <col min="2" max="2" width="27.42578125" customWidth="1"/>
  </cols>
  <sheetData>
    <row r="1" spans="1:6" x14ac:dyDescent="0.25">
      <c r="A1" t="s">
        <v>93</v>
      </c>
    </row>
    <row r="2" spans="1:6" ht="15.75" thickBot="1" x14ac:dyDescent="0.3">
      <c r="C2" t="s">
        <v>94</v>
      </c>
      <c r="D2" t="s">
        <v>95</v>
      </c>
    </row>
    <row r="3" spans="1:6" ht="15.75" thickBot="1" x14ac:dyDescent="0.3">
      <c r="B3" s="66" t="s">
        <v>85</v>
      </c>
      <c r="C3" s="67">
        <v>2654</v>
      </c>
      <c r="D3" s="67">
        <v>6433</v>
      </c>
      <c r="E3" s="68"/>
    </row>
    <row r="4" spans="1:6" ht="15.75" thickBot="1" x14ac:dyDescent="0.3">
      <c r="B4" s="69" t="s">
        <v>86</v>
      </c>
      <c r="C4" s="70">
        <v>1631</v>
      </c>
      <c r="D4" s="70">
        <v>15836</v>
      </c>
      <c r="E4" s="71"/>
    </row>
    <row r="5" spans="1:6" ht="15.75" thickBot="1" x14ac:dyDescent="0.3">
      <c r="B5" s="69" t="s">
        <v>87</v>
      </c>
      <c r="C5" s="70">
        <v>1864</v>
      </c>
      <c r="D5" s="70">
        <v>8158</v>
      </c>
      <c r="E5" s="71"/>
    </row>
    <row r="6" spans="1:6" ht="15.75" thickBot="1" x14ac:dyDescent="0.3">
      <c r="B6" s="69" t="s">
        <v>88</v>
      </c>
      <c r="C6" s="70">
        <v>19106</v>
      </c>
      <c r="D6" s="70">
        <v>15615</v>
      </c>
      <c r="E6" s="71"/>
      <c r="F6">
        <f>D6/SUM(D3:D5)</f>
        <v>0.51319551713938283</v>
      </c>
    </row>
    <row r="7" spans="1:6" ht="15.75" thickBot="1" x14ac:dyDescent="0.3">
      <c r="B7" s="69" t="s">
        <v>89</v>
      </c>
      <c r="C7" s="70">
        <v>0</v>
      </c>
      <c r="D7" s="70">
        <v>0</v>
      </c>
      <c r="E7" s="72"/>
      <c r="F7">
        <f>D6/D10</f>
        <v>0.33914686590504323</v>
      </c>
    </row>
    <row r="8" spans="1:6" ht="15.75" thickBot="1" x14ac:dyDescent="0.3">
      <c r="B8" s="69" t="s">
        <v>90</v>
      </c>
      <c r="C8" s="70">
        <v>1491</v>
      </c>
      <c r="D8" s="70">
        <v>0</v>
      </c>
      <c r="E8" s="71"/>
    </row>
    <row r="9" spans="1:6" ht="15.75" thickBot="1" x14ac:dyDescent="0.3">
      <c r="B9" s="73" t="s">
        <v>91</v>
      </c>
      <c r="C9" s="74">
        <v>0</v>
      </c>
      <c r="D9" s="74">
        <v>0</v>
      </c>
      <c r="E9" s="75"/>
    </row>
    <row r="10" spans="1:6" ht="16.5" thickTop="1" thickBot="1" x14ac:dyDescent="0.3">
      <c r="B10" s="76" t="s">
        <v>92</v>
      </c>
      <c r="C10" s="77">
        <v>26746</v>
      </c>
      <c r="D10" s="77">
        <v>46042</v>
      </c>
      <c r="E10" s="78">
        <v>1.72</v>
      </c>
    </row>
    <row r="13" spans="1:6" ht="15.75" thickBot="1" x14ac:dyDescent="0.3">
      <c r="A13" t="s">
        <v>96</v>
      </c>
    </row>
    <row r="14" spans="1:6" ht="35.25" thickBot="1" x14ac:dyDescent="0.3">
      <c r="B14" s="79"/>
      <c r="C14" s="80" t="s">
        <v>97</v>
      </c>
      <c r="D14" s="80" t="s">
        <v>98</v>
      </c>
    </row>
    <row r="15" spans="1:6" ht="15.75" thickBot="1" x14ac:dyDescent="0.3">
      <c r="B15" s="69" t="s">
        <v>85</v>
      </c>
      <c r="C15" s="81">
        <v>9943</v>
      </c>
      <c r="D15" s="70">
        <v>7471</v>
      </c>
    </row>
    <row r="16" spans="1:6" ht="15.75" thickBot="1" x14ac:dyDescent="0.3">
      <c r="B16" s="69" t="s">
        <v>86</v>
      </c>
      <c r="C16" s="81">
        <v>18287</v>
      </c>
      <c r="D16" s="70">
        <v>19858</v>
      </c>
    </row>
    <row r="17" spans="2:5" ht="15.75" thickBot="1" x14ac:dyDescent="0.3">
      <c r="B17" s="69" t="s">
        <v>87</v>
      </c>
      <c r="C17" s="81">
        <v>9144</v>
      </c>
      <c r="D17" s="70">
        <v>16445</v>
      </c>
    </row>
    <row r="18" spans="2:5" ht="15.75" thickBot="1" x14ac:dyDescent="0.3">
      <c r="B18" s="69" t="s">
        <v>88</v>
      </c>
      <c r="C18" s="81">
        <v>93721</v>
      </c>
      <c r="D18" s="70">
        <v>57345</v>
      </c>
      <c r="E18">
        <f>D18/D22</f>
        <v>0.53408275977684849</v>
      </c>
    </row>
    <row r="19" spans="2:5" ht="15.75" thickBot="1" x14ac:dyDescent="0.3">
      <c r="B19" s="69" t="s">
        <v>89</v>
      </c>
      <c r="C19" s="81">
        <v>0</v>
      </c>
      <c r="D19" s="70">
        <v>0</v>
      </c>
    </row>
    <row r="20" spans="2:5" ht="15.75" thickBot="1" x14ac:dyDescent="0.3">
      <c r="B20" s="69" t="s">
        <v>90</v>
      </c>
      <c r="C20" s="81">
        <v>7029</v>
      </c>
      <c r="D20" s="70">
        <v>6253</v>
      </c>
    </row>
    <row r="21" spans="2:5" ht="15.75" thickBot="1" x14ac:dyDescent="0.3">
      <c r="B21" s="73" t="s">
        <v>91</v>
      </c>
      <c r="C21" s="82">
        <v>0</v>
      </c>
      <c r="D21" s="74">
        <v>0</v>
      </c>
    </row>
    <row r="22" spans="2:5" ht="16.5" thickTop="1" thickBot="1" x14ac:dyDescent="0.3">
      <c r="B22" s="76" t="s">
        <v>92</v>
      </c>
      <c r="C22" s="81">
        <v>138124</v>
      </c>
      <c r="D22" s="77">
        <v>107371</v>
      </c>
    </row>
  </sheetData>
  <pageMargins left="0.7" right="0.7" top="0.75" bottom="0.75" header="0.3" footer="0.3"/>
  <pageSetup scale="91" orientation="portrait" r:id="rId1"/>
  <headerFooter>
    <oddHeader>&amp;R&amp;"-,Bold"&amp;KFF0000Schedule MRW-6 Avoided Costs &amp; Benefit Cost Ratios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AD11"/>
  <sheetViews>
    <sheetView tabSelected="1" view="pageLayout" zoomScaleNormal="90" workbookViewId="0">
      <selection activeCell="B12" sqref="B12"/>
    </sheetView>
  </sheetViews>
  <sheetFormatPr defaultRowHeight="15" x14ac:dyDescent="0.25"/>
  <cols>
    <col min="1" max="1" width="30.7109375" style="27" customWidth="1"/>
    <col min="2" max="2" width="22.28515625" style="27" customWidth="1"/>
    <col min="3" max="3" width="13.85546875" style="37" customWidth="1"/>
    <col min="4" max="4" width="11.42578125" style="37" customWidth="1"/>
    <col min="5" max="5" width="10.5703125" style="37" customWidth="1"/>
    <col min="6" max="6" width="15.140625" style="37" customWidth="1"/>
    <col min="7" max="7" width="12.140625" style="40" bestFit="1" customWidth="1"/>
    <col min="8" max="8" width="15.42578125" style="45" customWidth="1"/>
    <col min="9" max="10" width="12.140625" style="27" customWidth="1"/>
    <col min="11" max="11" width="9.28515625" style="37" customWidth="1"/>
    <col min="12" max="12" width="12.42578125" style="37" customWidth="1"/>
    <col min="13" max="14" width="10.85546875" style="37" customWidth="1"/>
    <col min="15" max="16" width="2.140625" style="27" customWidth="1"/>
    <col min="17" max="17" width="12.5703125" style="27" customWidth="1"/>
    <col min="18" max="18" width="2.140625" style="27" customWidth="1"/>
    <col min="19" max="19" width="13.7109375" style="27" customWidth="1"/>
    <col min="20" max="21" width="2.140625" style="27" customWidth="1"/>
    <col min="22" max="22" width="11.42578125" style="27" customWidth="1"/>
    <col min="23" max="23" width="11.5703125" style="27" customWidth="1"/>
    <col min="24" max="24" width="11.85546875" style="27" customWidth="1"/>
    <col min="25" max="25" width="2.140625" style="27" customWidth="1"/>
    <col min="26" max="26" width="11.140625" style="27" customWidth="1"/>
    <col min="27" max="28" width="11.7109375" style="27" customWidth="1"/>
    <col min="29" max="30" width="2.140625" style="27" customWidth="1"/>
    <col min="31" max="16384" width="9.140625" style="27"/>
  </cols>
  <sheetData>
    <row r="1" spans="1:30" x14ac:dyDescent="0.25">
      <c r="B1" s="103" t="s">
        <v>61</v>
      </c>
      <c r="C1" s="103"/>
      <c r="D1" s="103"/>
      <c r="E1" s="103"/>
      <c r="F1" s="103"/>
      <c r="G1" s="103"/>
      <c r="H1" s="103"/>
      <c r="I1" s="103"/>
      <c r="J1" s="90"/>
      <c r="Q1" s="87"/>
      <c r="S1" s="86"/>
      <c r="V1" s="103" t="s">
        <v>66</v>
      </c>
      <c r="W1" s="103"/>
      <c r="X1" s="103"/>
      <c r="Z1" s="103" t="s">
        <v>67</v>
      </c>
      <c r="AA1" s="103"/>
      <c r="AB1" s="103"/>
    </row>
    <row r="2" spans="1:30" s="43" customFormat="1" ht="60" x14ac:dyDescent="0.25">
      <c r="A2" s="36" t="s">
        <v>3</v>
      </c>
      <c r="B2" s="36" t="s">
        <v>2</v>
      </c>
      <c r="C2" s="36" t="s">
        <v>39</v>
      </c>
      <c r="D2" s="36" t="s">
        <v>108</v>
      </c>
      <c r="E2" s="36" t="s">
        <v>38</v>
      </c>
      <c r="F2" s="36" t="s">
        <v>120</v>
      </c>
      <c r="G2" s="48" t="s">
        <v>51</v>
      </c>
      <c r="H2" s="88" t="s">
        <v>84</v>
      </c>
      <c r="I2" s="42" t="s">
        <v>83</v>
      </c>
      <c r="J2" s="91" t="s">
        <v>102</v>
      </c>
      <c r="K2" s="89" t="s">
        <v>1</v>
      </c>
      <c r="L2" s="36" t="s">
        <v>72</v>
      </c>
      <c r="M2" s="36" t="s">
        <v>73</v>
      </c>
      <c r="N2" s="36" t="s">
        <v>103</v>
      </c>
      <c r="O2" s="36"/>
      <c r="P2" s="36"/>
      <c r="Q2" s="36" t="s">
        <v>99</v>
      </c>
      <c r="R2" s="36"/>
      <c r="S2" s="36" t="s">
        <v>100</v>
      </c>
      <c r="T2" s="36"/>
      <c r="U2" s="36"/>
      <c r="V2" s="42" t="s">
        <v>74</v>
      </c>
      <c r="W2" s="42" t="s">
        <v>69</v>
      </c>
      <c r="X2" s="42" t="s">
        <v>64</v>
      </c>
      <c r="Y2" s="36"/>
      <c r="Z2" s="36" t="s">
        <v>68</v>
      </c>
      <c r="AA2" s="36" t="s">
        <v>69</v>
      </c>
      <c r="AB2" s="36" t="s">
        <v>64</v>
      </c>
      <c r="AC2" s="36"/>
      <c r="AD2" s="36"/>
    </row>
    <row r="3" spans="1:30" x14ac:dyDescent="0.25">
      <c r="A3" s="27" t="s">
        <v>36</v>
      </c>
      <c r="B3" s="27" t="s">
        <v>41</v>
      </c>
      <c r="C3" s="37" t="s">
        <v>5</v>
      </c>
      <c r="D3" s="38" t="s">
        <v>40</v>
      </c>
      <c r="E3" s="37">
        <v>1</v>
      </c>
      <c r="F3" s="39">
        <f>[1]Res.Furnace!$B$34</f>
        <v>122.59671850371637</v>
      </c>
      <c r="G3" s="47">
        <f>[1]Res.Furnace!$B$7</f>
        <v>754</v>
      </c>
      <c r="H3" s="47">
        <f>K3*'Admin Cost Assumptions'!$B$22</f>
        <v>180</v>
      </c>
      <c r="I3" s="37">
        <f>[1]Res.Furnace!$B$6</f>
        <v>20</v>
      </c>
      <c r="J3" s="44">
        <v>0.8</v>
      </c>
      <c r="K3" s="55">
        <v>300</v>
      </c>
      <c r="L3" s="55">
        <f t="shared" ref="L3:L5" si="0">E3*G3</f>
        <v>754</v>
      </c>
      <c r="M3" s="55">
        <f t="shared" ref="M3:M5" si="1">SUM(G3:H3)*E3</f>
        <v>934</v>
      </c>
      <c r="N3" s="85">
        <f t="shared" ref="N3:N5" si="2">E3*F3*J3</f>
        <v>98.077374802973111</v>
      </c>
      <c r="Q3" s="40">
        <f>IF(LEFT(C3,4)="Heat",VLOOKUP(I3,'Avoided Costs—Low Growth'!$A$2:$C$27,3,FALSE),VLOOKUP(I3,'Avoided Costs—Low Growth'!$A$2:$C$27,2,FALSE))*N3</f>
        <v>776.25006038399124</v>
      </c>
      <c r="S3" s="40">
        <f>IF(LEFT(C3,4)="Heat",VLOOKUP(I3,'Avoided Costs—High Growth'!$A$2:$C$27,3,FALSE),VLOOKUP(I3,'Avoided Costs—High Growth'!$A$2:$C$27,2,FALSE))*N3</f>
        <v>830.82097645021088</v>
      </c>
      <c r="V3" s="44">
        <f t="shared" ref="V3:V5" si="3">Q3/(L3*J3)</f>
        <v>1.2868867048806221</v>
      </c>
      <c r="W3" s="44">
        <f t="shared" ref="W3:W5" si="4">Q3/(M3*J3)</f>
        <v>1.0388785604710802</v>
      </c>
      <c r="X3" s="44">
        <f t="shared" ref="X3:X5" si="5">Q3/(K3+H3)</f>
        <v>1.6171876257999818</v>
      </c>
      <c r="Z3" s="44">
        <f t="shared" ref="Z3:Z5" si="6">S3/(L3*J3)</f>
        <v>1.3773557301893415</v>
      </c>
      <c r="AA3" s="44">
        <f t="shared" ref="AA3:AA5" si="7">S3/(M3*J3)</f>
        <v>1.1119124417160209</v>
      </c>
      <c r="AB3" s="44">
        <f t="shared" ref="AB3:AB5" si="8">S3/(K3+H3)</f>
        <v>1.7308770342712727</v>
      </c>
    </row>
    <row r="4" spans="1:30" x14ac:dyDescent="0.25">
      <c r="A4" s="27" t="s">
        <v>35</v>
      </c>
      <c r="B4" s="35" t="s">
        <v>58</v>
      </c>
      <c r="C4" s="37" t="s">
        <v>5</v>
      </c>
      <c r="D4" s="38" t="s">
        <v>40</v>
      </c>
      <c r="E4" s="37">
        <v>1</v>
      </c>
      <c r="F4" s="39">
        <f>[1]Res.Thermostat!$B$31</f>
        <v>34.509419699291243</v>
      </c>
      <c r="G4" s="47">
        <f>[1]Res.Thermostat!$B$7</f>
        <v>50</v>
      </c>
      <c r="H4" s="47">
        <f>K4*'Admin Cost Assumptions'!$B$22</f>
        <v>15</v>
      </c>
      <c r="I4" s="37">
        <f>[1]Res.Thermostat!$B$6</f>
        <v>5</v>
      </c>
      <c r="J4" s="44">
        <v>0.8</v>
      </c>
      <c r="K4" s="55">
        <v>25</v>
      </c>
      <c r="L4" s="55">
        <f t="shared" si="0"/>
        <v>50</v>
      </c>
      <c r="M4" s="55">
        <f t="shared" si="1"/>
        <v>65</v>
      </c>
      <c r="N4" s="85">
        <f t="shared" si="2"/>
        <v>27.607535759432995</v>
      </c>
      <c r="Q4" s="40">
        <f>IF(LEFT(C4,4)="Heat",VLOOKUP(I4,'Avoided Costs—Low Growth'!$A$2:$C$27,3,FALSE),VLOOKUP(I4,'Avoided Costs—Low Growth'!$A$2:$C$27,2,FALSE))*N4</f>
        <v>120.47810219444544</v>
      </c>
      <c r="S4" s="40">
        <f>IF(LEFT(C4,4)="Heat",VLOOKUP(I4,'Avoided Costs—High Growth'!$A$2:$C$27,3,FALSE),VLOOKUP(I4,'Avoided Costs—High Growth'!$A$2:$C$27,2,FALSE))*N4</f>
        <v>124.60869919976913</v>
      </c>
      <c r="V4" s="44">
        <f t="shared" si="3"/>
        <v>3.0119525548611361</v>
      </c>
      <c r="W4" s="44">
        <f t="shared" si="4"/>
        <v>2.3168865806624122</v>
      </c>
      <c r="X4" s="44">
        <f t="shared" si="5"/>
        <v>3.0119525548611361</v>
      </c>
      <c r="Z4" s="44">
        <f t="shared" si="6"/>
        <v>3.1152174799942283</v>
      </c>
      <c r="AA4" s="44">
        <f t="shared" si="7"/>
        <v>2.3963211384570986</v>
      </c>
      <c r="AB4" s="44">
        <f t="shared" si="8"/>
        <v>3.1152174799942283</v>
      </c>
    </row>
    <row r="5" spans="1:30" x14ac:dyDescent="0.25">
      <c r="A5" s="27" t="s">
        <v>35</v>
      </c>
      <c r="B5" s="35" t="s">
        <v>59</v>
      </c>
      <c r="C5" s="37" t="s">
        <v>5</v>
      </c>
      <c r="D5" s="38" t="s">
        <v>40</v>
      </c>
      <c r="E5" s="37">
        <v>1</v>
      </c>
      <c r="F5" s="39">
        <f>F4*0.56</f>
        <v>19.325275031603098</v>
      </c>
      <c r="G5" s="47">
        <f>[1]Res.Thermostat!$B$7</f>
        <v>50</v>
      </c>
      <c r="H5" s="47">
        <f>K5*'Admin Cost Assumptions'!$B$22</f>
        <v>15</v>
      </c>
      <c r="I5" s="37">
        <f>[1]Res.Thermostat!$B$6</f>
        <v>5</v>
      </c>
      <c r="J5" s="44">
        <v>0.8</v>
      </c>
      <c r="K5" s="55">
        <v>25</v>
      </c>
      <c r="L5" s="55">
        <f t="shared" si="0"/>
        <v>50</v>
      </c>
      <c r="M5" s="55">
        <f t="shared" si="1"/>
        <v>65</v>
      </c>
      <c r="N5" s="85">
        <f t="shared" si="2"/>
        <v>15.46022002528248</v>
      </c>
      <c r="Q5" s="40">
        <f>IF(LEFT(C5,4)="Heat",VLOOKUP(I5,'Avoided Costs—Low Growth'!$A$2:$C$27,3,FALSE),VLOOKUP(I5,'Avoided Costs—Low Growth'!$A$2:$C$27,2,FALSE))*N5</f>
        <v>67.467737228889462</v>
      </c>
      <c r="S5" s="40">
        <f>IF(LEFT(C5,4)="Heat",VLOOKUP(I5,'Avoided Costs—High Growth'!$A$2:$C$27,3,FALSE),VLOOKUP(I5,'Avoided Costs—High Growth'!$A$2:$C$27,2,FALSE))*N5</f>
        <v>69.780871551870732</v>
      </c>
      <c r="V5" s="44">
        <f t="shared" si="3"/>
        <v>1.6866934307222365</v>
      </c>
      <c r="W5" s="44">
        <f t="shared" si="4"/>
        <v>1.2974564851709511</v>
      </c>
      <c r="X5" s="44">
        <f t="shared" si="5"/>
        <v>1.6866934307222365</v>
      </c>
      <c r="Z5" s="44">
        <f t="shared" si="6"/>
        <v>1.7445217887967683</v>
      </c>
      <c r="AA5" s="44">
        <f t="shared" si="7"/>
        <v>1.3419398375359757</v>
      </c>
      <c r="AB5" s="44">
        <f t="shared" si="8"/>
        <v>1.7445217887967683</v>
      </c>
    </row>
    <row r="10" spans="1:30" x14ac:dyDescent="0.25">
      <c r="C10" s="27"/>
      <c r="D10" s="27"/>
      <c r="E10" s="27"/>
      <c r="F10" s="27"/>
      <c r="H10" s="27"/>
      <c r="K10" s="27"/>
      <c r="L10" s="27"/>
      <c r="M10" s="27"/>
      <c r="N10" s="27"/>
    </row>
    <row r="11" spans="1:30" x14ac:dyDescent="0.25">
      <c r="C11" s="27"/>
      <c r="D11" s="27"/>
      <c r="E11" s="27"/>
      <c r="F11" s="27"/>
      <c r="G11" s="27"/>
      <c r="H11" s="27"/>
      <c r="K11" s="27"/>
      <c r="L11" s="27"/>
      <c r="M11" s="27"/>
      <c r="N11" s="27"/>
    </row>
  </sheetData>
  <mergeCells count="3">
    <mergeCell ref="B1:I1"/>
    <mergeCell ref="Z1:AB1"/>
    <mergeCell ref="V1:X1"/>
  </mergeCells>
  <conditionalFormatting sqref="V3:X5 Z3:AB5">
    <cfRule type="cellIs" dxfId="0" priority="4" operator="lessThan">
      <formula>1</formula>
    </cfRule>
  </conditionalFormatting>
  <pageMargins left="0.7" right="0.7" top="0.75" bottom="0.75" header="0.3" footer="0.3"/>
  <pageSetup scale="91" orientation="portrait" r:id="rId1"/>
  <headerFooter>
    <oddHeader>&amp;R&amp;"-,Bold"&amp;KFF0000Schedule MRW-6 Avoided Costs &amp; Benefit Cost Ratios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41"/>
  <sheetViews>
    <sheetView tabSelected="1" view="pageLayout" zoomScaleNormal="90" workbookViewId="0">
      <selection activeCell="B12" sqref="B12"/>
    </sheetView>
  </sheetViews>
  <sheetFormatPr defaultRowHeight="15" x14ac:dyDescent="0.25"/>
  <cols>
    <col min="1" max="1" width="4.28515625" bestFit="1" customWidth="1"/>
    <col min="2" max="2" width="10.85546875" bestFit="1" customWidth="1"/>
    <col min="3" max="3" width="7.85546875" bestFit="1" customWidth="1"/>
    <col min="4" max="5" width="2.85546875" customWidth="1"/>
    <col min="6" max="6" width="30.140625" bestFit="1" customWidth="1"/>
    <col min="7" max="7" width="7.42578125" bestFit="1" customWidth="1"/>
    <col min="8" max="9" width="2.85546875" customWidth="1"/>
    <col min="10" max="10" width="7.28515625" customWidth="1"/>
    <col min="11" max="11" width="9.7109375" style="52" customWidth="1"/>
    <col min="12" max="12" width="10" customWidth="1"/>
    <col min="13" max="17" width="8.7109375" style="52" customWidth="1"/>
    <col min="18" max="18" width="9.5703125" style="52" customWidth="1"/>
    <col min="19" max="24" width="8.7109375" style="52" customWidth="1"/>
    <col min="25" max="26" width="2.85546875" customWidth="1"/>
    <col min="40" max="41" width="2.85546875" hidden="1" customWidth="1"/>
    <col min="42" max="42" width="8.140625" hidden="1" customWidth="1"/>
    <col min="43" max="43" width="9.85546875" hidden="1" customWidth="1"/>
    <col min="44" max="44" width="10.28515625" customWidth="1"/>
  </cols>
  <sheetData>
    <row r="1" spans="1:44" x14ac:dyDescent="0.25">
      <c r="A1" s="104" t="s">
        <v>6</v>
      </c>
      <c r="B1" s="104"/>
      <c r="C1" s="104"/>
      <c r="F1" s="104" t="s">
        <v>49</v>
      </c>
      <c r="G1" s="104"/>
      <c r="J1" s="104" t="s">
        <v>57</v>
      </c>
      <c r="K1" s="104"/>
      <c r="L1" s="104"/>
      <c r="M1" s="104"/>
      <c r="N1" s="104"/>
      <c r="O1" s="104"/>
      <c r="P1" s="104"/>
      <c r="Q1" s="37"/>
      <c r="R1" s="37"/>
      <c r="S1" s="37"/>
      <c r="T1" s="37"/>
      <c r="U1" s="37"/>
      <c r="V1" s="37"/>
      <c r="W1" s="37"/>
      <c r="X1" s="37"/>
    </row>
    <row r="2" spans="1:44" ht="45" x14ac:dyDescent="0.25">
      <c r="A2" s="4" t="s">
        <v>0</v>
      </c>
      <c r="B2" s="5" t="s">
        <v>4</v>
      </c>
      <c r="C2" s="5" t="s">
        <v>5</v>
      </c>
      <c r="N2" s="52" t="s">
        <v>70</v>
      </c>
      <c r="O2" s="52" t="s">
        <v>71</v>
      </c>
      <c r="P2" s="10" t="s">
        <v>54</v>
      </c>
      <c r="R2" s="10"/>
    </row>
    <row r="3" spans="1:44" x14ac:dyDescent="0.25">
      <c r="A3">
        <v>1</v>
      </c>
      <c r="B3" s="33">
        <f>MMULT($AB13:$AM13, 'Heating Loadshapes'!$B$3:$B$14)</f>
        <v>2.5459223072877348</v>
      </c>
      <c r="C3" s="1">
        <f>MMULT($AB13:$AM13,'Heating Loadshapes'!$C$3:$C$14)</f>
        <v>2.2832254356599568</v>
      </c>
      <c r="F3" s="6"/>
      <c r="L3" t="s">
        <v>46</v>
      </c>
      <c r="N3" s="19">
        <f>'Area Usage Weights'!B4</f>
        <v>0.21271062304843713</v>
      </c>
      <c r="O3" s="19">
        <f>'Area Usage Weights'!C4</f>
        <v>0.78728937695156287</v>
      </c>
      <c r="P3" s="52" t="s">
        <v>8</v>
      </c>
      <c r="Q3" s="19"/>
      <c r="S3" s="14"/>
    </row>
    <row r="4" spans="1:44" x14ac:dyDescent="0.25">
      <c r="A4">
        <v>2</v>
      </c>
      <c r="B4" s="33">
        <f>MMULT($AB14:$AM14, 'Heating Loadshapes'!$B$3:$B$14)</f>
        <v>3.2257781989502528</v>
      </c>
      <c r="C4" s="1">
        <f>MMULT($AB14:$AM14,'Heating Loadshapes'!$C$3:$C$14)</f>
        <v>2.8929314977749576</v>
      </c>
      <c r="G4" s="11"/>
      <c r="L4" t="s">
        <v>45</v>
      </c>
      <c r="M4" s="15"/>
      <c r="N4" s="15">
        <f>'Divisional Costs'!B7</f>
        <v>0.8965859925131201</v>
      </c>
      <c r="O4" s="15">
        <f>'Divisional Costs'!C7</f>
        <v>1.095</v>
      </c>
      <c r="P4" s="15">
        <f>SUMPRODUCT(L3:O3,L4:O4)</f>
        <v>1.0527952328459285</v>
      </c>
      <c r="Q4" s="15"/>
      <c r="R4" s="15"/>
    </row>
    <row r="5" spans="1:44" x14ac:dyDescent="0.25">
      <c r="A5">
        <v>3</v>
      </c>
      <c r="B5" s="33">
        <f>MMULT($AB15:$AM15, 'Heating Loadshapes'!$B$3:$B$14)</f>
        <v>3.8296225729426809</v>
      </c>
      <c r="C5" s="1">
        <f>MMULT($AB15:$AM15,'Heating Loadshapes'!$C$3:$C$14)</f>
        <v>3.4344691676139352</v>
      </c>
      <c r="F5" t="s">
        <v>7</v>
      </c>
      <c r="G5" s="11">
        <v>0.1124</v>
      </c>
    </row>
    <row r="6" spans="1:44" x14ac:dyDescent="0.25">
      <c r="A6">
        <v>4</v>
      </c>
      <c r="B6" s="33">
        <f>MMULT($AB16:$AM16, 'Heating Loadshapes'!$B$3:$B$14)</f>
        <v>4.3725835802583743</v>
      </c>
      <c r="C6" s="1">
        <f>MMULT($AB16:$AM16,'Heating Loadshapes'!$C$3:$C$14)</f>
        <v>3.9214056224012959</v>
      </c>
      <c r="F6" t="s">
        <v>47</v>
      </c>
      <c r="G6" s="2">
        <f>P4</f>
        <v>1.0527952328459285</v>
      </c>
    </row>
    <row r="7" spans="1:44" x14ac:dyDescent="0.25">
      <c r="A7">
        <v>5</v>
      </c>
      <c r="B7" s="33">
        <f>MMULT($AB17:$AM17, 'Heating Loadshapes'!$B$3:$B$14)</f>
        <v>4.8660529099979826</v>
      </c>
      <c r="C7" s="1">
        <f>MMULT($AB17:$AM17,'Heating Loadshapes'!$C$3:$C$14)</f>
        <v>4.3639571182400898</v>
      </c>
      <c r="G7" s="2"/>
    </row>
    <row r="8" spans="1:44" x14ac:dyDescent="0.25">
      <c r="A8">
        <v>6</v>
      </c>
      <c r="B8" s="33">
        <f>MMULT($AB18:$AM18, 'Heating Loadshapes'!$B$3:$B$14)</f>
        <v>5.3153873280164943</v>
      </c>
      <c r="C8" s="1">
        <f>MMULT($AB18:$AM18,'Heating Loadshapes'!$C$3:$C$14)</f>
        <v>4.7669276917727492</v>
      </c>
      <c r="J8" s="104" t="s">
        <v>48</v>
      </c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AA8" s="104" t="s">
        <v>50</v>
      </c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P8" s="8" t="s">
        <v>32</v>
      </c>
      <c r="AQ8" s="3"/>
      <c r="AR8" s="27"/>
    </row>
    <row r="9" spans="1:44" ht="45" x14ac:dyDescent="0.25">
      <c r="A9">
        <v>7</v>
      </c>
      <c r="B9" s="33">
        <f>MMULT($AB19:$AM19, 'Heating Loadshapes'!$B$3:$B$14)</f>
        <v>5.7279918442268976</v>
      </c>
      <c r="C9" s="1">
        <f>MMULT($AB19:$AM19,'Heating Loadshapes'!$C$3:$C$14)</f>
        <v>5.1369582789525232</v>
      </c>
      <c r="K9" s="10" t="s">
        <v>12</v>
      </c>
      <c r="L9" s="10" t="s">
        <v>13</v>
      </c>
      <c r="M9" s="52" t="s">
        <v>14</v>
      </c>
      <c r="N9" s="52" t="s">
        <v>15</v>
      </c>
      <c r="O9" s="52" t="s">
        <v>16</v>
      </c>
      <c r="P9" s="52" t="s">
        <v>17</v>
      </c>
      <c r="Q9" s="52" t="s">
        <v>18</v>
      </c>
      <c r="R9" s="52" t="s">
        <v>19</v>
      </c>
      <c r="S9" s="52" t="s">
        <v>20</v>
      </c>
      <c r="T9" s="52" t="s">
        <v>21</v>
      </c>
      <c r="U9" s="52" t="s">
        <v>22</v>
      </c>
      <c r="V9" s="52" t="s">
        <v>23</v>
      </c>
      <c r="W9" s="52" t="s">
        <v>24</v>
      </c>
      <c r="X9" s="52" t="s">
        <v>25</v>
      </c>
      <c r="AA9" s="52" t="s">
        <v>9</v>
      </c>
      <c r="AB9" s="52" t="s">
        <v>14</v>
      </c>
      <c r="AC9" s="52" t="s">
        <v>15</v>
      </c>
      <c r="AD9" s="52" t="s">
        <v>16</v>
      </c>
      <c r="AE9" s="52" t="s">
        <v>17</v>
      </c>
      <c r="AF9" s="52" t="s">
        <v>18</v>
      </c>
      <c r="AG9" s="52" t="s">
        <v>19</v>
      </c>
      <c r="AH9" s="52" t="s">
        <v>20</v>
      </c>
      <c r="AI9" s="52" t="s">
        <v>21</v>
      </c>
      <c r="AJ9" s="52" t="s">
        <v>22</v>
      </c>
      <c r="AK9" s="52" t="s">
        <v>23</v>
      </c>
      <c r="AL9" s="52" t="s">
        <v>24</v>
      </c>
      <c r="AM9" s="52" t="s">
        <v>25</v>
      </c>
      <c r="AP9" s="52" t="s">
        <v>9</v>
      </c>
      <c r="AQ9" s="10" t="s">
        <v>12</v>
      </c>
    </row>
    <row r="10" spans="1:44" x14ac:dyDescent="0.25">
      <c r="A10">
        <v>8</v>
      </c>
      <c r="B10" s="33">
        <f>MMULT($AB20:$AM20, 'Heating Loadshapes'!$B$3:$B$14)</f>
        <v>6.1105625635420484</v>
      </c>
      <c r="C10" s="1">
        <f>MMULT($AB20:$AM20,'Heating Loadshapes'!$C$3:$C$14)</f>
        <v>5.4800540579473056</v>
      </c>
      <c r="F10" s="19"/>
      <c r="J10" s="52" t="s">
        <v>9</v>
      </c>
      <c r="K10" s="105" t="s">
        <v>26</v>
      </c>
      <c r="L10" s="105"/>
      <c r="M10" s="51">
        <f>'Monthly Price Ratios'!$C3</f>
        <v>0.84074233923176533</v>
      </c>
      <c r="N10" s="51">
        <f>'Monthly Price Ratios'!$C4</f>
        <v>0.82865774708675011</v>
      </c>
      <c r="O10" s="51">
        <f>'Monthly Price Ratios'!$C5</f>
        <v>1.0444540353905913</v>
      </c>
      <c r="P10" s="51">
        <f>'Monthly Price Ratios'!$C6</f>
        <v>1.097971514889944</v>
      </c>
      <c r="Q10" s="51">
        <f>'Monthly Price Ratios'!$C7</f>
        <v>1.110056107034959</v>
      </c>
      <c r="R10" s="51">
        <f>'Monthly Price Ratios'!$C8</f>
        <v>1.173931808372896</v>
      </c>
      <c r="S10" s="51">
        <f>'Monthly Price Ratios'!$C9</f>
        <v>1.1687526974536038</v>
      </c>
      <c r="T10" s="51">
        <f>'Monthly Price Ratios'!$C10</f>
        <v>1.1480362537764353</v>
      </c>
      <c r="U10" s="51">
        <f>'Monthly Price Ratios'!$C11</f>
        <v>1.110056107034959</v>
      </c>
      <c r="V10" s="51">
        <f>'Monthly Price Ratios'!$C12</f>
        <v>0.84074233923176533</v>
      </c>
      <c r="W10" s="51">
        <f>'Monthly Price Ratios'!$C13</f>
        <v>0.8666378938282262</v>
      </c>
      <c r="X10" s="51">
        <f>'Monthly Price Ratios'!$C14</f>
        <v>0.76996115666810538</v>
      </c>
      <c r="AA10" s="52" t="s">
        <v>8</v>
      </c>
      <c r="AB10" s="52" t="s">
        <v>8</v>
      </c>
      <c r="AC10" s="52" t="s">
        <v>8</v>
      </c>
      <c r="AD10" s="52" t="s">
        <v>8</v>
      </c>
      <c r="AE10" s="52" t="s">
        <v>8</v>
      </c>
      <c r="AF10" s="52" t="s">
        <v>8</v>
      </c>
      <c r="AG10" s="52" t="s">
        <v>8</v>
      </c>
      <c r="AH10" s="52" t="s">
        <v>8</v>
      </c>
      <c r="AI10" s="52" t="s">
        <v>8</v>
      </c>
      <c r="AJ10" s="52" t="s">
        <v>8</v>
      </c>
      <c r="AK10" s="52" t="s">
        <v>8</v>
      </c>
      <c r="AL10" s="52" t="s">
        <v>8</v>
      </c>
      <c r="AM10" s="52" t="s">
        <v>8</v>
      </c>
      <c r="AP10" s="52" t="s">
        <v>8</v>
      </c>
      <c r="AQ10" s="52" t="s">
        <v>8</v>
      </c>
    </row>
    <row r="11" spans="1:44" x14ac:dyDescent="0.25">
      <c r="A11">
        <v>9</v>
      </c>
      <c r="B11" s="33">
        <f>MMULT($AB21:$AM21, 'Heating Loadshapes'!$B$3:$B$14)</f>
        <v>6.4672248975615654</v>
      </c>
      <c r="C11" s="1">
        <f>MMULT($AB21:$AM21,'Heating Loadshapes'!$C$3:$C$14)</f>
        <v>5.7999147664395272</v>
      </c>
      <c r="F11" s="19"/>
      <c r="J11" s="52">
        <v>2012</v>
      </c>
      <c r="K11" s="18">
        <f>G6</f>
        <v>1.0527952328459285</v>
      </c>
      <c r="L11" s="12" t="s">
        <v>8</v>
      </c>
      <c r="M11" s="18">
        <f>$K11*M$10</f>
        <v>0.88512952679493695</v>
      </c>
      <c r="N11" s="18">
        <f t="shared" ref="M11:X32" si="0">$K11*N$10</f>
        <v>0.87240692579377754</v>
      </c>
      <c r="O11" s="18">
        <f t="shared" si="0"/>
        <v>1.0995962293859072</v>
      </c>
      <c r="P11" s="18">
        <f t="shared" si="0"/>
        <v>1.1559391766767555</v>
      </c>
      <c r="Q11" s="18">
        <f t="shared" si="0"/>
        <v>1.1686617776779147</v>
      </c>
      <c r="R11" s="18">
        <f t="shared" si="0"/>
        <v>1.2359098115411848</v>
      </c>
      <c r="S11" s="18">
        <f t="shared" si="0"/>
        <v>1.2304572682549737</v>
      </c>
      <c r="T11" s="18">
        <f t="shared" si="0"/>
        <v>1.2086470951101296</v>
      </c>
      <c r="U11" s="18">
        <f t="shared" si="0"/>
        <v>1.1686617776779147</v>
      </c>
      <c r="V11" s="18">
        <f t="shared" si="0"/>
        <v>0.88512952679493695</v>
      </c>
      <c r="W11" s="18">
        <f t="shared" si="0"/>
        <v>0.91239224322599244</v>
      </c>
      <c r="X11" s="18">
        <f t="shared" si="0"/>
        <v>0.81061143521671841</v>
      </c>
      <c r="AA11" s="52">
        <v>2012</v>
      </c>
      <c r="AB11" s="1">
        <f>NPV($G$5, M$11:M11)</f>
        <v>0.79569356957473647</v>
      </c>
      <c r="AC11" s="1">
        <f>NPV($G$5, N$11:N11)</f>
        <v>0.78425649567941158</v>
      </c>
      <c r="AD11" s="1">
        <f>NPV($G$5, O$11:O11)</f>
        <v>0.9884899580959251</v>
      </c>
      <c r="AE11" s="1">
        <f>NPV($G$5, P$11:P11)</f>
        <v>1.0391398567752206</v>
      </c>
      <c r="AF11" s="1">
        <f>NPV($G$5, Q$11:Q11)</f>
        <v>1.0505769306705453</v>
      </c>
      <c r="AG11" s="1">
        <f>NPV($G$5, R$11:R11)</f>
        <v>1.1110300355458331</v>
      </c>
      <c r="AH11" s="1">
        <f>NPV($G$5, S$11:S11)</f>
        <v>1.1061284324478369</v>
      </c>
      <c r="AI11" s="1">
        <f>NPV($G$5, T$11:T11)</f>
        <v>1.0865220200558519</v>
      </c>
      <c r="AJ11" s="1">
        <f>NPV($G$5, U$11:U11)</f>
        <v>1.0505769306705453</v>
      </c>
      <c r="AK11" s="1">
        <f>NPV($G$5, V$11:V11)</f>
        <v>0.79569356957473647</v>
      </c>
      <c r="AL11" s="1">
        <f>NPV($G$5, W$11:W11)</f>
        <v>0.82020158506471808</v>
      </c>
      <c r="AM11" s="1">
        <f>NPV($G$5, X$11:X11)</f>
        <v>0.72870499390212007</v>
      </c>
      <c r="AP11" s="52">
        <v>2012</v>
      </c>
      <c r="AQ11" s="28" t="e">
        <f xml:space="preserve"> NPV($G$5,#REF!)</f>
        <v>#REF!</v>
      </c>
    </row>
    <row r="12" spans="1:44" x14ac:dyDescent="0.25">
      <c r="A12">
        <v>10</v>
      </c>
      <c r="B12" s="33">
        <f>MMULT($AB22:$AM22, 'Heating Loadshapes'!$B$3:$B$14)</f>
        <v>6.7944502259620059</v>
      </c>
      <c r="C12" s="1">
        <f>MMULT($AB22:$AM22,'Heating Loadshapes'!$C$3:$C$14)</f>
        <v>6.0933758790812611</v>
      </c>
      <c r="F12" s="19"/>
      <c r="J12" s="52">
        <v>2013</v>
      </c>
      <c r="K12" s="18">
        <f>K11*(1+L12)</f>
        <v>1.0572445051413664</v>
      </c>
      <c r="L12" s="12">
        <f>'Escalation Rates'!C6</f>
        <v>4.2261516357843662E-3</v>
      </c>
      <c r="M12" s="18">
        <f t="shared" si="0"/>
        <v>0.88887021839248248</v>
      </c>
      <c r="N12" s="18">
        <f t="shared" si="0"/>
        <v>0.87609384975029059</v>
      </c>
      <c r="O12" s="18">
        <f t="shared" si="0"/>
        <v>1.104243289789429</v>
      </c>
      <c r="P12" s="18">
        <f t="shared" si="0"/>
        <v>1.1608243509191352</v>
      </c>
      <c r="Q12" s="18">
        <f t="shared" si="0"/>
        <v>1.1736007195613269</v>
      </c>
      <c r="R12" s="18">
        <f t="shared" si="0"/>
        <v>1.2411329538129117</v>
      </c>
      <c r="S12" s="18">
        <f t="shared" si="0"/>
        <v>1.2356573672519724</v>
      </c>
      <c r="T12" s="18">
        <f t="shared" si="0"/>
        <v>1.2137550210082153</v>
      </c>
      <c r="U12" s="18">
        <f t="shared" si="0"/>
        <v>1.1736007195613269</v>
      </c>
      <c r="V12" s="18">
        <f t="shared" si="0"/>
        <v>0.88887021839248248</v>
      </c>
      <c r="W12" s="18">
        <f t="shared" si="0"/>
        <v>0.91624815119717906</v>
      </c>
      <c r="X12" s="18">
        <f t="shared" si="0"/>
        <v>0.81403720205964514</v>
      </c>
      <c r="AA12" s="52">
        <v>2013</v>
      </c>
      <c r="AB12" s="1">
        <f>NPV($G$5, M$11:M12)</f>
        <v>1.5140109835044182</v>
      </c>
      <c r="AC12" s="1">
        <f>NPV($G$5, N$11:N12)</f>
        <v>1.4922490186491182</v>
      </c>
      <c r="AD12" s="1">
        <f>NPV($G$5, O$11:O12)</f>
        <v>1.8808555339223265</v>
      </c>
      <c r="AE12" s="1">
        <f>NPV($G$5, P$11:P12)</f>
        <v>1.9772299497100823</v>
      </c>
      <c r="AF12" s="1">
        <f>NPV($G$5, Q$11:Q12)</f>
        <v>1.9989919145653814</v>
      </c>
      <c r="AG12" s="1">
        <f>NPV($G$5, R$11:R12)</f>
        <v>2.1140194430862511</v>
      </c>
      <c r="AH12" s="1">
        <f>NPV($G$5, S$11:S12)</f>
        <v>2.1046928867196937</v>
      </c>
      <c r="AI12" s="1">
        <f>NPV($G$5, T$11:T12)</f>
        <v>2.0673866612534662</v>
      </c>
      <c r="AJ12" s="1">
        <f>NPV($G$5, U$11:U12)</f>
        <v>1.9989919145653814</v>
      </c>
      <c r="AK12" s="1">
        <f>NPV($G$5, V$11:V12)</f>
        <v>1.5140109835044182</v>
      </c>
      <c r="AL12" s="1">
        <f>NPV($G$5, W$11:W12)</f>
        <v>1.5606437653372029</v>
      </c>
      <c r="AM12" s="1">
        <f>NPV($G$5, X$11:X12)</f>
        <v>1.3865480464948059</v>
      </c>
      <c r="AP12" s="52">
        <v>2013</v>
      </c>
      <c r="AQ12" s="28" t="e">
        <f xml:space="preserve"> NPV($G$5,#REF!)</f>
        <v>#REF!</v>
      </c>
    </row>
    <row r="13" spans="1:44" x14ac:dyDescent="0.25">
      <c r="A13">
        <v>11</v>
      </c>
      <c r="B13" s="33">
        <f>MMULT($AB23:$AM23, 'Heating Loadshapes'!$B$3:$B$14)</f>
        <v>7.0932814496984911</v>
      </c>
      <c r="C13" s="1">
        <f>MMULT($AB23:$AM23,'Heating Loadshapes'!$C$3:$C$14)</f>
        <v>6.3613726867809479</v>
      </c>
      <c r="F13" s="19"/>
      <c r="J13" s="52">
        <v>2014</v>
      </c>
      <c r="K13" s="18">
        <f t="shared" ref="K13:K34" si="1">K12*(1+L13)</f>
        <v>1.0256731703484121</v>
      </c>
      <c r="L13" s="12">
        <f>'Escalation Rates'!C7</f>
        <v>-2.9861904828469919E-2</v>
      </c>
      <c r="M13" s="18">
        <f t="shared" si="0"/>
        <v>0.86232686052598495</v>
      </c>
      <c r="N13" s="18">
        <f t="shared" si="0"/>
        <v>0.84993201858823964</v>
      </c>
      <c r="O13" s="18">
        <f t="shared" si="0"/>
        <v>1.0712684817622604</v>
      </c>
      <c r="P13" s="18">
        <f t="shared" si="0"/>
        <v>1.1261599246294176</v>
      </c>
      <c r="Q13" s="18">
        <f t="shared" si="0"/>
        <v>1.1385547665671627</v>
      </c>
      <c r="R13" s="18">
        <f t="shared" si="0"/>
        <v>1.2040703596666729</v>
      </c>
      <c r="S13" s="18">
        <f t="shared" si="0"/>
        <v>1.1987582845504963</v>
      </c>
      <c r="T13" s="18">
        <f t="shared" si="0"/>
        <v>1.1775099840857906</v>
      </c>
      <c r="U13" s="18">
        <f t="shared" si="0"/>
        <v>1.1385547665671627</v>
      </c>
      <c r="V13" s="18">
        <f t="shared" si="0"/>
        <v>0.86232686052598495</v>
      </c>
      <c r="W13" s="18">
        <f t="shared" si="0"/>
        <v>0.88888723610686737</v>
      </c>
      <c r="X13" s="18">
        <f t="shared" si="0"/>
        <v>0.78972850060490607</v>
      </c>
      <c r="AA13" s="52">
        <v>2014</v>
      </c>
      <c r="AB13" s="1">
        <f>NPV($G$5, M$11:M13)</f>
        <v>2.1404646761314234</v>
      </c>
      <c r="AC13" s="1">
        <f>NPV($G$5, N$11:N13)</f>
        <v>2.1096982434149552</v>
      </c>
      <c r="AD13" s="1">
        <f>NPV($G$5, O$11:O13)</f>
        <v>2.6590988276376004</v>
      </c>
      <c r="AE13" s="1">
        <f>NPV($G$5, P$11:P13)</f>
        <v>2.7953501725248162</v>
      </c>
      <c r="AF13" s="1">
        <f>NPV($G$5, Q$11:Q13)</f>
        <v>2.8261166052412836</v>
      </c>
      <c r="AG13" s="1">
        <f>NPV($G$5, R$11:R13)</f>
        <v>2.9887391781711869</v>
      </c>
      <c r="AH13" s="1">
        <f>NPV($G$5, S$11:S13)</f>
        <v>2.975553564149843</v>
      </c>
      <c r="AI13" s="1">
        <f>NPV($G$5, T$11:T13)</f>
        <v>2.9228111080644696</v>
      </c>
      <c r="AJ13" s="1">
        <f>NPV($G$5, U$11:U13)</f>
        <v>2.8261166052412836</v>
      </c>
      <c r="AK13" s="1">
        <f>NPV($G$5, V$11:V13)</f>
        <v>2.1404646761314234</v>
      </c>
      <c r="AL13" s="1">
        <f>NPV($G$5, W$11:W13)</f>
        <v>2.2063927462381407</v>
      </c>
      <c r="AM13" s="1">
        <f>NPV($G$5, X$11:X13)</f>
        <v>1.960261284506396</v>
      </c>
      <c r="AP13" s="52">
        <v>2014</v>
      </c>
      <c r="AQ13" s="28" t="e">
        <f xml:space="preserve"> NPV($G$5,#REF!)</f>
        <v>#REF!</v>
      </c>
    </row>
    <row r="14" spans="1:44" x14ac:dyDescent="0.25">
      <c r="A14">
        <v>12</v>
      </c>
      <c r="B14" s="33">
        <f>MMULT($AB24:$AM24, 'Heating Loadshapes'!$B$3:$B$14)</f>
        <v>7.3657817576092208</v>
      </c>
      <c r="C14" s="1">
        <f>MMULT($AB24:$AM24,'Heating Loadshapes'!$C$3:$C$14)</f>
        <v>6.6057554915766623</v>
      </c>
      <c r="F14" s="19"/>
      <c r="J14" s="52">
        <v>2015</v>
      </c>
      <c r="K14" s="18">
        <f t="shared" si="1"/>
        <v>1.0410241062800294</v>
      </c>
      <c r="L14" s="12">
        <f>'Escalation Rates'!C8</f>
        <v>1.4966693460844569E-2</v>
      </c>
      <c r="M14" s="18">
        <f t="shared" si="0"/>
        <v>0.87523304231052979</v>
      </c>
      <c r="N14" s="18">
        <f t="shared" si="0"/>
        <v>0.86265269057300664</v>
      </c>
      <c r="O14" s="18">
        <f t="shared" si="0"/>
        <v>1.0873018287430605</v>
      </c>
      <c r="P14" s="18">
        <f t="shared" si="0"/>
        <v>1.1430148150092341</v>
      </c>
      <c r="Q14" s="18">
        <f t="shared" si="0"/>
        <v>1.155595166746757</v>
      </c>
      <c r="R14" s="18">
        <f t="shared" si="0"/>
        <v>1.2220913116450929</v>
      </c>
      <c r="S14" s="18">
        <f t="shared" si="0"/>
        <v>1.2166997323290114</v>
      </c>
      <c r="T14" s="18">
        <f t="shared" si="0"/>
        <v>1.1951334150646866</v>
      </c>
      <c r="U14" s="18">
        <f t="shared" si="0"/>
        <v>1.155595166746757</v>
      </c>
      <c r="V14" s="18">
        <f t="shared" si="0"/>
        <v>0.87523304231052979</v>
      </c>
      <c r="W14" s="18">
        <f t="shared" si="0"/>
        <v>0.90219093889093616</v>
      </c>
      <c r="X14" s="18">
        <f t="shared" si="0"/>
        <v>0.80154812499075212</v>
      </c>
      <c r="AA14" s="52">
        <v>2015</v>
      </c>
      <c r="AB14" s="1">
        <f>NPV($G$5, M$11:M14)</f>
        <v>2.7120483088282663</v>
      </c>
      <c r="AC14" s="1">
        <f>NPV($G$5, N$11:N14)</f>
        <v>2.6730660949436706</v>
      </c>
      <c r="AD14" s="1">
        <f>NPV($G$5, O$11:O14)</f>
        <v>3.3691770571685855</v>
      </c>
      <c r="AE14" s="1">
        <f>NPV($G$5, P$11:P14)</f>
        <v>3.5418125758003649</v>
      </c>
      <c r="AF14" s="1">
        <f>NPV($G$5, Q$11:Q14)</f>
        <v>3.5807947896849592</v>
      </c>
      <c r="AG14" s="1">
        <f>NPV($G$5, R$11:R14)</f>
        <v>3.7868436345035343</v>
      </c>
      <c r="AH14" s="1">
        <f>NPV($G$5, S$11:S14)</f>
        <v>3.7701369714101354</v>
      </c>
      <c r="AI14" s="1">
        <f>NPV($G$5, T$11:T14)</f>
        <v>3.7033103190365453</v>
      </c>
      <c r="AJ14" s="1">
        <f>NPV($G$5, U$11:U14)</f>
        <v>3.5807947896849592</v>
      </c>
      <c r="AK14" s="1">
        <f>NPV($G$5, V$11:V14)</f>
        <v>2.7120483088282663</v>
      </c>
      <c r="AL14" s="1">
        <f>NPV($G$5, W$11:W14)</f>
        <v>2.7955816242952558</v>
      </c>
      <c r="AM14" s="1">
        <f>NPV($G$5, X$11:X14)</f>
        <v>2.4837239132184945</v>
      </c>
      <c r="AP14" s="52">
        <v>2015</v>
      </c>
      <c r="AQ14" s="28" t="e">
        <f xml:space="preserve"> NPV($G$5,#REF!)</f>
        <v>#REF!</v>
      </c>
    </row>
    <row r="15" spans="1:44" x14ac:dyDescent="0.25">
      <c r="A15">
        <v>13</v>
      </c>
      <c r="B15" s="33">
        <f>MMULT($AB25:$AM25, 'Heating Loadshapes'!$B$3:$B$14)</f>
        <v>7.6136571129658073</v>
      </c>
      <c r="C15" s="1">
        <f>MMULT($AB25:$AM25,'Heating Loadshapes'!$C$3:$C$14)</f>
        <v>6.8280542296816522</v>
      </c>
      <c r="F15" s="19"/>
      <c r="J15" s="52">
        <v>2016</v>
      </c>
      <c r="K15" s="18">
        <f t="shared" si="1"/>
        <v>1.0285606972553827</v>
      </c>
      <c r="L15" s="12">
        <f>'Escalation Rates'!C9</f>
        <v>-1.1972257846346243E-2</v>
      </c>
      <c r="M15" s="18">
        <f t="shared" si="0"/>
        <v>0.86475452665234598</v>
      </c>
      <c r="N15" s="18">
        <f t="shared" si="0"/>
        <v>0.85232479012962226</v>
      </c>
      <c r="O15" s="18">
        <f t="shared" si="0"/>
        <v>1.0742843708925447</v>
      </c>
      <c r="P15" s="18">
        <f t="shared" si="0"/>
        <v>1.1293303469217497</v>
      </c>
      <c r="Q15" s="18">
        <f t="shared" si="0"/>
        <v>1.1417600834444732</v>
      </c>
      <c r="R15" s="18">
        <f t="shared" si="0"/>
        <v>1.2074601193502983</v>
      </c>
      <c r="S15" s="18">
        <f t="shared" si="0"/>
        <v>1.2021330894119879</v>
      </c>
      <c r="T15" s="18">
        <f t="shared" si="0"/>
        <v>1.1808249696587476</v>
      </c>
      <c r="U15" s="18">
        <f t="shared" si="0"/>
        <v>1.1417600834444732</v>
      </c>
      <c r="V15" s="18">
        <f t="shared" si="0"/>
        <v>0.86475452665234598</v>
      </c>
      <c r="W15" s="18">
        <f t="shared" si="0"/>
        <v>0.89138967634389665</v>
      </c>
      <c r="X15" s="18">
        <f t="shared" si="0"/>
        <v>0.79195178416210743</v>
      </c>
      <c r="AA15" s="52">
        <v>2016</v>
      </c>
      <c r="AB15" s="1">
        <f>NPV($G$5, M$11:M15)</f>
        <v>3.2197258403506006</v>
      </c>
      <c r="AC15" s="1">
        <f>NPV($G$5, N$11:N15)</f>
        <v>3.1734464134872447</v>
      </c>
      <c r="AD15" s="1">
        <f>NPV($G$5, O$11:O15)</f>
        <v>3.9998647503328817</v>
      </c>
      <c r="AE15" s="1">
        <f>NPV($G$5, P$11:P15)</f>
        <v>4.2048164978706009</v>
      </c>
      <c r="AF15" s="1">
        <f>NPV($G$5, Q$11:Q15)</f>
        <v>4.2510959247339555</v>
      </c>
      <c r="AG15" s="1">
        <f>NPV($G$5, R$11:R15)</f>
        <v>4.4957157524402644</v>
      </c>
      <c r="AH15" s="1">
        <f>NPV($G$5, S$11:S15)</f>
        <v>4.4758817123559682</v>
      </c>
      <c r="AI15" s="1">
        <f>NPV($G$5, T$11:T15)</f>
        <v>4.3965455520187877</v>
      </c>
      <c r="AJ15" s="1">
        <f>NPV($G$5, U$11:U15)</f>
        <v>4.2510959247339555</v>
      </c>
      <c r="AK15" s="1">
        <f>NPV($G$5, V$11:V15)</f>
        <v>3.2197258403506006</v>
      </c>
      <c r="AL15" s="1">
        <f>NPV($G$5, W$11:W15)</f>
        <v>3.3188960407720773</v>
      </c>
      <c r="AM15" s="1">
        <f>NPV($G$5, X$11:X15)</f>
        <v>2.9486606258652324</v>
      </c>
      <c r="AP15" s="52">
        <v>2016</v>
      </c>
      <c r="AQ15" s="28" t="e">
        <f xml:space="preserve"> NPV($G$5,#REF!)</f>
        <v>#REF!</v>
      </c>
    </row>
    <row r="16" spans="1:44" x14ac:dyDescent="0.25">
      <c r="A16">
        <v>14</v>
      </c>
      <c r="B16" s="33">
        <f>MMULT($AB26:$AM26, 'Heating Loadshapes'!$B$3:$B$14)</f>
        <v>7.8400054592356749</v>
      </c>
      <c r="C16" s="1">
        <f>MMULT($AB26:$AM26,'Heating Loadshapes'!$C$3:$C$14)</f>
        <v>7.0310471882819883</v>
      </c>
      <c r="F16" s="19"/>
      <c r="J16" s="52">
        <v>2017</v>
      </c>
      <c r="K16" s="18">
        <f t="shared" si="1"/>
        <v>1.0288084510161049</v>
      </c>
      <c r="L16" s="12">
        <f>'Escalation Rates'!C10</f>
        <v>2.4087422490804591E-4</v>
      </c>
      <c r="M16" s="18">
        <f t="shared" si="0"/>
        <v>0.86496282372868905</v>
      </c>
      <c r="N16" s="18">
        <f t="shared" si="0"/>
        <v>0.85253009320281459</v>
      </c>
      <c r="O16" s="18">
        <f t="shared" si="0"/>
        <v>1.0745431383077142</v>
      </c>
      <c r="P16" s="18">
        <f t="shared" si="0"/>
        <v>1.1296023734937295</v>
      </c>
      <c r="Q16" s="18">
        <f t="shared" si="0"/>
        <v>1.1420351040196037</v>
      </c>
      <c r="R16" s="18">
        <f t="shared" si="0"/>
        <v>1.207750965370654</v>
      </c>
      <c r="S16" s="18">
        <f t="shared" si="0"/>
        <v>1.2024226522881363</v>
      </c>
      <c r="T16" s="18">
        <f t="shared" si="0"/>
        <v>1.1811093999580662</v>
      </c>
      <c r="U16" s="18">
        <f t="shared" si="0"/>
        <v>1.1420351040196037</v>
      </c>
      <c r="V16" s="18">
        <f t="shared" si="0"/>
        <v>0.86496282372868905</v>
      </c>
      <c r="W16" s="18">
        <f t="shared" si="0"/>
        <v>0.89160438914127693</v>
      </c>
      <c r="X16" s="18">
        <f t="shared" si="0"/>
        <v>0.79214254493428193</v>
      </c>
      <c r="AA16" s="52">
        <v>2017</v>
      </c>
      <c r="AB16" s="1">
        <f>NPV($G$5, M$11:M16)</f>
        <v>3.6762161477528332</v>
      </c>
      <c r="AC16" s="1">
        <f>NPV($G$5, N$11:N16)</f>
        <v>3.6233752585654204</v>
      </c>
      <c r="AD16" s="1">
        <f>NPV($G$5, O$11:O16)</f>
        <v>4.5669625654834984</v>
      </c>
      <c r="AE16" s="1">
        <f>NPV($G$5, P$11:P16)</f>
        <v>4.8009722175991829</v>
      </c>
      <c r="AF16" s="1">
        <f>NPV($G$5, Q$11:Q16)</f>
        <v>4.8538131067865944</v>
      </c>
      <c r="AG16" s="1">
        <f>NPV($G$5, R$11:R16)</f>
        <v>5.1331149496343471</v>
      </c>
      <c r="AH16" s="1">
        <f>NPV($G$5, S$11:S16)</f>
        <v>5.1104688542683103</v>
      </c>
      <c r="AI16" s="1">
        <f>NPV($G$5, T$11:T16)</f>
        <v>5.0198844728041774</v>
      </c>
      <c r="AJ16" s="1">
        <f>NPV($G$5, U$11:U16)</f>
        <v>4.8538131067865944</v>
      </c>
      <c r="AK16" s="1">
        <f>NPV($G$5, V$11:V16)</f>
        <v>3.6762161477528332</v>
      </c>
      <c r="AL16" s="1">
        <f>NPV($G$5, W$11:W16)</f>
        <v>3.7894466245830025</v>
      </c>
      <c r="AM16" s="1">
        <f>NPV($G$5, X$11:X16)</f>
        <v>3.3667195110837036</v>
      </c>
      <c r="AP16" s="52">
        <v>2017</v>
      </c>
      <c r="AQ16" s="28" t="e">
        <f xml:space="preserve"> NPV($G$5,#REF!)</f>
        <v>#REF!</v>
      </c>
    </row>
    <row r="17" spans="1:43" x14ac:dyDescent="0.25">
      <c r="A17">
        <v>15</v>
      </c>
      <c r="B17" s="33">
        <f>MMULT($AB27:$AM27, 'Heating Loadshapes'!$B$3:$B$14)</f>
        <v>8.0450756936436001</v>
      </c>
      <c r="C17" s="1">
        <f>MMULT($AB27:$AM27,'Heating Loadshapes'!$C$3:$C$14)</f>
        <v>7.2149575825452503</v>
      </c>
      <c r="F17" s="19"/>
      <c r="J17" s="52">
        <v>2018</v>
      </c>
      <c r="K17" s="18">
        <f t="shared" si="1"/>
        <v>1.0401285727468017</v>
      </c>
      <c r="L17" s="12">
        <f>'Escalation Rates'!C11</f>
        <v>1.1003138358278935E-2</v>
      </c>
      <c r="M17" s="18">
        <f t="shared" si="0"/>
        <v>0.8744801293529435</v>
      </c>
      <c r="N17" s="18">
        <f t="shared" si="0"/>
        <v>0.86191059977292162</v>
      </c>
      <c r="O17" s="18">
        <f t="shared" si="0"/>
        <v>1.0863664851304533</v>
      </c>
      <c r="P17" s="18">
        <f t="shared" si="0"/>
        <v>1.1420315446991212</v>
      </c>
      <c r="Q17" s="18">
        <f t="shared" si="0"/>
        <v>1.1546010742791428</v>
      </c>
      <c r="R17" s="18">
        <f t="shared" si="0"/>
        <v>1.2210400163449722</v>
      </c>
      <c r="S17" s="18">
        <f t="shared" si="0"/>
        <v>1.2156530750963914</v>
      </c>
      <c r="T17" s="18">
        <f t="shared" si="0"/>
        <v>1.1941053101020687</v>
      </c>
      <c r="U17" s="18">
        <f t="shared" si="0"/>
        <v>1.1546010742791428</v>
      </c>
      <c r="V17" s="18">
        <f t="shared" si="0"/>
        <v>0.8744801293529435</v>
      </c>
      <c r="W17" s="18">
        <f t="shared" si="0"/>
        <v>0.90141483559584723</v>
      </c>
      <c r="X17" s="18">
        <f t="shared" si="0"/>
        <v>0.80085859895567302</v>
      </c>
      <c r="AA17" s="52">
        <v>2018</v>
      </c>
      <c r="AB17" s="1">
        <f>NPV($G$5, M$11:M17)</f>
        <v>4.0910967063772414</v>
      </c>
      <c r="AC17" s="1">
        <f>NPV($G$5, N$11:N17)</f>
        <v>4.0322924416038521</v>
      </c>
      <c r="AD17" s="1">
        <f>NPV($G$5, O$11:O17)</f>
        <v>5.0823685982715219</v>
      </c>
      <c r="AE17" s="1">
        <f>NPV($G$5, P$11:P17)</f>
        <v>5.3427874851251049</v>
      </c>
      <c r="AF17" s="1">
        <f>NPV($G$5, Q$11:Q17)</f>
        <v>5.4015917498984924</v>
      </c>
      <c r="AG17" s="1">
        <f>NPV($G$5, R$11:R17)</f>
        <v>5.7124142922721255</v>
      </c>
      <c r="AH17" s="1">
        <f>NPV($G$5, S$11:S17)</f>
        <v>5.6872124645120987</v>
      </c>
      <c r="AI17" s="1">
        <f>NPV($G$5, T$11:T17)</f>
        <v>5.5864051534720041</v>
      </c>
      <c r="AJ17" s="1">
        <f>NPV($G$5, U$11:U17)</f>
        <v>5.4015917498984924</v>
      </c>
      <c r="AK17" s="1">
        <f>NPV($G$5, V$11:V17)</f>
        <v>4.0910967063772414</v>
      </c>
      <c r="AL17" s="1">
        <f>NPV($G$5, W$11:W17)</f>
        <v>4.2171058451773629</v>
      </c>
      <c r="AM17" s="1">
        <f>NPV($G$5, X$11:X17)</f>
        <v>3.7466717269902468</v>
      </c>
      <c r="AP17" s="52">
        <v>2018</v>
      </c>
      <c r="AQ17" s="28" t="e">
        <f xml:space="preserve"> NPV($G$5,#REF!)</f>
        <v>#REF!</v>
      </c>
    </row>
    <row r="18" spans="1:43" x14ac:dyDescent="0.25">
      <c r="A18">
        <v>16</v>
      </c>
      <c r="B18" s="33">
        <f>MMULT($AB28:$AM28, 'Heating Loadshapes'!$B$3:$B$14)</f>
        <v>8.2311406609285775</v>
      </c>
      <c r="C18" s="1">
        <f>MMULT($AB28:$AM28,'Heating Loadshapes'!$C$3:$C$14)</f>
        <v>7.3818237374056004</v>
      </c>
      <c r="F18" s="19"/>
      <c r="J18" s="52">
        <v>2019</v>
      </c>
      <c r="K18" s="18">
        <f t="shared" si="1"/>
        <v>1.0535557638272341</v>
      </c>
      <c r="L18" s="12">
        <f>'Escalation Rates'!C12</f>
        <v>1.290916472467772E-2</v>
      </c>
      <c r="M18" s="18">
        <f t="shared" si="0"/>
        <v>0.88576893739121809</v>
      </c>
      <c r="N18" s="18">
        <f t="shared" si="0"/>
        <v>0.87303714568333601</v>
      </c>
      <c r="O18" s="18">
        <f t="shared" si="0"/>
        <v>1.1003905690383715</v>
      </c>
      <c r="P18" s="18">
        <f t="shared" si="0"/>
        <v>1.1567742180304204</v>
      </c>
      <c r="Q18" s="18">
        <f t="shared" si="0"/>
        <v>1.1695060097383023</v>
      </c>
      <c r="R18" s="18">
        <f t="shared" si="0"/>
        <v>1.2368026230513927</v>
      </c>
      <c r="S18" s="18">
        <f t="shared" si="0"/>
        <v>1.2313461408908719</v>
      </c>
      <c r="T18" s="18">
        <f t="shared" si="0"/>
        <v>1.2095202122487887</v>
      </c>
      <c r="U18" s="18">
        <f t="shared" si="0"/>
        <v>1.1695060097383023</v>
      </c>
      <c r="V18" s="18">
        <f t="shared" si="0"/>
        <v>0.88576893739121809</v>
      </c>
      <c r="W18" s="18">
        <f t="shared" si="0"/>
        <v>0.91305134819382228</v>
      </c>
      <c r="X18" s="18">
        <f t="shared" si="0"/>
        <v>0.81119701453076642</v>
      </c>
      <c r="AA18" s="52">
        <v>2019</v>
      </c>
      <c r="AB18" s="1">
        <f>NPV($G$5, M$11:M18)</f>
        <v>4.4688711760794684</v>
      </c>
      <c r="AC18" s="1">
        <f>NPV($G$5, N$11:N18)</f>
        <v>4.4046368881276079</v>
      </c>
      <c r="AD18" s="1">
        <f>NPV($G$5, O$11:O18)</f>
        <v>5.5516777444108394</v>
      </c>
      <c r="AE18" s="1">
        <f>NPV($G$5, P$11:P18)</f>
        <v>5.8361438767690812</v>
      </c>
      <c r="AF18" s="1">
        <f>NPV($G$5, Q$11:Q18)</f>
        <v>5.9003781647209408</v>
      </c>
      <c r="AG18" s="1">
        <f>NPV($G$5, R$11:R18)</f>
        <v>6.2399022581807788</v>
      </c>
      <c r="AH18" s="1">
        <f>NPV($G$5, S$11:S18)</f>
        <v>6.2123732776299789</v>
      </c>
      <c r="AI18" s="1">
        <f>NPV($G$5, T$11:T18)</f>
        <v>6.1022573554267909</v>
      </c>
      <c r="AJ18" s="1">
        <f>NPV($G$5, U$11:U18)</f>
        <v>5.9003781647209408</v>
      </c>
      <c r="AK18" s="1">
        <f>NPV($G$5, V$11:V18)</f>
        <v>4.4688711760794684</v>
      </c>
      <c r="AL18" s="1">
        <f>NPV($G$5, W$11:W18)</f>
        <v>4.6065160788334572</v>
      </c>
      <c r="AM18" s="1">
        <f>NPV($G$5, X$11:X18)</f>
        <v>4.0926417752185698</v>
      </c>
      <c r="AP18" s="52">
        <v>2019</v>
      </c>
      <c r="AQ18" s="28" t="e">
        <f xml:space="preserve"> NPV($G$5,#REF!)</f>
        <v>#REF!</v>
      </c>
    </row>
    <row r="19" spans="1:43" x14ac:dyDescent="0.25">
      <c r="A19">
        <v>17</v>
      </c>
      <c r="B19" s="33">
        <f>MMULT($AB29:$AM29, 'Heating Loadshapes'!$B$3:$B$14)</f>
        <v>8.400816271607054</v>
      </c>
      <c r="C19" s="1">
        <f>MMULT($AB29:$AM29,'Heating Loadshapes'!$C$3:$C$14)</f>
        <v>7.5339916448878048</v>
      </c>
      <c r="F19" s="32"/>
      <c r="J19" s="52">
        <v>2020</v>
      </c>
      <c r="K19" s="18">
        <f t="shared" si="1"/>
        <v>1.0761747522743033</v>
      </c>
      <c r="L19" s="12">
        <f>'Escalation Rates'!C13</f>
        <v>2.1469189599325512E-2</v>
      </c>
      <c r="M19" s="18">
        <f t="shared" si="0"/>
        <v>0.90478567864926329</v>
      </c>
      <c r="N19" s="18">
        <f t="shared" si="0"/>
        <v>0.89178054569126552</v>
      </c>
      <c r="O19" s="18">
        <f t="shared" si="0"/>
        <v>1.124015062798366</v>
      </c>
      <c r="P19" s="18">
        <f t="shared" si="0"/>
        <v>1.181609223040927</v>
      </c>
      <c r="Q19" s="18">
        <f t="shared" si="0"/>
        <v>1.1946143559989246</v>
      </c>
      <c r="R19" s="18">
        <f t="shared" si="0"/>
        <v>1.2633557730626261</v>
      </c>
      <c r="S19" s="18">
        <f t="shared" si="0"/>
        <v>1.2577821446520558</v>
      </c>
      <c r="T19" s="18">
        <f t="shared" si="0"/>
        <v>1.2354876310097744</v>
      </c>
      <c r="U19" s="18">
        <f t="shared" si="0"/>
        <v>1.1946143559989246</v>
      </c>
      <c r="V19" s="18">
        <f t="shared" si="0"/>
        <v>0.90478567864926329</v>
      </c>
      <c r="W19" s="18">
        <f t="shared" si="0"/>
        <v>0.93265382070211522</v>
      </c>
      <c r="X19" s="18">
        <f t="shared" si="0"/>
        <v>0.82861275703813431</v>
      </c>
      <c r="AA19" s="52">
        <v>2020</v>
      </c>
      <c r="AB19" s="1">
        <f>NPV($G$5, M$11:M19)</f>
        <v>4.8157652622157947</v>
      </c>
      <c r="AC19" s="1">
        <f>NPV($G$5, N$11:N19)</f>
        <v>4.7465448169683402</v>
      </c>
      <c r="AD19" s="1">
        <f>NPV($G$5, O$11:O19)</f>
        <v>5.9826241963871789</v>
      </c>
      <c r="AE19" s="1">
        <f>NPV($G$5, P$11:P19)</f>
        <v>6.2891718824830516</v>
      </c>
      <c r="AF19" s="1">
        <f>NPV($G$5, Q$11:Q19)</f>
        <v>6.3583923277305043</v>
      </c>
      <c r="AG19" s="1">
        <f>NPV($G$5, R$11:R19)</f>
        <v>6.7242718240384818</v>
      </c>
      <c r="AH19" s="1">
        <f>NPV($G$5, S$11:S19)</f>
        <v>6.6946059189324281</v>
      </c>
      <c r="AI19" s="1">
        <f>NPV($G$5, T$11:T19)</f>
        <v>6.5759422985082212</v>
      </c>
      <c r="AJ19" s="1">
        <f>NPV($G$5, U$11:U19)</f>
        <v>6.3583923277305043</v>
      </c>
      <c r="AK19" s="1">
        <f>NPV($G$5, V$11:V19)</f>
        <v>4.8157652622157947</v>
      </c>
      <c r="AL19" s="1">
        <f>NPV($G$5, W$11:W19)</f>
        <v>4.9640947877460553</v>
      </c>
      <c r="AM19" s="1">
        <f>NPV($G$5, X$11:X19)</f>
        <v>4.4103312257664165</v>
      </c>
      <c r="AP19" s="52">
        <v>2020</v>
      </c>
      <c r="AQ19" s="28" t="e">
        <f xml:space="preserve"> NPV($G$5,#REF!)</f>
        <v>#REF!</v>
      </c>
    </row>
    <row r="20" spans="1:43" x14ac:dyDescent="0.25">
      <c r="A20">
        <v>18</v>
      </c>
      <c r="B20" s="33">
        <f>MMULT($AB30:$AM30, 'Heating Loadshapes'!$B$3:$B$14)</f>
        <v>8.5549866280003322</v>
      </c>
      <c r="C20" s="1">
        <f>MMULT($AB30:$AM30,'Heating Loadshapes'!$C$3:$C$14)</f>
        <v>7.6722541826464283</v>
      </c>
      <c r="F20" s="32"/>
      <c r="J20" s="52">
        <v>2021</v>
      </c>
      <c r="K20" s="18">
        <f t="shared" si="1"/>
        <v>1.1099962956540856</v>
      </c>
      <c r="L20" s="12">
        <f>'Escalation Rates'!C14</f>
        <v>3.1427557009962116E-2</v>
      </c>
      <c r="M20" s="18">
        <f t="shared" si="0"/>
        <v>0.9332208821468102</v>
      </c>
      <c r="N20" s="18">
        <f t="shared" si="0"/>
        <v>0.91980702963135275</v>
      </c>
      <c r="O20" s="18">
        <f t="shared" si="0"/>
        <v>1.1593401102645176</v>
      </c>
      <c r="P20" s="18">
        <f t="shared" si="0"/>
        <v>1.2187443142615426</v>
      </c>
      <c r="Q20" s="18">
        <f t="shared" si="0"/>
        <v>1.2321581667769996</v>
      </c>
      <c r="R20" s="18">
        <f t="shared" si="0"/>
        <v>1.3030599586444165</v>
      </c>
      <c r="S20" s="18">
        <f t="shared" si="0"/>
        <v>1.2973111647092206</v>
      </c>
      <c r="T20" s="18">
        <f t="shared" si="0"/>
        <v>1.274315988968437</v>
      </c>
      <c r="U20" s="18">
        <f t="shared" si="0"/>
        <v>1.2321581667769996</v>
      </c>
      <c r="V20" s="18">
        <f t="shared" si="0"/>
        <v>0.9332208821468102</v>
      </c>
      <c r="W20" s="18">
        <f t="shared" si="0"/>
        <v>0.9619648518227899</v>
      </c>
      <c r="X20" s="18">
        <f t="shared" si="0"/>
        <v>0.85465403169913201</v>
      </c>
      <c r="AA20" s="52">
        <v>2021</v>
      </c>
      <c r="AB20" s="1">
        <f>NPV($G$5, M$11:M20)</f>
        <v>5.1374086636943934</v>
      </c>
      <c r="AC20" s="1">
        <f>NPV($G$5, N$11:N20)</f>
        <v>5.0635650073373908</v>
      </c>
      <c r="AD20" s="1">
        <f>NPV($G$5, O$11:O20)</f>
        <v>6.3822017279981695</v>
      </c>
      <c r="AE20" s="1">
        <f>NPV($G$5, P$11:P20)</f>
        <v>6.7092236347220435</v>
      </c>
      <c r="AF20" s="1">
        <f>NPV($G$5, Q$11:Q20)</f>
        <v>6.7830672910790453</v>
      </c>
      <c r="AG20" s="1">
        <f>NPV($G$5, R$11:R20)</f>
        <v>7.1733837603946373</v>
      </c>
      <c r="AH20" s="1">
        <f>NPV($G$5, S$11:S20)</f>
        <v>7.1417364790987765</v>
      </c>
      <c r="AI20" s="1">
        <f>NPV($G$5, T$11:T20)</f>
        <v>7.0151473539153439</v>
      </c>
      <c r="AJ20" s="1">
        <f>NPV($G$5, U$11:U20)</f>
        <v>6.7830672910790453</v>
      </c>
      <c r="AK20" s="1">
        <f>NPV($G$5, V$11:V20)</f>
        <v>5.1374086636943934</v>
      </c>
      <c r="AL20" s="1">
        <f>NPV($G$5, W$11:W20)</f>
        <v>5.2956450701736877</v>
      </c>
      <c r="AM20" s="1">
        <f>NPV($G$5, X$11:X20)</f>
        <v>4.7048958193176595</v>
      </c>
      <c r="AP20" s="52">
        <v>2021</v>
      </c>
      <c r="AQ20" s="28" t="e">
        <f xml:space="preserve"> NPV($G$5,#REF!)</f>
        <v>#REF!</v>
      </c>
    </row>
    <row r="21" spans="1:43" x14ac:dyDescent="0.25">
      <c r="A21">
        <v>19</v>
      </c>
      <c r="B21" s="33">
        <f>MMULT($AB31:$AM31, 'Heating Loadshapes'!$B$3:$B$14)</f>
        <v>8.6959357290212225</v>
      </c>
      <c r="C21" s="1">
        <f>MMULT($AB31:$AM31,'Heating Loadshapes'!$C$3:$C$14)</f>
        <v>7.7986596788640821</v>
      </c>
      <c r="F21" s="32"/>
      <c r="J21" s="52">
        <v>2022</v>
      </c>
      <c r="K21" s="18">
        <f t="shared" si="1"/>
        <v>1.1511396933043294</v>
      </c>
      <c r="L21" s="12">
        <f>'Escalation Rates'!C15</f>
        <v>3.7066247708510927E-2</v>
      </c>
      <c r="M21" s="18">
        <f t="shared" si="0"/>
        <v>0.96781187853121886</v>
      </c>
      <c r="N21" s="18">
        <f t="shared" si="0"/>
        <v>0.95390082483569805</v>
      </c>
      <c r="O21" s="18">
        <f t="shared" si="0"/>
        <v>1.2023124979699946</v>
      </c>
      <c r="P21" s="18">
        <f t="shared" si="0"/>
        <v>1.2639185929073002</v>
      </c>
      <c r="Q21" s="18">
        <f t="shared" si="0"/>
        <v>1.2778296466028207</v>
      </c>
      <c r="R21" s="18">
        <f t="shared" si="0"/>
        <v>1.3513595018505724</v>
      </c>
      <c r="S21" s="18">
        <f t="shared" si="0"/>
        <v>1.3453976216953492</v>
      </c>
      <c r="T21" s="18">
        <f t="shared" si="0"/>
        <v>1.321550101074457</v>
      </c>
      <c r="U21" s="18">
        <f t="shared" si="0"/>
        <v>1.2778296466028207</v>
      </c>
      <c r="V21" s="18">
        <f t="shared" si="0"/>
        <v>0.96781187853121886</v>
      </c>
      <c r="W21" s="18">
        <f t="shared" si="0"/>
        <v>0.99762127930733435</v>
      </c>
      <c r="X21" s="18">
        <f t="shared" si="0"/>
        <v>0.88633284974316962</v>
      </c>
      <c r="AA21" s="52">
        <v>2022</v>
      </c>
      <c r="AB21" s="1">
        <f>NPV($G$5, M$11:M21)</f>
        <v>5.4372697887138228</v>
      </c>
      <c r="AC21" s="1">
        <f>NPV($G$5, N$11:N21)</f>
        <v>5.3591160135167044</v>
      </c>
      <c r="AD21" s="1">
        <f>NPV($G$5, O$11:O21)</f>
        <v>6.7547191420366808</v>
      </c>
      <c r="AE21" s="1">
        <f>NPV($G$5, P$11:P21)</f>
        <v>7.1008287179096348</v>
      </c>
      <c r="AF21" s="1">
        <f>NPV($G$5, Q$11:Q21)</f>
        <v>7.1789824931067514</v>
      </c>
      <c r="AG21" s="1">
        <f>NPV($G$5, R$11:R21)</f>
        <v>7.5920810191486652</v>
      </c>
      <c r="AH21" s="1">
        <f>NPV($G$5, S$11:S21)</f>
        <v>7.5585865440641848</v>
      </c>
      <c r="AI21" s="1">
        <f>NPV($G$5, T$11:T21)</f>
        <v>7.4246086437262688</v>
      </c>
      <c r="AJ21" s="1">
        <f>NPV($G$5, U$11:U21)</f>
        <v>7.1789824931067514</v>
      </c>
      <c r="AK21" s="1">
        <f>NPV($G$5, V$11:V21)</f>
        <v>5.4372697887138228</v>
      </c>
      <c r="AL21" s="1">
        <f>NPV($G$5, W$11:W21)</f>
        <v>5.6047421641362209</v>
      </c>
      <c r="AM21" s="1">
        <f>NPV($G$5, X$11:X21)</f>
        <v>4.9795119625592728</v>
      </c>
      <c r="AP21" s="52">
        <v>2022</v>
      </c>
      <c r="AQ21" s="28" t="e">
        <f xml:space="preserve"> NPV($G$5,#REF!)</f>
        <v>#REF!</v>
      </c>
    </row>
    <row r="22" spans="1:43" x14ac:dyDescent="0.25">
      <c r="A22">
        <v>20</v>
      </c>
      <c r="B22" s="33">
        <f>MMULT($AB32:$AM32, 'Heating Loadshapes'!$B$3:$B$14)</f>
        <v>8.8252936858908893</v>
      </c>
      <c r="C22" s="1">
        <f>MMULT($AB32:$AM32,'Heating Loadshapes'!$C$3:$C$14)</f>
        <v>7.9146700443745974</v>
      </c>
      <c r="F22" s="41"/>
      <c r="J22" s="52">
        <v>2023</v>
      </c>
      <c r="K22" s="18">
        <f>K21*(1+L22)</f>
        <v>1.1748398645503684</v>
      </c>
      <c r="L22" s="12">
        <f>'Escalation Rates'!C16</f>
        <v>2.0588440641819906E-2</v>
      </c>
      <c r="M22" s="18">
        <f t="shared" si="0"/>
        <v>0.98773761594480702</v>
      </c>
      <c r="N22" s="18">
        <f t="shared" si="0"/>
        <v>0.9735401553460109</v>
      </c>
      <c r="O22" s="18">
        <f>$K22*O$10</f>
        <v>1.227066237467368</v>
      </c>
      <c r="P22" s="18">
        <f t="shared" si="0"/>
        <v>1.2899407058334647</v>
      </c>
      <c r="Q22" s="18">
        <f t="shared" si="0"/>
        <v>1.3041381664322604</v>
      </c>
      <c r="R22" s="18">
        <f t="shared" si="0"/>
        <v>1.3791818867401822</v>
      </c>
      <c r="S22" s="18">
        <f t="shared" si="0"/>
        <v>1.3730972607692695</v>
      </c>
      <c r="T22" s="18">
        <f t="shared" si="0"/>
        <v>1.3487587568856196</v>
      </c>
      <c r="U22" s="18">
        <f t="shared" si="0"/>
        <v>1.3041381664322604</v>
      </c>
      <c r="V22" s="18">
        <f t="shared" si="0"/>
        <v>0.98773761594480702</v>
      </c>
      <c r="W22" s="18">
        <f t="shared" si="0"/>
        <v>1.0181607457993698</v>
      </c>
      <c r="X22" s="18">
        <f t="shared" si="0"/>
        <v>0.90458106100900193</v>
      </c>
      <c r="AA22" s="52">
        <v>2023</v>
      </c>
      <c r="AB22" s="1">
        <f>NPV($G$5, M$11:M22)</f>
        <v>5.712381976769092</v>
      </c>
      <c r="AC22" s="1">
        <f>NPV($G$5, N$11:N22)</f>
        <v>5.6302738169387361</v>
      </c>
      <c r="AD22" s="1">
        <f>NPV($G$5, O$11:O22)</f>
        <v>7.096490956766532</v>
      </c>
      <c r="AE22" s="1">
        <f>NPV($G$5, P$11:P22)</f>
        <v>7.4601128074438261</v>
      </c>
      <c r="AF22" s="1">
        <f>NPV($G$5, Q$11:Q22)</f>
        <v>7.5422209672741802</v>
      </c>
      <c r="AG22" s="1">
        <f>NPV($G$5, R$11:R22)</f>
        <v>7.9762212406632083</v>
      </c>
      <c r="AH22" s="1">
        <f>NPV($G$5, S$11:S22)</f>
        <v>7.9410320293073413</v>
      </c>
      <c r="AI22" s="1">
        <f>NPV($G$5, T$11:T22)</f>
        <v>7.8002751838838744</v>
      </c>
      <c r="AJ22" s="1">
        <f>NPV($G$5, U$11:U22)</f>
        <v>7.5422209672741802</v>
      </c>
      <c r="AK22" s="1">
        <f>NPV($G$5, V$11:V22)</f>
        <v>5.712381976769092</v>
      </c>
      <c r="AL22" s="1">
        <f>NPV($G$5, W$11:W22)</f>
        <v>5.8883280335484285</v>
      </c>
      <c r="AM22" s="1">
        <f>NPV($G$5, X$11:X22)</f>
        <v>5.2314627549055759</v>
      </c>
      <c r="AP22" s="52">
        <v>2023</v>
      </c>
      <c r="AQ22" s="28" t="e">
        <f xml:space="preserve"> NPV($G$5,#REF!)</f>
        <v>#REF!</v>
      </c>
    </row>
    <row r="23" spans="1:43" x14ac:dyDescent="0.25">
      <c r="A23">
        <v>21</v>
      </c>
      <c r="B23" s="33">
        <f>MMULT($AB33:$AM33, 'Heating Loadshapes'!$B$3:$B$14)</f>
        <v>8.9445745237666419</v>
      </c>
      <c r="C23" s="1">
        <f>MMULT($AB33:$AM33,'Heating Loadshapes'!$C$3:$C$14)</f>
        <v>8.0216430821005176</v>
      </c>
      <c r="F23" s="52"/>
      <c r="J23" s="52">
        <v>2024</v>
      </c>
      <c r="K23" s="18">
        <f t="shared" si="1"/>
        <v>1.1934898111818983</v>
      </c>
      <c r="L23" s="12">
        <f>'Escalation Rates'!C17</f>
        <v>1.5874458463892602E-2</v>
      </c>
      <c r="M23" s="18">
        <f t="shared" si="0"/>
        <v>1.0034174157023472</v>
      </c>
      <c r="N23" s="18">
        <f t="shared" si="0"/>
        <v>0.9889945781049827</v>
      </c>
      <c r="O23" s="18">
        <f t="shared" si="0"/>
        <v>1.2465452494864886</v>
      </c>
      <c r="P23" s="18">
        <f t="shared" si="0"/>
        <v>1.3104178159891022</v>
      </c>
      <c r="Q23" s="18">
        <f t="shared" si="0"/>
        <v>1.3248406535864665</v>
      </c>
      <c r="R23" s="18">
        <f t="shared" si="0"/>
        <v>1.4010756523153922</v>
      </c>
      <c r="S23" s="18">
        <f t="shared" si="0"/>
        <v>1.394894436202236</v>
      </c>
      <c r="T23" s="18">
        <f t="shared" si="0"/>
        <v>1.3701695717496116</v>
      </c>
      <c r="U23" s="18">
        <f t="shared" si="0"/>
        <v>1.3248406535864665</v>
      </c>
      <c r="V23" s="18">
        <f t="shared" si="0"/>
        <v>1.0034174157023472</v>
      </c>
      <c r="W23" s="18">
        <f t="shared" si="0"/>
        <v>1.0343234962681278</v>
      </c>
      <c r="X23" s="18">
        <f t="shared" si="0"/>
        <v>0.91894079548921315</v>
      </c>
      <c r="AA23" s="52">
        <v>2024</v>
      </c>
      <c r="AB23" s="1">
        <f>NPV($G$5, M$11:M23)</f>
        <v>5.9636220388487962</v>
      </c>
      <c r="AC23" s="1">
        <f>NPV($G$5, N$11:N23)</f>
        <v>5.8779026255593889</v>
      </c>
      <c r="AD23" s="1">
        <f>NPV($G$5, O$11:O23)</f>
        <v>7.4086064342988136</v>
      </c>
      <c r="AE23" s="1">
        <f>NPV($G$5, P$11:P23)</f>
        <v>7.7882209788661916</v>
      </c>
      <c r="AF23" s="1">
        <f>NPV($G$5, Q$11:Q23)</f>
        <v>7.8739403921555962</v>
      </c>
      <c r="AG23" s="1">
        <f>NPV($G$5, R$11:R23)</f>
        <v>8.3270287195424668</v>
      </c>
      <c r="AH23" s="1">
        <f>NPV($G$5, S$11:S23)</f>
        <v>8.2902918281327214</v>
      </c>
      <c r="AI23" s="1">
        <f>NPV($G$5, T$11:T23)</f>
        <v>8.143344262493736</v>
      </c>
      <c r="AJ23" s="1">
        <f>NPV($G$5, U$11:U23)</f>
        <v>7.8739403921555962</v>
      </c>
      <c r="AK23" s="1">
        <f>NPV($G$5, V$11:V23)</f>
        <v>5.9636220388487962</v>
      </c>
      <c r="AL23" s="1">
        <f>NPV($G$5, W$11:W23)</f>
        <v>6.1473064958975279</v>
      </c>
      <c r="AM23" s="1">
        <f>NPV($G$5, X$11:X23)</f>
        <v>5.4615511895822664</v>
      </c>
      <c r="AP23" s="52">
        <v>2024</v>
      </c>
      <c r="AQ23" s="28" t="e">
        <f xml:space="preserve"> NPV($G$5,#REF!)</f>
        <v>#REF!</v>
      </c>
    </row>
    <row r="24" spans="1:43" x14ac:dyDescent="0.25">
      <c r="A24">
        <v>22</v>
      </c>
      <c r="B24" s="33">
        <f>MMULT($AB34:$AM34, 'Heating Loadshapes'!$B$3:$B$14)</f>
        <v>9.0557161769438022</v>
      </c>
      <c r="C24" s="1">
        <f>MMULT($AB34:$AM34,'Heating Loadshapes'!$C$3:$C$14)</f>
        <v>8.1213167637242645</v>
      </c>
      <c r="F24" s="19"/>
      <c r="J24" s="52">
        <v>2025</v>
      </c>
      <c r="K24" s="18">
        <f t="shared" si="1"/>
        <v>1.2106558921258852</v>
      </c>
      <c r="L24" s="12">
        <f>'Escalation Rates'!C18</f>
        <v>1.4383098023256205E-2</v>
      </c>
      <c r="M24" s="18">
        <f t="shared" si="0"/>
        <v>1.0178496667506365</v>
      </c>
      <c r="N24" s="18">
        <f t="shared" si="0"/>
        <v>1.0032193840663357</v>
      </c>
      <c r="O24" s="18">
        <f t="shared" si="0"/>
        <v>1.2644744320002772</v>
      </c>
      <c r="P24" s="18">
        <f t="shared" si="0"/>
        <v>1.3292656838878949</v>
      </c>
      <c r="Q24" s="18">
        <f t="shared" si="0"/>
        <v>1.3438959665721955</v>
      </c>
      <c r="R24" s="18">
        <f t="shared" si="0"/>
        <v>1.4212274607606421</v>
      </c>
      <c r="S24" s="18">
        <f t="shared" si="0"/>
        <v>1.4149573396102275</v>
      </c>
      <c r="T24" s="18">
        <f t="shared" si="0"/>
        <v>1.3898768550085694</v>
      </c>
      <c r="U24" s="18">
        <f t="shared" si="0"/>
        <v>1.3438959665721955</v>
      </c>
      <c r="V24" s="18">
        <f t="shared" si="0"/>
        <v>1.0178496667506365</v>
      </c>
      <c r="W24" s="18">
        <f t="shared" si="0"/>
        <v>1.0492002725027094</v>
      </c>
      <c r="X24" s="18">
        <f t="shared" si="0"/>
        <v>0.93215801102830353</v>
      </c>
      <c r="AA24" s="52">
        <v>2025</v>
      </c>
      <c r="AB24" s="1">
        <f>NPV($G$5, M$11:M24)</f>
        <v>6.1927245851630408</v>
      </c>
      <c r="AC24" s="1">
        <f>NPV($G$5, N$11:N24)</f>
        <v>6.1037121167931412</v>
      </c>
      <c r="AD24" s="1">
        <f>NPV($G$5, O$11:O24)</f>
        <v>7.6932204805413562</v>
      </c>
      <c r="AE24" s="1">
        <f>NPV($G$5, P$11:P24)</f>
        <v>8.0874185547509132</v>
      </c>
      <c r="AF24" s="1">
        <f>NPV($G$5, Q$11:Q24)</f>
        <v>8.1764310231208093</v>
      </c>
      <c r="AG24" s="1">
        <f>NPV($G$5, R$11:R24)</f>
        <v>8.6469254987902815</v>
      </c>
      <c r="AH24" s="1">
        <f>NPV($G$5, S$11:S24)</f>
        <v>8.6087772980603248</v>
      </c>
      <c r="AI24" s="1">
        <f>NPV($G$5, T$11:T24)</f>
        <v>8.4561844951404979</v>
      </c>
      <c r="AJ24" s="1">
        <f>NPV($G$5, U$11:U24)</f>
        <v>8.1764310231208093</v>
      </c>
      <c r="AK24" s="1">
        <f>NPV($G$5, V$11:V24)</f>
        <v>6.1927245851630408</v>
      </c>
      <c r="AL24" s="1">
        <f>NPV($G$5, W$11:W24)</f>
        <v>6.3834655888128262</v>
      </c>
      <c r="AM24" s="1">
        <f>NPV($G$5, X$11:X24)</f>
        <v>5.6713658418536275</v>
      </c>
      <c r="AP24" s="52">
        <v>2025</v>
      </c>
      <c r="AQ24" s="28" t="e">
        <f xml:space="preserve"> NPV($G$5,#REF!)</f>
        <v>#REF!</v>
      </c>
    </row>
    <row r="25" spans="1:43" x14ac:dyDescent="0.25">
      <c r="A25">
        <v>23</v>
      </c>
      <c r="B25" s="33">
        <f>'Avd. Costs Predicted—Low'!B24</f>
        <v>6.9939999999999998</v>
      </c>
      <c r="C25" s="1">
        <f>'Avd. Costs Predicted—Low'!C24</f>
        <v>6.2645999999999979</v>
      </c>
      <c r="F25" s="19"/>
      <c r="J25" s="52">
        <v>2026</v>
      </c>
      <c r="K25" s="18">
        <f t="shared" si="1"/>
        <v>1.2250337469329495</v>
      </c>
      <c r="L25" s="12">
        <f>'Escalation Rates'!C19</f>
        <v>1.1876087086824636E-2</v>
      </c>
      <c r="M25" s="18">
        <f t="shared" si="0"/>
        <v>1.0299377380342625</v>
      </c>
      <c r="N25" s="18">
        <f t="shared" si="0"/>
        <v>1.0151337048386979</v>
      </c>
      <c r="O25" s="18">
        <f t="shared" si="0"/>
        <v>1.2794914404737756</v>
      </c>
      <c r="P25" s="18">
        <f t="shared" si="0"/>
        <v>1.3450521589112749</v>
      </c>
      <c r="Q25" s="18">
        <f t="shared" si="0"/>
        <v>1.3598561921068391</v>
      </c>
      <c r="R25" s="18">
        <f t="shared" si="0"/>
        <v>1.4381060818548221</v>
      </c>
      <c r="S25" s="18">
        <f t="shared" si="0"/>
        <v>1.4317614961995802</v>
      </c>
      <c r="T25" s="18">
        <f t="shared" si="0"/>
        <v>1.4063831535786131</v>
      </c>
      <c r="U25" s="18">
        <f t="shared" si="0"/>
        <v>1.3598561921068391</v>
      </c>
      <c r="V25" s="18">
        <f t="shared" si="0"/>
        <v>1.0299377380342625</v>
      </c>
      <c r="W25" s="18">
        <f t="shared" si="0"/>
        <v>1.0616606663104717</v>
      </c>
      <c r="X25" s="18">
        <f t="shared" si="0"/>
        <v>0.94322840074595693</v>
      </c>
      <c r="AA25" s="52">
        <v>2026</v>
      </c>
      <c r="AB25" s="1">
        <f>NPV($G$5, M$11:M25)</f>
        <v>6.4011238912634409</v>
      </c>
      <c r="AC25" s="1">
        <f>NPV($G$5, N$11:N25)</f>
        <v>6.3091159503212557</v>
      </c>
      <c r="AD25" s="1">
        <f>NPV($G$5, O$11:O25)</f>
        <v>7.9521148957174184</v>
      </c>
      <c r="AE25" s="1">
        <f>NPV($G$5, P$11:P25)</f>
        <v>8.3595786341756675</v>
      </c>
      <c r="AF25" s="1">
        <f>NPV($G$5, Q$11:Q25)</f>
        <v>8.4515865751178474</v>
      </c>
      <c r="AG25" s="1">
        <f>NPV($G$5, R$11:R25)</f>
        <v>8.9379142629551129</v>
      </c>
      <c r="AH25" s="1">
        <f>NPV($G$5, S$11:S25)</f>
        <v>8.8984822882656047</v>
      </c>
      <c r="AI25" s="1">
        <f>NPV($G$5, T$11:T25)</f>
        <v>8.7407543895075754</v>
      </c>
      <c r="AJ25" s="1">
        <f>NPV($G$5, U$11:U25)</f>
        <v>8.4515865751178474</v>
      </c>
      <c r="AK25" s="1">
        <f>NPV($G$5, V$11:V25)</f>
        <v>6.4011238912634409</v>
      </c>
      <c r="AL25" s="1">
        <f>NPV($G$5, W$11:W25)</f>
        <v>6.5982837647109802</v>
      </c>
      <c r="AM25" s="1">
        <f>NPV($G$5, X$11:X25)</f>
        <v>5.8622202371735019</v>
      </c>
      <c r="AP25" s="52">
        <v>2026</v>
      </c>
      <c r="AQ25" s="28" t="e">
        <f xml:space="preserve"> NPV($G$5,#REF!)</f>
        <v>#REF!</v>
      </c>
    </row>
    <row r="26" spans="1:43" x14ac:dyDescent="0.25">
      <c r="A26">
        <v>24</v>
      </c>
      <c r="B26" s="33">
        <f>'Avd. Costs Predicted—Low'!B25</f>
        <v>7.0511999999999988</v>
      </c>
      <c r="C26" s="1">
        <f>'Avd. Costs Predicted—Low'!C25</f>
        <v>6.3151999999999981</v>
      </c>
      <c r="F26" s="19"/>
      <c r="J26" s="52">
        <v>2027</v>
      </c>
      <c r="K26" s="18">
        <f t="shared" si="1"/>
        <v>1.2443799613384128</v>
      </c>
      <c r="L26" s="12">
        <f>'Escalation Rates'!C20</f>
        <v>1.5792393029089569E-2</v>
      </c>
      <c r="M26" s="18">
        <f t="shared" si="0"/>
        <v>1.046202919588791</v>
      </c>
      <c r="N26" s="18">
        <f t="shared" si="0"/>
        <v>1.0311650952825864</v>
      </c>
      <c r="O26" s="18">
        <f t="shared" si="0"/>
        <v>1.2996976721790932</v>
      </c>
      <c r="P26" s="18">
        <f t="shared" si="0"/>
        <v>1.3662937512494271</v>
      </c>
      <c r="Q26" s="18">
        <f t="shared" si="0"/>
        <v>1.3813315755556312</v>
      </c>
      <c r="R26" s="18">
        <f t="shared" si="0"/>
        <v>1.4608172183169974</v>
      </c>
      <c r="S26" s="18">
        <f t="shared" si="0"/>
        <v>1.4543724364714812</v>
      </c>
      <c r="T26" s="18">
        <f t="shared" si="0"/>
        <v>1.4285933090894167</v>
      </c>
      <c r="U26" s="18">
        <f t="shared" si="0"/>
        <v>1.3813315755556312</v>
      </c>
      <c r="V26" s="18">
        <f t="shared" si="0"/>
        <v>1.046202919588791</v>
      </c>
      <c r="W26" s="18">
        <f t="shared" si="0"/>
        <v>1.0784268288163716</v>
      </c>
      <c r="X26" s="18">
        <f t="shared" si="0"/>
        <v>0.95812423436673655</v>
      </c>
      <c r="AA26" s="52">
        <v>2027</v>
      </c>
      <c r="AB26" s="1">
        <f>NPV($G$5, M$11:M26)</f>
        <v>6.5914245293876119</v>
      </c>
      <c r="AC26" s="1">
        <f>NPV($G$5, N$11:N26)</f>
        <v>6.4966812609980567</v>
      </c>
      <c r="AD26" s="1">
        <f>NPV($G$5, O$11:O26)</f>
        <v>8.18852533938297</v>
      </c>
      <c r="AE26" s="1">
        <f>NPV($G$5, P$11:P26)</f>
        <v>8.6081026708224293</v>
      </c>
      <c r="AF26" s="1">
        <f>NPV($G$5, Q$11:Q26)</f>
        <v>8.7028459392119775</v>
      </c>
      <c r="AG26" s="1">
        <f>NPV($G$5, R$11:R26)</f>
        <v>9.2036317864139132</v>
      </c>
      <c r="AH26" s="1">
        <f>NPV($G$5, S$11:S26)</f>
        <v>9.163027528532675</v>
      </c>
      <c r="AI26" s="1">
        <f>NPV($G$5, T$11:T26)</f>
        <v>9.0006104970077274</v>
      </c>
      <c r="AJ26" s="1">
        <f>NPV($G$5, U$11:U26)</f>
        <v>8.7028459392119775</v>
      </c>
      <c r="AK26" s="1">
        <f>NPV($G$5, V$11:V26)</f>
        <v>6.5914245293876119</v>
      </c>
      <c r="AL26" s="1">
        <f>NPV($G$5, W$11:W26)</f>
        <v>6.7944458187938013</v>
      </c>
      <c r="AM26" s="1">
        <f>NPV($G$5, X$11:X26)</f>
        <v>6.0364996716773627</v>
      </c>
      <c r="AP26" s="52">
        <v>2027</v>
      </c>
      <c r="AQ26" s="28" t="e">
        <f xml:space="preserve"> NPV($G$5,#REF!)</f>
        <v>#REF!</v>
      </c>
    </row>
    <row r="27" spans="1:43" x14ac:dyDescent="0.25">
      <c r="A27">
        <v>25</v>
      </c>
      <c r="B27" s="33">
        <f>'Avd. Costs Predicted—Low'!B26</f>
        <v>7.0926</v>
      </c>
      <c r="C27" s="1">
        <f>'Avd. Costs Predicted—Low'!C26</f>
        <v>6.3515999999999995</v>
      </c>
      <c r="J27" s="52">
        <v>2028</v>
      </c>
      <c r="K27" s="18">
        <f t="shared" si="1"/>
        <v>1.2541205698171054</v>
      </c>
      <c r="L27" s="12">
        <f>'Escalation Rates'!C21</f>
        <v>7.8276802755775365E-3</v>
      </c>
      <c r="M27" s="18">
        <f t="shared" si="0"/>
        <v>1.0543922615467076</v>
      </c>
      <c r="N27" s="18">
        <f t="shared" si="0"/>
        <v>1.0392367259597939</v>
      </c>
      <c r="O27" s="18">
        <f t="shared" si="0"/>
        <v>1.3098712900118237</v>
      </c>
      <c r="P27" s="18">
        <f t="shared" si="0"/>
        <v>1.3769886618967271</v>
      </c>
      <c r="Q27" s="18">
        <f t="shared" si="0"/>
        <v>1.3921441974836406</v>
      </c>
      <c r="R27" s="18">
        <f t="shared" si="0"/>
        <v>1.4722520284430414</v>
      </c>
      <c r="S27" s="18">
        <f t="shared" si="0"/>
        <v>1.4657567989057925</v>
      </c>
      <c r="T27" s="18">
        <f t="shared" si="0"/>
        <v>1.439775880756798</v>
      </c>
      <c r="U27" s="18">
        <f t="shared" si="0"/>
        <v>1.3921441974836406</v>
      </c>
      <c r="V27" s="18">
        <f t="shared" si="0"/>
        <v>1.0543922615467076</v>
      </c>
      <c r="W27" s="18">
        <f t="shared" si="0"/>
        <v>1.086868409232951</v>
      </c>
      <c r="X27" s="18">
        <f t="shared" si="0"/>
        <v>0.9656241245376419</v>
      </c>
      <c r="AA27" s="52">
        <v>2028</v>
      </c>
      <c r="AB27" s="1">
        <f>NPV($G$5, M$11:M27)</f>
        <v>6.7638357579705364</v>
      </c>
      <c r="AC27" s="1">
        <f>NPV($G$5, N$11:N27)</f>
        <v>6.6666142994370796</v>
      </c>
      <c r="AD27" s="1">
        <f>NPV($G$5, O$11:O27)</f>
        <v>8.4027117732488215</v>
      </c>
      <c r="AE27" s="1">
        <f>NPV($G$5, P$11:P27)</f>
        <v>8.8332639467541316</v>
      </c>
      <c r="AF27" s="1">
        <f>NPV($G$5, Q$11:Q27)</f>
        <v>8.9304854052875857</v>
      </c>
      <c r="AG27" s="1">
        <f>NPV($G$5, R$11:R27)</f>
        <v>9.4443702575358603</v>
      </c>
      <c r="AH27" s="1">
        <f>NPV($G$5, S$11:S27)</f>
        <v>9.4027039181643808</v>
      </c>
      <c r="AI27" s="1">
        <f>NPV($G$5, T$11:T27)</f>
        <v>9.2360385606784554</v>
      </c>
      <c r="AJ27" s="1">
        <f>NPV($G$5, U$11:U27)</f>
        <v>8.9304854052875857</v>
      </c>
      <c r="AK27" s="1">
        <f>NPV($G$5, V$11:V27)</f>
        <v>6.7638357579705364</v>
      </c>
      <c r="AL27" s="1">
        <f>NPV($G$5, W$11:W27)</f>
        <v>6.9721674548279449</v>
      </c>
      <c r="AM27" s="1">
        <f>NPV($G$5, X$11:X27)</f>
        <v>6.1943957865602872</v>
      </c>
      <c r="AP27" s="52">
        <v>2028</v>
      </c>
      <c r="AQ27" s="28" t="e">
        <f xml:space="preserve"> NPV($G$5,#REF!)</f>
        <v>#REF!</v>
      </c>
    </row>
    <row r="28" spans="1:43" x14ac:dyDescent="0.25">
      <c r="B28" s="33"/>
      <c r="C28" s="1"/>
      <c r="J28" s="52">
        <v>2029</v>
      </c>
      <c r="K28" s="18">
        <f t="shared" si="1"/>
        <v>1.2657917313937586</v>
      </c>
      <c r="L28" s="12">
        <f>'Escalation Rates'!C22</f>
        <v>9.306251613714657E-3</v>
      </c>
      <c r="M28" s="18">
        <f t="shared" si="0"/>
        <v>1.0642047012322149</v>
      </c>
      <c r="N28" s="18">
        <f t="shared" si="0"/>
        <v>1.0489081244177887</v>
      </c>
      <c r="O28" s="18">
        <f t="shared" si="0"/>
        <v>1.3220612818182547</v>
      </c>
      <c r="P28" s="18">
        <f t="shared" si="0"/>
        <v>1.3898032648535703</v>
      </c>
      <c r="Q28" s="18">
        <f t="shared" si="0"/>
        <v>1.4050998416679963</v>
      </c>
      <c r="R28" s="18">
        <f t="shared" si="0"/>
        <v>1.4859531762585341</v>
      </c>
      <c r="S28" s="18">
        <f t="shared" si="0"/>
        <v>1.4793975004809228</v>
      </c>
      <c r="T28" s="18">
        <f t="shared" si="0"/>
        <v>1.4531747973704783</v>
      </c>
      <c r="U28" s="18">
        <f t="shared" si="0"/>
        <v>1.4050998416679963</v>
      </c>
      <c r="V28" s="18">
        <f t="shared" si="0"/>
        <v>1.0642047012322149</v>
      </c>
      <c r="W28" s="18">
        <f t="shared" si="0"/>
        <v>1.0969830801202707</v>
      </c>
      <c r="X28" s="18">
        <f t="shared" si="0"/>
        <v>0.97461046560486209</v>
      </c>
      <c r="AA28" s="52">
        <v>2029</v>
      </c>
      <c r="AB28" s="1">
        <f>NPV($G$5, M$11:M28)</f>
        <v>6.9202684538147894</v>
      </c>
      <c r="AC28" s="1">
        <f>NPV($G$5, N$11:N28)</f>
        <v>6.8207984760392177</v>
      </c>
      <c r="AD28" s="1">
        <f>NPV($G$5, O$11:O28)</f>
        <v>8.5970480791744333</v>
      </c>
      <c r="AE28" s="1">
        <f>NPV($G$5, P$11:P28)</f>
        <v>9.0375579807519664</v>
      </c>
      <c r="AF28" s="1">
        <f>NPV($G$5, Q$11:Q28)</f>
        <v>9.1370279585275327</v>
      </c>
      <c r="AG28" s="1">
        <f>NPV($G$5, R$11:R28)</f>
        <v>9.6627978410555571</v>
      </c>
      <c r="AH28" s="1">
        <f>NPV($G$5, S$11:S28)</f>
        <v>9.6201678505803123</v>
      </c>
      <c r="AI28" s="1">
        <f>NPV($G$5, T$11:T28)</f>
        <v>9.4496478886793351</v>
      </c>
      <c r="AJ28" s="1">
        <f>NPV($G$5, U$11:U28)</f>
        <v>9.1370279585275327</v>
      </c>
      <c r="AK28" s="1">
        <f>NPV($G$5, V$11:V28)</f>
        <v>6.9202684538147894</v>
      </c>
      <c r="AL28" s="1">
        <f>NPV($G$5, W$11:W28)</f>
        <v>7.1334184061910149</v>
      </c>
      <c r="AM28" s="1">
        <f>NPV($G$5, X$11:X28)</f>
        <v>6.3376585839864408</v>
      </c>
      <c r="AP28" s="52">
        <v>2029</v>
      </c>
      <c r="AQ28" s="28" t="e">
        <f xml:space="preserve"> NPV($G$5,#REF!)</f>
        <v>#REF!</v>
      </c>
    </row>
    <row r="29" spans="1:43" x14ac:dyDescent="0.25">
      <c r="B29" s="33"/>
      <c r="C29" s="1"/>
      <c r="J29" s="52">
        <v>2030</v>
      </c>
      <c r="K29" s="18">
        <f t="shared" si="1"/>
        <v>1.2840384969723169</v>
      </c>
      <c r="L29" s="12">
        <f>'Escalation Rates'!C23</f>
        <v>1.4415298446030211E-2</v>
      </c>
      <c r="M29" s="18">
        <f t="shared" si="0"/>
        <v>1.0795455296081458</v>
      </c>
      <c r="N29" s="18">
        <f t="shared" si="0"/>
        <v>1.064028448073737</v>
      </c>
      <c r="O29" s="18">
        <f t="shared" si="0"/>
        <v>1.341119189759606</v>
      </c>
      <c r="P29" s="18">
        <f t="shared" si="0"/>
        <v>1.4098376936977015</v>
      </c>
      <c r="Q29" s="18">
        <f t="shared" si="0"/>
        <v>1.4253547752321101</v>
      </c>
      <c r="R29" s="18">
        <f t="shared" si="0"/>
        <v>1.5073736347711273</v>
      </c>
      <c r="S29" s="18">
        <f t="shared" si="0"/>
        <v>1.5007234569706664</v>
      </c>
      <c r="T29" s="18">
        <f t="shared" si="0"/>
        <v>1.4741227457688233</v>
      </c>
      <c r="U29" s="18">
        <f t="shared" si="0"/>
        <v>1.4253547752321101</v>
      </c>
      <c r="V29" s="18">
        <f t="shared" si="0"/>
        <v>1.0795455296081458</v>
      </c>
      <c r="W29" s="18">
        <f t="shared" si="0"/>
        <v>1.11279641861045</v>
      </c>
      <c r="X29" s="18">
        <f t="shared" si="0"/>
        <v>0.9886597663351806</v>
      </c>
      <c r="AA29" s="52">
        <v>2030</v>
      </c>
      <c r="AB29" s="1">
        <f>NPV($G$5, M$11:M29)</f>
        <v>7.0629219236471918</v>
      </c>
      <c r="AC29" s="1">
        <f>NPV($G$5, N$11:N29)</f>
        <v>6.9614014853196142</v>
      </c>
      <c r="AD29" s="1">
        <f>NPV($G$5, O$11:O29)</f>
        <v>8.7742664554549332</v>
      </c>
      <c r="AE29" s="1">
        <f>NPV($G$5, P$11:P29)</f>
        <v>9.2238569680484908</v>
      </c>
      <c r="AF29" s="1">
        <f>NPV($G$5, Q$11:Q29)</f>
        <v>9.3253774063760648</v>
      </c>
      <c r="AG29" s="1">
        <f>NPV($G$5, R$11:R29)</f>
        <v>9.86198543753612</v>
      </c>
      <c r="AH29" s="1">
        <f>NPV($G$5, S$11:S29)</f>
        <v>9.818476678252873</v>
      </c>
      <c r="AI29" s="1">
        <f>NPV($G$5, T$11:T29)</f>
        <v>9.6444416411198848</v>
      </c>
      <c r="AJ29" s="1">
        <f>NPV($G$5, U$11:U29)</f>
        <v>9.3253774063760648</v>
      </c>
      <c r="AK29" s="1">
        <f>NPV($G$5, V$11:V29)</f>
        <v>7.0629219236471918</v>
      </c>
      <c r="AL29" s="1">
        <f>NPV($G$5, W$11:W29)</f>
        <v>7.2804657200634306</v>
      </c>
      <c r="AM29" s="1">
        <f>NPV($G$5, X$11:X29)</f>
        <v>6.4683022134428096</v>
      </c>
      <c r="AP29" s="52">
        <v>2030</v>
      </c>
      <c r="AQ29" s="28" t="e">
        <f xml:space="preserve"> NPV($G$5,#REF!)</f>
        <v>#REF!</v>
      </c>
    </row>
    <row r="30" spans="1:43" x14ac:dyDescent="0.25">
      <c r="B30" s="33"/>
      <c r="C30" s="1"/>
      <c r="J30" s="52">
        <v>2031</v>
      </c>
      <c r="K30" s="18">
        <f t="shared" si="1"/>
        <v>1.2978379829130304</v>
      </c>
      <c r="L30" s="12">
        <f>'Escalation Rates'!C24</f>
        <v>1.074694097821194E-2</v>
      </c>
      <c r="M30" s="18">
        <f t="shared" si="0"/>
        <v>1.091147341698137</v>
      </c>
      <c r="N30" s="18">
        <f t="shared" si="0"/>
        <v>1.0754634990043239</v>
      </c>
      <c r="O30" s="18">
        <f t="shared" si="0"/>
        <v>1.3555321185367</v>
      </c>
      <c r="P30" s="18">
        <f t="shared" si="0"/>
        <v>1.4249891361807294</v>
      </c>
      <c r="Q30" s="18">
        <f t="shared" si="0"/>
        <v>1.4406729788745423</v>
      </c>
      <c r="R30" s="18">
        <f t="shared" si="0"/>
        <v>1.5235732902561254</v>
      </c>
      <c r="S30" s="18">
        <f t="shared" si="0"/>
        <v>1.5168516433873485</v>
      </c>
      <c r="T30" s="18">
        <f t="shared" si="0"/>
        <v>1.4899650559122406</v>
      </c>
      <c r="U30" s="18">
        <f t="shared" si="0"/>
        <v>1.4406729788745423</v>
      </c>
      <c r="V30" s="18">
        <f t="shared" si="0"/>
        <v>1.091147341698137</v>
      </c>
      <c r="W30" s="18">
        <f t="shared" si="0"/>
        <v>1.124755576042022</v>
      </c>
      <c r="X30" s="18">
        <f t="shared" si="0"/>
        <v>0.99928483449151773</v>
      </c>
      <c r="AA30" s="52">
        <v>2031</v>
      </c>
      <c r="AB30" s="1">
        <f>NPV($G$5, M$11:M30)</f>
        <v>7.1925394697214715</v>
      </c>
      <c r="AC30" s="1">
        <f>NPV($G$5, N$11:N30)</f>
        <v>7.0891559455160298</v>
      </c>
      <c r="AD30" s="1">
        <f>NPV($G$5, O$11:O30)</f>
        <v>8.9352903063274969</v>
      </c>
      <c r="AE30" s="1">
        <f>NPV($G$5, P$11:P30)</f>
        <v>9.3931316278087422</v>
      </c>
      <c r="AF30" s="1">
        <f>NPV($G$5, Q$11:Q30)</f>
        <v>9.4965151520141795</v>
      </c>
      <c r="AG30" s="1">
        <f>NPV($G$5, R$11:R30)</f>
        <v>10.042970922814375</v>
      </c>
      <c r="AH30" s="1">
        <f>NPV($G$5, S$11:S30)</f>
        <v>9.9986636981549015</v>
      </c>
      <c r="AI30" s="1">
        <f>NPV($G$5, T$11:T30)</f>
        <v>9.8214347995170037</v>
      </c>
      <c r="AJ30" s="1">
        <f>NPV($G$5, U$11:U30)</f>
        <v>9.4965151520141795</v>
      </c>
      <c r="AK30" s="1">
        <f>NPV($G$5, V$11:V30)</f>
        <v>7.1925394697214715</v>
      </c>
      <c r="AL30" s="1">
        <f>NPV($G$5, W$11:W30)</f>
        <v>7.4140755930188478</v>
      </c>
      <c r="AM30" s="1">
        <f>NPV($G$5, X$11:X30)</f>
        <v>6.5870073993753122</v>
      </c>
      <c r="AP30" s="52">
        <v>2031</v>
      </c>
      <c r="AQ30" s="28" t="e">
        <f xml:space="preserve"> NPV($G$5,#REF!)</f>
        <v>#REF!</v>
      </c>
    </row>
    <row r="31" spans="1:43" x14ac:dyDescent="0.25">
      <c r="B31" s="33"/>
      <c r="C31" s="1"/>
      <c r="J31" s="52">
        <v>2032</v>
      </c>
      <c r="K31" s="18">
        <f t="shared" si="1"/>
        <v>1.3199056694260527</v>
      </c>
      <c r="L31" s="12">
        <f>'Escalation Rates'!C25</f>
        <v>1.7003421693276958E-2</v>
      </c>
      <c r="M31" s="18">
        <f t="shared" si="0"/>
        <v>1.1097005800785287</v>
      </c>
      <c r="N31" s="18">
        <f t="shared" si="0"/>
        <v>1.0937500583936215</v>
      </c>
      <c r="O31" s="18">
        <f t="shared" si="0"/>
        <v>1.3785808027669606</v>
      </c>
      <c r="P31" s="18">
        <f t="shared" si="0"/>
        <v>1.4492188273715487</v>
      </c>
      <c r="Q31" s="18">
        <f t="shared" si="0"/>
        <v>1.4651693490564557</v>
      </c>
      <c r="R31" s="18">
        <f t="shared" si="0"/>
        <v>1.5494792493909639</v>
      </c>
      <c r="S31" s="18">
        <f t="shared" si="0"/>
        <v>1.5426433115260036</v>
      </c>
      <c r="T31" s="18">
        <f t="shared" si="0"/>
        <v>1.5152995600661634</v>
      </c>
      <c r="U31" s="18">
        <f t="shared" si="0"/>
        <v>1.4651693490564557</v>
      </c>
      <c r="V31" s="18">
        <f t="shared" si="0"/>
        <v>1.1097005800785287</v>
      </c>
      <c r="W31" s="18">
        <f t="shared" si="0"/>
        <v>1.1438802694033292</v>
      </c>
      <c r="X31" s="18">
        <f t="shared" si="0"/>
        <v>1.0162760959240735</v>
      </c>
      <c r="AA31" s="52">
        <v>2032</v>
      </c>
      <c r="AB31" s="1">
        <f>NPV($G$5, M$11:M31)</f>
        <v>7.3110413466263884</v>
      </c>
      <c r="AC31" s="1">
        <f>NPV($G$5, N$11:N31)</f>
        <v>7.2059545100219013</v>
      </c>
      <c r="AD31" s="1">
        <f>NPV($G$5, O$11:O31)</f>
        <v>9.0825051636734404</v>
      </c>
      <c r="AE31" s="1">
        <f>NPV($G$5, P$11:P31)</f>
        <v>9.5478897257790223</v>
      </c>
      <c r="AF31" s="1">
        <f>NPV($G$5, Q$11:Q31)</f>
        <v>9.652976562383504</v>
      </c>
      <c r="AG31" s="1">
        <f>NPV($G$5, R$11:R31)</f>
        <v>10.20843555586436</v>
      </c>
      <c r="AH31" s="1">
        <f>NPV($G$5, S$11:S31)</f>
        <v>10.163398340176723</v>
      </c>
      <c r="AI31" s="1">
        <f>NPV($G$5, T$11:T31)</f>
        <v>9.9832494774261793</v>
      </c>
      <c r="AJ31" s="1">
        <f>NPV($G$5, U$11:U31)</f>
        <v>9.652976562383504</v>
      </c>
      <c r="AK31" s="1">
        <f>NPV($G$5, V$11:V31)</f>
        <v>7.3110413466263884</v>
      </c>
      <c r="AL31" s="1">
        <f>NPV($G$5, W$11:W31)</f>
        <v>7.5362274250645722</v>
      </c>
      <c r="AM31" s="1">
        <f>NPV($G$5, X$11:X31)</f>
        <v>6.6955327322286857</v>
      </c>
      <c r="AP31" s="52">
        <v>2032</v>
      </c>
      <c r="AQ31" s="28" t="e">
        <f xml:space="preserve"> NPV($G$5,#REF!)</f>
        <v>#REF!</v>
      </c>
    </row>
    <row r="32" spans="1:43" x14ac:dyDescent="0.25">
      <c r="B32" s="33"/>
      <c r="C32" s="1"/>
      <c r="J32" s="52">
        <v>2033</v>
      </c>
      <c r="K32" s="18">
        <f t="shared" si="1"/>
        <v>1.3475184238558309</v>
      </c>
      <c r="L32" s="12">
        <f>'Escalation Rates'!C26</f>
        <v>2.0920248370313636E-2</v>
      </c>
      <c r="M32" s="18">
        <f t="shared" si="0"/>
        <v>1.1329157918304527</v>
      </c>
      <c r="N32" s="18">
        <f t="shared" si="0"/>
        <v>1.1166315812702612</v>
      </c>
      <c r="O32" s="18">
        <f t="shared" si="0"/>
        <v>1.4074210555593918</v>
      </c>
      <c r="P32" s="18">
        <f t="shared" si="0"/>
        <v>1.4795368451830964</v>
      </c>
      <c r="Q32" s="18">
        <f t="shared" si="0"/>
        <v>1.4958210557432876</v>
      </c>
      <c r="R32" s="18">
        <f t="shared" ref="R32:X34" si="2">$K32*R$10</f>
        <v>1.58189474013287</v>
      </c>
      <c r="S32" s="18">
        <f t="shared" si="2"/>
        <v>1.5749157927499309</v>
      </c>
      <c r="T32" s="18">
        <f t="shared" si="2"/>
        <v>1.5470000032181748</v>
      </c>
      <c r="U32" s="18">
        <f t="shared" si="2"/>
        <v>1.4958210557432876</v>
      </c>
      <c r="V32" s="18">
        <f t="shared" si="2"/>
        <v>1.1329157918304527</v>
      </c>
      <c r="W32" s="18">
        <f t="shared" si="2"/>
        <v>1.1678105287451483</v>
      </c>
      <c r="X32" s="18">
        <f t="shared" si="2"/>
        <v>1.0375368442636179</v>
      </c>
      <c r="AA32" s="52">
        <v>2033</v>
      </c>
      <c r="AB32" s="1">
        <f>NPV($G$5, M$11:M32)</f>
        <v>7.4197980578832334</v>
      </c>
      <c r="AC32" s="1">
        <f>NPV($G$5, N$11:N32)</f>
        <v>7.3131479831292641</v>
      </c>
      <c r="AD32" s="1">
        <f>NPV($G$5, O$11:O32)</f>
        <v>9.2176136037358471</v>
      </c>
      <c r="AE32" s="1">
        <f>NPV($G$5, P$11:P32)</f>
        <v>9.6899210776462787</v>
      </c>
      <c r="AF32" s="1">
        <f>NPV($G$5, Q$11:Q32)</f>
        <v>9.7965711524002419</v>
      </c>
      <c r="AG32" s="1">
        <f>NPV($G$5, R$11:R32)</f>
        <v>10.360292976099791</v>
      </c>
      <c r="AH32" s="1">
        <f>NPV($G$5, S$11:S32)</f>
        <v>10.314585801205235</v>
      </c>
      <c r="AI32" s="1">
        <f>NPV($G$5, T$11:T32)</f>
        <v>10.131757101627006</v>
      </c>
      <c r="AJ32" s="1">
        <f>NPV($G$5, U$11:U32)</f>
        <v>9.7965711524002419</v>
      </c>
      <c r="AK32" s="1">
        <f>NPV($G$5, V$11:V32)</f>
        <v>7.4197980578832334</v>
      </c>
      <c r="AL32" s="1">
        <f>NPV($G$5, W$11:W32)</f>
        <v>7.6483339323560235</v>
      </c>
      <c r="AM32" s="1">
        <f>NPV($G$5, X$11:X32)</f>
        <v>6.7951333343242775</v>
      </c>
      <c r="AP32" s="52">
        <v>2033</v>
      </c>
      <c r="AQ32" s="28" t="e">
        <f xml:space="preserve"> NPV($G$5,#REF!)</f>
        <v>#REF!</v>
      </c>
    </row>
    <row r="33" spans="10:43" x14ac:dyDescent="0.25">
      <c r="J33" s="52">
        <v>2034</v>
      </c>
      <c r="K33" s="18">
        <f t="shared" si="1"/>
        <v>1.3822074375077402</v>
      </c>
      <c r="L33" s="12">
        <f>'Escalation Rates'!C27</f>
        <v>2.5742886358947909E-2</v>
      </c>
      <c r="M33" s="18">
        <f t="shared" ref="M33:W34" si="3">$K33*M$10</f>
        <v>1.1620803143138017</v>
      </c>
      <c r="N33" s="18">
        <f t="shared" si="3"/>
        <v>1.1453769011717139</v>
      </c>
      <c r="O33" s="18">
        <f t="shared" si="3"/>
        <v>1.4436521358518479</v>
      </c>
      <c r="P33" s="18">
        <f t="shared" si="3"/>
        <v>1.5176243940525211</v>
      </c>
      <c r="Q33" s="18">
        <f t="shared" si="3"/>
        <v>1.5343278071946085</v>
      </c>
      <c r="R33" s="18">
        <f t="shared" si="3"/>
        <v>1.6226172766599281</v>
      </c>
      <c r="S33" s="18">
        <f t="shared" si="3"/>
        <v>1.6154586710276049</v>
      </c>
      <c r="T33" s="18">
        <f t="shared" si="3"/>
        <v>1.5868242484983124</v>
      </c>
      <c r="U33" s="18">
        <f t="shared" si="3"/>
        <v>1.5343278071946085</v>
      </c>
      <c r="V33" s="18">
        <f t="shared" si="3"/>
        <v>1.1620803143138017</v>
      </c>
      <c r="W33" s="18">
        <f t="shared" si="3"/>
        <v>1.1978733424754175</v>
      </c>
      <c r="X33" s="18">
        <f t="shared" si="2"/>
        <v>1.0642460373387177</v>
      </c>
      <c r="AA33" s="52">
        <v>2034</v>
      </c>
      <c r="AB33" s="1">
        <f>NPV($G$5, M$11:M33)</f>
        <v>7.5200825085444203</v>
      </c>
      <c r="AC33" s="1">
        <f>NPV($G$5, N$11:N33)</f>
        <v>7.4119909735140066</v>
      </c>
      <c r="AD33" s="1">
        <f>NPV($G$5, O$11:O33)</f>
        <v>9.3421969561999472</v>
      </c>
      <c r="AE33" s="1">
        <f>NPV($G$5, P$11:P33)</f>
        <v>9.8208880399060607</v>
      </c>
      <c r="AF33" s="1">
        <f>NPV($G$5, Q$11:Q33)</f>
        <v>9.9289795749364682</v>
      </c>
      <c r="AG33" s="1">
        <f>NPV($G$5, R$11:R33)</f>
        <v>10.50032054581151</v>
      </c>
      <c r="AH33" s="1">
        <f>NPV($G$5, S$11:S33)</f>
        <v>10.453995602227048</v>
      </c>
      <c r="AI33" s="1">
        <f>NPV($G$5, T$11:T33)</f>
        <v>10.268695827889202</v>
      </c>
      <c r="AJ33" s="1">
        <f>NPV($G$5, U$11:U33)</f>
        <v>9.9289795749364682</v>
      </c>
      <c r="AK33" s="1">
        <f>NPV($G$5, V$11:V33)</f>
        <v>7.5200825085444203</v>
      </c>
      <c r="AL33" s="1">
        <f>NPV($G$5, W$11:W33)</f>
        <v>7.751707226466733</v>
      </c>
      <c r="AM33" s="1">
        <f>NPV($G$5, X$11:X33)</f>
        <v>6.8869749462234333</v>
      </c>
      <c r="AP33" s="52">
        <v>2034</v>
      </c>
      <c r="AQ33" s="28" t="e">
        <f xml:space="preserve"> NPV($G$5,#REF!)</f>
        <v>#REF!</v>
      </c>
    </row>
    <row r="34" spans="10:43" x14ac:dyDescent="0.25">
      <c r="J34" s="52">
        <v>2035</v>
      </c>
      <c r="K34" s="18">
        <f t="shared" si="1"/>
        <v>1.4326509002538375</v>
      </c>
      <c r="L34" s="12">
        <f>'Escalation Rates'!C28</f>
        <v>3.6494856978234701E-2</v>
      </c>
      <c r="M34" s="18">
        <f>$K34*M$10</f>
        <v>1.2044902691819057</v>
      </c>
      <c r="N34" s="18">
        <f t="shared" si="3"/>
        <v>1.1871772673661494</v>
      </c>
      <c r="O34" s="18">
        <f t="shared" si="3"/>
        <v>1.496338014076084</v>
      </c>
      <c r="P34" s="18">
        <f t="shared" si="3"/>
        <v>1.5730098792601481</v>
      </c>
      <c r="Q34" s="18">
        <f t="shared" si="3"/>
        <v>1.5903228810759042</v>
      </c>
      <c r="R34" s="18">
        <f t="shared" si="3"/>
        <v>1.6818344621020449</v>
      </c>
      <c r="S34" s="18">
        <f t="shared" si="3"/>
        <v>1.6744146041810064</v>
      </c>
      <c r="T34" s="18">
        <f t="shared" si="3"/>
        <v>1.6447351724968529</v>
      </c>
      <c r="U34" s="18">
        <f t="shared" si="3"/>
        <v>1.5903228810759042</v>
      </c>
      <c r="V34" s="18">
        <f t="shared" si="3"/>
        <v>1.2044902691819057</v>
      </c>
      <c r="W34" s="18">
        <f t="shared" si="3"/>
        <v>1.241589558787098</v>
      </c>
      <c r="X34" s="18">
        <f t="shared" si="2"/>
        <v>1.1030855442610472</v>
      </c>
      <c r="AA34" s="52">
        <v>2035</v>
      </c>
      <c r="AB34" s="1">
        <f>NPV($G$5, M$11:M34)</f>
        <v>7.6135240020226709</v>
      </c>
      <c r="AC34" s="1">
        <f>NPV($G$5, N$11:N34)</f>
        <v>7.5040893654432894</v>
      </c>
      <c r="AD34" s="1">
        <f>NPV($G$5, O$11:O34)</f>
        <v>9.4582793043608149</v>
      </c>
      <c r="AE34" s="1">
        <f>NPV($G$5, P$11:P34)</f>
        <v>9.9429184092123606</v>
      </c>
      <c r="AF34" s="1">
        <f>NPV($G$5, Q$11:Q34)</f>
        <v>10.052353045791737</v>
      </c>
      <c r="AG34" s="1">
        <f>NPV($G$5, R$11:R34)</f>
        <v>10.630793267711327</v>
      </c>
      <c r="AH34" s="1">
        <f>NPV($G$5, S$11:S34)</f>
        <v>10.583892709177306</v>
      </c>
      <c r="AI34" s="1">
        <f>NPV($G$5, T$11:T34)</f>
        <v>10.396290475041228</v>
      </c>
      <c r="AJ34" s="1">
        <f>NPV($G$5, U$11:U34)</f>
        <v>10.052353045791737</v>
      </c>
      <c r="AK34" s="1">
        <f>NPV($G$5, V$11:V34)</f>
        <v>7.6135240020226709</v>
      </c>
      <c r="AL34" s="1">
        <f>NPV($G$5, W$11:W34)</f>
        <v>7.8480267946927755</v>
      </c>
      <c r="AM34" s="1">
        <f>NPV($G$5, X$11:X34)</f>
        <v>6.9725497020577247</v>
      </c>
      <c r="AP34" s="52">
        <v>2035</v>
      </c>
      <c r="AQ34" s="28" t="e">
        <f xml:space="preserve"> NPV($G$5,#REF!)</f>
        <v>#REF!</v>
      </c>
    </row>
    <row r="35" spans="10:43" x14ac:dyDescent="0.25">
      <c r="J35" s="62">
        <v>2036</v>
      </c>
      <c r="AA35" s="62">
        <v>2036</v>
      </c>
    </row>
    <row r="36" spans="10:43" x14ac:dyDescent="0.25">
      <c r="J36" s="62">
        <v>2037</v>
      </c>
      <c r="AA36" s="62">
        <v>2037</v>
      </c>
    </row>
    <row r="37" spans="10:43" x14ac:dyDescent="0.25">
      <c r="J37" s="62">
        <v>2038</v>
      </c>
      <c r="AA37" s="62">
        <v>2038</v>
      </c>
    </row>
    <row r="38" spans="10:43" x14ac:dyDescent="0.25">
      <c r="J38" s="61"/>
      <c r="L38" s="31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1"/>
      <c r="Z38" s="31"/>
    </row>
    <row r="39" spans="10:43" x14ac:dyDescent="0.25">
      <c r="J39" s="61"/>
    </row>
    <row r="40" spans="10:43" x14ac:dyDescent="0.25">
      <c r="J40" s="61"/>
    </row>
    <row r="41" spans="10:43" x14ac:dyDescent="0.25">
      <c r="J41" s="61"/>
    </row>
  </sheetData>
  <mergeCells count="6">
    <mergeCell ref="AA8:AM8"/>
    <mergeCell ref="K10:L10"/>
    <mergeCell ref="A1:C1"/>
    <mergeCell ref="F1:G1"/>
    <mergeCell ref="J1:P1"/>
    <mergeCell ref="J8:X8"/>
  </mergeCells>
  <pageMargins left="0.7" right="0.7" top="0.75" bottom="0.75" header="0.3" footer="0.3"/>
  <pageSetup scale="91" orientation="portrait" r:id="rId1"/>
  <headerFooter>
    <oddHeader>&amp;R&amp;"-,Bold"&amp;KFF0000Schedule MRW-6 Avoided Costs &amp; Benefit Cost Ratios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R38"/>
  <sheetViews>
    <sheetView tabSelected="1" view="pageLayout" zoomScaleNormal="90" workbookViewId="0">
      <selection activeCell="B12" sqref="B12"/>
    </sheetView>
  </sheetViews>
  <sheetFormatPr defaultRowHeight="15" x14ac:dyDescent="0.25"/>
  <cols>
    <col min="1" max="1" width="4.28515625" bestFit="1" customWidth="1"/>
    <col min="2" max="2" width="10.85546875" bestFit="1" customWidth="1"/>
    <col min="3" max="3" width="7.85546875" bestFit="1" customWidth="1"/>
    <col min="4" max="5" width="2.85546875" customWidth="1"/>
    <col min="6" max="6" width="30.140625" bestFit="1" customWidth="1"/>
    <col min="7" max="7" width="7.42578125" bestFit="1" customWidth="1"/>
    <col min="8" max="9" width="2.85546875" customWidth="1"/>
    <col min="10" max="10" width="7.28515625" customWidth="1"/>
    <col min="11" max="11" width="9.7109375" style="7" customWidth="1"/>
    <col min="12" max="12" width="10" customWidth="1"/>
    <col min="13" max="17" width="8.7109375" style="7" customWidth="1"/>
    <col min="18" max="18" width="9.5703125" style="7" customWidth="1"/>
    <col min="19" max="24" width="8.7109375" style="7" customWidth="1"/>
    <col min="25" max="26" width="2.85546875" customWidth="1"/>
    <col min="40" max="41" width="2.85546875" hidden="1" customWidth="1"/>
    <col min="42" max="42" width="8.140625" hidden="1" customWidth="1"/>
    <col min="43" max="43" width="9.85546875" hidden="1" customWidth="1"/>
    <col min="44" max="44" width="10.28515625" customWidth="1"/>
  </cols>
  <sheetData>
    <row r="1" spans="1:44" x14ac:dyDescent="0.25">
      <c r="A1" s="104" t="s">
        <v>6</v>
      </c>
      <c r="B1" s="104"/>
      <c r="C1" s="104"/>
      <c r="F1" s="104" t="s">
        <v>49</v>
      </c>
      <c r="G1" s="104"/>
      <c r="J1" s="104" t="s">
        <v>57</v>
      </c>
      <c r="K1" s="104"/>
      <c r="L1" s="104"/>
      <c r="M1" s="104"/>
      <c r="N1" s="104"/>
      <c r="O1" s="104"/>
      <c r="P1" s="104"/>
      <c r="Q1" s="37"/>
      <c r="R1" s="37"/>
      <c r="S1" s="37"/>
      <c r="T1" s="37"/>
      <c r="U1" s="37"/>
      <c r="V1" s="37"/>
      <c r="W1" s="37"/>
      <c r="X1" s="37"/>
    </row>
    <row r="2" spans="1:44" ht="45" x14ac:dyDescent="0.25">
      <c r="A2" s="4" t="s">
        <v>0</v>
      </c>
      <c r="B2" s="5" t="s">
        <v>4</v>
      </c>
      <c r="C2" s="5" t="s">
        <v>5</v>
      </c>
      <c r="N2" s="60" t="s">
        <v>70</v>
      </c>
      <c r="O2" s="60" t="s">
        <v>71</v>
      </c>
      <c r="P2" s="10" t="s">
        <v>54</v>
      </c>
      <c r="R2" s="10"/>
    </row>
    <row r="3" spans="1:44" x14ac:dyDescent="0.25">
      <c r="A3">
        <v>1</v>
      </c>
      <c r="B3" s="33">
        <f>MMULT($AB13:$AM13, 'Heating Loadshapes'!$B$3:$B$14)</f>
        <v>2.5823873094422005</v>
      </c>
      <c r="C3" s="1">
        <f>MMULT($AB13:$AM13,'Heating Loadshapes'!$C$3:$C$14)</f>
        <v>2.3159278556011094</v>
      </c>
      <c r="F3" s="6"/>
      <c r="L3" t="s">
        <v>46</v>
      </c>
      <c r="N3" s="19">
        <f>'Area Usage Weights'!B4</f>
        <v>0.21271062304843713</v>
      </c>
      <c r="O3" s="19">
        <f>'Area Usage Weights'!C4</f>
        <v>0.78728937695156287</v>
      </c>
      <c r="P3" s="7" t="s">
        <v>8</v>
      </c>
      <c r="Q3" s="19"/>
      <c r="S3" s="14"/>
    </row>
    <row r="4" spans="1:44" x14ac:dyDescent="0.25">
      <c r="A4">
        <v>2</v>
      </c>
      <c r="B4" s="33">
        <f>MMULT($AB14:$AM14, 'Heating Loadshapes'!$B$3:$B$14)</f>
        <v>3.2873974204264003</v>
      </c>
      <c r="C4" s="1">
        <f>MMULT($AB14:$AM14,'Heating Loadshapes'!$C$3:$C$14)</f>
        <v>2.948192639639803</v>
      </c>
      <c r="G4" s="11"/>
      <c r="L4" t="s">
        <v>45</v>
      </c>
      <c r="M4" s="15"/>
      <c r="N4" s="15">
        <f>'Divisional Costs'!B7</f>
        <v>0.8965859925131201</v>
      </c>
      <c r="O4" s="15">
        <f>'Divisional Costs'!C7</f>
        <v>1.095</v>
      </c>
      <c r="P4" s="15">
        <f>SUMPRODUCT(L3:O3,L4:O4)</f>
        <v>1.0527952328459285</v>
      </c>
      <c r="Q4" s="15"/>
      <c r="R4" s="15"/>
    </row>
    <row r="5" spans="1:44" x14ac:dyDescent="0.25">
      <c r="A5">
        <v>3</v>
      </c>
      <c r="B5" s="33">
        <f>MMULT($AB15:$AM15, 'Heating Loadshapes'!$B$3:$B$14)</f>
        <v>3.9260478158183347</v>
      </c>
      <c r="C5" s="1">
        <f>MMULT($AB15:$AM15,'Heating Loadshapes'!$C$3:$C$14)</f>
        <v>3.5209449279084155</v>
      </c>
      <c r="F5" t="s">
        <v>7</v>
      </c>
      <c r="G5" s="11">
        <v>0.1124</v>
      </c>
    </row>
    <row r="6" spans="1:44" x14ac:dyDescent="0.25">
      <c r="A6">
        <v>4</v>
      </c>
      <c r="B6" s="33">
        <f>MMULT($AB16:$AM16, 'Heating Loadshapes'!$B$3:$B$14)</f>
        <v>4.5049196467770001</v>
      </c>
      <c r="C6" s="1">
        <f>MMULT($AB16:$AM16,'Heating Loadshapes'!$C$3:$C$14)</f>
        <v>4.0400868061379693</v>
      </c>
      <c r="F6" t="s">
        <v>47</v>
      </c>
      <c r="G6" s="2">
        <f>P4</f>
        <v>1.0527952328459285</v>
      </c>
    </row>
    <row r="7" spans="1:44" x14ac:dyDescent="0.25">
      <c r="A7">
        <v>5</v>
      </c>
      <c r="B7" s="33">
        <f>MMULT($AB17:$AM17, 'Heating Loadshapes'!$B$3:$B$14)</f>
        <v>5.0328857469341459</v>
      </c>
      <c r="C7" s="1">
        <f>MMULT($AB17:$AM17,'Heating Loadshapes'!$C$3:$C$14)</f>
        <v>4.5135755789863499</v>
      </c>
      <c r="G7" s="2"/>
    </row>
    <row r="8" spans="1:44" x14ac:dyDescent="0.25">
      <c r="A8">
        <v>6</v>
      </c>
      <c r="B8" s="33">
        <f>MMULT($AB18:$AM18, 'Heating Loadshapes'!$B$3:$B$14)</f>
        <v>5.5179870821024917</v>
      </c>
      <c r="C8" s="1">
        <f>MMULT($AB18:$AM18,'Heating Loadshapes'!$C$3:$C$14)</f>
        <v>4.9486225182265899</v>
      </c>
      <c r="J8" s="104" t="s">
        <v>48</v>
      </c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AA8" s="104" t="s">
        <v>50</v>
      </c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P8" s="8" t="s">
        <v>32</v>
      </c>
      <c r="AQ8" s="3"/>
      <c r="AR8" s="27"/>
    </row>
    <row r="9" spans="1:44" ht="45" x14ac:dyDescent="0.25">
      <c r="A9">
        <v>7</v>
      </c>
      <c r="B9" s="33">
        <f>MMULT($AB19:$AM19, 'Heating Loadshapes'!$B$3:$B$14)</f>
        <v>5.9658079112537248</v>
      </c>
      <c r="C9" s="1">
        <f>MMULT($AB19:$AM19,'Heating Loadshapes'!$C$3:$C$14)</f>
        <v>5.3502356801088569</v>
      </c>
      <c r="K9" s="10" t="s">
        <v>12</v>
      </c>
      <c r="L9" s="10" t="s">
        <v>13</v>
      </c>
      <c r="M9" s="7" t="s">
        <v>14</v>
      </c>
      <c r="N9" s="7" t="s">
        <v>15</v>
      </c>
      <c r="O9" s="7" t="s">
        <v>16</v>
      </c>
      <c r="P9" s="7" t="s">
        <v>17</v>
      </c>
      <c r="Q9" s="7" t="s">
        <v>18</v>
      </c>
      <c r="R9" s="7" t="s">
        <v>19</v>
      </c>
      <c r="S9" s="7" t="s">
        <v>20</v>
      </c>
      <c r="T9" s="7" t="s">
        <v>21</v>
      </c>
      <c r="U9" s="7" t="s">
        <v>22</v>
      </c>
      <c r="V9" s="7" t="s">
        <v>23</v>
      </c>
      <c r="W9" s="7" t="s">
        <v>24</v>
      </c>
      <c r="X9" s="7" t="s">
        <v>25</v>
      </c>
      <c r="AA9" s="7" t="s">
        <v>9</v>
      </c>
      <c r="AB9" s="7" t="s">
        <v>14</v>
      </c>
      <c r="AC9" s="7" t="s">
        <v>15</v>
      </c>
      <c r="AD9" s="7" t="s">
        <v>16</v>
      </c>
      <c r="AE9" s="7" t="s">
        <v>17</v>
      </c>
      <c r="AF9" s="7" t="s">
        <v>18</v>
      </c>
      <c r="AG9" s="7" t="s">
        <v>19</v>
      </c>
      <c r="AH9" s="7" t="s">
        <v>20</v>
      </c>
      <c r="AI9" s="7" t="s">
        <v>21</v>
      </c>
      <c r="AJ9" s="7" t="s">
        <v>22</v>
      </c>
      <c r="AK9" s="7" t="s">
        <v>23</v>
      </c>
      <c r="AL9" s="7" t="s">
        <v>24</v>
      </c>
      <c r="AM9" s="7" t="s">
        <v>25</v>
      </c>
      <c r="AP9" s="7" t="s">
        <v>9</v>
      </c>
      <c r="AQ9" s="10" t="s">
        <v>12</v>
      </c>
    </row>
    <row r="10" spans="1:44" x14ac:dyDescent="0.25">
      <c r="A10">
        <v>8</v>
      </c>
      <c r="B10" s="33">
        <f>MMULT($AB20:$AM20, 'Heating Loadshapes'!$B$3:$B$14)</f>
        <v>6.384497125910702</v>
      </c>
      <c r="C10" s="1">
        <f>MMULT($AB20:$AM20,'Heating Loadshapes'!$C$3:$C$14)</f>
        <v>5.7257231259766463</v>
      </c>
      <c r="F10" s="19"/>
      <c r="J10" s="7" t="s">
        <v>9</v>
      </c>
      <c r="K10" s="105" t="s">
        <v>26</v>
      </c>
      <c r="L10" s="105"/>
      <c r="M10" s="51">
        <f>'Monthly Price Ratios'!$C3</f>
        <v>0.84074233923176533</v>
      </c>
      <c r="N10" s="51">
        <f>'Monthly Price Ratios'!$C4</f>
        <v>0.82865774708675011</v>
      </c>
      <c r="O10" s="51">
        <f>'Monthly Price Ratios'!$C5</f>
        <v>1.0444540353905913</v>
      </c>
      <c r="P10" s="51">
        <f>'Monthly Price Ratios'!$C6</f>
        <v>1.097971514889944</v>
      </c>
      <c r="Q10" s="51">
        <f>'Monthly Price Ratios'!$C7</f>
        <v>1.110056107034959</v>
      </c>
      <c r="R10" s="51">
        <f>'Monthly Price Ratios'!$C8</f>
        <v>1.173931808372896</v>
      </c>
      <c r="S10" s="51">
        <f>'Monthly Price Ratios'!$C9</f>
        <v>1.1687526974536038</v>
      </c>
      <c r="T10" s="51">
        <f>'Monthly Price Ratios'!$C10</f>
        <v>1.1480362537764353</v>
      </c>
      <c r="U10" s="51">
        <f>'Monthly Price Ratios'!$C11</f>
        <v>1.110056107034959</v>
      </c>
      <c r="V10" s="51">
        <f>'Monthly Price Ratios'!$C12</f>
        <v>0.84074233923176533</v>
      </c>
      <c r="W10" s="51">
        <f>'Monthly Price Ratios'!$C13</f>
        <v>0.8666378938282262</v>
      </c>
      <c r="X10" s="51">
        <f>'Monthly Price Ratios'!$C14</f>
        <v>0.76996115666810538</v>
      </c>
      <c r="AA10" s="7" t="s">
        <v>8</v>
      </c>
      <c r="AB10" s="7" t="s">
        <v>8</v>
      </c>
      <c r="AC10" s="7" t="s">
        <v>8</v>
      </c>
      <c r="AD10" s="7" t="s">
        <v>8</v>
      </c>
      <c r="AE10" s="7" t="s">
        <v>8</v>
      </c>
      <c r="AF10" s="7" t="s">
        <v>8</v>
      </c>
      <c r="AG10" s="7" t="s">
        <v>8</v>
      </c>
      <c r="AH10" s="7" t="s">
        <v>8</v>
      </c>
      <c r="AI10" s="7" t="s">
        <v>8</v>
      </c>
      <c r="AJ10" s="7" t="s">
        <v>8</v>
      </c>
      <c r="AK10" s="7" t="s">
        <v>8</v>
      </c>
      <c r="AL10" s="7" t="s">
        <v>8</v>
      </c>
      <c r="AM10" s="7" t="s">
        <v>8</v>
      </c>
      <c r="AP10" s="7" t="s">
        <v>8</v>
      </c>
      <c r="AQ10" s="7" t="s">
        <v>8</v>
      </c>
    </row>
    <row r="11" spans="1:44" x14ac:dyDescent="0.25">
      <c r="A11">
        <v>9</v>
      </c>
      <c r="B11" s="33">
        <f>MMULT($AB21:$AM21, 'Heating Loadshapes'!$B$3:$B$14)</f>
        <v>6.7763113446091534</v>
      </c>
      <c r="C11" s="1">
        <f>MMULT($AB21:$AM21,'Heating Loadshapes'!$C$3:$C$14)</f>
        <v>6.0771086288353686</v>
      </c>
      <c r="F11" s="19"/>
      <c r="J11" s="7">
        <v>2012</v>
      </c>
      <c r="K11" s="18">
        <f>G6</f>
        <v>1.0527952328459285</v>
      </c>
      <c r="L11" s="12" t="s">
        <v>8</v>
      </c>
      <c r="M11" s="18">
        <f>$K11*M$10</f>
        <v>0.88512952679493695</v>
      </c>
      <c r="N11" s="18">
        <f t="shared" ref="M11:X34" si="0">$K11*N$10</f>
        <v>0.87240692579377754</v>
      </c>
      <c r="O11" s="18">
        <f t="shared" ref="O11:X11" si="1">$K11*O$10</f>
        <v>1.0995962293859072</v>
      </c>
      <c r="P11" s="18">
        <f t="shared" si="1"/>
        <v>1.1559391766767555</v>
      </c>
      <c r="Q11" s="18">
        <f t="shared" si="1"/>
        <v>1.1686617776779147</v>
      </c>
      <c r="R11" s="18">
        <f t="shared" si="1"/>
        <v>1.2359098115411848</v>
      </c>
      <c r="S11" s="18">
        <f t="shared" si="1"/>
        <v>1.2304572682549737</v>
      </c>
      <c r="T11" s="18">
        <f t="shared" si="1"/>
        <v>1.2086470951101296</v>
      </c>
      <c r="U11" s="18">
        <f t="shared" si="1"/>
        <v>1.1686617776779147</v>
      </c>
      <c r="V11" s="18">
        <f t="shared" si="1"/>
        <v>0.88512952679493695</v>
      </c>
      <c r="W11" s="18">
        <f t="shared" si="1"/>
        <v>0.91239224322599244</v>
      </c>
      <c r="X11" s="18">
        <f t="shared" si="1"/>
        <v>0.81061143521671841</v>
      </c>
      <c r="AA11" s="7">
        <v>2012</v>
      </c>
      <c r="AB11" s="1">
        <f>NPV($G$5, M$11:M11)</f>
        <v>0.79569356957473647</v>
      </c>
      <c r="AC11" s="1">
        <f>NPV($G$5, N$11:N11)</f>
        <v>0.78425649567941158</v>
      </c>
      <c r="AD11" s="1">
        <f>NPV($G$5, O$11:O11)</f>
        <v>0.9884899580959251</v>
      </c>
      <c r="AE11" s="1">
        <f>NPV($G$5, P$11:P11)</f>
        <v>1.0391398567752206</v>
      </c>
      <c r="AF11" s="1">
        <f>NPV($G$5, Q$11:Q11)</f>
        <v>1.0505769306705453</v>
      </c>
      <c r="AG11" s="1">
        <f>NPV($G$5, R$11:R11)</f>
        <v>1.1110300355458331</v>
      </c>
      <c r="AH11" s="1">
        <f>NPV($G$5, S$11:S11)</f>
        <v>1.1061284324478369</v>
      </c>
      <c r="AI11" s="1">
        <f>NPV($G$5, T$11:T11)</f>
        <v>1.0865220200558519</v>
      </c>
      <c r="AJ11" s="1">
        <f>NPV($G$5, U$11:U11)</f>
        <v>1.0505769306705453</v>
      </c>
      <c r="AK11" s="1">
        <f>NPV($G$5, V$11:V11)</f>
        <v>0.79569356957473647</v>
      </c>
      <c r="AL11" s="1">
        <f>NPV($G$5, W$11:W11)</f>
        <v>0.82020158506471808</v>
      </c>
      <c r="AM11" s="1">
        <f>NPV($G$5, X$11:X11)</f>
        <v>0.72870499390212007</v>
      </c>
      <c r="AP11" s="7">
        <v>2012</v>
      </c>
      <c r="AQ11" s="28" t="e">
        <f xml:space="preserve"> NPV($G$5,#REF!)</f>
        <v>#REF!</v>
      </c>
    </row>
    <row r="12" spans="1:44" x14ac:dyDescent="0.25">
      <c r="A12">
        <v>10</v>
      </c>
      <c r="B12" s="33">
        <f>MMULT($AB22:$AM22, 'Heating Loadshapes'!$B$3:$B$14)</f>
        <v>7.1396588314005367</v>
      </c>
      <c r="C12" s="1">
        <f>MMULT($AB22:$AM22,'Heating Loadshapes'!$C$3:$C$14)</f>
        <v>6.4029646934334341</v>
      </c>
      <c r="F12" s="19"/>
      <c r="J12" s="7">
        <v>2013</v>
      </c>
      <c r="K12" s="18">
        <f>K11*(1+L12)</f>
        <v>1.0752477903048661</v>
      </c>
      <c r="L12" s="12">
        <f>'Escalation Rates'!E6</f>
        <v>2.1326613911656633E-2</v>
      </c>
      <c r="M12" s="18">
        <f t="shared" si="0"/>
        <v>0.9040063424746998</v>
      </c>
      <c r="N12" s="18">
        <f t="shared" si="0"/>
        <v>0.89101241147403665</v>
      </c>
      <c r="O12" s="18">
        <f t="shared" si="0"/>
        <v>1.1230468936287337</v>
      </c>
      <c r="P12" s="18">
        <f t="shared" si="0"/>
        <v>1.1805914452030988</v>
      </c>
      <c r="Q12" s="18">
        <f t="shared" si="0"/>
        <v>1.1935853762037616</v>
      </c>
      <c r="R12" s="18">
        <f t="shared" si="0"/>
        <v>1.2622675829215519</v>
      </c>
      <c r="S12" s="18">
        <f t="shared" si="0"/>
        <v>1.2566987553498392</v>
      </c>
      <c r="T12" s="18">
        <f t="shared" si="0"/>
        <v>1.2344234450629885</v>
      </c>
      <c r="U12" s="18">
        <f t="shared" si="0"/>
        <v>1.1935853762037616</v>
      </c>
      <c r="V12" s="18">
        <f t="shared" si="0"/>
        <v>0.9040063424746998</v>
      </c>
      <c r="W12" s="18">
        <f t="shared" si="0"/>
        <v>0.93185048033326334</v>
      </c>
      <c r="X12" s="18">
        <f t="shared" si="0"/>
        <v>0.82789903232795914</v>
      </c>
      <c r="AA12" s="7">
        <v>2013</v>
      </c>
      <c r="AB12" s="1">
        <f>NPV($G$5, M$11:M12)</f>
        <v>1.5262428496224214</v>
      </c>
      <c r="AC12" s="1">
        <f>NPV($G$5, N$11:N12)</f>
        <v>1.5043050673896554</v>
      </c>
      <c r="AD12" s="1">
        <f>NPV($G$5, O$11:O12)</f>
        <v>1.8960511786890448</v>
      </c>
      <c r="AE12" s="1">
        <f>NPV($G$5, P$11:P12)</f>
        <v>1.9932042142912938</v>
      </c>
      <c r="AF12" s="1">
        <f>NPV($G$5, Q$11:Q12)</f>
        <v>2.0151419965240591</v>
      </c>
      <c r="AG12" s="1">
        <f>NPV($G$5, R$11:R12)</f>
        <v>2.1310988454686783</v>
      </c>
      <c r="AH12" s="1">
        <f>NPV($G$5, S$11:S12)</f>
        <v>2.1216969387974931</v>
      </c>
      <c r="AI12" s="1">
        <f>NPV($G$5, T$11:T12)</f>
        <v>2.0840893121127522</v>
      </c>
      <c r="AJ12" s="1">
        <f>NPV($G$5, U$11:U12)</f>
        <v>2.0151419965240591</v>
      </c>
      <c r="AK12" s="1">
        <f>NPV($G$5, V$11:V12)</f>
        <v>1.5262428496224214</v>
      </c>
      <c r="AL12" s="1">
        <f>NPV($G$5, W$11:W12)</f>
        <v>1.573252382978348</v>
      </c>
      <c r="AM12" s="1">
        <f>NPV($G$5, X$11:X12)</f>
        <v>1.3977501251162217</v>
      </c>
      <c r="AP12" s="7">
        <v>2013</v>
      </c>
      <c r="AQ12" s="28" t="e">
        <f xml:space="preserve"> NPV($G$5,#REF!)</f>
        <v>#REF!</v>
      </c>
    </row>
    <row r="13" spans="1:44" x14ac:dyDescent="0.25">
      <c r="A13">
        <v>11</v>
      </c>
      <c r="B13" s="33">
        <f>MMULT($AB23:$AM23, 'Heating Loadshapes'!$B$3:$B$14)</f>
        <v>7.4715855250232446</v>
      </c>
      <c r="C13" s="1">
        <f>MMULT($AB23:$AM23,'Heating Loadshapes'!$C$3:$C$14)</f>
        <v>6.7006420685381176</v>
      </c>
      <c r="F13" s="19"/>
      <c r="J13" s="7">
        <v>2014</v>
      </c>
      <c r="K13" s="18">
        <f t="shared" ref="K13:K34" si="2">K12*(1+L13)</f>
        <v>1.0558411686359666</v>
      </c>
      <c r="L13" s="12">
        <f>'Escalation Rates'!E7</f>
        <v>-1.8048511091008343E-2</v>
      </c>
      <c r="M13" s="18">
        <f t="shared" si="0"/>
        <v>0.88769037397620332</v>
      </c>
      <c r="N13" s="18">
        <f t="shared" si="0"/>
        <v>0.87493096408332149</v>
      </c>
      <c r="O13" s="18">
        <f t="shared" si="0"/>
        <v>1.102777569313353</v>
      </c>
      <c r="P13" s="18">
        <f t="shared" si="0"/>
        <v>1.159283527410401</v>
      </c>
      <c r="Q13" s="18">
        <f t="shared" si="0"/>
        <v>1.1720429373032828</v>
      </c>
      <c r="R13" s="18">
        <f t="shared" si="0"/>
        <v>1.2394855324513721</v>
      </c>
      <c r="S13" s="18">
        <f t="shared" si="0"/>
        <v>1.2340172139258512</v>
      </c>
      <c r="T13" s="18">
        <f t="shared" si="0"/>
        <v>1.2121439398237686</v>
      </c>
      <c r="U13" s="18">
        <f t="shared" si="0"/>
        <v>1.1720429373032828</v>
      </c>
      <c r="V13" s="18">
        <f t="shared" si="0"/>
        <v>0.88769037397620332</v>
      </c>
      <c r="W13" s="18">
        <f t="shared" si="0"/>
        <v>0.91503196660380703</v>
      </c>
      <c r="X13" s="18">
        <f t="shared" ref="X13:X34" si="3">$K13*X$10</f>
        <v>0.81295668746075289</v>
      </c>
      <c r="AA13" s="7">
        <v>2014</v>
      </c>
      <c r="AB13" s="1">
        <f>NPV($G$5, M$11:M13)</f>
        <v>2.1711223473428602</v>
      </c>
      <c r="AC13" s="1">
        <f>NPV($G$5, N$11:N13)</f>
        <v>2.139915249947788</v>
      </c>
      <c r="AD13" s="1">
        <f>NPV($G$5, O$11:O13)</f>
        <v>2.6971848462883581</v>
      </c>
      <c r="AE13" s="1">
        <f>NPV($G$5, P$11:P13)</f>
        <v>2.8353877061808195</v>
      </c>
      <c r="AF13" s="1">
        <f>NPV($G$5, Q$11:Q13)</f>
        <v>2.8665948035758912</v>
      </c>
      <c r="AG13" s="1">
        <f>NPV($G$5, R$11:R13)</f>
        <v>3.0315466040926995</v>
      </c>
      <c r="AH13" s="1">
        <f>NPV($G$5, S$11:S13)</f>
        <v>3.0181721337805256</v>
      </c>
      <c r="AI13" s="1">
        <f>NPV($G$5, T$11:T13)</f>
        <v>2.9646742525318319</v>
      </c>
      <c r="AJ13" s="1">
        <f>NPV($G$5, U$11:U13)</f>
        <v>2.8665948035758912</v>
      </c>
      <c r="AK13" s="1">
        <f>NPV($G$5, V$11:V13)</f>
        <v>2.1711223473428602</v>
      </c>
      <c r="AL13" s="1">
        <f>NPV($G$5, W$11:W13)</f>
        <v>2.2379946989037287</v>
      </c>
      <c r="AM13" s="1">
        <f>NPV($G$5, X$11:X13)</f>
        <v>1.988337919743153</v>
      </c>
      <c r="AP13" s="7">
        <v>2014</v>
      </c>
      <c r="AQ13" s="28" t="e">
        <f xml:space="preserve"> NPV($G$5,#REF!)</f>
        <v>#REF!</v>
      </c>
    </row>
    <row r="14" spans="1:44" x14ac:dyDescent="0.25">
      <c r="A14">
        <v>12</v>
      </c>
      <c r="B14" s="33">
        <f>MMULT($AB24:$AM24, 'Heating Loadshapes'!$B$3:$B$14)</f>
        <v>7.7778402323949365</v>
      </c>
      <c r="C14" s="1">
        <f>MMULT($AB24:$AM24,'Heating Loadshapes'!$C$3:$C$14)</f>
        <v>6.9752963797321552</v>
      </c>
      <c r="F14" s="19"/>
      <c r="J14" s="7">
        <v>2015</v>
      </c>
      <c r="K14" s="18">
        <f t="shared" si="2"/>
        <v>1.0795413111901608</v>
      </c>
      <c r="L14" s="12">
        <f>'Escalation Rates'!E8</f>
        <v>2.2446692985851502E-2</v>
      </c>
      <c r="M14" s="18">
        <f t="shared" si="0"/>
        <v>0.907616087267343</v>
      </c>
      <c r="N14" s="18">
        <f t="shared" si="0"/>
        <v>0.89457027081791485</v>
      </c>
      <c r="O14" s="18">
        <f t="shared" si="0"/>
        <v>1.1275312788434135</v>
      </c>
      <c r="P14" s="18">
        <f t="shared" si="0"/>
        <v>1.1853056088337375</v>
      </c>
      <c r="Q14" s="18">
        <f t="shared" si="0"/>
        <v>1.1983514252831653</v>
      </c>
      <c r="R14" s="18">
        <f t="shared" si="0"/>
        <v>1.2673078836587128</v>
      </c>
      <c r="S14" s="18">
        <f t="shared" si="0"/>
        <v>1.2617168194661008</v>
      </c>
      <c r="T14" s="18">
        <f t="shared" si="0"/>
        <v>1.2393525626956532</v>
      </c>
      <c r="U14" s="18">
        <f t="shared" si="0"/>
        <v>1.1983514252831653</v>
      </c>
      <c r="V14" s="18">
        <f t="shared" si="0"/>
        <v>0.907616087267343</v>
      </c>
      <c r="W14" s="18">
        <f t="shared" si="0"/>
        <v>0.93557140823040275</v>
      </c>
      <c r="X14" s="18">
        <f t="shared" si="3"/>
        <v>0.83120487663497933</v>
      </c>
      <c r="AA14" s="7">
        <v>2015</v>
      </c>
      <c r="AB14" s="1">
        <f>NPV($G$5, M$11:M14)</f>
        <v>2.763854197233762</v>
      </c>
      <c r="AC14" s="1">
        <f>NPV($G$5, N$11:N14)</f>
        <v>2.7241273401893342</v>
      </c>
      <c r="AD14" s="1">
        <f>NPV($G$5, O$11:O14)</f>
        <v>3.4335355016969733</v>
      </c>
      <c r="AE14" s="1">
        <f>NPV($G$5, P$11:P14)</f>
        <v>3.6094687257508689</v>
      </c>
      <c r="AF14" s="1">
        <f>NPV($G$5, Q$11:Q14)</f>
        <v>3.6491955827952962</v>
      </c>
      <c r="AG14" s="1">
        <f>NPV($G$5, R$11:R14)</f>
        <v>3.8591803986015565</v>
      </c>
      <c r="AH14" s="1">
        <f>NPV($G$5, S$11:S14)</f>
        <v>3.8421546027253735</v>
      </c>
      <c r="AI14" s="1">
        <f>NPV($G$5, T$11:T14)</f>
        <v>3.7740514192206414</v>
      </c>
      <c r="AJ14" s="1">
        <f>NPV($G$5, U$11:U14)</f>
        <v>3.6491955827952962</v>
      </c>
      <c r="AK14" s="1">
        <f>NPV($G$5, V$11:V14)</f>
        <v>2.763854197233762</v>
      </c>
      <c r="AL14" s="1">
        <f>NPV($G$5, W$11:W14)</f>
        <v>2.8489831766146789</v>
      </c>
      <c r="AM14" s="1">
        <f>NPV($G$5, X$11:X14)</f>
        <v>2.5311683202592565</v>
      </c>
      <c r="AP14" s="7">
        <v>2015</v>
      </c>
      <c r="AQ14" s="28" t="e">
        <f xml:space="preserve"> NPV($G$5,#REF!)</f>
        <v>#REF!</v>
      </c>
    </row>
    <row r="15" spans="1:44" x14ac:dyDescent="0.25">
      <c r="A15">
        <v>13</v>
      </c>
      <c r="B15" s="33">
        <f>MMULT($AB25:$AM25, 'Heating Loadshapes'!$B$3:$B$14)</f>
        <v>8.0599842753381949</v>
      </c>
      <c r="C15" s="1">
        <f>MMULT($AB25:$AM25,'Heating Loadshapes'!$C$3:$C$14)</f>
        <v>7.228327846373519</v>
      </c>
      <c r="F15" s="19"/>
      <c r="J15" s="7">
        <v>2016</v>
      </c>
      <c r="K15" s="18">
        <f t="shared" si="2"/>
        <v>1.0878476711534155</v>
      </c>
      <c r="L15" s="12">
        <f>'Escalation Rates'!E9</f>
        <v>7.6943419183256555E-3</v>
      </c>
      <c r="M15" s="18">
        <f t="shared" si="0"/>
        <v>0.91459959577335082</v>
      </c>
      <c r="N15" s="18">
        <f t="shared" si="0"/>
        <v>0.90145340035155708</v>
      </c>
      <c r="O15" s="18">
        <f t="shared" si="0"/>
        <v>1.1362068900264419</v>
      </c>
      <c r="P15" s="18">
        <f t="shared" si="0"/>
        <v>1.1944257554658133</v>
      </c>
      <c r="Q15" s="18">
        <f t="shared" si="0"/>
        <v>1.2075719508876068</v>
      </c>
      <c r="R15" s="18">
        <f t="shared" si="0"/>
        <v>1.2770589838313726</v>
      </c>
      <c r="S15" s="18">
        <f t="shared" si="0"/>
        <v>1.2714249000791753</v>
      </c>
      <c r="T15" s="18">
        <f t="shared" si="0"/>
        <v>1.2488885650703867</v>
      </c>
      <c r="U15" s="18">
        <f t="shared" si="0"/>
        <v>1.2075719508876068</v>
      </c>
      <c r="V15" s="18">
        <f t="shared" si="0"/>
        <v>0.91459959577335082</v>
      </c>
      <c r="W15" s="18">
        <f t="shared" si="0"/>
        <v>0.94277001453433684</v>
      </c>
      <c r="X15" s="18">
        <f t="shared" si="3"/>
        <v>0.8376004511599886</v>
      </c>
      <c r="AA15" s="7">
        <v>2016</v>
      </c>
      <c r="AB15" s="1">
        <f>NPV($G$5, M$11:M15)</f>
        <v>3.3007946246068696</v>
      </c>
      <c r="AC15" s="1">
        <f>NPV($G$5, N$11:N15)</f>
        <v>3.2533499380108775</v>
      </c>
      <c r="AD15" s="1">
        <f>NPV($G$5, O$11:O15)</f>
        <v>4.1005764843678767</v>
      </c>
      <c r="AE15" s="1">
        <f>NPV($G$5, P$11:P15)</f>
        <v>4.3106886678644134</v>
      </c>
      <c r="AF15" s="1">
        <f>NPV($G$5, Q$11:Q15)</f>
        <v>4.3581333544604046</v>
      </c>
      <c r="AG15" s="1">
        <f>NPV($G$5, R$11:R15)</f>
        <v>4.6089124121820753</v>
      </c>
      <c r="AH15" s="1">
        <f>NPV($G$5, S$11:S15)</f>
        <v>4.5885789750695087</v>
      </c>
      <c r="AI15" s="1">
        <f>NPV($G$5, T$11:T15)</f>
        <v>4.5072452266192373</v>
      </c>
      <c r="AJ15" s="1">
        <f>NPV($G$5, U$11:U15)</f>
        <v>4.3581333544604046</v>
      </c>
      <c r="AK15" s="1">
        <f>NPV($G$5, V$11:V15)</f>
        <v>3.3007946246068696</v>
      </c>
      <c r="AL15" s="1">
        <f>NPV($G$5, W$11:W15)</f>
        <v>3.4024618101697093</v>
      </c>
      <c r="AM15" s="1">
        <f>NPV($G$5, X$11:X15)</f>
        <v>3.0229043174017738</v>
      </c>
      <c r="AP15" s="7">
        <v>2016</v>
      </c>
      <c r="AQ15" s="28" t="e">
        <f xml:space="preserve"> NPV($G$5,#REF!)</f>
        <v>#REF!</v>
      </c>
    </row>
    <row r="16" spans="1:44" x14ac:dyDescent="0.25">
      <c r="A16">
        <v>14</v>
      </c>
      <c r="B16" s="33">
        <f>MMULT($AB26:$AM26, 'Heating Loadshapes'!$B$3:$B$14)</f>
        <v>8.3171778262291731</v>
      </c>
      <c r="C16" s="1">
        <f>MMULT($AB26:$AM26,'Heating Loadshapes'!$C$3:$C$14)</f>
        <v>7.4589832970921162</v>
      </c>
      <c r="F16" s="19"/>
      <c r="J16" s="7">
        <v>2017</v>
      </c>
      <c r="K16" s="18">
        <f t="shared" si="2"/>
        <v>1.0968526721462544</v>
      </c>
      <c r="L16" s="12">
        <f>'Escalation Rates'!E10</f>
        <v>8.2778142856077454E-3</v>
      </c>
      <c r="M16" s="18">
        <f t="shared" si="0"/>
        <v>0.92217048137285451</v>
      </c>
      <c r="N16" s="18">
        <f t="shared" si="0"/>
        <v>0.90891546418679692</v>
      </c>
      <c r="O16" s="18">
        <f t="shared" si="0"/>
        <v>1.1456121996521087</v>
      </c>
      <c r="P16" s="18">
        <f t="shared" si="0"/>
        <v>1.204312990047506</v>
      </c>
      <c r="Q16" s="18">
        <f t="shared" si="0"/>
        <v>1.2175680072335633</v>
      </c>
      <c r="R16" s="18">
        <f t="shared" si="0"/>
        <v>1.2876302409312956</v>
      </c>
      <c r="S16" s="18">
        <f t="shared" si="0"/>
        <v>1.281949519280128</v>
      </c>
      <c r="T16" s="18">
        <f t="shared" si="0"/>
        <v>1.2592266326754584</v>
      </c>
      <c r="U16" s="18">
        <f t="shared" si="0"/>
        <v>1.2175680072335633</v>
      </c>
      <c r="V16" s="18">
        <f t="shared" si="0"/>
        <v>0.92217048137285451</v>
      </c>
      <c r="W16" s="18">
        <f t="shared" si="0"/>
        <v>0.95057408962869183</v>
      </c>
      <c r="X16" s="18">
        <f t="shared" si="3"/>
        <v>0.84453395214023219</v>
      </c>
      <c r="AA16" s="7">
        <v>2017</v>
      </c>
      <c r="AB16" s="1">
        <f>NPV($G$5, M$11:M16)</f>
        <v>3.787476681882433</v>
      </c>
      <c r="AC16" s="1">
        <f>NPV($G$5, N$11:N16)</f>
        <v>3.7330365653050674</v>
      </c>
      <c r="AD16" s="1">
        <f>NPV($G$5, O$11:O16)</f>
        <v>4.7051815041865952</v>
      </c>
      <c r="AE16" s="1">
        <f>NPV($G$5, P$11:P16)</f>
        <v>4.9462734490292153</v>
      </c>
      <c r="AF16" s="1">
        <f>NPV($G$5, Q$11:Q16)</f>
        <v>5.0007135656065795</v>
      </c>
      <c r="AG16" s="1">
        <f>NPV($G$5, R$11:R16)</f>
        <v>5.2884684675155107</v>
      </c>
      <c r="AH16" s="1">
        <f>NPV($G$5, S$11:S16)</f>
        <v>5.2651369889823556</v>
      </c>
      <c r="AI16" s="1">
        <f>NPV($G$5, T$11:T16)</f>
        <v>5.1718110748497299</v>
      </c>
      <c r="AJ16" s="1">
        <f>NPV($G$5, U$11:U16)</f>
        <v>5.0007135656065795</v>
      </c>
      <c r="AK16" s="1">
        <f>NPV($G$5, V$11:V16)</f>
        <v>3.787476681882433</v>
      </c>
      <c r="AL16" s="1">
        <f>NPV($G$5, W$11:W16)</f>
        <v>3.904134074548216</v>
      </c>
      <c r="AM16" s="1">
        <f>NPV($G$5, X$11:X16)</f>
        <v>3.4686131419292914</v>
      </c>
      <c r="AP16" s="7">
        <v>2017</v>
      </c>
      <c r="AQ16" s="28" t="e">
        <f xml:space="preserve"> NPV($G$5,#REF!)</f>
        <v>#REF!</v>
      </c>
    </row>
    <row r="17" spans="1:43" x14ac:dyDescent="0.25">
      <c r="A17">
        <v>15</v>
      </c>
      <c r="B17" s="33">
        <f>MMULT($AB27:$AM27, 'Heating Loadshapes'!$B$3:$B$14)</f>
        <v>8.5515036066080565</v>
      </c>
      <c r="C17" s="1">
        <f>MMULT($AB27:$AM27,'Heating Loadshapes'!$C$3:$C$14)</f>
        <v>7.6691305511777736</v>
      </c>
      <c r="F17" s="19"/>
      <c r="J17" s="7">
        <v>2018</v>
      </c>
      <c r="K17" s="18">
        <f t="shared" si="2"/>
        <v>1.112840440367229</v>
      </c>
      <c r="L17" s="12">
        <f>'Escalation Rates'!E11</f>
        <v>1.4576039815530439E-2</v>
      </c>
      <c r="M17" s="18">
        <f t="shared" si="0"/>
        <v>0.93561207502605193</v>
      </c>
      <c r="N17" s="18">
        <f t="shared" si="0"/>
        <v>0.9221638521817348</v>
      </c>
      <c r="O17" s="18">
        <f t="shared" si="0"/>
        <v>1.1623106886873951</v>
      </c>
      <c r="P17" s="18">
        <f t="shared" si="0"/>
        <v>1.2218671041407989</v>
      </c>
      <c r="Q17" s="18">
        <f t="shared" si="0"/>
        <v>1.2353153269851156</v>
      </c>
      <c r="R17" s="18">
        <f t="shared" si="0"/>
        <v>1.306398790590791</v>
      </c>
      <c r="S17" s="18">
        <f t="shared" si="0"/>
        <v>1.3006352665146552</v>
      </c>
      <c r="T17" s="18">
        <f t="shared" si="0"/>
        <v>1.2775811702101121</v>
      </c>
      <c r="U17" s="18">
        <f t="shared" si="0"/>
        <v>1.2353153269851156</v>
      </c>
      <c r="V17" s="18">
        <f t="shared" si="0"/>
        <v>0.93561207502605193</v>
      </c>
      <c r="W17" s="18">
        <f t="shared" si="0"/>
        <v>0.96442969540673107</v>
      </c>
      <c r="X17" s="18">
        <f t="shared" si="3"/>
        <v>0.85684391265219539</v>
      </c>
      <c r="AA17" s="7">
        <v>2018</v>
      </c>
      <c r="AB17" s="1">
        <f>NPV($G$5, M$11:M17)</f>
        <v>4.231360135963623</v>
      </c>
      <c r="AC17" s="1">
        <f>NPV($G$5, N$11:N17)</f>
        <v>4.1705397643994644</v>
      </c>
      <c r="AD17" s="1">
        <f>NPV($G$5, O$11:O17)</f>
        <v>5.2566178280451581</v>
      </c>
      <c r="AE17" s="1">
        <f>NPV($G$5, P$11:P17)</f>
        <v>5.525965187829291</v>
      </c>
      <c r="AF17" s="1">
        <f>NPV($G$5, Q$11:Q17)</f>
        <v>5.5867855593934488</v>
      </c>
      <c r="AG17" s="1">
        <f>NPV($G$5, R$11:R17)</f>
        <v>5.9082646662325731</v>
      </c>
      <c r="AH17" s="1">
        <f>NPV($G$5, S$11:S17)</f>
        <v>5.8821987927050774</v>
      </c>
      <c r="AI17" s="1">
        <f>NPV($G$5, T$11:T17)</f>
        <v>5.777935298595092</v>
      </c>
      <c r="AJ17" s="1">
        <f>NPV($G$5, U$11:U17)</f>
        <v>5.5867855593934488</v>
      </c>
      <c r="AK17" s="1">
        <f>NPV($G$5, V$11:V17)</f>
        <v>4.231360135963623</v>
      </c>
      <c r="AL17" s="1">
        <f>NPV($G$5, W$11:W17)</f>
        <v>4.3616895036011059</v>
      </c>
      <c r="AM17" s="1">
        <f>NPV($G$5, X$11:X17)</f>
        <v>3.8751265310878358</v>
      </c>
      <c r="AP17" s="7">
        <v>2018</v>
      </c>
      <c r="AQ17" s="28" t="e">
        <f xml:space="preserve"> NPV($G$5,#REF!)</f>
        <v>#REF!</v>
      </c>
    </row>
    <row r="18" spans="1:43" x14ac:dyDescent="0.25">
      <c r="A18">
        <v>16</v>
      </c>
      <c r="B18" s="33">
        <f>MMULT($AB28:$AM28, 'Heating Loadshapes'!$B$3:$B$14)</f>
        <v>8.7639534577894107</v>
      </c>
      <c r="C18" s="1">
        <f>MMULT($AB28:$AM28,'Heating Loadshapes'!$C$3:$C$14)</f>
        <v>7.8596591084047258</v>
      </c>
      <c r="F18" s="19"/>
      <c r="J18" s="7">
        <v>2019</v>
      </c>
      <c r="K18" s="18">
        <f t="shared" si="2"/>
        <v>1.1374185622385256</v>
      </c>
      <c r="L18" s="12">
        <f>'Escalation Rates'!E12</f>
        <v>2.2085935215641492E-2</v>
      </c>
      <c r="M18" s="18">
        <f t="shared" si="0"/>
        <v>0.9562759427020493</v>
      </c>
      <c r="N18" s="18">
        <f t="shared" si="0"/>
        <v>0.94253070327922706</v>
      </c>
      <c r="O18" s="18">
        <f t="shared" si="0"/>
        <v>1.1879814072581925</v>
      </c>
      <c r="P18" s="18">
        <f t="shared" si="0"/>
        <v>1.248853181844976</v>
      </c>
      <c r="Q18" s="18">
        <f t="shared" si="0"/>
        <v>1.2625984212677979</v>
      </c>
      <c r="R18" s="18">
        <f t="shared" si="0"/>
        <v>1.3352518296455718</v>
      </c>
      <c r="S18" s="18">
        <f t="shared" si="0"/>
        <v>1.3293610127500763</v>
      </c>
      <c r="T18" s="18">
        <f t="shared" si="0"/>
        <v>1.305797745168096</v>
      </c>
      <c r="U18" s="18">
        <f t="shared" si="0"/>
        <v>1.2625984212677979</v>
      </c>
      <c r="V18" s="18">
        <f t="shared" si="0"/>
        <v>0.9562759427020493</v>
      </c>
      <c r="W18" s="18">
        <f t="shared" si="0"/>
        <v>0.98573002717952496</v>
      </c>
      <c r="X18" s="18">
        <f t="shared" si="3"/>
        <v>0.87576811179694858</v>
      </c>
      <c r="AA18" s="7">
        <v>2019</v>
      </c>
      <c r="AB18" s="1">
        <f>NPV($G$5, M$11:M18)</f>
        <v>4.639205367257512</v>
      </c>
      <c r="AC18" s="1">
        <f>NPV($G$5, N$11:N18)</f>
        <v>4.5725227439088423</v>
      </c>
      <c r="AD18" s="1">
        <f>NPV($G$5, O$11:O18)</f>
        <v>5.7632838751351025</v>
      </c>
      <c r="AE18" s="1">
        <f>NPV($G$5, P$11:P18)</f>
        <v>6.0585926356792168</v>
      </c>
      <c r="AF18" s="1">
        <f>NPV($G$5, Q$11:Q18)</f>
        <v>6.1252752590278856</v>
      </c>
      <c r="AG18" s="1">
        <f>NPV($G$5, R$11:R18)</f>
        <v>6.4777405538708592</v>
      </c>
      <c r="AH18" s="1">
        <f>NPV($G$5, S$11:S18)</f>
        <v>6.4491622867214291</v>
      </c>
      <c r="AI18" s="1">
        <f>NPV($G$5, T$11:T18)</f>
        <v>6.3348492181237095</v>
      </c>
      <c r="AJ18" s="1">
        <f>NPV($G$5, U$11:U18)</f>
        <v>6.1252752590278856</v>
      </c>
      <c r="AK18" s="1">
        <f>NPV($G$5, V$11:V18)</f>
        <v>4.639205367257512</v>
      </c>
      <c r="AL18" s="1">
        <f>NPV($G$5, W$11:W18)</f>
        <v>4.7820967030046635</v>
      </c>
      <c r="AM18" s="1">
        <f>NPV($G$5, X$11:X18)</f>
        <v>4.2486357162152988</v>
      </c>
      <c r="AP18" s="7">
        <v>2019</v>
      </c>
      <c r="AQ18" s="28" t="e">
        <f xml:space="preserve"> NPV($G$5,#REF!)</f>
        <v>#REF!</v>
      </c>
    </row>
    <row r="19" spans="1:43" x14ac:dyDescent="0.25">
      <c r="A19">
        <v>17</v>
      </c>
      <c r="B19" s="33">
        <f>MMULT($AB29:$AM29, 'Heating Loadshapes'!$B$3:$B$14)</f>
        <v>8.958042422117817</v>
      </c>
      <c r="C19" s="1">
        <f>MMULT($AB29:$AM29,'Heating Loadshapes'!$C$3:$C$14)</f>
        <v>8.0337213171638027</v>
      </c>
      <c r="F19" s="32"/>
      <c r="J19" s="7">
        <v>2020</v>
      </c>
      <c r="K19" s="18">
        <f t="shared" si="2"/>
        <v>1.1680276171028194</v>
      </c>
      <c r="L19" s="12">
        <f>'Escalation Rates'!E13</f>
        <v>2.6910985876696953E-2</v>
      </c>
      <c r="M19" s="18">
        <f t="shared" si="0"/>
        <v>0.98201027109032912</v>
      </c>
      <c r="N19" s="18">
        <f t="shared" si="0"/>
        <v>0.96789513372352753</v>
      </c>
      <c r="O19" s="18">
        <f t="shared" si="0"/>
        <v>1.2199511581306963</v>
      </c>
      <c r="P19" s="18">
        <f t="shared" si="0"/>
        <v>1.2824610521836741</v>
      </c>
      <c r="Q19" s="18">
        <f t="shared" si="0"/>
        <v>1.2965761895504755</v>
      </c>
      <c r="R19" s="18">
        <f t="shared" si="0"/>
        <v>1.3711847727749973</v>
      </c>
      <c r="S19" s="18">
        <f t="shared" si="0"/>
        <v>1.3651354281892252</v>
      </c>
      <c r="T19" s="18">
        <f t="shared" si="0"/>
        <v>1.3409380498461374</v>
      </c>
      <c r="U19" s="18">
        <f t="shared" si="0"/>
        <v>1.2965761895504755</v>
      </c>
      <c r="V19" s="18">
        <f t="shared" si="0"/>
        <v>0.98201027109032912</v>
      </c>
      <c r="W19" s="18">
        <f t="shared" si="0"/>
        <v>1.0122569940191892</v>
      </c>
      <c r="X19" s="18">
        <f t="shared" si="3"/>
        <v>0.89933589508477774</v>
      </c>
      <c r="AA19" s="7">
        <v>2020</v>
      </c>
      <c r="AB19" s="1">
        <f>NPV($G$5, M$11:M19)</f>
        <v>5.015707298714827</v>
      </c>
      <c r="AC19" s="1">
        <f>NPV($G$5, N$11:N19)</f>
        <v>4.9436129432918223</v>
      </c>
      <c r="AD19" s="1">
        <f>NPV($G$5, O$11:O19)</f>
        <v>6.2310121472740674</v>
      </c>
      <c r="AE19" s="1">
        <f>NPV($G$5, P$11:P19)</f>
        <v>6.5502871498616653</v>
      </c>
      <c r="AF19" s="1">
        <f>NPV($G$5, Q$11:Q19)</f>
        <v>6.62238150528467</v>
      </c>
      <c r="AG19" s="1">
        <f>NPV($G$5, R$11:R19)</f>
        <v>7.0034516696634137</v>
      </c>
      <c r="AH19" s="1">
        <f>NPV($G$5, S$11:S19)</f>
        <v>6.9725540887678408</v>
      </c>
      <c r="AI19" s="1">
        <f>NPV($G$5, T$11:T19)</f>
        <v>6.8489637651855464</v>
      </c>
      <c r="AJ19" s="1">
        <f>NPV($G$5, U$11:U19)</f>
        <v>6.62238150528467</v>
      </c>
      <c r="AK19" s="1">
        <f>NPV($G$5, V$11:V19)</f>
        <v>5.015707298714827</v>
      </c>
      <c r="AL19" s="1">
        <f>NPV($G$5, W$11:W19)</f>
        <v>5.170195203192697</v>
      </c>
      <c r="AM19" s="1">
        <f>NPV($G$5, X$11:X19)</f>
        <v>4.5934403598086515</v>
      </c>
      <c r="AP19" s="7">
        <v>2020</v>
      </c>
      <c r="AQ19" s="28" t="e">
        <f xml:space="preserve"> NPV($G$5,#REF!)</f>
        <v>#REF!</v>
      </c>
    </row>
    <row r="20" spans="1:43" x14ac:dyDescent="0.25">
      <c r="A20">
        <v>18</v>
      </c>
      <c r="B20" s="33">
        <f>MMULT($AB30:$AM30, 'Heating Loadshapes'!$B$3:$B$14)</f>
        <v>9.1351096365374289</v>
      </c>
      <c r="C20" s="1">
        <f>MMULT($AB30:$AM30,'Heating Loadshapes'!$C$3:$C$14)</f>
        <v>8.1925181377215406</v>
      </c>
      <c r="F20" s="32"/>
      <c r="J20" s="7">
        <v>2021</v>
      </c>
      <c r="K20" s="18">
        <f t="shared" si="2"/>
        <v>1.2147910277386362</v>
      </c>
      <c r="L20" s="12">
        <f>'Escalation Rates'!E14</f>
        <v>4.0036219992647774E-2</v>
      </c>
      <c r="M20" s="18">
        <f t="shared" si="0"/>
        <v>1.0213262503387412</v>
      </c>
      <c r="N20" s="18">
        <f t="shared" si="0"/>
        <v>1.0066459962270962</v>
      </c>
      <c r="O20" s="18">
        <f t="shared" si="0"/>
        <v>1.2687933910779023</v>
      </c>
      <c r="P20" s="18">
        <f t="shared" si="0"/>
        <v>1.3338059450009025</v>
      </c>
      <c r="Q20" s="18">
        <f t="shared" si="0"/>
        <v>1.3484861991125474</v>
      </c>
      <c r="R20" s="18">
        <f t="shared" si="0"/>
        <v>1.426081827988386</v>
      </c>
      <c r="S20" s="18">
        <f t="shared" si="0"/>
        <v>1.4197902905119666</v>
      </c>
      <c r="T20" s="18">
        <f t="shared" si="0"/>
        <v>1.3946241406062896</v>
      </c>
      <c r="U20" s="18">
        <f t="shared" si="0"/>
        <v>1.3484861991125474</v>
      </c>
      <c r="V20" s="18">
        <f t="shared" si="0"/>
        <v>1.0213262503387412</v>
      </c>
      <c r="W20" s="18">
        <f t="shared" si="0"/>
        <v>1.0527839377208381</v>
      </c>
      <c r="X20" s="18">
        <f t="shared" si="3"/>
        <v>0.93534190482767687</v>
      </c>
      <c r="AA20" s="7">
        <v>2021</v>
      </c>
      <c r="AB20" s="1">
        <f>NPV($G$5, M$11:M20)</f>
        <v>5.3677170484566448</v>
      </c>
      <c r="AC20" s="1">
        <f>NPV($G$5, N$11:N20)</f>
        <v>5.2905630046389929</v>
      </c>
      <c r="AD20" s="1">
        <f>NPV($G$5, O$11:O20)</f>
        <v>6.6683137870970635</v>
      </c>
      <c r="AE20" s="1">
        <f>NPV($G$5, P$11:P20)</f>
        <v>7.009995981146667</v>
      </c>
      <c r="AF20" s="1">
        <f>NPV($G$5, Q$11:Q20)</f>
        <v>7.0871500249643171</v>
      </c>
      <c r="AG20" s="1">
        <f>NPV($G$5, R$11:R20)</f>
        <v>7.4949642565719055</v>
      </c>
      <c r="AH20" s="1">
        <f>NPV($G$5, S$11:S20)</f>
        <v>7.4618982377929113</v>
      </c>
      <c r="AI20" s="1">
        <f>NPV($G$5, T$11:T20)</f>
        <v>7.329634162676939</v>
      </c>
      <c r="AJ20" s="1">
        <f>NPV($G$5, U$11:U20)</f>
        <v>7.0871500249643171</v>
      </c>
      <c r="AK20" s="1">
        <f>NPV($G$5, V$11:V20)</f>
        <v>5.3677170484566448</v>
      </c>
      <c r="AL20" s="1">
        <f>NPV($G$5, W$11:W20)</f>
        <v>5.533047142351613</v>
      </c>
      <c r="AM20" s="1">
        <f>NPV($G$5, X$11:X20)</f>
        <v>4.9158147918103978</v>
      </c>
      <c r="AP20" s="7">
        <v>2021</v>
      </c>
      <c r="AQ20" s="28" t="e">
        <f xml:space="preserve"> NPV($G$5,#REF!)</f>
        <v>#REF!</v>
      </c>
    </row>
    <row r="21" spans="1:43" x14ac:dyDescent="0.25">
      <c r="A21">
        <v>19</v>
      </c>
      <c r="B21" s="33">
        <f>MMULT($AB31:$AM31, 'Heating Loadshapes'!$B$3:$B$14)</f>
        <v>9.2966494280490526</v>
      </c>
      <c r="C21" s="1">
        <f>MMULT($AB31:$AM31,'Heating Loadshapes'!$C$3:$C$14)</f>
        <v>8.3373897073663663</v>
      </c>
      <c r="F21" s="32"/>
      <c r="J21" s="7">
        <v>2022</v>
      </c>
      <c r="K21" s="18">
        <f t="shared" si="2"/>
        <v>1.2645935848110392</v>
      </c>
      <c r="L21" s="12">
        <f>'Escalation Rates'!E15</f>
        <v>4.0996810097545501E-2</v>
      </c>
      <c r="M21" s="18">
        <f t="shared" si="0"/>
        <v>1.063197368671517</v>
      </c>
      <c r="N21" s="18">
        <f t="shared" si="0"/>
        <v>1.0479152709698729</v>
      </c>
      <c r="O21" s="18">
        <f t="shared" si="0"/>
        <v>1.320809872784944</v>
      </c>
      <c r="P21" s="18">
        <f t="shared" si="0"/>
        <v>1.3884877340350816</v>
      </c>
      <c r="Q21" s="18">
        <f t="shared" si="0"/>
        <v>1.4037698317367255</v>
      </c>
      <c r="R21" s="18">
        <f t="shared" si="0"/>
        <v>1.4845466338739866</v>
      </c>
      <c r="S21" s="18">
        <f t="shared" si="0"/>
        <v>1.4779971634304248</v>
      </c>
      <c r="T21" s="18">
        <f t="shared" si="0"/>
        <v>1.4517992816561782</v>
      </c>
      <c r="U21" s="18">
        <f t="shared" si="0"/>
        <v>1.4037698317367255</v>
      </c>
      <c r="V21" s="18">
        <f t="shared" si="0"/>
        <v>1.063197368671517</v>
      </c>
      <c r="W21" s="18">
        <f t="shared" si="0"/>
        <v>1.0959447208893254</v>
      </c>
      <c r="X21" s="18">
        <f t="shared" si="3"/>
        <v>0.97368793927617359</v>
      </c>
      <c r="AA21" s="7">
        <v>2022</v>
      </c>
      <c r="AB21" s="1">
        <f>NPV($G$5, M$11:M21)</f>
        <v>5.6971318512294484</v>
      </c>
      <c r="AC21" s="1">
        <f>NPV($G$5, N$11:N21)</f>
        <v>5.6152428923822075</v>
      </c>
      <c r="AD21" s="1">
        <f>NPV($G$5, O$11:O21)</f>
        <v>7.0775457289400743</v>
      </c>
      <c r="AE21" s="1">
        <f>NPV($G$5, P$11:P21)</f>
        <v>7.4401968324064267</v>
      </c>
      <c r="AF21" s="1">
        <f>NPV($G$5, Q$11:Q21)</f>
        <v>7.5220857912536658</v>
      </c>
      <c r="AG21" s="1">
        <f>NPV($G$5, R$11:R21)</f>
        <v>7.9549274308747924</v>
      </c>
      <c r="AH21" s="1">
        <f>NPV($G$5, S$11:S21)</f>
        <v>7.9198321627974044</v>
      </c>
      <c r="AI21" s="1">
        <f>NPV($G$5, T$11:T21)</f>
        <v>7.7794510904878518</v>
      </c>
      <c r="AJ21" s="1">
        <f>NPV($G$5, U$11:U21)</f>
        <v>7.5220857912536658</v>
      </c>
      <c r="AK21" s="1">
        <f>NPV($G$5, V$11:V21)</f>
        <v>5.6971318512294484</v>
      </c>
      <c r="AL21" s="1">
        <f>NPV($G$5, W$11:W21)</f>
        <v>5.8726081916163917</v>
      </c>
      <c r="AM21" s="1">
        <f>NPV($G$5, X$11:X21)</f>
        <v>5.2174965208384689</v>
      </c>
      <c r="AP21" s="7">
        <v>2022</v>
      </c>
      <c r="AQ21" s="28" t="e">
        <f xml:space="preserve"> NPV($G$5,#REF!)</f>
        <v>#REF!</v>
      </c>
    </row>
    <row r="22" spans="1:43" x14ac:dyDescent="0.25">
      <c r="A22">
        <v>20</v>
      </c>
      <c r="B22" s="33">
        <f>MMULT($AB32:$AM32, 'Heating Loadshapes'!$B$3:$B$14)</f>
        <v>9.4457179352033513</v>
      </c>
      <c r="C22" s="1">
        <f>MMULT($AB32:$AM32,'Heating Loadshapes'!$C$3:$C$14)</f>
        <v>8.4710768219402368</v>
      </c>
      <c r="F22" s="41"/>
      <c r="J22" s="7">
        <v>2023</v>
      </c>
      <c r="K22" s="18">
        <f t="shared" si="2"/>
        <v>1.3045295553781771</v>
      </c>
      <c r="L22" s="12">
        <f>'Escalation Rates'!E16</f>
        <v>3.1580083156206501E-2</v>
      </c>
      <c r="M22" s="18">
        <f t="shared" si="0"/>
        <v>1.0967732299856234</v>
      </c>
      <c r="N22" s="18">
        <f t="shared" si="0"/>
        <v>1.0810085223677599</v>
      </c>
      <c r="O22" s="18">
        <f>$K22*O$10</f>
        <v>1.3625211584010308</v>
      </c>
      <c r="P22" s="18">
        <f t="shared" si="0"/>
        <v>1.4323362921372822</v>
      </c>
      <c r="Q22" s="18">
        <f t="shared" si="0"/>
        <v>1.4481009997551453</v>
      </c>
      <c r="R22" s="18">
        <f t="shared" si="0"/>
        <v>1.5314287400209934</v>
      </c>
      <c r="S22" s="18">
        <f t="shared" si="0"/>
        <v>1.5246724367561948</v>
      </c>
      <c r="T22" s="18">
        <f t="shared" si="0"/>
        <v>1.4976472236970011</v>
      </c>
      <c r="U22" s="18">
        <f t="shared" si="0"/>
        <v>1.4481009997551453</v>
      </c>
      <c r="V22" s="18">
        <f t="shared" si="0"/>
        <v>1.0967732299856234</v>
      </c>
      <c r="W22" s="18">
        <f t="shared" si="0"/>
        <v>1.1305547463096157</v>
      </c>
      <c r="X22" s="18">
        <f t="shared" si="3"/>
        <v>1.0044370853667104</v>
      </c>
      <c r="AA22" s="7">
        <v>2023</v>
      </c>
      <c r="AB22" s="1">
        <f>NPV($G$5, M$11:M22)</f>
        <v>6.0026134672284188</v>
      </c>
      <c r="AC22" s="1">
        <f>NPV($G$5, N$11:N22)</f>
        <v>5.9163336021963877</v>
      </c>
      <c r="AD22" s="1">
        <f>NPV($G$5, O$11:O22)</f>
        <v>7.4570454777683635</v>
      </c>
      <c r="AE22" s="1">
        <f>NPV($G$5, P$11:P22)</f>
        <v>7.8391420229102149</v>
      </c>
      <c r="AF22" s="1">
        <f>NPV($G$5, Q$11:Q22)</f>
        <v>7.9254218879422442</v>
      </c>
      <c r="AG22" s="1">
        <f>NPV($G$5, R$11:R22)</f>
        <v>8.381472603111547</v>
      </c>
      <c r="AH22" s="1">
        <f>NPV($G$5, S$11:S22)</f>
        <v>8.3444955180978209</v>
      </c>
      <c r="AI22" s="1">
        <f>NPV($G$5, T$11:T22)</f>
        <v>8.1965871780429147</v>
      </c>
      <c r="AJ22" s="1">
        <f>NPV($G$5, U$11:U22)</f>
        <v>7.9254218879422442</v>
      </c>
      <c r="AK22" s="1">
        <f>NPV($G$5, V$11:V22)</f>
        <v>6.0026134672284188</v>
      </c>
      <c r="AL22" s="1">
        <f>NPV($G$5, W$11:W22)</f>
        <v>6.1874988922970546</v>
      </c>
      <c r="AM22" s="1">
        <f>NPV($G$5, X$11:X22)</f>
        <v>5.4972599720408111</v>
      </c>
      <c r="AP22" s="7">
        <v>2023</v>
      </c>
      <c r="AQ22" s="28" t="e">
        <f xml:space="preserve"> NPV($G$5,#REF!)</f>
        <v>#REF!</v>
      </c>
    </row>
    <row r="23" spans="1:43" x14ac:dyDescent="0.25">
      <c r="A23">
        <v>21</v>
      </c>
      <c r="B23" s="33">
        <f>MMULT($AB33:$AM33, 'Heating Loadshapes'!$B$3:$B$14)</f>
        <v>9.5840817638049174</v>
      </c>
      <c r="C23" s="1">
        <f>MMULT($AB33:$AM33,'Heating Loadshapes'!$C$3:$C$14)</f>
        <v>8.5951638028878019</v>
      </c>
      <c r="F23" s="7"/>
      <c r="J23" s="7">
        <v>2024</v>
      </c>
      <c r="K23" s="18">
        <f t="shared" si="2"/>
        <v>1.3256684557411935</v>
      </c>
      <c r="L23" s="12">
        <f>'Escalation Rates'!E17</f>
        <v>1.6204232610803903E-2</v>
      </c>
      <c r="M23" s="18">
        <f t="shared" si="0"/>
        <v>1.114545598525613</v>
      </c>
      <c r="N23" s="18">
        <f t="shared" si="0"/>
        <v>1.0985254359184684</v>
      </c>
      <c r="O23" s="18">
        <f t="shared" si="0"/>
        <v>1.3845997681889031</v>
      </c>
      <c r="P23" s="18">
        <f t="shared" si="0"/>
        <v>1.455546202591971</v>
      </c>
      <c r="Q23" s="18">
        <f t="shared" si="0"/>
        <v>1.4715663651991151</v>
      </c>
      <c r="R23" s="18">
        <f t="shared" si="0"/>
        <v>1.5562443675511637</v>
      </c>
      <c r="S23" s="18">
        <f t="shared" si="0"/>
        <v>1.5493785835766734</v>
      </c>
      <c r="T23" s="18">
        <f t="shared" si="0"/>
        <v>1.5219154476787118</v>
      </c>
      <c r="U23" s="18">
        <f t="shared" si="0"/>
        <v>1.4715663651991151</v>
      </c>
      <c r="V23" s="18">
        <f t="shared" si="0"/>
        <v>1.114545598525613</v>
      </c>
      <c r="W23" s="18">
        <f t="shared" si="0"/>
        <v>1.1488745183980651</v>
      </c>
      <c r="X23" s="18">
        <f t="shared" si="3"/>
        <v>1.0207132175409104</v>
      </c>
      <c r="AA23" s="7">
        <v>2024</v>
      </c>
      <c r="AB23" s="1">
        <f>NPV($G$5, M$11:M23)</f>
        <v>6.2816782920782401</v>
      </c>
      <c r="AC23" s="1">
        <f>NPV($G$5, N$11:N23)</f>
        <v>6.1913872283317346</v>
      </c>
      <c r="AD23" s="1">
        <f>NPV($G$5, O$11:O23)</f>
        <v>7.803727652376458</v>
      </c>
      <c r="AE23" s="1">
        <f>NPV($G$5, P$11:P23)</f>
        <v>8.2035880775395498</v>
      </c>
      <c r="AF23" s="1">
        <f>NPV($G$5, Q$11:Q23)</f>
        <v>8.2938791412860535</v>
      </c>
      <c r="AG23" s="1">
        <f>NPV($G$5, R$11:R23)</f>
        <v>8.7711319068032889</v>
      </c>
      <c r="AH23" s="1">
        <f>NPV($G$5, S$11:S23)</f>
        <v>8.7324357366262166</v>
      </c>
      <c r="AI23" s="1">
        <f>NPV($G$5, T$11:T23)</f>
        <v>8.5776510559179275</v>
      </c>
      <c r="AJ23" s="1">
        <f>NPV($G$5, U$11:U23)</f>
        <v>8.2938791412860535</v>
      </c>
      <c r="AK23" s="1">
        <f>NPV($G$5, V$11:V23)</f>
        <v>6.2816782920782401</v>
      </c>
      <c r="AL23" s="1">
        <f>NPV($G$5, W$11:W23)</f>
        <v>6.475159142963606</v>
      </c>
      <c r="AM23" s="1">
        <f>NPV($G$5, X$11:X23)</f>
        <v>5.7528306329915706</v>
      </c>
      <c r="AP23" s="7">
        <v>2024</v>
      </c>
      <c r="AQ23" s="28" t="e">
        <f xml:space="preserve"> NPV($G$5,#REF!)</f>
        <v>#REF!</v>
      </c>
    </row>
    <row r="24" spans="1:43" x14ac:dyDescent="0.25">
      <c r="A24">
        <v>22</v>
      </c>
      <c r="B24" s="33">
        <f>MMULT($AB34:$AM34, 'Heating Loadshapes'!$B$3:$B$14)</f>
        <v>9.7064854251419153</v>
      </c>
      <c r="C24" s="1">
        <f>MMULT($AB34:$AM34,'Heating Loadshapes'!$C$3:$C$14)</f>
        <v>8.7049374405917241</v>
      </c>
      <c r="F24" s="19"/>
      <c r="J24" s="7">
        <v>2025</v>
      </c>
      <c r="K24" s="18">
        <f t="shared" si="2"/>
        <v>1.3606188881529175</v>
      </c>
      <c r="L24" s="12">
        <f>'Escalation Rates'!E18</f>
        <v>2.6364384141721826E-2</v>
      </c>
      <c r="M24" s="18">
        <f t="shared" si="0"/>
        <v>1.1439299068286075</v>
      </c>
      <c r="N24" s="18">
        <f t="shared" si="0"/>
        <v>1.1274873825004754</v>
      </c>
      <c r="O24" s="18">
        <f t="shared" si="0"/>
        <v>1.4211038883599745</v>
      </c>
      <c r="P24" s="18">
        <f t="shared" si="0"/>
        <v>1.4939207818131301</v>
      </c>
      <c r="Q24" s="18">
        <f t="shared" si="0"/>
        <v>1.510363306141262</v>
      </c>
      <c r="R24" s="18">
        <f t="shared" si="0"/>
        <v>1.5972737918756736</v>
      </c>
      <c r="S24" s="18">
        <f t="shared" si="0"/>
        <v>1.5902269957350457</v>
      </c>
      <c r="T24" s="18">
        <f t="shared" si="0"/>
        <v>1.562039811172534</v>
      </c>
      <c r="U24" s="18">
        <f t="shared" si="0"/>
        <v>1.510363306141262</v>
      </c>
      <c r="V24" s="18">
        <f t="shared" si="0"/>
        <v>1.1439299068286075</v>
      </c>
      <c r="W24" s="18">
        <f t="shared" si="0"/>
        <v>1.1791638875317474</v>
      </c>
      <c r="X24" s="18">
        <f t="shared" si="3"/>
        <v>1.047623692906692</v>
      </c>
      <c r="AA24" s="7">
        <v>2025</v>
      </c>
      <c r="AB24" s="1">
        <f>NPV($G$5, M$11:M24)</f>
        <v>6.5391595911546556</v>
      </c>
      <c r="AC24" s="1">
        <f>NPV($G$5, N$11:N24)</f>
        <v>6.4451675641770727</v>
      </c>
      <c r="AD24" s="1">
        <f>NPV($G$5, O$11:O24)</f>
        <v>8.1235966173481859</v>
      </c>
      <c r="AE24" s="1">
        <f>NPV($G$5, P$11:P24)</f>
        <v>8.539847022534623</v>
      </c>
      <c r="AF24" s="1">
        <f>NPV($G$5, Q$11:Q24)</f>
        <v>8.6338390495122042</v>
      </c>
      <c r="AG24" s="1">
        <f>NPV($G$5, R$11:R24)</f>
        <v>9.1306540492508503</v>
      </c>
      <c r="AH24" s="1">
        <f>NPV($G$5, S$11:S24)</f>
        <v>9.0903717519747467</v>
      </c>
      <c r="AI24" s="1">
        <f>NPV($G$5, T$11:T24)</f>
        <v>8.9292425628703214</v>
      </c>
      <c r="AJ24" s="1">
        <f>NPV($G$5, U$11:U24)</f>
        <v>8.6338390495122042</v>
      </c>
      <c r="AK24" s="1">
        <f>NPV($G$5, V$11:V24)</f>
        <v>6.5391595911546556</v>
      </c>
      <c r="AL24" s="1">
        <f>NPV($G$5, W$11:W24)</f>
        <v>6.7405710775351881</v>
      </c>
      <c r="AM24" s="1">
        <f>NPV($G$5, X$11:X24)</f>
        <v>5.9886348617145302</v>
      </c>
      <c r="AP24" s="7">
        <v>2025</v>
      </c>
      <c r="AQ24" s="28" t="e">
        <f xml:space="preserve"> NPV($G$5,#REF!)</f>
        <v>#REF!</v>
      </c>
    </row>
    <row r="25" spans="1:43" x14ac:dyDescent="0.25">
      <c r="A25">
        <v>23</v>
      </c>
      <c r="B25" s="33">
        <f>'Avd. Costs Predicted—High'!B24</f>
        <v>7.5517999999999992</v>
      </c>
      <c r="C25" s="1">
        <f>'Avd. Costs Predicted—High'!C24</f>
        <v>6.8063000000000002</v>
      </c>
      <c r="F25" s="19"/>
      <c r="J25" s="7">
        <v>2026</v>
      </c>
      <c r="K25" s="18">
        <f t="shared" si="2"/>
        <v>1.3943942656355284</v>
      </c>
      <c r="L25" s="12">
        <f>'Escalation Rates'!E19</f>
        <v>2.4823540064523093E-2</v>
      </c>
      <c r="M25" s="18">
        <f t="shared" si="0"/>
        <v>1.1723262967017738</v>
      </c>
      <c r="N25" s="18">
        <f t="shared" si="0"/>
        <v>1.1554756107122204</v>
      </c>
      <c r="O25" s="18">
        <f t="shared" si="0"/>
        <v>1.4563807176685277</v>
      </c>
      <c r="P25" s="18">
        <f t="shared" si="0"/>
        <v>1.531005184193692</v>
      </c>
      <c r="Q25" s="18">
        <f t="shared" si="0"/>
        <v>1.5478558701832452</v>
      </c>
      <c r="R25" s="18">
        <f t="shared" si="0"/>
        <v>1.6369237818423121</v>
      </c>
      <c r="S25" s="18">
        <f t="shared" si="0"/>
        <v>1.6297020592753606</v>
      </c>
      <c r="T25" s="18">
        <f t="shared" si="0"/>
        <v>1.6008151690075556</v>
      </c>
      <c r="U25" s="18">
        <f t="shared" si="0"/>
        <v>1.5478558701832452</v>
      </c>
      <c r="V25" s="18">
        <f t="shared" si="0"/>
        <v>1.1723262967017738</v>
      </c>
      <c r="W25" s="18">
        <f t="shared" si="0"/>
        <v>1.2084349095365305</v>
      </c>
      <c r="X25" s="18">
        <f t="shared" si="3"/>
        <v>1.0736294216201048</v>
      </c>
      <c r="AA25" s="7">
        <v>2026</v>
      </c>
      <c r="AB25" s="1">
        <f>NPV($G$5, M$11:M25)</f>
        <v>6.7763700338190791</v>
      </c>
      <c r="AC25" s="1">
        <f>NPV($G$5, N$11:N25)</f>
        <v>6.6789684111563812</v>
      </c>
      <c r="AD25" s="1">
        <f>NPV($G$5, O$11:O25)</f>
        <v>8.4182831015616877</v>
      </c>
      <c r="AE25" s="1">
        <f>NPV($G$5, P$11:P25)</f>
        <v>8.8496331447822065</v>
      </c>
      <c r="AF25" s="1">
        <f>NPV($G$5, Q$11:Q25)</f>
        <v>8.9470347674449027</v>
      </c>
      <c r="AG25" s="1">
        <f>NPV($G$5, R$11:R25)</f>
        <v>9.4618719158048705</v>
      </c>
      <c r="AH25" s="1">
        <f>NPV($G$5, S$11:S25)</f>
        <v>9.4201283632351451</v>
      </c>
      <c r="AI25" s="1">
        <f>NPV($G$5, T$11:T25)</f>
        <v>9.2531541529562364</v>
      </c>
      <c r="AJ25" s="1">
        <f>NPV($G$5, U$11:U25)</f>
        <v>8.9470347674449027</v>
      </c>
      <c r="AK25" s="1">
        <f>NPV($G$5, V$11:V25)</f>
        <v>6.7763700338190791</v>
      </c>
      <c r="AL25" s="1">
        <f>NPV($G$5, W$11:W25)</f>
        <v>6.985087796667715</v>
      </c>
      <c r="AM25" s="1">
        <f>NPV($G$5, X$11:X25)</f>
        <v>6.2058748153661378</v>
      </c>
      <c r="AP25" s="7">
        <v>2026</v>
      </c>
      <c r="AQ25" s="28" t="e">
        <f xml:space="preserve"> NPV($G$5,#REF!)</f>
        <v>#REF!</v>
      </c>
    </row>
    <row r="26" spans="1:43" x14ac:dyDescent="0.25">
      <c r="A26">
        <v>24</v>
      </c>
      <c r="B26" s="33">
        <f>'Avd. Costs Predicted—High'!B25</f>
        <v>7.6294000000000004</v>
      </c>
      <c r="C26" s="1">
        <f>'Avd. Costs Predicted—High'!C25</f>
        <v>6.8788999999999998</v>
      </c>
      <c r="F26" s="19"/>
      <c r="J26" s="7">
        <v>2027</v>
      </c>
      <c r="K26" s="18">
        <f t="shared" si="2"/>
        <v>1.4139555520879388</v>
      </c>
      <c r="L26" s="12">
        <f>'Escalation Rates'!E20</f>
        <v>1.4028519002475068E-2</v>
      </c>
      <c r="M26" s="18">
        <f t="shared" si="0"/>
        <v>1.1887722984321558</v>
      </c>
      <c r="N26" s="18">
        <f t="shared" si="0"/>
        <v>1.1716852222739933</v>
      </c>
      <c r="O26" s="18">
        <f t="shared" si="0"/>
        <v>1.4768115822411791</v>
      </c>
      <c r="P26" s="18">
        <f t="shared" si="0"/>
        <v>1.5524829195130414</v>
      </c>
      <c r="Q26" s="18">
        <f t="shared" si="0"/>
        <v>1.5695699956712035</v>
      </c>
      <c r="R26" s="18">
        <f t="shared" si="0"/>
        <v>1.6598873982214906</v>
      </c>
      <c r="S26" s="18">
        <f t="shared" si="0"/>
        <v>1.6525643655822779</v>
      </c>
      <c r="T26" s="18">
        <f t="shared" si="0"/>
        <v>1.6232722350254285</v>
      </c>
      <c r="U26" s="18">
        <f t="shared" si="0"/>
        <v>1.5695699956712035</v>
      </c>
      <c r="V26" s="18">
        <f t="shared" si="0"/>
        <v>1.1887722984321558</v>
      </c>
      <c r="W26" s="18">
        <f t="shared" si="0"/>
        <v>1.2253874616282181</v>
      </c>
      <c r="X26" s="18">
        <f t="shared" si="3"/>
        <v>1.0886908523629188</v>
      </c>
      <c r="AA26" s="7">
        <v>2027</v>
      </c>
      <c r="AB26" s="1">
        <f>NPV($G$5, M$11:M26)</f>
        <v>6.9926035414304835</v>
      </c>
      <c r="AC26" s="1">
        <f>NPV($G$5, N$11:N26)</f>
        <v>6.8920938396029401</v>
      </c>
      <c r="AD26" s="1">
        <f>NPV($G$5, O$11:O26)</f>
        <v>8.6869099436662047</v>
      </c>
      <c r="AE26" s="1">
        <f>NPV($G$5, P$11:P26)</f>
        <v>9.1320243374738972</v>
      </c>
      <c r="AF26" s="1">
        <f>NPV($G$5, Q$11:Q26)</f>
        <v>9.2325340393014379</v>
      </c>
      <c r="AG26" s="1">
        <f>NPV($G$5, R$11:R26)</f>
        <v>9.763799606104163</v>
      </c>
      <c r="AH26" s="1">
        <f>NPV($G$5, S$11:S26)</f>
        <v>9.7207240196066458</v>
      </c>
      <c r="AI26" s="1">
        <f>NPV($G$5, T$11:T26)</f>
        <v>9.5484216736165735</v>
      </c>
      <c r="AJ26" s="1">
        <f>NPV($G$5, U$11:U26)</f>
        <v>9.2325340393014379</v>
      </c>
      <c r="AK26" s="1">
        <f>NPV($G$5, V$11:V26)</f>
        <v>6.9926035414304835</v>
      </c>
      <c r="AL26" s="1">
        <f>NPV($G$5, W$11:W26)</f>
        <v>7.2079814739180748</v>
      </c>
      <c r="AM26" s="1">
        <f>NPV($G$5, X$11:X26)</f>
        <v>6.4039038592977322</v>
      </c>
      <c r="AP26" s="7">
        <v>2027</v>
      </c>
      <c r="AQ26" s="28" t="e">
        <f xml:space="preserve"> NPV($G$5,#REF!)</f>
        <v>#REF!</v>
      </c>
    </row>
    <row r="27" spans="1:43" x14ac:dyDescent="0.25">
      <c r="A27">
        <v>25</v>
      </c>
      <c r="B27" s="33">
        <f>'Avd. Costs Predicted—High'!B26</f>
        <v>7.6907999999999994</v>
      </c>
      <c r="C27" s="1">
        <f>'Avd. Costs Predicted—High'!C26</f>
        <v>6.9370999999999992</v>
      </c>
      <c r="J27" s="7">
        <v>2028</v>
      </c>
      <c r="K27" s="18">
        <f t="shared" si="2"/>
        <v>1.4330347944452746</v>
      </c>
      <c r="L27" s="12">
        <f>'Escalation Rates'!E21</f>
        <v>1.3493523420281435E-2</v>
      </c>
      <c r="M27" s="18">
        <f t="shared" si="0"/>
        <v>1.2048130252824321</v>
      </c>
      <c r="N27" s="18">
        <f t="shared" si="0"/>
        <v>1.1874953842619453</v>
      </c>
      <c r="O27" s="18">
        <f t="shared" si="0"/>
        <v>1.4967389739134935</v>
      </c>
      <c r="P27" s="18">
        <f t="shared" si="0"/>
        <v>1.5734313841470777</v>
      </c>
      <c r="Q27" s="18">
        <f t="shared" si="0"/>
        <v>1.5907490251675642</v>
      </c>
      <c r="R27" s="18">
        <f t="shared" si="0"/>
        <v>1.6822851277044226</v>
      </c>
      <c r="S27" s="18">
        <f t="shared" si="0"/>
        <v>1.6748632815527853</v>
      </c>
      <c r="T27" s="18">
        <f t="shared" si="0"/>
        <v>1.6451758969462369</v>
      </c>
      <c r="U27" s="18">
        <f t="shared" si="0"/>
        <v>1.5907490251675642</v>
      </c>
      <c r="V27" s="18">
        <f t="shared" si="0"/>
        <v>1.2048130252824321</v>
      </c>
      <c r="W27" s="18">
        <f t="shared" si="0"/>
        <v>1.2419222560406178</v>
      </c>
      <c r="X27" s="18">
        <f t="shared" si="3"/>
        <v>1.1033811278767243</v>
      </c>
      <c r="AA27" s="7">
        <v>2028</v>
      </c>
      <c r="AB27" s="1">
        <f>NPV($G$5, M$11:M27)</f>
        <v>7.1896111461685352</v>
      </c>
      <c r="AC27" s="1">
        <f>NPV($G$5, N$11:N27)</f>
        <v>7.0862697128560503</v>
      </c>
      <c r="AD27" s="1">
        <f>NPV($G$5, O$11:O27)</f>
        <v>8.9316524505789801</v>
      </c>
      <c r="AE27" s="1">
        <f>NPV($G$5, P$11:P27)</f>
        <v>9.3893073695342686</v>
      </c>
      <c r="AF27" s="1">
        <f>NPV($G$5, Q$11:Q27)</f>
        <v>9.4926488028467499</v>
      </c>
      <c r="AG27" s="1">
        <f>NPV($G$5, R$11:R27)</f>
        <v>10.038882093212735</v>
      </c>
      <c r="AH27" s="1">
        <f>NPV($G$5, S$11:S27)</f>
        <v>9.9945929075073874</v>
      </c>
      <c r="AI27" s="1">
        <f>NPV($G$5, T$11:T27)</f>
        <v>9.8174361646859882</v>
      </c>
      <c r="AJ27" s="1">
        <f>NPV($G$5, U$11:U27)</f>
        <v>9.4926488028467499</v>
      </c>
      <c r="AK27" s="1">
        <f>NPV($G$5, V$11:V27)</f>
        <v>7.1896111461685352</v>
      </c>
      <c r="AL27" s="1">
        <f>NPV($G$5, W$11:W27)</f>
        <v>7.4110570746952869</v>
      </c>
      <c r="AM27" s="1">
        <f>NPV($G$5, X$11:X27)</f>
        <v>6.5843256081954138</v>
      </c>
      <c r="AP27" s="7">
        <v>2028</v>
      </c>
      <c r="AQ27" s="28" t="e">
        <f xml:space="preserve"> NPV($G$5,#REF!)</f>
        <v>#REF!</v>
      </c>
    </row>
    <row r="28" spans="1:43" x14ac:dyDescent="0.25">
      <c r="B28" s="33"/>
      <c r="C28" s="1"/>
      <c r="J28" s="7">
        <v>2029</v>
      </c>
      <c r="K28" s="18">
        <f t="shared" si="2"/>
        <v>1.4452869279219052</v>
      </c>
      <c r="L28" s="12">
        <f>'Escalation Rates'!E22</f>
        <v>8.5497808735154942E-3</v>
      </c>
      <c r="M28" s="18">
        <f t="shared" si="0"/>
        <v>1.2151139126421544</v>
      </c>
      <c r="N28" s="18">
        <f t="shared" si="0"/>
        <v>1.1976482095856962</v>
      </c>
      <c r="O28" s="18">
        <f t="shared" si="0"/>
        <v>1.5095357641653047</v>
      </c>
      <c r="P28" s="18">
        <f t="shared" si="0"/>
        <v>1.5868838777010477</v>
      </c>
      <c r="Q28" s="18">
        <f t="shared" si="0"/>
        <v>1.6043495807575054</v>
      </c>
      <c r="R28" s="18">
        <f t="shared" si="0"/>
        <v>1.6966682969130695</v>
      </c>
      <c r="S28" s="18">
        <f t="shared" si="0"/>
        <v>1.6891829956031588</v>
      </c>
      <c r="T28" s="18">
        <f t="shared" si="0"/>
        <v>1.6592417903635168</v>
      </c>
      <c r="U28" s="18">
        <f t="shared" si="0"/>
        <v>1.6043495807575054</v>
      </c>
      <c r="V28" s="18">
        <f t="shared" si="0"/>
        <v>1.2151139126421544</v>
      </c>
      <c r="W28" s="18">
        <f t="shared" si="0"/>
        <v>1.2525404191917073</v>
      </c>
      <c r="X28" s="18">
        <f t="shared" si="3"/>
        <v>1.1128147947400429</v>
      </c>
      <c r="AA28" s="7">
        <v>2029</v>
      </c>
      <c r="AB28" s="1">
        <f>NPV($G$5, M$11:M28)</f>
        <v>7.3682267310201874</v>
      </c>
      <c r="AC28" s="1">
        <f>NPV($G$5, N$11:N28)</f>
        <v>7.262317927904907</v>
      </c>
      <c r="AD28" s="1">
        <f>NPV($G$5, O$11:O28)</f>
        <v>9.1535465549634765</v>
      </c>
      <c r="AE28" s="1">
        <f>NPV($G$5, P$11:P28)</f>
        <v>9.6225712544740052</v>
      </c>
      <c r="AF28" s="1">
        <f>NPV($G$5, Q$11:Q28)</f>
        <v>9.7284800575892802</v>
      </c>
      <c r="AG28" s="1">
        <f>NPV($G$5, R$11:R28)</f>
        <v>10.288283731198614</v>
      </c>
      <c r="AH28" s="1">
        <f>NPV($G$5, S$11:S28)</f>
        <v>10.242894244149213</v>
      </c>
      <c r="AI28" s="1">
        <f>NPV($G$5, T$11:T28)</f>
        <v>10.061336295951591</v>
      </c>
      <c r="AJ28" s="1">
        <f>NPV($G$5, U$11:U28)</f>
        <v>9.7284800575892802</v>
      </c>
      <c r="AK28" s="1">
        <f>NPV($G$5, V$11:V28)</f>
        <v>7.3682267310201874</v>
      </c>
      <c r="AL28" s="1">
        <f>NPV($G$5, W$11:W28)</f>
        <v>7.5951741662672161</v>
      </c>
      <c r="AM28" s="1">
        <f>NPV($G$5, X$11:X28)</f>
        <v>6.7479037413449765</v>
      </c>
      <c r="AP28" s="7">
        <v>2029</v>
      </c>
      <c r="AQ28" s="28" t="e">
        <f xml:space="preserve"> NPV($G$5,#REF!)</f>
        <v>#REF!</v>
      </c>
    </row>
    <row r="29" spans="1:43" x14ac:dyDescent="0.25">
      <c r="B29" s="33"/>
      <c r="C29" s="1"/>
      <c r="J29" s="7">
        <v>2030</v>
      </c>
      <c r="K29" s="18">
        <f t="shared" si="2"/>
        <v>1.4687891856620785</v>
      </c>
      <c r="L29" s="12">
        <f>'Escalation Rates'!E23</f>
        <v>1.6261309284770157E-2</v>
      </c>
      <c r="M29" s="18">
        <f t="shared" si="0"/>
        <v>1.2348732557918556</v>
      </c>
      <c r="N29" s="18">
        <f t="shared" si="0"/>
        <v>1.2171235375361202</v>
      </c>
      <c r="O29" s="18">
        <f t="shared" si="0"/>
        <v>1.5340827921028184</v>
      </c>
      <c r="P29" s="18">
        <f t="shared" si="0"/>
        <v>1.6126886872353596</v>
      </c>
      <c r="Q29" s="18">
        <f t="shared" si="0"/>
        <v>1.6304384054910945</v>
      </c>
      <c r="R29" s="18">
        <f t="shared" si="0"/>
        <v>1.724258344842837</v>
      </c>
      <c r="S29" s="18">
        <f t="shared" si="0"/>
        <v>1.7166513227332363</v>
      </c>
      <c r="T29" s="18">
        <f t="shared" si="0"/>
        <v>1.6862232342948336</v>
      </c>
      <c r="U29" s="18">
        <f t="shared" si="0"/>
        <v>1.6304384054910945</v>
      </c>
      <c r="V29" s="18">
        <f t="shared" si="0"/>
        <v>1.2348732557918556</v>
      </c>
      <c r="W29" s="18">
        <f t="shared" si="0"/>
        <v>1.2729083663398593</v>
      </c>
      <c r="X29" s="18">
        <f t="shared" si="3"/>
        <v>1.1309106202939785</v>
      </c>
      <c r="AA29" s="7">
        <v>2030</v>
      </c>
      <c r="AB29" s="1">
        <f>NPV($G$5, M$11:M29)</f>
        <v>7.5314055409087226</v>
      </c>
      <c r="AC29" s="1">
        <f>NPV($G$5, N$11:N29)</f>
        <v>7.423151251819684</v>
      </c>
      <c r="AD29" s="1">
        <f>NPV($G$5, O$11:O29)</f>
        <v>9.3562635569810606</v>
      </c>
      <c r="AE29" s="1">
        <f>NPV($G$5, P$11:P29)</f>
        <v>9.8356754086610838</v>
      </c>
      <c r="AF29" s="1">
        <f>NPV($G$5, Q$11:Q29)</f>
        <v>9.9439296977501179</v>
      </c>
      <c r="AG29" s="1">
        <f>NPV($G$5, R$11:R29)</f>
        <v>10.516130940077883</v>
      </c>
      <c r="AH29" s="1">
        <f>NPV($G$5, S$11:S29)</f>
        <v>10.469736244754014</v>
      </c>
      <c r="AI29" s="1">
        <f>NPV($G$5, T$11:T29)</f>
        <v>10.284157463458522</v>
      </c>
      <c r="AJ29" s="1">
        <f>NPV($G$5, U$11:U29)</f>
        <v>9.9439296977501179</v>
      </c>
      <c r="AK29" s="1">
        <f>NPV($G$5, V$11:V29)</f>
        <v>7.5314055409087226</v>
      </c>
      <c r="AL29" s="1">
        <f>NPV($G$5, W$11:W29)</f>
        <v>7.7633790175280861</v>
      </c>
      <c r="AM29" s="1">
        <f>NPV($G$5, X$11:X29)</f>
        <v>6.8973447048157901</v>
      </c>
      <c r="AP29" s="7">
        <v>2030</v>
      </c>
      <c r="AQ29" s="28" t="e">
        <f xml:space="preserve"> NPV($G$5,#REF!)</f>
        <v>#REF!</v>
      </c>
    </row>
    <row r="30" spans="1:43" x14ac:dyDescent="0.25">
      <c r="B30" s="33"/>
      <c r="C30" s="1"/>
      <c r="J30" s="7">
        <v>2031</v>
      </c>
      <c r="K30" s="18">
        <f t="shared" si="2"/>
        <v>1.4905884748437683</v>
      </c>
      <c r="L30" s="12">
        <f>'Escalation Rates'!E24</f>
        <v>1.4841673260184974E-2</v>
      </c>
      <c r="M30" s="18">
        <f t="shared" si="0"/>
        <v>1.2532008411720592</v>
      </c>
      <c r="N30" s="18">
        <f t="shared" si="0"/>
        <v>1.2351876873975121</v>
      </c>
      <c r="O30" s="18">
        <f t="shared" si="0"/>
        <v>1.5568511476572808</v>
      </c>
      <c r="P30" s="18">
        <f t="shared" si="0"/>
        <v>1.6366236858017036</v>
      </c>
      <c r="Q30" s="18">
        <f t="shared" si="0"/>
        <v>1.6546368395762505</v>
      </c>
      <c r="R30" s="18">
        <f t="shared" si="0"/>
        <v>1.749849223813142</v>
      </c>
      <c r="S30" s="18">
        <f t="shared" si="0"/>
        <v>1.7421293007669074</v>
      </c>
      <c r="T30" s="18">
        <f t="shared" si="0"/>
        <v>1.7112496085819699</v>
      </c>
      <c r="U30" s="18">
        <f t="shared" si="0"/>
        <v>1.6546368395762505</v>
      </c>
      <c r="V30" s="18">
        <f t="shared" si="0"/>
        <v>1.2532008411720592</v>
      </c>
      <c r="W30" s="18">
        <f t="shared" si="0"/>
        <v>1.2918004564032313</v>
      </c>
      <c r="X30" s="18">
        <f t="shared" si="3"/>
        <v>1.1476952262068549</v>
      </c>
      <c r="AA30" s="7">
        <v>2031</v>
      </c>
      <c r="AB30" s="1">
        <f>NPV($G$5, M$11:M30)</f>
        <v>7.6802734449611192</v>
      </c>
      <c r="AC30" s="1">
        <f>NPV($G$5, N$11:N30)</f>
        <v>7.569879370803565</v>
      </c>
      <c r="AD30" s="1">
        <f>NPV($G$5, O$11:O30)</f>
        <v>9.5412021236169942</v>
      </c>
      <c r="AE30" s="1">
        <f>NPV($G$5, P$11:P30)</f>
        <v>10.030090166314727</v>
      </c>
      <c r="AF30" s="1">
        <f>NPV($G$5, Q$11:Q30)</f>
        <v>10.140484240472276</v>
      </c>
      <c r="AG30" s="1">
        <f>NPV($G$5, R$11:R30)</f>
        <v>10.723995775305047</v>
      </c>
      <c r="AH30" s="1">
        <f>NPV($G$5, S$11:S30)</f>
        <v>10.67668402923753</v>
      </c>
      <c r="AI30" s="1">
        <f>NPV($G$5, T$11:T30)</f>
        <v>10.487437044967441</v>
      </c>
      <c r="AJ30" s="1">
        <f>NPV($G$5, U$11:U30)</f>
        <v>10.140484240472276</v>
      </c>
      <c r="AK30" s="1">
        <f>NPV($G$5, V$11:V30)</f>
        <v>7.6802734449611192</v>
      </c>
      <c r="AL30" s="1">
        <f>NPV($G$5, W$11:W30)</f>
        <v>7.9168321752987287</v>
      </c>
      <c r="AM30" s="1">
        <f>NPV($G$5, X$11:X30)</f>
        <v>7.0336795820383129</v>
      </c>
      <c r="AP30" s="7">
        <v>2031</v>
      </c>
      <c r="AQ30" s="28" t="e">
        <f xml:space="preserve"> NPV($G$5,#REF!)</f>
        <v>#REF!</v>
      </c>
    </row>
    <row r="31" spans="1:43" x14ac:dyDescent="0.25">
      <c r="B31" s="33"/>
      <c r="C31" s="1"/>
      <c r="J31" s="7">
        <v>2032</v>
      </c>
      <c r="K31" s="18">
        <f t="shared" si="2"/>
        <v>1.5127254101641929</v>
      </c>
      <c r="L31" s="12">
        <f>'Escalation Rates'!E25</f>
        <v>1.4851138120294897E-2</v>
      </c>
      <c r="M31" s="18">
        <f t="shared" si="0"/>
        <v>1.2718122999567751</v>
      </c>
      <c r="N31" s="18">
        <f t="shared" si="0"/>
        <v>1.2535316303475401</v>
      </c>
      <c r="O31" s="18">
        <f t="shared" si="0"/>
        <v>1.5799721590838787</v>
      </c>
      <c r="P31" s="18">
        <f t="shared" si="0"/>
        <v>1.6609294102104908</v>
      </c>
      <c r="Q31" s="18">
        <f t="shared" si="0"/>
        <v>1.6792100798197256</v>
      </c>
      <c r="R31" s="18">
        <f t="shared" si="0"/>
        <v>1.7758364763256818</v>
      </c>
      <c r="S31" s="18">
        <f t="shared" si="0"/>
        <v>1.7680019036360097</v>
      </c>
      <c r="T31" s="18">
        <f t="shared" si="0"/>
        <v>1.7366636128773214</v>
      </c>
      <c r="U31" s="18">
        <f t="shared" si="0"/>
        <v>1.6792100798197256</v>
      </c>
      <c r="V31" s="18">
        <f t="shared" si="0"/>
        <v>1.2718122999567751</v>
      </c>
      <c r="W31" s="18">
        <f t="shared" si="0"/>
        <v>1.3109851634051357</v>
      </c>
      <c r="X31" s="18">
        <f t="shared" si="3"/>
        <v>1.1647398065312562</v>
      </c>
      <c r="AA31" s="7">
        <v>2032</v>
      </c>
      <c r="AB31" s="1">
        <f>NPV($G$5, M$11:M31)</f>
        <v>7.8160867871556148</v>
      </c>
      <c r="AC31" s="1">
        <f>NPV($G$5, N$11:N31)</f>
        <v>7.7037405705024513</v>
      </c>
      <c r="AD31" s="1">
        <f>NPV($G$5, O$11:O31)</f>
        <v>9.7099230107374677</v>
      </c>
      <c r="AE31" s="1">
        <f>NPV($G$5, P$11:P31)</f>
        <v>10.207456255915751</v>
      </c>
      <c r="AF31" s="1">
        <f>NPV($G$5, Q$11:Q31)</f>
        <v>10.319802472568909</v>
      </c>
      <c r="AG31" s="1">
        <f>NPV($G$5, R$11:R31)</f>
        <v>10.913632474878471</v>
      </c>
      <c r="AH31" s="1">
        <f>NPV($G$5, S$11:S31)</f>
        <v>10.865484096312834</v>
      </c>
      <c r="AI31" s="1">
        <f>NPV($G$5, T$11:T31)</f>
        <v>10.672890582050275</v>
      </c>
      <c r="AJ31" s="1">
        <f>NPV($G$5, U$11:U31)</f>
        <v>10.319802472568909</v>
      </c>
      <c r="AK31" s="1">
        <f>NPV($G$5, V$11:V31)</f>
        <v>7.8160867871556148</v>
      </c>
      <c r="AL31" s="1">
        <f>NPV($G$5, W$11:W31)</f>
        <v>8.0568286799838145</v>
      </c>
      <c r="AM31" s="1">
        <f>NPV($G$5, X$11:X31)</f>
        <v>7.1580589467585298</v>
      </c>
      <c r="AP31" s="7">
        <v>2032</v>
      </c>
      <c r="AQ31" s="28" t="e">
        <f xml:space="preserve"> NPV($G$5,#REF!)</f>
        <v>#REF!</v>
      </c>
    </row>
    <row r="32" spans="1:43" x14ac:dyDescent="0.25">
      <c r="B32" s="33"/>
      <c r="C32" s="1"/>
      <c r="J32" s="7">
        <v>2033</v>
      </c>
      <c r="K32" s="18">
        <f t="shared" si="2"/>
        <v>1.5528427061466885</v>
      </c>
      <c r="L32" s="12">
        <f>'Escalation Rates'!E26</f>
        <v>2.6519879756724162E-2</v>
      </c>
      <c r="M32" s="18">
        <f t="shared" si="0"/>
        <v>1.3055406092247517</v>
      </c>
      <c r="N32" s="18">
        <f t="shared" si="0"/>
        <v>1.2867751384556072</v>
      </c>
      <c r="O32" s="18">
        <f t="shared" si="0"/>
        <v>1.6218728307617549</v>
      </c>
      <c r="P32" s="18">
        <f t="shared" si="0"/>
        <v>1.7049770584536799</v>
      </c>
      <c r="Q32" s="18">
        <f t="shared" si="0"/>
        <v>1.7237425292228239</v>
      </c>
      <c r="R32" s="18">
        <f t="shared" si="0"/>
        <v>1.8229314461454436</v>
      </c>
      <c r="S32" s="18">
        <f t="shared" si="0"/>
        <v>1.8148891015300961</v>
      </c>
      <c r="T32" s="18">
        <f t="shared" si="0"/>
        <v>1.7827197230687062</v>
      </c>
      <c r="U32" s="18">
        <f t="shared" si="0"/>
        <v>1.7237425292228239</v>
      </c>
      <c r="V32" s="18">
        <f t="shared" si="0"/>
        <v>1.3055406092247517</v>
      </c>
      <c r="W32" s="18">
        <f t="shared" si="0"/>
        <v>1.3457523323014893</v>
      </c>
      <c r="X32" s="18">
        <f t="shared" si="3"/>
        <v>1.1956285661483352</v>
      </c>
      <c r="AA32" s="7">
        <v>2033</v>
      </c>
      <c r="AB32" s="1">
        <f>NPV($G$5, M$11:M32)</f>
        <v>7.9414149925663056</v>
      </c>
      <c r="AC32" s="1">
        <f>NPV($G$5, N$11:N32)</f>
        <v>7.8272673438025162</v>
      </c>
      <c r="AD32" s="1">
        <f>NPV($G$5, O$11:O32)</f>
        <v>9.8656182145844245</v>
      </c>
      <c r="AE32" s="1">
        <f>NPV($G$5, P$11:P32)</f>
        <v>10.371129230538337</v>
      </c>
      <c r="AF32" s="1">
        <f>NPV($G$5, Q$11:Q32)</f>
        <v>10.485276879302122</v>
      </c>
      <c r="AG32" s="1">
        <f>NPV($G$5, R$11:R32)</f>
        <v>11.088628737053565</v>
      </c>
      <c r="AH32" s="1">
        <f>NPV($G$5, S$11:S32)</f>
        <v>11.039708316154801</v>
      </c>
      <c r="AI32" s="1">
        <f>NPV($G$5, T$11:T32)</f>
        <v>10.844026632559739</v>
      </c>
      <c r="AJ32" s="1">
        <f>NPV($G$5, U$11:U32)</f>
        <v>10.485276879302122</v>
      </c>
      <c r="AK32" s="1">
        <f>NPV($G$5, V$11:V32)</f>
        <v>7.9414149925663056</v>
      </c>
      <c r="AL32" s="1">
        <f>NPV($G$5, W$11:W32)</f>
        <v>8.186017097060132</v>
      </c>
      <c r="AM32" s="1">
        <f>NPV($G$5, X$11:X32)</f>
        <v>7.2728359069498394</v>
      </c>
      <c r="AP32" s="7">
        <v>2033</v>
      </c>
      <c r="AQ32" s="28" t="e">
        <f xml:space="preserve"> NPV($G$5,#REF!)</f>
        <v>#REF!</v>
      </c>
    </row>
    <row r="33" spans="10:43" x14ac:dyDescent="0.25">
      <c r="J33" s="7">
        <v>2034</v>
      </c>
      <c r="K33" s="18">
        <f t="shared" si="2"/>
        <v>1.6033381084591436</v>
      </c>
      <c r="L33" s="12">
        <f>'Escalation Rates'!E27</f>
        <v>3.2518040695671879E-2</v>
      </c>
      <c r="M33" s="18">
        <f t="shared" si="0"/>
        <v>1.3479942318853744</v>
      </c>
      <c r="N33" s="18">
        <f t="shared" si="0"/>
        <v>1.3286185447740853</v>
      </c>
      <c r="O33" s="18">
        <f t="shared" si="0"/>
        <v>1.6746129574756701</v>
      </c>
      <c r="P33" s="18">
        <f t="shared" si="0"/>
        <v>1.7604195718256632</v>
      </c>
      <c r="Q33" s="18">
        <f t="shared" si="0"/>
        <v>1.7797952589369519</v>
      </c>
      <c r="R33" s="18">
        <f t="shared" si="0"/>
        <v>1.8822096050966208</v>
      </c>
      <c r="S33" s="18">
        <f t="shared" si="0"/>
        <v>1.8739057391917828</v>
      </c>
      <c r="T33" s="18">
        <f t="shared" si="0"/>
        <v>1.840690275572431</v>
      </c>
      <c r="U33" s="18">
        <f t="shared" si="0"/>
        <v>1.7797952589369519</v>
      </c>
      <c r="V33" s="18">
        <f t="shared" si="0"/>
        <v>1.3479942318853744</v>
      </c>
      <c r="W33" s="18">
        <f t="shared" si="0"/>
        <v>1.3895135614095644</v>
      </c>
      <c r="X33" s="18">
        <f t="shared" si="3"/>
        <v>1.2345080645192543</v>
      </c>
      <c r="AA33" s="7">
        <v>2034</v>
      </c>
      <c r="AB33" s="1">
        <f>NPV($G$5, M$11:M33)</f>
        <v>8.0577433214898502</v>
      </c>
      <c r="AC33" s="1">
        <f>NPV($G$5, N$11:N33)</f>
        <v>7.9419236022897879</v>
      </c>
      <c r="AD33" s="1">
        <f>NPV($G$5, O$11:O33)</f>
        <v>10.010132873719424</v>
      </c>
      <c r="AE33" s="1">
        <f>NPV($G$5, P$11:P33)</f>
        <v>10.523048773033974</v>
      </c>
      <c r="AF33" s="1">
        <f>NPV($G$5, Q$11:Q33)</f>
        <v>10.638868492234032</v>
      </c>
      <c r="AG33" s="1">
        <f>NPV($G$5, R$11:R33)</f>
        <v>11.2510584365772</v>
      </c>
      <c r="AH33" s="1">
        <f>NPV($G$5, S$11:S33)</f>
        <v>11.201421414062892</v>
      </c>
      <c r="AI33" s="1">
        <f>NPV($G$5, T$11:T33)</f>
        <v>11.002873324005646</v>
      </c>
      <c r="AJ33" s="1">
        <f>NPV($G$5, U$11:U33)</f>
        <v>10.638868492234032</v>
      </c>
      <c r="AK33" s="1">
        <f>NPV($G$5, V$11:V33)</f>
        <v>8.0577433214898502</v>
      </c>
      <c r="AL33" s="1">
        <f>NPV($G$5, W$11:W33)</f>
        <v>8.3059284340614035</v>
      </c>
      <c r="AM33" s="1">
        <f>NPV($G$5, X$11:X33)</f>
        <v>7.3793706804609291</v>
      </c>
      <c r="AP33" s="7">
        <v>2034</v>
      </c>
      <c r="AQ33" s="28" t="e">
        <f xml:space="preserve"> NPV($G$5,#REF!)</f>
        <v>#REF!</v>
      </c>
    </row>
    <row r="34" spans="10:43" x14ac:dyDescent="0.25">
      <c r="J34" s="7">
        <v>2035</v>
      </c>
      <c r="K34" s="18">
        <f t="shared" si="2"/>
        <v>1.5778217310596119</v>
      </c>
      <c r="L34" s="12">
        <f>'Escalation Rates'!E28</f>
        <v>-1.5914533101227035E-2</v>
      </c>
      <c r="M34" s="18">
        <f t="shared" si="0"/>
        <v>1.3265415330617714</v>
      </c>
      <c r="N34" s="18">
        <f t="shared" si="0"/>
        <v>1.3074742009643741</v>
      </c>
      <c r="O34" s="18">
        <f t="shared" si="0"/>
        <v>1.64796227413218</v>
      </c>
      <c r="P34" s="18">
        <f t="shared" si="0"/>
        <v>1.7324033162777959</v>
      </c>
      <c r="Q34" s="18">
        <f t="shared" si="0"/>
        <v>1.751470648375193</v>
      </c>
      <c r="R34" s="18">
        <f t="shared" si="0"/>
        <v>1.8522551180328635</v>
      </c>
      <c r="S34" s="18">
        <f t="shared" si="0"/>
        <v>1.8440834042768359</v>
      </c>
      <c r="T34" s="18">
        <f t="shared" si="0"/>
        <v>1.8113965492527269</v>
      </c>
      <c r="U34" s="18">
        <f t="shared" si="0"/>
        <v>1.751470648375193</v>
      </c>
      <c r="V34" s="18">
        <f t="shared" si="0"/>
        <v>1.3265415330617714</v>
      </c>
      <c r="W34" s="18">
        <f t="shared" si="0"/>
        <v>1.367400101841908</v>
      </c>
      <c r="X34" s="18">
        <f t="shared" si="3"/>
        <v>1.2148614450627311</v>
      </c>
      <c r="AA34" s="7">
        <v>2035</v>
      </c>
      <c r="AB34" s="1">
        <f>NPV($G$5, M$11:M34)</f>
        <v>8.1606532620528505</v>
      </c>
      <c r="AC34" s="1">
        <f>NPV($G$5, N$11:N34)</f>
        <v>8.0433543445284723</v>
      </c>
      <c r="AD34" s="1">
        <f>NPV($G$5, O$11:O34)</f>
        <v>10.137977871749433</v>
      </c>
      <c r="AE34" s="1">
        <f>NPV($G$5, P$11:P34)</f>
        <v>10.657444506500232</v>
      </c>
      <c r="AF34" s="1">
        <f>NPV($G$5, Q$11:Q34)</f>
        <v>10.774743424024603</v>
      </c>
      <c r="AG34" s="1">
        <f>NPV($G$5, R$11:R34)</f>
        <v>11.394751988082003</v>
      </c>
      <c r="AH34" s="1">
        <f>NPV($G$5, S$11:S34)</f>
        <v>11.344481023428704</v>
      </c>
      <c r="AI34" s="1">
        <f>NPV($G$5, T$11:T34)</f>
        <v>11.143397164815493</v>
      </c>
      <c r="AJ34" s="1">
        <f>NPV($G$5, U$11:U34)</f>
        <v>10.774743424024603</v>
      </c>
      <c r="AK34" s="1">
        <f>NPV($G$5, V$11:V34)</f>
        <v>8.1606532620528505</v>
      </c>
      <c r="AL34" s="1">
        <f>NPV($G$5, W$11:W34)</f>
        <v>8.4120080853193624</v>
      </c>
      <c r="AM34" s="1">
        <f>NPV($G$5, X$11:X34)</f>
        <v>7.4736167451243736</v>
      </c>
      <c r="AP34" s="7">
        <v>2035</v>
      </c>
      <c r="AQ34" s="28" t="e">
        <f xml:space="preserve"> NPV($G$5,#REF!)</f>
        <v>#REF!</v>
      </c>
    </row>
    <row r="38" spans="10:43" x14ac:dyDescent="0.25">
      <c r="L38" s="31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1"/>
      <c r="Z38" s="31"/>
    </row>
  </sheetData>
  <mergeCells count="6">
    <mergeCell ref="A1:C1"/>
    <mergeCell ref="AA8:AM8"/>
    <mergeCell ref="K10:L10"/>
    <mergeCell ref="J8:X8"/>
    <mergeCell ref="J1:P1"/>
    <mergeCell ref="F1:G1"/>
  </mergeCells>
  <pageMargins left="0.7" right="0.7" top="0.75" bottom="0.75" header="0.3" footer="0.3"/>
  <pageSetup scale="91" orientation="portrait" r:id="rId1"/>
  <headerFooter>
    <oddHeader>&amp;R&amp;"-,Bold"&amp;KFF0000Schedule MRW-6 Avoided Costs &amp; Benefit Cost Ratios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3"/>
  <sheetViews>
    <sheetView tabSelected="1" view="pageLayout" zoomScaleNormal="90" workbookViewId="0">
      <selection activeCell="B12" sqref="B12"/>
    </sheetView>
  </sheetViews>
  <sheetFormatPr defaultRowHeight="15" x14ac:dyDescent="0.25"/>
  <cols>
    <col min="1" max="1" width="30.140625" bestFit="1" customWidth="1"/>
    <col min="2" max="3" width="9.5703125" bestFit="1" customWidth="1"/>
  </cols>
  <sheetData>
    <row r="1" spans="1:11" x14ac:dyDescent="0.25">
      <c r="A1" s="104" t="s">
        <v>135</v>
      </c>
      <c r="B1" s="104"/>
      <c r="C1" s="104"/>
    </row>
    <row r="2" spans="1:11" x14ac:dyDescent="0.25">
      <c r="A2" s="16"/>
      <c r="B2" s="17" t="s">
        <v>70</v>
      </c>
      <c r="C2" s="17" t="s">
        <v>71</v>
      </c>
      <c r="D2" s="20"/>
      <c r="E2" s="20"/>
      <c r="F2" s="31"/>
    </row>
    <row r="3" spans="1:11" x14ac:dyDescent="0.25">
      <c r="A3" t="s">
        <v>42</v>
      </c>
      <c r="B3" s="83">
        <f>0.4449*'Area Usage Weights'!K8 + 0.55*'Area Usage Weights'!K9</f>
        <v>0.49154413754446225</v>
      </c>
      <c r="C3" s="83">
        <v>0.46600000000000003</v>
      </c>
      <c r="D3" s="31"/>
      <c r="E3" s="31"/>
      <c r="F3" s="31"/>
    </row>
    <row r="4" spans="1:11" x14ac:dyDescent="0.25">
      <c r="A4" t="s">
        <v>43</v>
      </c>
      <c r="B4" s="83"/>
      <c r="C4" s="83"/>
      <c r="D4" s="31"/>
      <c r="E4" s="31"/>
      <c r="F4" s="31"/>
    </row>
    <row r="5" spans="1:11" x14ac:dyDescent="0.25">
      <c r="A5" t="s">
        <v>101</v>
      </c>
      <c r="B5" s="83">
        <f>0.3955*'Area Usage Weights'!K8 + 0.417*'Area Usage Weights'!K9</f>
        <v>0.40504185496865786</v>
      </c>
      <c r="C5" s="83">
        <v>0.629</v>
      </c>
      <c r="D5" s="31"/>
      <c r="E5" s="31"/>
      <c r="F5" s="31"/>
    </row>
    <row r="6" spans="1:11" x14ac:dyDescent="0.25">
      <c r="A6" s="49" t="s">
        <v>52</v>
      </c>
      <c r="B6" s="84"/>
      <c r="C6" s="84"/>
      <c r="D6" s="31"/>
      <c r="E6" s="31"/>
      <c r="F6" s="31"/>
    </row>
    <row r="7" spans="1:11" x14ac:dyDescent="0.25">
      <c r="A7" t="s">
        <v>44</v>
      </c>
      <c r="B7" s="83">
        <f>SUM(B3:B6)</f>
        <v>0.8965859925131201</v>
      </c>
      <c r="C7" s="83">
        <f>SUM(C3:C6)</f>
        <v>1.095</v>
      </c>
      <c r="D7" s="31"/>
      <c r="E7" s="31"/>
      <c r="F7" s="31"/>
    </row>
    <row r="8" spans="1:11" x14ac:dyDescent="0.25">
      <c r="C8" s="31"/>
      <c r="D8" s="31"/>
      <c r="E8" s="31"/>
      <c r="F8" s="31"/>
    </row>
    <row r="9" spans="1:11" x14ac:dyDescent="0.25">
      <c r="C9" s="31"/>
      <c r="D9" s="31"/>
      <c r="E9" s="31"/>
      <c r="F9" s="31"/>
    </row>
    <row r="10" spans="1:11" x14ac:dyDescent="0.25">
      <c r="C10" s="31"/>
      <c r="D10" s="31"/>
      <c r="E10" s="31"/>
      <c r="F10" s="31"/>
    </row>
    <row r="11" spans="1:11" x14ac:dyDescent="0.25">
      <c r="C11" s="31"/>
      <c r="D11" s="31"/>
      <c r="E11" s="31"/>
      <c r="F11" s="31"/>
    </row>
    <row r="12" spans="1:11" x14ac:dyDescent="0.25">
      <c r="C12" s="31"/>
      <c r="D12" s="31"/>
      <c r="E12" s="31"/>
      <c r="F12" s="31"/>
    </row>
    <row r="13" spans="1:11" x14ac:dyDescent="0.25">
      <c r="B13" s="7"/>
      <c r="C13" s="7"/>
      <c r="F13" s="31"/>
      <c r="G13" s="31"/>
      <c r="H13" s="31"/>
      <c r="I13" s="31"/>
      <c r="J13" s="31"/>
      <c r="K13" s="31"/>
    </row>
    <row r="14" spans="1:11" x14ac:dyDescent="0.25">
      <c r="B14" s="7"/>
      <c r="C14" s="7"/>
      <c r="F14" s="31"/>
      <c r="G14" s="31"/>
      <c r="H14" s="31"/>
      <c r="I14" s="31"/>
      <c r="J14" s="31"/>
      <c r="K14" s="31"/>
    </row>
    <row r="15" spans="1:11" x14ac:dyDescent="0.25">
      <c r="B15" s="7"/>
      <c r="C15" s="7"/>
      <c r="F15" s="31"/>
      <c r="G15" s="31"/>
      <c r="H15" s="31"/>
      <c r="I15" s="31"/>
      <c r="J15" s="31"/>
      <c r="K15" s="31"/>
    </row>
    <row r="16" spans="1:11" x14ac:dyDescent="0.25">
      <c r="B16" s="7"/>
      <c r="C16" s="7"/>
      <c r="F16" s="31"/>
      <c r="G16" s="31"/>
      <c r="H16" s="31"/>
      <c r="I16" s="31"/>
      <c r="J16" s="31"/>
      <c r="K16" s="31"/>
    </row>
    <row r="17" spans="2:3" x14ac:dyDescent="0.25">
      <c r="B17" s="7"/>
      <c r="C17" s="7"/>
    </row>
    <row r="18" spans="2:3" x14ac:dyDescent="0.25">
      <c r="B18" s="7"/>
      <c r="C18" s="7"/>
    </row>
    <row r="19" spans="2:3" x14ac:dyDescent="0.25">
      <c r="B19" s="7"/>
      <c r="C19" s="7"/>
    </row>
    <row r="20" spans="2:3" x14ac:dyDescent="0.25">
      <c r="B20" s="7"/>
      <c r="C20" s="7"/>
    </row>
    <row r="21" spans="2:3" x14ac:dyDescent="0.25">
      <c r="B21" s="7"/>
      <c r="C21" s="7"/>
    </row>
    <row r="22" spans="2:3" x14ac:dyDescent="0.25">
      <c r="B22" s="7"/>
      <c r="C22" s="7"/>
    </row>
    <row r="23" spans="2:3" x14ac:dyDescent="0.25">
      <c r="B23" s="7"/>
      <c r="C23" s="7"/>
    </row>
    <row r="24" spans="2:3" x14ac:dyDescent="0.25">
      <c r="B24" s="7"/>
      <c r="C24" s="7"/>
    </row>
    <row r="25" spans="2:3" x14ac:dyDescent="0.25">
      <c r="B25" s="7"/>
      <c r="C25" s="7"/>
    </row>
    <row r="26" spans="2:3" x14ac:dyDescent="0.25">
      <c r="B26" s="7"/>
      <c r="C26" s="7"/>
    </row>
    <row r="27" spans="2:3" x14ac:dyDescent="0.25">
      <c r="B27" s="7"/>
      <c r="C27" s="7"/>
    </row>
    <row r="28" spans="2:3" x14ac:dyDescent="0.25">
      <c r="B28" s="7"/>
      <c r="C28" s="7"/>
    </row>
    <row r="29" spans="2:3" x14ac:dyDescent="0.25">
      <c r="B29" s="7"/>
      <c r="C29" s="7"/>
    </row>
    <row r="30" spans="2:3" x14ac:dyDescent="0.25">
      <c r="B30" s="7"/>
      <c r="C30" s="7"/>
    </row>
    <row r="31" spans="2:3" x14ac:dyDescent="0.25">
      <c r="B31" s="7"/>
      <c r="C31" s="7"/>
    </row>
    <row r="32" spans="2:3" x14ac:dyDescent="0.25">
      <c r="B32" s="7"/>
      <c r="C32" s="7"/>
    </row>
    <row r="33" spans="2:3" x14ac:dyDescent="0.25">
      <c r="B33" s="7"/>
      <c r="C33" s="7"/>
    </row>
  </sheetData>
  <mergeCells count="1">
    <mergeCell ref="A1:C1"/>
  </mergeCells>
  <pageMargins left="0.7" right="0.7" top="0.75" bottom="0.75" header="0.3" footer="0.3"/>
  <pageSetup scale="91" orientation="portrait" r:id="rId1"/>
  <headerFooter>
    <oddHeader>&amp;R&amp;"-,Bold"&amp;KFF0000Schedule MRW-6 Avoided Costs &amp; Benefit Cost Ratios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0"/>
  <sheetViews>
    <sheetView tabSelected="1" view="pageLayout" zoomScaleNormal="90" workbookViewId="0">
      <selection activeCell="B12" sqref="B12"/>
    </sheetView>
  </sheetViews>
  <sheetFormatPr defaultRowHeight="15" x14ac:dyDescent="0.25"/>
  <cols>
    <col min="1" max="1" width="7" customWidth="1"/>
    <col min="2" max="2" width="12.28515625" customWidth="1"/>
    <col min="3" max="3" width="10.85546875" bestFit="1" customWidth="1"/>
    <col min="4" max="4" width="13.140625" customWidth="1"/>
    <col min="5" max="5" width="10.85546875" style="7" bestFit="1" customWidth="1"/>
  </cols>
  <sheetData>
    <row r="1" spans="1:9" x14ac:dyDescent="0.25">
      <c r="A1" s="9" t="s">
        <v>11</v>
      </c>
      <c r="B1" s="9"/>
      <c r="C1" s="9"/>
    </row>
    <row r="3" spans="1:9" ht="45" x14ac:dyDescent="0.25">
      <c r="A3" s="53" t="s">
        <v>9</v>
      </c>
      <c r="B3" s="54" t="s">
        <v>62</v>
      </c>
      <c r="C3" s="53" t="s">
        <v>10</v>
      </c>
      <c r="D3" s="54" t="s">
        <v>63</v>
      </c>
      <c r="E3" s="53" t="s">
        <v>10</v>
      </c>
    </row>
    <row r="4" spans="1:9" x14ac:dyDescent="0.25">
      <c r="A4" s="7">
        <v>2011</v>
      </c>
      <c r="B4" s="15">
        <v>6.5478769999999997</v>
      </c>
      <c r="C4" s="52" t="s">
        <v>8</v>
      </c>
      <c r="D4" s="50">
        <v>6.5481429999999996</v>
      </c>
      <c r="E4" s="12" t="s">
        <v>8</v>
      </c>
      <c r="F4" s="46"/>
      <c r="I4" s="13"/>
    </row>
    <row r="5" spans="1:9" x14ac:dyDescent="0.25">
      <c r="A5" s="7">
        <v>2012</v>
      </c>
      <c r="B5" s="15">
        <v>6.3400470000000002</v>
      </c>
      <c r="C5" s="12">
        <f>(B5-B4)/B4</f>
        <v>-3.1740058648016684E-2</v>
      </c>
      <c r="D5" s="50">
        <v>6.3576899999999998</v>
      </c>
      <c r="E5" s="12">
        <f>(D5-D4)/D4</f>
        <v>-2.9085039834957756E-2</v>
      </c>
      <c r="F5" s="46"/>
      <c r="I5" s="13"/>
    </row>
    <row r="6" spans="1:9" x14ac:dyDescent="0.25">
      <c r="A6" s="7">
        <v>2013</v>
      </c>
      <c r="B6" s="15">
        <v>6.366841</v>
      </c>
      <c r="C6" s="12">
        <f t="shared" ref="C6:C28" si="0">(B6-B5)/B5</f>
        <v>4.2261516357843662E-3</v>
      </c>
      <c r="D6" s="50">
        <v>6.4932780000000001</v>
      </c>
      <c r="E6" s="12">
        <f t="shared" ref="E6:E28" si="1">(D6-D5)/D5</f>
        <v>2.1326613911656633E-2</v>
      </c>
      <c r="F6" s="46"/>
      <c r="H6" s="13"/>
      <c r="I6" s="13"/>
    </row>
    <row r="7" spans="1:9" x14ac:dyDescent="0.25">
      <c r="A7" s="7">
        <v>2014</v>
      </c>
      <c r="B7" s="15">
        <v>6.1767149999999997</v>
      </c>
      <c r="C7" s="12">
        <f t="shared" si="0"/>
        <v>-2.9861904828469919E-2</v>
      </c>
      <c r="D7" s="50">
        <v>6.3760839999999996</v>
      </c>
      <c r="E7" s="12">
        <f t="shared" si="1"/>
        <v>-1.8048511091008343E-2</v>
      </c>
      <c r="F7" s="46"/>
      <c r="H7" s="13"/>
      <c r="I7" s="13"/>
    </row>
    <row r="8" spans="1:9" x14ac:dyDescent="0.25">
      <c r="A8" s="7">
        <v>2015</v>
      </c>
      <c r="B8" s="15">
        <v>6.2691600000000003</v>
      </c>
      <c r="C8" s="12">
        <f t="shared" si="0"/>
        <v>1.4966693460844569E-2</v>
      </c>
      <c r="D8" s="50">
        <v>6.5192059999999996</v>
      </c>
      <c r="E8" s="12">
        <f t="shared" si="1"/>
        <v>2.2446692985851502E-2</v>
      </c>
      <c r="F8" s="46"/>
      <c r="I8" s="13"/>
    </row>
    <row r="9" spans="1:9" x14ac:dyDescent="0.25">
      <c r="A9" s="7">
        <v>2016</v>
      </c>
      <c r="B9" s="15">
        <v>6.1941040000000003</v>
      </c>
      <c r="C9" s="12">
        <f t="shared" si="0"/>
        <v>-1.1972257846346243E-2</v>
      </c>
      <c r="D9" s="50">
        <v>6.5693669999999997</v>
      </c>
      <c r="E9" s="12">
        <f t="shared" si="1"/>
        <v>7.6943419183256555E-3</v>
      </c>
      <c r="F9" s="46"/>
      <c r="H9" s="13"/>
      <c r="I9" s="13"/>
    </row>
    <row r="10" spans="1:9" x14ac:dyDescent="0.25">
      <c r="A10" s="7">
        <v>2017</v>
      </c>
      <c r="B10" s="15">
        <v>6.1955960000000001</v>
      </c>
      <c r="C10" s="12">
        <f t="shared" si="0"/>
        <v>2.4087422490804591E-4</v>
      </c>
      <c r="D10" s="50">
        <v>6.6237469999999998</v>
      </c>
      <c r="E10" s="12">
        <f t="shared" si="1"/>
        <v>8.2778142856077454E-3</v>
      </c>
      <c r="F10" s="46"/>
      <c r="H10" s="13"/>
      <c r="I10" s="13"/>
    </row>
    <row r="11" spans="1:9" x14ac:dyDescent="0.25">
      <c r="A11" s="7">
        <v>2018</v>
      </c>
      <c r="B11" s="15">
        <v>6.2637669999999996</v>
      </c>
      <c r="C11" s="12">
        <f t="shared" si="0"/>
        <v>1.1003138358278935E-2</v>
      </c>
      <c r="D11" s="50">
        <v>6.7202950000000001</v>
      </c>
      <c r="E11" s="12">
        <f t="shared" si="1"/>
        <v>1.4576039815530439E-2</v>
      </c>
      <c r="F11" s="46"/>
      <c r="H11" s="13"/>
      <c r="I11" s="13"/>
    </row>
    <row r="12" spans="1:9" x14ac:dyDescent="0.25">
      <c r="A12" s="7">
        <v>2019</v>
      </c>
      <c r="B12" s="15">
        <v>6.344627</v>
      </c>
      <c r="C12" s="12">
        <f t="shared" si="0"/>
        <v>1.290916472467772E-2</v>
      </c>
      <c r="D12" s="50">
        <v>6.8687189999999996</v>
      </c>
      <c r="E12" s="12">
        <f t="shared" si="1"/>
        <v>2.2085935215641492E-2</v>
      </c>
      <c r="F12" s="46"/>
      <c r="H12" s="13"/>
      <c r="I12" s="13"/>
    </row>
    <row r="13" spans="1:9" x14ac:dyDescent="0.25">
      <c r="A13" s="7">
        <v>2020</v>
      </c>
      <c r="B13" s="15">
        <v>6.4808409999999999</v>
      </c>
      <c r="C13" s="12">
        <f t="shared" si="0"/>
        <v>2.1469189599325512E-2</v>
      </c>
      <c r="D13" s="50">
        <v>7.0535629999999996</v>
      </c>
      <c r="E13" s="12">
        <f t="shared" si="1"/>
        <v>2.6910985876696953E-2</v>
      </c>
      <c r="F13" s="46"/>
      <c r="H13" s="13"/>
      <c r="I13" s="13"/>
    </row>
    <row r="14" spans="1:9" x14ac:dyDescent="0.25">
      <c r="A14" s="7">
        <v>2021</v>
      </c>
      <c r="B14" s="15">
        <v>6.6845179999999997</v>
      </c>
      <c r="C14" s="12">
        <f t="shared" si="0"/>
        <v>3.1427557009962116E-2</v>
      </c>
      <c r="D14" s="50">
        <v>7.3359610000000002</v>
      </c>
      <c r="E14" s="12">
        <f t="shared" si="1"/>
        <v>4.0036219992647774E-2</v>
      </c>
      <c r="F14" s="46"/>
      <c r="H14" s="13"/>
      <c r="I14" s="13"/>
    </row>
    <row r="15" spans="1:9" x14ac:dyDescent="0.25">
      <c r="A15" s="7">
        <v>2022</v>
      </c>
      <c r="B15" s="15">
        <v>6.9322879999999998</v>
      </c>
      <c r="C15" s="12">
        <f t="shared" si="0"/>
        <v>3.7066247708510927E-2</v>
      </c>
      <c r="D15" s="50">
        <v>7.6367120000000002</v>
      </c>
      <c r="E15" s="12">
        <f t="shared" si="1"/>
        <v>4.0996810097545501E-2</v>
      </c>
      <c r="F15" s="46"/>
      <c r="H15" s="13"/>
      <c r="I15" s="13"/>
    </row>
    <row r="16" spans="1:9" x14ac:dyDescent="0.25">
      <c r="A16" s="7">
        <v>2023</v>
      </c>
      <c r="B16" s="15">
        <v>7.0750130000000002</v>
      </c>
      <c r="C16" s="12">
        <f t="shared" si="0"/>
        <v>2.0588440641819906E-2</v>
      </c>
      <c r="D16" s="50">
        <v>7.8778800000000002</v>
      </c>
      <c r="E16" s="12">
        <f t="shared" si="1"/>
        <v>3.1580083156206501E-2</v>
      </c>
      <c r="F16" s="46"/>
      <c r="H16" s="13"/>
      <c r="I16" s="13"/>
    </row>
    <row r="17" spans="1:9" x14ac:dyDescent="0.25">
      <c r="A17" s="7">
        <v>2024</v>
      </c>
      <c r="B17" s="15">
        <v>7.1873250000000004</v>
      </c>
      <c r="C17" s="12">
        <f t="shared" si="0"/>
        <v>1.5874458463892602E-2</v>
      </c>
      <c r="D17" s="50">
        <v>8.0055350000000001</v>
      </c>
      <c r="E17" s="12">
        <f t="shared" si="1"/>
        <v>1.6204232610803903E-2</v>
      </c>
      <c r="F17" s="46"/>
      <c r="H17" s="13"/>
      <c r="I17" s="13"/>
    </row>
    <row r="18" spans="1:9" x14ac:dyDescent="0.25">
      <c r="A18" s="7">
        <v>2025</v>
      </c>
      <c r="B18" s="15">
        <v>7.2907010000000003</v>
      </c>
      <c r="C18" s="12">
        <f t="shared" si="0"/>
        <v>1.4383098023256205E-2</v>
      </c>
      <c r="D18" s="50">
        <v>8.2165959999999991</v>
      </c>
      <c r="E18" s="12">
        <f t="shared" si="1"/>
        <v>2.6364384141721826E-2</v>
      </c>
      <c r="F18" s="46"/>
      <c r="H18" s="13"/>
    </row>
    <row r="19" spans="1:9" x14ac:dyDescent="0.25">
      <c r="A19" s="7">
        <v>2026</v>
      </c>
      <c r="B19" s="15">
        <v>7.3772859999999998</v>
      </c>
      <c r="C19" s="12">
        <f t="shared" si="0"/>
        <v>1.1876087086824636E-2</v>
      </c>
      <c r="D19" s="50">
        <v>8.4205609999999993</v>
      </c>
      <c r="E19" s="12">
        <f t="shared" si="1"/>
        <v>2.4823540064523093E-2</v>
      </c>
      <c r="F19" s="46"/>
      <c r="H19" s="13"/>
    </row>
    <row r="20" spans="1:9" x14ac:dyDescent="0.25">
      <c r="A20" s="7">
        <v>2027</v>
      </c>
      <c r="B20" s="15">
        <v>7.4937909999999999</v>
      </c>
      <c r="C20" s="12">
        <f t="shared" si="0"/>
        <v>1.5792393029089569E-2</v>
      </c>
      <c r="D20" s="50">
        <v>8.5386889999999998</v>
      </c>
      <c r="E20" s="12">
        <f t="shared" si="1"/>
        <v>1.4028519002475068E-2</v>
      </c>
      <c r="F20" s="46"/>
    </row>
    <row r="21" spans="1:9" x14ac:dyDescent="0.25">
      <c r="A21" s="7">
        <v>2028</v>
      </c>
      <c r="B21" s="15">
        <v>7.5524500000000003</v>
      </c>
      <c r="C21" s="12">
        <f t="shared" si="0"/>
        <v>7.8276802755775365E-3</v>
      </c>
      <c r="D21" s="50">
        <v>8.6539059999999992</v>
      </c>
      <c r="E21" s="12">
        <f t="shared" si="1"/>
        <v>1.3493523420281435E-2</v>
      </c>
      <c r="F21" s="46"/>
    </row>
    <row r="22" spans="1:9" x14ac:dyDescent="0.25">
      <c r="A22" s="7">
        <v>2029</v>
      </c>
      <c r="B22" s="15">
        <v>7.6227349999999996</v>
      </c>
      <c r="C22" s="12">
        <f t="shared" si="0"/>
        <v>9.306251613714657E-3</v>
      </c>
      <c r="D22" s="50">
        <v>8.7278950000000002</v>
      </c>
      <c r="E22" s="12">
        <f t="shared" si="1"/>
        <v>8.5497808735154942E-3</v>
      </c>
      <c r="F22" s="46"/>
    </row>
    <row r="23" spans="1:9" x14ac:dyDescent="0.25">
      <c r="A23" s="7">
        <v>2030</v>
      </c>
      <c r="B23" s="15">
        <v>7.7326189999999997</v>
      </c>
      <c r="C23" s="12">
        <f t="shared" si="0"/>
        <v>1.4415298446030211E-2</v>
      </c>
      <c r="D23" s="50">
        <v>8.8698219999999992</v>
      </c>
      <c r="E23" s="12">
        <f t="shared" si="1"/>
        <v>1.6261309284770157E-2</v>
      </c>
      <c r="F23" s="46"/>
    </row>
    <row r="24" spans="1:9" x14ac:dyDescent="0.25">
      <c r="A24" s="7">
        <v>2031</v>
      </c>
      <c r="B24" s="15">
        <v>7.8157209999999999</v>
      </c>
      <c r="C24" s="12">
        <f t="shared" si="0"/>
        <v>1.074694097821194E-2</v>
      </c>
      <c r="D24" s="50">
        <v>9.0014649999999996</v>
      </c>
      <c r="E24" s="12">
        <f t="shared" si="1"/>
        <v>1.4841673260184974E-2</v>
      </c>
      <c r="F24" s="46"/>
    </row>
    <row r="25" spans="1:9" x14ac:dyDescent="0.25">
      <c r="A25" s="7">
        <v>2032</v>
      </c>
      <c r="B25" s="15">
        <v>7.9486150000000002</v>
      </c>
      <c r="C25" s="12">
        <f t="shared" si="0"/>
        <v>1.7003421693276958E-2</v>
      </c>
      <c r="D25" s="50">
        <v>9.1351469999999999</v>
      </c>
      <c r="E25" s="12">
        <f t="shared" si="1"/>
        <v>1.4851138120294897E-2</v>
      </c>
      <c r="F25" s="46"/>
    </row>
    <row r="26" spans="1:9" x14ac:dyDescent="0.25">
      <c r="A26" s="7">
        <v>2033</v>
      </c>
      <c r="B26" s="15">
        <v>8.1149020000000007</v>
      </c>
      <c r="C26" s="12">
        <f t="shared" si="0"/>
        <v>2.0920248370313636E-2</v>
      </c>
      <c r="D26" s="50">
        <v>9.3774099999999994</v>
      </c>
      <c r="E26" s="12">
        <f t="shared" si="1"/>
        <v>2.6519879756724162E-2</v>
      </c>
      <c r="F26" s="46"/>
    </row>
    <row r="27" spans="1:9" x14ac:dyDescent="0.25">
      <c r="A27" s="7">
        <v>2034</v>
      </c>
      <c r="B27" s="15">
        <v>8.3238029999999998</v>
      </c>
      <c r="C27" s="12">
        <f t="shared" si="0"/>
        <v>2.5742886358947909E-2</v>
      </c>
      <c r="D27" s="50">
        <v>9.6823449999999998</v>
      </c>
      <c r="E27" s="12">
        <f t="shared" si="1"/>
        <v>3.2518040695671879E-2</v>
      </c>
      <c r="F27" s="46"/>
    </row>
    <row r="28" spans="1:9" x14ac:dyDescent="0.25">
      <c r="A28" s="7">
        <v>2035</v>
      </c>
      <c r="B28" s="15">
        <v>8.6275790000000008</v>
      </c>
      <c r="C28" s="12">
        <f t="shared" si="0"/>
        <v>3.6494856978234701E-2</v>
      </c>
      <c r="D28" s="50">
        <v>9.5282549999999997</v>
      </c>
      <c r="E28" s="12">
        <f t="shared" si="1"/>
        <v>-1.5914533101227035E-2</v>
      </c>
      <c r="F28" s="46"/>
    </row>
    <row r="29" spans="1:9" x14ac:dyDescent="0.25">
      <c r="F29" s="46"/>
    </row>
    <row r="30" spans="1:9" x14ac:dyDescent="0.25">
      <c r="F30" s="46"/>
    </row>
  </sheetData>
  <hyperlinks>
    <hyperlink ref="A1" r:id="rId1" location="release=AEO2012&amp;subject=0-AEO2012&amp;table=3-AEO2012&amp;region=1-8&amp;cases=ref2012-d020112c"/>
  </hyperlinks>
  <pageMargins left="0.7" right="0.7" top="0.75" bottom="0.75" header="0.3" footer="0.3"/>
  <pageSetup scale="91" orientation="portrait" r:id="rId2"/>
  <headerFooter>
    <oddHeader>&amp;R&amp;"-,Bold"&amp;KFF0000Schedule MRW-6 Avoided Costs &amp; Benefit Cost Ratios</oddHeader>
  </headerFooter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2"/>
  <sheetViews>
    <sheetView tabSelected="1" view="pageLayout" zoomScaleNormal="90" workbookViewId="0">
      <selection activeCell="B12" sqref="B12"/>
    </sheetView>
  </sheetViews>
  <sheetFormatPr defaultRowHeight="15" x14ac:dyDescent="0.25"/>
  <cols>
    <col min="1" max="1" width="6.85546875" bestFit="1" customWidth="1"/>
    <col min="2" max="2" width="9" customWidth="1"/>
    <col min="3" max="3" width="13.5703125" bestFit="1" customWidth="1"/>
  </cols>
  <sheetData>
    <row r="1" spans="1:3" x14ac:dyDescent="0.25">
      <c r="A1" s="104" t="s">
        <v>56</v>
      </c>
      <c r="B1" s="104"/>
      <c r="C1" s="104"/>
    </row>
    <row r="2" spans="1:3" x14ac:dyDescent="0.25">
      <c r="A2" s="20" t="s">
        <v>28</v>
      </c>
      <c r="B2" s="17" t="s">
        <v>55</v>
      </c>
      <c r="C2" s="20" t="s">
        <v>29</v>
      </c>
    </row>
    <row r="3" spans="1:3" x14ac:dyDescent="0.25">
      <c r="A3" s="21" t="s">
        <v>14</v>
      </c>
      <c r="B3" s="7">
        <v>4.87</v>
      </c>
      <c r="C3" s="22">
        <f>B3/$B$15</f>
        <v>0.84074233923176533</v>
      </c>
    </row>
    <row r="4" spans="1:3" x14ac:dyDescent="0.25">
      <c r="A4" s="20" t="s">
        <v>15</v>
      </c>
      <c r="B4" s="7">
        <v>4.8</v>
      </c>
      <c r="C4" s="23">
        <f t="shared" ref="C4:C14" si="0">B4/$B$15</f>
        <v>0.82865774708675011</v>
      </c>
    </row>
    <row r="5" spans="1:3" x14ac:dyDescent="0.25">
      <c r="A5" s="20" t="s">
        <v>16</v>
      </c>
      <c r="B5" s="7">
        <v>6.05</v>
      </c>
      <c r="C5" s="23">
        <f t="shared" si="0"/>
        <v>1.0444540353905913</v>
      </c>
    </row>
    <row r="6" spans="1:3" x14ac:dyDescent="0.25">
      <c r="A6" s="20" t="s">
        <v>17</v>
      </c>
      <c r="B6" s="7">
        <v>6.36</v>
      </c>
      <c r="C6" s="23">
        <f t="shared" si="0"/>
        <v>1.097971514889944</v>
      </c>
    </row>
    <row r="7" spans="1:3" x14ac:dyDescent="0.25">
      <c r="A7" s="20" t="s">
        <v>18</v>
      </c>
      <c r="B7" s="7">
        <v>6.43</v>
      </c>
      <c r="C7" s="23">
        <f t="shared" si="0"/>
        <v>1.110056107034959</v>
      </c>
    </row>
    <row r="8" spans="1:3" x14ac:dyDescent="0.25">
      <c r="A8" s="20" t="s">
        <v>19</v>
      </c>
      <c r="B8" s="7">
        <v>6.8</v>
      </c>
      <c r="C8" s="23">
        <f t="shared" si="0"/>
        <v>1.173931808372896</v>
      </c>
    </row>
    <row r="9" spans="1:3" x14ac:dyDescent="0.25">
      <c r="A9" s="20" t="s">
        <v>20</v>
      </c>
      <c r="B9" s="7">
        <v>6.77</v>
      </c>
      <c r="C9" s="23">
        <f t="shared" si="0"/>
        <v>1.1687526974536038</v>
      </c>
    </row>
    <row r="10" spans="1:3" x14ac:dyDescent="0.25">
      <c r="A10" s="20" t="s">
        <v>21</v>
      </c>
      <c r="B10" s="7">
        <v>6.65</v>
      </c>
      <c r="C10" s="23">
        <f t="shared" si="0"/>
        <v>1.1480362537764353</v>
      </c>
    </row>
    <row r="11" spans="1:3" x14ac:dyDescent="0.25">
      <c r="A11" s="20" t="s">
        <v>22</v>
      </c>
      <c r="B11" s="7">
        <v>6.43</v>
      </c>
      <c r="C11" s="23">
        <f t="shared" si="0"/>
        <v>1.110056107034959</v>
      </c>
    </row>
    <row r="12" spans="1:3" x14ac:dyDescent="0.25">
      <c r="A12" s="20" t="s">
        <v>23</v>
      </c>
      <c r="B12" s="7">
        <v>4.87</v>
      </c>
      <c r="C12" s="23">
        <f t="shared" si="0"/>
        <v>0.84074233923176533</v>
      </c>
    </row>
    <row r="13" spans="1:3" x14ac:dyDescent="0.25">
      <c r="A13" s="20" t="s">
        <v>24</v>
      </c>
      <c r="B13" s="7">
        <v>5.0199999999999996</v>
      </c>
      <c r="C13" s="23">
        <f t="shared" si="0"/>
        <v>0.8666378938282262</v>
      </c>
    </row>
    <row r="14" spans="1:3" x14ac:dyDescent="0.25">
      <c r="A14" s="17" t="s">
        <v>25</v>
      </c>
      <c r="B14" s="17">
        <v>4.46</v>
      </c>
      <c r="C14" s="24">
        <f t="shared" si="0"/>
        <v>0.76996115666810538</v>
      </c>
    </row>
    <row r="15" spans="1:3" x14ac:dyDescent="0.25">
      <c r="A15" s="7" t="s">
        <v>27</v>
      </c>
      <c r="B15" s="15">
        <f>AVERAGE(B3:B14)</f>
        <v>5.7924999999999995</v>
      </c>
      <c r="C15" s="15">
        <f>AVERAGE(C3:C14)</f>
        <v>1</v>
      </c>
    </row>
    <row r="20" spans="1:3" x14ac:dyDescent="0.25">
      <c r="A20" s="26"/>
      <c r="B20" s="26"/>
      <c r="C20" s="26"/>
    </row>
    <row r="21" spans="1:3" x14ac:dyDescent="0.25">
      <c r="A21" s="26"/>
    </row>
    <row r="22" spans="1:3" x14ac:dyDescent="0.25">
      <c r="A22" s="26"/>
    </row>
    <row r="23" spans="1:3" x14ac:dyDescent="0.25">
      <c r="A23" s="26"/>
    </row>
    <row r="24" spans="1:3" x14ac:dyDescent="0.25">
      <c r="A24" s="26"/>
    </row>
    <row r="25" spans="1:3" x14ac:dyDescent="0.25">
      <c r="A25" s="26"/>
    </row>
    <row r="26" spans="1:3" x14ac:dyDescent="0.25">
      <c r="A26" s="26"/>
    </row>
    <row r="27" spans="1:3" x14ac:dyDescent="0.25">
      <c r="A27" s="26"/>
    </row>
    <row r="28" spans="1:3" x14ac:dyDescent="0.25">
      <c r="A28" s="26"/>
    </row>
    <row r="29" spans="1:3" x14ac:dyDescent="0.25">
      <c r="A29" s="26"/>
    </row>
    <row r="30" spans="1:3" x14ac:dyDescent="0.25">
      <c r="A30" s="26"/>
    </row>
    <row r="31" spans="1:3" x14ac:dyDescent="0.25">
      <c r="A31" s="26"/>
    </row>
    <row r="32" spans="1:3" x14ac:dyDescent="0.25">
      <c r="A32" s="26"/>
    </row>
  </sheetData>
  <mergeCells count="1">
    <mergeCell ref="A1:C1"/>
  </mergeCells>
  <pageMargins left="0.7" right="0.7" top="0.75" bottom="0.75" header="0.3" footer="0.3"/>
  <pageSetup scale="91" orientation="portrait" r:id="rId1"/>
  <headerFooter>
    <oddHeader>&amp;R&amp;"-,Bold"&amp;KFF0000Schedule MRW-6 Avoided Costs &amp; Benefit Cost Ratios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9"/>
  <sheetViews>
    <sheetView tabSelected="1" view="pageLayout" zoomScaleNormal="90" workbookViewId="0">
      <selection activeCell="B12" sqref="B12"/>
    </sheetView>
  </sheetViews>
  <sheetFormatPr defaultRowHeight="15" x14ac:dyDescent="0.25"/>
  <cols>
    <col min="2" max="2" width="9.5703125" bestFit="1" customWidth="1"/>
    <col min="3" max="3" width="7.7109375" customWidth="1"/>
  </cols>
  <sheetData>
    <row r="1" spans="1:4" x14ac:dyDescent="0.25">
      <c r="A1" s="104" t="s">
        <v>65</v>
      </c>
      <c r="B1" s="104"/>
      <c r="C1" s="104"/>
    </row>
    <row r="2" spans="1:4" x14ac:dyDescent="0.25">
      <c r="A2" s="25" t="s">
        <v>28</v>
      </c>
      <c r="B2" s="25" t="s">
        <v>33</v>
      </c>
      <c r="C2" s="25" t="s">
        <v>5</v>
      </c>
      <c r="D2" s="41"/>
    </row>
    <row r="3" spans="1:4" x14ac:dyDescent="0.25">
      <c r="A3" s="7" t="s">
        <v>14</v>
      </c>
      <c r="B3" s="19">
        <f>1/12</f>
        <v>8.3333333333333329E-2</v>
      </c>
      <c r="C3" s="19">
        <f>[2]Sheet5!B$40</f>
        <v>0.18048778165127805</v>
      </c>
    </row>
    <row r="4" spans="1:4" x14ac:dyDescent="0.25">
      <c r="A4" s="7" t="s">
        <v>15</v>
      </c>
      <c r="B4" s="19">
        <f t="shared" ref="B4:B14" si="0">1/12</f>
        <v>8.3333333333333329E-2</v>
      </c>
      <c r="C4" s="19">
        <f>[2]Sheet5!C$40</f>
        <v>0.14927415726421192</v>
      </c>
    </row>
    <row r="5" spans="1:4" x14ac:dyDescent="0.25">
      <c r="A5" s="7" t="s">
        <v>16</v>
      </c>
      <c r="B5" s="19">
        <f t="shared" si="0"/>
        <v>8.3333333333333329E-2</v>
      </c>
      <c r="C5" s="19">
        <f>[2]Sheet5!D$40</f>
        <v>0.12248828986460271</v>
      </c>
    </row>
    <row r="6" spans="1:4" x14ac:dyDescent="0.25">
      <c r="A6" s="7" t="s">
        <v>17</v>
      </c>
      <c r="B6" s="19">
        <f t="shared" si="0"/>
        <v>8.3333333333333329E-2</v>
      </c>
      <c r="C6" s="19">
        <f>[2]Sheet5!E$40</f>
        <v>7.9054928533970156E-2</v>
      </c>
    </row>
    <row r="7" spans="1:4" x14ac:dyDescent="0.25">
      <c r="A7" s="7" t="s">
        <v>18</v>
      </c>
      <c r="B7" s="19">
        <f t="shared" si="0"/>
        <v>8.3333333333333329E-2</v>
      </c>
      <c r="C7" s="19">
        <f>[2]Sheet5!F$40</f>
        <v>3.7304064445210346E-2</v>
      </c>
    </row>
    <row r="8" spans="1:4" x14ac:dyDescent="0.25">
      <c r="A8" s="7" t="s">
        <v>19</v>
      </c>
      <c r="B8" s="19">
        <f t="shared" si="0"/>
        <v>8.3333333333333329E-2</v>
      </c>
      <c r="C8" s="19">
        <f>[2]Sheet5!G$40</f>
        <v>1.0803976124436605E-2</v>
      </c>
    </row>
    <row r="9" spans="1:4" x14ac:dyDescent="0.25">
      <c r="A9" s="7" t="s">
        <v>20</v>
      </c>
      <c r="B9" s="19">
        <f t="shared" si="0"/>
        <v>8.3333333333333329E-2</v>
      </c>
      <c r="C9" s="19">
        <f>[2]Sheet5!H$40</f>
        <v>1.9586011635646309E-3</v>
      </c>
    </row>
    <row r="10" spans="1:4" x14ac:dyDescent="0.25">
      <c r="A10" s="7" t="s">
        <v>21</v>
      </c>
      <c r="B10" s="19">
        <f t="shared" si="0"/>
        <v>8.3333333333333329E-2</v>
      </c>
      <c r="C10" s="19">
        <f>[2]Sheet5!I$40</f>
        <v>4.531459610125607E-3</v>
      </c>
    </row>
    <row r="11" spans="1:4" x14ac:dyDescent="0.25">
      <c r="A11" s="7" t="s">
        <v>22</v>
      </c>
      <c r="B11" s="19">
        <f t="shared" si="0"/>
        <v>8.3333333333333329E-2</v>
      </c>
      <c r="C11" s="19">
        <f>[2]Sheet5!J$40</f>
        <v>2.3958813110786206E-2</v>
      </c>
    </row>
    <row r="12" spans="1:4" x14ac:dyDescent="0.25">
      <c r="A12" s="7" t="s">
        <v>23</v>
      </c>
      <c r="B12" s="19">
        <f t="shared" si="0"/>
        <v>8.3333333333333329E-2</v>
      </c>
      <c r="C12" s="19">
        <f>[2]Sheet5!K$40</f>
        <v>7.6274440687433623E-2</v>
      </c>
    </row>
    <row r="13" spans="1:4" x14ac:dyDescent="0.25">
      <c r="A13" s="7" t="s">
        <v>24</v>
      </c>
      <c r="B13" s="19">
        <f t="shared" si="0"/>
        <v>8.3333333333333329E-2</v>
      </c>
      <c r="C13" s="19">
        <f>[2]Sheet5!L$40</f>
        <v>0.13108278076318253</v>
      </c>
    </row>
    <row r="14" spans="1:4" x14ac:dyDescent="0.25">
      <c r="A14" s="17" t="s">
        <v>25</v>
      </c>
      <c r="B14" s="29">
        <f t="shared" si="0"/>
        <v>8.3333333333333329E-2</v>
      </c>
      <c r="C14" s="29">
        <f>[2]Sheet5!M$40</f>
        <v>0.18278070678119765</v>
      </c>
    </row>
    <row r="15" spans="1:4" x14ac:dyDescent="0.25">
      <c r="A15" s="7" t="s">
        <v>34</v>
      </c>
      <c r="B15" s="30">
        <f>1/365</f>
        <v>2.7397260273972603E-3</v>
      </c>
      <c r="C15">
        <v>2.3970000000000002E-2</v>
      </c>
      <c r="D15" s="14"/>
    </row>
    <row r="19" spans="3:3" x14ac:dyDescent="0.25">
      <c r="C19" s="34"/>
    </row>
  </sheetData>
  <mergeCells count="1">
    <mergeCell ref="A1:C1"/>
  </mergeCells>
  <pageMargins left="0.7" right="0.7" top="0.75" bottom="0.75" header="0.3" footer="0.3"/>
  <pageSetup scale="91" orientation="portrait" r:id="rId1"/>
  <headerFooter>
    <oddHeader>&amp;R&amp;"-,Bold"&amp;KFF0000Schedule MRW-6 Avoided Costs &amp; Benefit Cost Ratios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tabSelected="1" view="pageLayout" zoomScaleNormal="90" workbookViewId="0">
      <selection activeCell="B12" sqref="B12"/>
    </sheetView>
  </sheetViews>
  <sheetFormatPr defaultRowHeight="15" x14ac:dyDescent="0.25"/>
  <cols>
    <col min="2" max="2" width="10.7109375" customWidth="1"/>
    <col min="3" max="3" width="11" customWidth="1"/>
    <col min="9" max="9" width="15.7109375" bestFit="1" customWidth="1"/>
    <col min="10" max="10" width="23.42578125" bestFit="1" customWidth="1"/>
  </cols>
  <sheetData>
    <row r="1" spans="1:12" x14ac:dyDescent="0.25">
      <c r="A1" s="104" t="s">
        <v>60</v>
      </c>
      <c r="B1" s="104"/>
      <c r="C1" s="104"/>
    </row>
    <row r="2" spans="1:12" x14ac:dyDescent="0.25">
      <c r="A2" s="56" t="s">
        <v>31</v>
      </c>
      <c r="B2" s="17" t="s">
        <v>70</v>
      </c>
      <c r="C2" s="17" t="s">
        <v>71</v>
      </c>
    </row>
    <row r="3" spans="1:12" x14ac:dyDescent="0.25">
      <c r="A3" s="59" t="s">
        <v>75</v>
      </c>
      <c r="B3" s="58">
        <f>SUM(J8:J9)</f>
        <v>2527894.14</v>
      </c>
      <c r="C3" s="58">
        <f>J10</f>
        <v>9356299.0600000005</v>
      </c>
    </row>
    <row r="4" spans="1:12" x14ac:dyDescent="0.25">
      <c r="A4" s="59" t="s">
        <v>30</v>
      </c>
      <c r="B4" s="57">
        <f>B3/SUM($B$3:$C$3)</f>
        <v>0.21271062304843713</v>
      </c>
      <c r="C4" s="57">
        <f>C3/SUM($B$3:$C$3)</f>
        <v>0.78728937695156287</v>
      </c>
    </row>
    <row r="7" spans="1:12" x14ac:dyDescent="0.25">
      <c r="I7" s="63" t="s">
        <v>76</v>
      </c>
      <c r="J7" s="64" t="s">
        <v>77</v>
      </c>
      <c r="K7" t="s">
        <v>80</v>
      </c>
    </row>
    <row r="8" spans="1:12" x14ac:dyDescent="0.25">
      <c r="I8" t="s">
        <v>78</v>
      </c>
      <c r="J8" s="65">
        <f>1408583.03-2586.53</f>
        <v>1405996.5</v>
      </c>
      <c r="K8" s="19">
        <f>J8/SUM($J$8:$J$9)</f>
        <v>0.55619279215544992</v>
      </c>
      <c r="L8" t="s">
        <v>81</v>
      </c>
    </row>
    <row r="9" spans="1:12" x14ac:dyDescent="0.25">
      <c r="I9" t="s">
        <v>79</v>
      </c>
      <c r="J9" s="65">
        <f>1120166.32+1731.32</f>
        <v>1121897.6400000001</v>
      </c>
      <c r="K9" s="19">
        <f>J9/SUM($J$8:$J$9)</f>
        <v>0.44380720784455002</v>
      </c>
      <c r="L9" t="s">
        <v>82</v>
      </c>
    </row>
    <row r="10" spans="1:12" x14ac:dyDescent="0.25">
      <c r="I10" t="s">
        <v>71</v>
      </c>
      <c r="J10" s="65">
        <f>8767712.47-487313.71+1075900.3</f>
        <v>9356299.0600000005</v>
      </c>
    </row>
  </sheetData>
  <mergeCells count="1">
    <mergeCell ref="A1:C1"/>
  </mergeCells>
  <pageMargins left="0.7" right="0.7" top="0.75" bottom="0.75" header="0.3" footer="0.3"/>
  <pageSetup scale="91" orientation="portrait" r:id="rId1"/>
  <headerFooter>
    <oddHeader>&amp;R&amp;"-,Bold"&amp;KFF0000Schedule MRW-6 Avoided Costs &amp; Benefit Cost Ratios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Notes</vt:lpstr>
      <vt:lpstr>Summary</vt:lpstr>
      <vt:lpstr>Avoided Costs—Low Growth</vt:lpstr>
      <vt:lpstr>Avoided Costs—High Growth</vt:lpstr>
      <vt:lpstr>Divisional Costs</vt:lpstr>
      <vt:lpstr>Escalation Rates</vt:lpstr>
      <vt:lpstr>Monthly Price Ratios</vt:lpstr>
      <vt:lpstr>Heating Loadshapes</vt:lpstr>
      <vt:lpstr>Area Usage Weights</vt:lpstr>
      <vt:lpstr>Avd. Costs Predicted—Low</vt:lpstr>
      <vt:lpstr>Avd. Costs Predicted—High</vt:lpstr>
      <vt:lpstr>Admin Cost Assumptions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Erin Campbell</cp:lastModifiedBy>
  <cp:lastPrinted>2013-12-16T16:25:17Z</cp:lastPrinted>
  <dcterms:created xsi:type="dcterms:W3CDTF">2012-11-05T23:20:23Z</dcterms:created>
  <dcterms:modified xsi:type="dcterms:W3CDTF">2013-12-19T18:23:01Z</dcterms:modified>
</cp:coreProperties>
</file>