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seworks\DavWWWRoot\376\DataRequests\20563\Library\Red lines\"/>
    </mc:Choice>
  </mc:AlternateContent>
  <bookViews>
    <workbookView xWindow="120" yWindow="225" windowWidth="15240" windowHeight="5355"/>
  </bookViews>
  <sheets>
    <sheet name="tariff tables" sheetId="5" r:id="rId1"/>
    <sheet name="PPC" sheetId="4" r:id="rId2"/>
    <sheet name="PCR Cycle 1" sheetId="1" r:id="rId3"/>
    <sheet name="PCR Cycle 2" sheetId="15" r:id="rId4"/>
    <sheet name="PTD" sheetId="12" r:id="rId5"/>
    <sheet name="TDR Cycle 1" sheetId="11" r:id="rId6"/>
    <sheet name="TDR Cycle 2" sheetId="16" r:id="rId7"/>
    <sheet name="EO" sheetId="8" r:id="rId8"/>
    <sheet name="EOR" sheetId="9" r:id="rId9"/>
    <sheet name="OA" sheetId="10" r:id="rId10"/>
    <sheet name="OAR" sheetId="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2">'PCR Cycle 1'!$A$1:$N$55</definedName>
    <definedName name="_xlnm.Print_Area" localSheetId="3">'PCR Cycle 2'!$A$1:$N$55</definedName>
    <definedName name="solver_adj" localSheetId="2" hidden="1">'PCR Cycle 1'!$E$38</definedName>
    <definedName name="solver_adj" localSheetId="3" hidden="1">'PCR Cycle 2'!$E$38</definedName>
    <definedName name="solver_adj" localSheetId="5" hidden="1">'TDR Cycle 1'!#REF!</definedName>
    <definedName name="solver_adj" localSheetId="6" hidden="1">'TDR Cycle 2'!#REF!</definedName>
    <definedName name="solver_cvg" localSheetId="2" hidden="1">0.0001</definedName>
    <definedName name="solver_cvg" localSheetId="3" hidden="1">0.0001</definedName>
    <definedName name="solver_cvg" localSheetId="5" hidden="1">0.0001</definedName>
    <definedName name="solver_cvg" localSheetId="6" hidden="1">0.0001</definedName>
    <definedName name="solver_drv" localSheetId="2" hidden="1">1</definedName>
    <definedName name="solver_drv" localSheetId="3" hidden="1">1</definedName>
    <definedName name="solver_drv" localSheetId="5" hidden="1">2</definedName>
    <definedName name="solver_drv" localSheetId="6" hidden="1">2</definedName>
    <definedName name="solver_eng" localSheetId="2" hidden="1">1</definedName>
    <definedName name="solver_eng" localSheetId="3" hidden="1">1</definedName>
    <definedName name="solver_eng" localSheetId="5" hidden="1">1</definedName>
    <definedName name="solver_eng" localSheetId="6" hidden="1">1</definedName>
    <definedName name="solver_est" localSheetId="2" hidden="1">1</definedName>
    <definedName name="solver_est" localSheetId="3" hidden="1">1</definedName>
    <definedName name="solver_est" localSheetId="5" hidden="1">1</definedName>
    <definedName name="solver_est" localSheetId="6" hidden="1">1</definedName>
    <definedName name="solver_itr" localSheetId="2" hidden="1">2147483647</definedName>
    <definedName name="solver_itr" localSheetId="3" hidden="1">2147483647</definedName>
    <definedName name="solver_itr" localSheetId="5" hidden="1">2147483647</definedName>
    <definedName name="solver_itr" localSheetId="6" hidden="1">2147483647</definedName>
    <definedName name="solver_mip" localSheetId="2" hidden="1">2147483647</definedName>
    <definedName name="solver_mip" localSheetId="3" hidden="1">2147483647</definedName>
    <definedName name="solver_mip" localSheetId="5" hidden="1">2147483647</definedName>
    <definedName name="solver_mip" localSheetId="6" hidden="1">2147483647</definedName>
    <definedName name="solver_mni" localSheetId="2" hidden="1">30</definedName>
    <definedName name="solver_mni" localSheetId="3" hidden="1">30</definedName>
    <definedName name="solver_mni" localSheetId="5" hidden="1">30</definedName>
    <definedName name="solver_mni" localSheetId="6" hidden="1">30</definedName>
    <definedName name="solver_mrt" localSheetId="2" hidden="1">0.075</definedName>
    <definedName name="solver_mrt" localSheetId="3" hidden="1">0.075</definedName>
    <definedName name="solver_mrt" localSheetId="5" hidden="1">0.075</definedName>
    <definedName name="solver_mrt" localSheetId="6" hidden="1">0.075</definedName>
    <definedName name="solver_msl" localSheetId="2" hidden="1">2</definedName>
    <definedName name="solver_msl" localSheetId="3" hidden="1">2</definedName>
    <definedName name="solver_msl" localSheetId="5" hidden="1">2</definedName>
    <definedName name="solver_msl" localSheetId="6" hidden="1">2</definedName>
    <definedName name="solver_neg" localSheetId="2" hidden="1">1</definedName>
    <definedName name="solver_neg" localSheetId="3" hidden="1">1</definedName>
    <definedName name="solver_neg" localSheetId="5" hidden="1">1</definedName>
    <definedName name="solver_neg" localSheetId="6" hidden="1">1</definedName>
    <definedName name="solver_nod" localSheetId="2" hidden="1">2147483647</definedName>
    <definedName name="solver_nod" localSheetId="3" hidden="1">2147483647</definedName>
    <definedName name="solver_nod" localSheetId="5" hidden="1">2147483647</definedName>
    <definedName name="solver_nod" localSheetId="6" hidden="1">2147483647</definedName>
    <definedName name="solver_num" localSheetId="2" hidden="1">0</definedName>
    <definedName name="solver_num" localSheetId="3" hidden="1">0</definedName>
    <definedName name="solver_num" localSheetId="5" hidden="1">0</definedName>
    <definedName name="solver_num" localSheetId="6" hidden="1">0</definedName>
    <definedName name="solver_nwt" localSheetId="2" hidden="1">1</definedName>
    <definedName name="solver_nwt" localSheetId="3" hidden="1">1</definedName>
    <definedName name="solver_nwt" localSheetId="5" hidden="1">1</definedName>
    <definedName name="solver_nwt" localSheetId="6" hidden="1">1</definedName>
    <definedName name="solver_opt" localSheetId="2" hidden="1">'PCR Cycle 1'!$E$43</definedName>
    <definedName name="solver_opt" localSheetId="3" hidden="1">'PCR Cycle 2'!$E$43</definedName>
    <definedName name="solver_opt" localSheetId="5" hidden="1">'TDR Cycle 1'!#REF!</definedName>
    <definedName name="solver_opt" localSheetId="6" hidden="1">'TDR Cycle 2'!#REF!</definedName>
    <definedName name="solver_pre" localSheetId="2" hidden="1">0.000001</definedName>
    <definedName name="solver_pre" localSheetId="3" hidden="1">0.000001</definedName>
    <definedName name="solver_pre" localSheetId="5" hidden="1">0.000001</definedName>
    <definedName name="solver_pre" localSheetId="6" hidden="1">0.000001</definedName>
    <definedName name="solver_rbv" localSheetId="2" hidden="1">1</definedName>
    <definedName name="solver_rbv" localSheetId="3" hidden="1">1</definedName>
    <definedName name="solver_rbv" localSheetId="5" hidden="1">2</definedName>
    <definedName name="solver_rbv" localSheetId="6" hidden="1">2</definedName>
    <definedName name="solver_rlx" localSheetId="2" hidden="1">2</definedName>
    <definedName name="solver_rlx" localSheetId="3" hidden="1">2</definedName>
    <definedName name="solver_rlx" localSheetId="5" hidden="1">2</definedName>
    <definedName name="solver_rlx" localSheetId="6" hidden="1">2</definedName>
    <definedName name="solver_rsd" localSheetId="2" hidden="1">0</definedName>
    <definedName name="solver_rsd" localSheetId="3" hidden="1">0</definedName>
    <definedName name="solver_rsd" localSheetId="5" hidden="1">0</definedName>
    <definedName name="solver_rsd" localSheetId="6" hidden="1">0</definedName>
    <definedName name="solver_scl" localSheetId="2" hidden="1">1</definedName>
    <definedName name="solver_scl" localSheetId="3" hidden="1">1</definedName>
    <definedName name="solver_scl" localSheetId="5" hidden="1">2</definedName>
    <definedName name="solver_scl" localSheetId="6" hidden="1">2</definedName>
    <definedName name="solver_sho" localSheetId="2" hidden="1">2</definedName>
    <definedName name="solver_sho" localSheetId="3" hidden="1">2</definedName>
    <definedName name="solver_sho" localSheetId="5" hidden="1">2</definedName>
    <definedName name="solver_sho" localSheetId="6" hidden="1">2</definedName>
    <definedName name="solver_ssz" localSheetId="2" hidden="1">100</definedName>
    <definedName name="solver_ssz" localSheetId="3" hidden="1">100</definedName>
    <definedName name="solver_ssz" localSheetId="5" hidden="1">100</definedName>
    <definedName name="solver_ssz" localSheetId="6" hidden="1">100</definedName>
    <definedName name="solver_tim" localSheetId="2" hidden="1">2147483647</definedName>
    <definedName name="solver_tim" localSheetId="3" hidden="1">2147483647</definedName>
    <definedName name="solver_tim" localSheetId="5" hidden="1">2147483647</definedName>
    <definedName name="solver_tim" localSheetId="6" hidden="1">2147483647</definedName>
    <definedName name="solver_tol" localSheetId="2" hidden="1">0.01</definedName>
    <definedName name="solver_tol" localSheetId="3" hidden="1">0.01</definedName>
    <definedName name="solver_tol" localSheetId="5" hidden="1">0.01</definedName>
    <definedName name="solver_tol" localSheetId="6" hidden="1">0.01</definedName>
    <definedName name="solver_typ" localSheetId="2" hidden="1">3</definedName>
    <definedName name="solver_typ" localSheetId="3" hidden="1">3</definedName>
    <definedName name="solver_typ" localSheetId="5" hidden="1">3</definedName>
    <definedName name="solver_typ" localSheetId="6" hidden="1">3</definedName>
    <definedName name="solver_val" localSheetId="2" hidden="1">0</definedName>
    <definedName name="solver_val" localSheetId="3" hidden="1">0</definedName>
    <definedName name="solver_val" localSheetId="5" hidden="1">23888.44</definedName>
    <definedName name="solver_val" localSheetId="6" hidden="1">23888.44</definedName>
    <definedName name="solver_ver" localSheetId="2" hidden="1">3</definedName>
    <definedName name="solver_ver" localSheetId="3" hidden="1">3</definedName>
    <definedName name="solver_ver" localSheetId="5" hidden="1">3</definedName>
    <definedName name="solver_ver" localSheetId="6" hidden="1">3</definedName>
  </definedNames>
  <calcPr calcId="171027"/>
</workbook>
</file>

<file path=xl/calcChain.xml><?xml version="1.0" encoding="utf-8"?>
<calcChain xmlns="http://schemas.openxmlformats.org/spreadsheetml/2006/main">
  <c r="P26" i="1" l="1"/>
  <c r="P25" i="1"/>
  <c r="I22" i="1" l="1"/>
  <c r="I21" i="1"/>
  <c r="I22" i="15"/>
  <c r="I21" i="15"/>
  <c r="H22" i="15" l="1"/>
  <c r="H21" i="15"/>
  <c r="H22" i="1"/>
  <c r="H21" i="1"/>
  <c r="G22" i="15"/>
  <c r="G21" i="15"/>
  <c r="G22" i="1"/>
  <c r="G21" i="1"/>
  <c r="D22" i="1" l="1"/>
  <c r="D21" i="1"/>
  <c r="K13" i="15" l="1"/>
  <c r="K12" i="15"/>
  <c r="K11" i="15"/>
  <c r="K10" i="15"/>
  <c r="J13" i="15"/>
  <c r="I8" i="4"/>
  <c r="H8" i="4"/>
  <c r="G8" i="4"/>
  <c r="F8" i="4"/>
  <c r="B6" i="4" l="1"/>
  <c r="B5" i="4"/>
  <c r="L22" i="1"/>
  <c r="K22" i="1"/>
  <c r="L21" i="1"/>
  <c r="K21" i="1"/>
  <c r="J22" i="1"/>
  <c r="J21" i="1"/>
  <c r="I16" i="13" l="1"/>
  <c r="I15" i="13"/>
  <c r="H16" i="13"/>
  <c r="H15" i="13"/>
  <c r="G16" i="13"/>
  <c r="G15" i="13"/>
  <c r="F16" i="13"/>
  <c r="F15" i="13"/>
  <c r="E16" i="13"/>
  <c r="E15" i="13"/>
  <c r="D16" i="13"/>
  <c r="D15" i="13"/>
  <c r="F22" i="15" l="1"/>
  <c r="F21" i="15"/>
  <c r="F22" i="1"/>
  <c r="F21" i="1"/>
  <c r="E22" i="15" l="1"/>
  <c r="E22" i="1"/>
  <c r="E21" i="15" l="1"/>
  <c r="E21" i="1"/>
  <c r="D22" i="15" l="1"/>
  <c r="D21" i="15" l="1"/>
  <c r="I16" i="9" l="1"/>
  <c r="I15" i="9"/>
  <c r="H16" i="9"/>
  <c r="H15" i="9"/>
  <c r="G16" i="9"/>
  <c r="G15" i="9"/>
  <c r="F16" i="9"/>
  <c r="F15" i="9"/>
  <c r="E16" i="9"/>
  <c r="E15" i="9"/>
  <c r="D16" i="9"/>
  <c r="D15" i="9"/>
  <c r="I16" i="16"/>
  <c r="I15" i="16"/>
  <c r="H16" i="16"/>
  <c r="H15" i="16"/>
  <c r="G16" i="16"/>
  <c r="G15" i="16"/>
  <c r="F16" i="16"/>
  <c r="F15" i="16"/>
  <c r="E16" i="16"/>
  <c r="E15" i="16"/>
  <c r="D16" i="16"/>
  <c r="D15" i="16"/>
  <c r="I16" i="11"/>
  <c r="I15" i="11"/>
  <c r="H16" i="11"/>
  <c r="H15" i="11"/>
  <c r="G16" i="11"/>
  <c r="G15" i="11"/>
  <c r="F16" i="11"/>
  <c r="F15" i="11"/>
  <c r="E16" i="11"/>
  <c r="E15" i="11"/>
  <c r="D16" i="11"/>
  <c r="D15" i="11"/>
  <c r="I26" i="15"/>
  <c r="I25" i="15"/>
  <c r="H26" i="15"/>
  <c r="H25" i="15"/>
  <c r="G26" i="15"/>
  <c r="G25" i="15"/>
  <c r="F26" i="15"/>
  <c r="F25" i="15"/>
  <c r="E26" i="15"/>
  <c r="E25" i="15"/>
  <c r="D26" i="15"/>
  <c r="D25" i="15"/>
  <c r="I26" i="1" l="1"/>
  <c r="I25" i="1"/>
  <c r="G26" i="1"/>
  <c r="H26" i="1"/>
  <c r="H25" i="1"/>
  <c r="D26" i="1"/>
  <c r="D25" i="1"/>
  <c r="E25" i="1" l="1"/>
  <c r="E26" i="1" l="1"/>
  <c r="F25" i="1" l="1"/>
  <c r="G25" i="1" l="1"/>
  <c r="F26" i="1" l="1"/>
  <c r="I38" i="1" l="1"/>
  <c r="H38" i="1"/>
  <c r="G38" i="1"/>
  <c r="F38" i="1"/>
  <c r="E38" i="1"/>
  <c r="D38" i="1"/>
  <c r="D20" i="16" l="1"/>
  <c r="D19" i="16"/>
  <c r="D23" i="16" l="1"/>
  <c r="E19" i="16"/>
  <c r="E20" i="16"/>
  <c r="E23" i="16" l="1"/>
  <c r="F20" i="16"/>
  <c r="F19" i="16"/>
  <c r="D24" i="16"/>
  <c r="F23" i="16" l="1"/>
  <c r="G20" i="16"/>
  <c r="G19" i="16"/>
  <c r="E24" i="16"/>
  <c r="G23" i="16" l="1"/>
  <c r="H20" i="16"/>
  <c r="H19" i="16"/>
  <c r="F24" i="16"/>
  <c r="H23" i="16" l="1"/>
  <c r="I19" i="16"/>
  <c r="I20" i="16"/>
  <c r="G24" i="16"/>
  <c r="I23" i="16" l="1"/>
  <c r="H24" i="16"/>
  <c r="I24" i="16" l="1"/>
  <c r="I13" i="15" l="1"/>
  <c r="H13" i="15"/>
  <c r="G13" i="15"/>
  <c r="F13" i="15"/>
  <c r="E13" i="15"/>
  <c r="I12" i="15"/>
  <c r="H12" i="15"/>
  <c r="G12" i="15"/>
  <c r="F12" i="15"/>
  <c r="E12" i="15"/>
  <c r="I11" i="15"/>
  <c r="H11" i="15"/>
  <c r="G11" i="15"/>
  <c r="F11" i="15"/>
  <c r="E11" i="15"/>
  <c r="I10" i="15"/>
  <c r="H10" i="15"/>
  <c r="G10" i="15"/>
  <c r="F10" i="15"/>
  <c r="E10" i="15"/>
  <c r="D13" i="15"/>
  <c r="D12" i="15"/>
  <c r="D11" i="15"/>
  <c r="D10" i="15"/>
  <c r="B45" i="1" l="1"/>
  <c r="B39" i="9" l="1"/>
  <c r="B43" i="16"/>
  <c r="B43" i="11"/>
  <c r="B45" i="15"/>
  <c r="C40" i="1"/>
  <c r="E9" i="1" l="1"/>
  <c r="F9" i="1" s="1"/>
  <c r="G9" i="1" s="1"/>
  <c r="H9" i="1" s="1"/>
  <c r="I9" i="1" s="1"/>
  <c r="J9" i="1" s="1"/>
  <c r="K9" i="1" s="1"/>
  <c r="L9" i="1" s="1"/>
  <c r="A2" i="8" l="1"/>
  <c r="A1" i="8"/>
  <c r="C10" i="10" l="1"/>
  <c r="F20" i="9" l="1"/>
  <c r="E20" i="9"/>
  <c r="D20" i="9"/>
  <c r="F19" i="9"/>
  <c r="E19" i="9"/>
  <c r="D19" i="9"/>
  <c r="C39" i="13" l="1"/>
  <c r="F26" i="13"/>
  <c r="E26" i="13"/>
  <c r="D26" i="13"/>
  <c r="C26" i="13"/>
  <c r="C30" i="13" s="1"/>
  <c r="F25" i="13"/>
  <c r="E25" i="13"/>
  <c r="D25" i="13"/>
  <c r="C25" i="13"/>
  <c r="C29" i="13" s="1"/>
  <c r="H26" i="13"/>
  <c r="J12" i="13"/>
  <c r="I12" i="13"/>
  <c r="I25" i="13"/>
  <c r="H25" i="13"/>
  <c r="G25" i="13"/>
  <c r="K12" i="13"/>
  <c r="G12" i="13"/>
  <c r="F12" i="13"/>
  <c r="E12" i="13"/>
  <c r="D12" i="13"/>
  <c r="D11" i="13"/>
  <c r="E11" i="13" s="1"/>
  <c r="F11" i="13" s="1"/>
  <c r="G11" i="13" s="1"/>
  <c r="H11" i="13" s="1"/>
  <c r="I11" i="13" s="1"/>
  <c r="J11" i="13" s="1"/>
  <c r="K11" i="13" s="1"/>
  <c r="L11" i="13" s="1"/>
  <c r="C10" i="13"/>
  <c r="B10" i="13"/>
  <c r="G5" i="13"/>
  <c r="G4" i="13"/>
  <c r="G6" i="13" s="1"/>
  <c r="A1" i="13"/>
  <c r="D30" i="13" l="1"/>
  <c r="D29" i="13"/>
  <c r="I26" i="13"/>
  <c r="E5" i="13"/>
  <c r="E4" i="13"/>
  <c r="G26" i="13"/>
  <c r="H12" i="13"/>
  <c r="E6" i="13" l="1"/>
  <c r="C39" i="9" l="1"/>
  <c r="D26" i="9"/>
  <c r="C26" i="9"/>
  <c r="C30" i="9" s="1"/>
  <c r="C25" i="9"/>
  <c r="C29" i="9" s="1"/>
  <c r="I26" i="9"/>
  <c r="H26" i="9"/>
  <c r="G26" i="9"/>
  <c r="F26" i="9"/>
  <c r="E26" i="9"/>
  <c r="I25" i="9"/>
  <c r="H25" i="9"/>
  <c r="G25" i="9"/>
  <c r="F25" i="9"/>
  <c r="E25" i="9"/>
  <c r="D25" i="9"/>
  <c r="K12" i="9"/>
  <c r="J12" i="9"/>
  <c r="I12" i="9"/>
  <c r="H12" i="9"/>
  <c r="G12" i="9"/>
  <c r="F12" i="9"/>
  <c r="E12" i="9"/>
  <c r="D12" i="9"/>
  <c r="D11" i="9"/>
  <c r="E11" i="9" s="1"/>
  <c r="F11" i="9" s="1"/>
  <c r="G11" i="9" s="1"/>
  <c r="H11" i="9" s="1"/>
  <c r="I11" i="9" s="1"/>
  <c r="J11" i="9" s="1"/>
  <c r="K11" i="9" s="1"/>
  <c r="L11" i="9" s="1"/>
  <c r="C10" i="9"/>
  <c r="B10" i="9"/>
  <c r="G5" i="9"/>
  <c r="E5" i="9"/>
  <c r="G4" i="9"/>
  <c r="E4" i="9"/>
  <c r="A1" i="9"/>
  <c r="A1" i="10"/>
  <c r="A2" i="10"/>
  <c r="E6" i="9" l="1"/>
  <c r="G6" i="9"/>
  <c r="D30" i="9"/>
  <c r="D29" i="9"/>
  <c r="L16" i="13" l="1"/>
  <c r="L26" i="13" s="1"/>
  <c r="L16" i="9"/>
  <c r="L26" i="9" s="1"/>
  <c r="J15" i="13"/>
  <c r="J15" i="9"/>
  <c r="L15" i="13"/>
  <c r="L25" i="13" s="1"/>
  <c r="L15" i="9"/>
  <c r="L25" i="9" s="1"/>
  <c r="K15" i="13"/>
  <c r="K25" i="13" s="1"/>
  <c r="K15" i="9"/>
  <c r="K25" i="9" s="1"/>
  <c r="J16" i="13"/>
  <c r="J16" i="9"/>
  <c r="K16" i="13"/>
  <c r="K26" i="13" s="1"/>
  <c r="K16" i="9"/>
  <c r="K26" i="9" s="1"/>
  <c r="J25" i="13" l="1"/>
  <c r="D4" i="13"/>
  <c r="J25" i="9"/>
  <c r="D4" i="9"/>
  <c r="J26" i="9"/>
  <c r="D5" i="9"/>
  <c r="F5" i="9" s="1"/>
  <c r="J26" i="13"/>
  <c r="D5" i="13"/>
  <c r="F5" i="13" s="1"/>
  <c r="D6" i="13" l="1"/>
  <c r="F4" i="13"/>
  <c r="F4" i="9"/>
  <c r="D6" i="9"/>
  <c r="F6" i="13" l="1"/>
  <c r="F6" i="9"/>
  <c r="I32" i="13" l="1"/>
  <c r="I32" i="9"/>
  <c r="H32" i="13" l="1"/>
  <c r="H32" i="9"/>
  <c r="G32" i="13" l="1"/>
  <c r="G32" i="9"/>
  <c r="D32" i="13"/>
  <c r="D32" i="9"/>
  <c r="E32" i="13"/>
  <c r="E32" i="9"/>
  <c r="F32" i="13"/>
  <c r="F32" i="9"/>
  <c r="D35" i="13" l="1"/>
  <c r="D34" i="13"/>
  <c r="D34" i="9"/>
  <c r="D35" i="9"/>
  <c r="D37" i="9" l="1"/>
  <c r="E34" i="9"/>
  <c r="D39" i="9"/>
  <c r="E29" i="9"/>
  <c r="E30" i="9"/>
  <c r="E35" i="9"/>
  <c r="D37" i="13"/>
  <c r="D39" i="13"/>
  <c r="E34" i="13"/>
  <c r="E29" i="13"/>
  <c r="E35" i="13"/>
  <c r="E30" i="13"/>
  <c r="E37" i="13" l="1"/>
  <c r="F29" i="9"/>
  <c r="F34" i="9"/>
  <c r="F29" i="13"/>
  <c r="F34" i="13"/>
  <c r="E39" i="9"/>
  <c r="D36" i="9"/>
  <c r="F35" i="13"/>
  <c r="F30" i="13"/>
  <c r="F35" i="9"/>
  <c r="F30" i="9"/>
  <c r="E37" i="9"/>
  <c r="E39" i="13"/>
  <c r="D36" i="13"/>
  <c r="E36" i="13" l="1"/>
  <c r="F39" i="13"/>
  <c r="G29" i="13"/>
  <c r="G34" i="13"/>
  <c r="G35" i="13"/>
  <c r="G30" i="13"/>
  <c r="G35" i="9"/>
  <c r="G30" i="9"/>
  <c r="F37" i="9"/>
  <c r="F37" i="13"/>
  <c r="F39" i="9"/>
  <c r="E36" i="9"/>
  <c r="G29" i="9"/>
  <c r="G34" i="9"/>
  <c r="G37" i="13" l="1"/>
  <c r="H29" i="13"/>
  <c r="H34" i="13"/>
  <c r="F36" i="9"/>
  <c r="G39" i="9"/>
  <c r="H30" i="9"/>
  <c r="H35" i="9"/>
  <c r="G37" i="9"/>
  <c r="H34" i="9"/>
  <c r="H29" i="9"/>
  <c r="H30" i="13"/>
  <c r="H35" i="13"/>
  <c r="G39" i="13"/>
  <c r="F36" i="13"/>
  <c r="I30" i="13" l="1"/>
  <c r="I35" i="13"/>
  <c r="I29" i="9"/>
  <c r="I34" i="9"/>
  <c r="I35" i="9"/>
  <c r="I30" i="9"/>
  <c r="I29" i="13"/>
  <c r="I34" i="13"/>
  <c r="H37" i="9"/>
  <c r="H39" i="9"/>
  <c r="G36" i="9"/>
  <c r="G36" i="13"/>
  <c r="H39" i="13"/>
  <c r="H37" i="13"/>
  <c r="I39" i="9" l="1"/>
  <c r="I39" i="13"/>
  <c r="H36" i="13"/>
  <c r="H36" i="9"/>
  <c r="I37" i="13" l="1"/>
  <c r="I37" i="9"/>
  <c r="J30" i="9"/>
  <c r="J29" i="9"/>
  <c r="J29" i="13"/>
  <c r="J30" i="13"/>
  <c r="B14" i="8"/>
  <c r="I36" i="9" l="1"/>
  <c r="I36" i="13"/>
  <c r="C13" i="8"/>
  <c r="C12" i="8"/>
  <c r="C14" i="8" l="1"/>
  <c r="I18" i="15" l="1"/>
  <c r="I17" i="15"/>
  <c r="C18" i="15"/>
  <c r="C17" i="15"/>
  <c r="G18" i="15"/>
  <c r="C10" i="16"/>
  <c r="B10" i="16"/>
  <c r="C8" i="15"/>
  <c r="B8" i="15"/>
  <c r="G17" i="15" l="1"/>
  <c r="F18" i="15"/>
  <c r="E18" i="15"/>
  <c r="H18" i="15"/>
  <c r="H17" i="15"/>
  <c r="D17" i="15"/>
  <c r="E17" i="15"/>
  <c r="D18" i="15"/>
  <c r="F17" i="15"/>
  <c r="H36" i="16"/>
  <c r="G36" i="16"/>
  <c r="F36" i="16"/>
  <c r="E36" i="16"/>
  <c r="D36" i="16"/>
  <c r="H5" i="11"/>
  <c r="H4" i="11"/>
  <c r="C43" i="11"/>
  <c r="H38" i="15" l="1"/>
  <c r="G38" i="15"/>
  <c r="F38" i="15"/>
  <c r="E38" i="15"/>
  <c r="D38" i="15"/>
  <c r="I36" i="16" l="1"/>
  <c r="I38" i="15"/>
  <c r="C43" i="16" l="1"/>
  <c r="L22" i="15" l="1"/>
  <c r="K22" i="15"/>
  <c r="J22" i="15"/>
  <c r="L21" i="15"/>
  <c r="K21" i="15"/>
  <c r="J21" i="15"/>
  <c r="D9" i="15"/>
  <c r="E9" i="15" s="1"/>
  <c r="F9" i="15" s="1"/>
  <c r="G9" i="15" s="1"/>
  <c r="H9" i="15" s="1"/>
  <c r="I9" i="15" s="1"/>
  <c r="J9" i="15" s="1"/>
  <c r="K9" i="15" s="1"/>
  <c r="L9" i="15" s="1"/>
  <c r="M19" i="11" l="1"/>
  <c r="C10" i="11" l="1"/>
  <c r="B10" i="11"/>
  <c r="J38" i="1" l="1"/>
  <c r="C18" i="1"/>
  <c r="C17" i="1"/>
  <c r="J32" i="13" l="1"/>
  <c r="J32" i="9"/>
  <c r="J36" i="16"/>
  <c r="J38" i="15"/>
  <c r="C30" i="16"/>
  <c r="C34" i="16" s="1"/>
  <c r="C29" i="16"/>
  <c r="C33" i="16" s="1"/>
  <c r="L16" i="16"/>
  <c r="L30" i="16" s="1"/>
  <c r="K16" i="16"/>
  <c r="J16" i="16"/>
  <c r="L15" i="16"/>
  <c r="L29" i="16" s="1"/>
  <c r="K15" i="16"/>
  <c r="J15" i="16"/>
  <c r="D11" i="16"/>
  <c r="E11" i="16" s="1"/>
  <c r="F11" i="16" s="1"/>
  <c r="G11" i="16" s="1"/>
  <c r="H11" i="16" s="1"/>
  <c r="I11" i="16" s="1"/>
  <c r="J11" i="16" s="1"/>
  <c r="K11" i="16" s="1"/>
  <c r="L11" i="16" s="1"/>
  <c r="H5" i="16"/>
  <c r="H4" i="16"/>
  <c r="A1" i="16"/>
  <c r="C45" i="15"/>
  <c r="L43" i="15"/>
  <c r="C32" i="15"/>
  <c r="C36" i="15" s="1"/>
  <c r="C31" i="15"/>
  <c r="C35" i="15" s="1"/>
  <c r="L26" i="15"/>
  <c r="K26" i="15"/>
  <c r="J26" i="15"/>
  <c r="A26" i="15"/>
  <c r="L25" i="15"/>
  <c r="K25" i="15"/>
  <c r="J25" i="15"/>
  <c r="L18" i="15"/>
  <c r="I32" i="15"/>
  <c r="H32" i="15"/>
  <c r="F32" i="15"/>
  <c r="E32" i="15"/>
  <c r="D32" i="15"/>
  <c r="L17" i="15"/>
  <c r="I31" i="15"/>
  <c r="H31" i="15"/>
  <c r="G31" i="15"/>
  <c r="F31" i="15"/>
  <c r="E31" i="15"/>
  <c r="D31" i="15"/>
  <c r="H5" i="15"/>
  <c r="E5" i="15"/>
  <c r="H4" i="15"/>
  <c r="E4" i="15"/>
  <c r="A1" i="15"/>
  <c r="J34" i="9" l="1"/>
  <c r="J35" i="9"/>
  <c r="J35" i="13"/>
  <c r="J34" i="13"/>
  <c r="H6" i="15"/>
  <c r="D5" i="15"/>
  <c r="D36" i="15"/>
  <c r="D41" i="15"/>
  <c r="D40" i="15"/>
  <c r="D35" i="15"/>
  <c r="H6" i="16"/>
  <c r="E6" i="15"/>
  <c r="D4" i="15"/>
  <c r="L32" i="15"/>
  <c r="L31" i="15"/>
  <c r="D5" i="16"/>
  <c r="D4" i="16"/>
  <c r="G32" i="15"/>
  <c r="J37" i="13" l="1"/>
  <c r="K29" i="13"/>
  <c r="J39" i="13"/>
  <c r="K30" i="13"/>
  <c r="K30" i="9"/>
  <c r="J37" i="9"/>
  <c r="K29" i="9"/>
  <c r="J39" i="9"/>
  <c r="D6" i="15"/>
  <c r="E36" i="15"/>
  <c r="E41" i="15"/>
  <c r="E35" i="15"/>
  <c r="E40" i="15"/>
  <c r="D6" i="16"/>
  <c r="D43" i="15"/>
  <c r="D45" i="15"/>
  <c r="D42" i="15" s="1"/>
  <c r="J36" i="9" l="1"/>
  <c r="J36" i="13"/>
  <c r="F36" i="15"/>
  <c r="F41" i="15"/>
  <c r="F40" i="15"/>
  <c r="F35" i="15"/>
  <c r="E43" i="15"/>
  <c r="E45" i="15"/>
  <c r="E42" i="15" s="1"/>
  <c r="K16" i="11"/>
  <c r="J16" i="11"/>
  <c r="K15" i="11"/>
  <c r="J15" i="11"/>
  <c r="G41" i="15" l="1"/>
  <c r="G36" i="15"/>
  <c r="G35" i="15"/>
  <c r="G40" i="15"/>
  <c r="F45" i="15"/>
  <c r="F42" i="15" s="1"/>
  <c r="F43" i="15"/>
  <c r="F5" i="11"/>
  <c r="F4" i="11"/>
  <c r="G43" i="15" l="1"/>
  <c r="H35" i="15"/>
  <c r="H36" i="15"/>
  <c r="H41" i="15"/>
  <c r="H40" i="15"/>
  <c r="K38" i="1"/>
  <c r="J36" i="11"/>
  <c r="G45" i="15"/>
  <c r="G42" i="15" s="1"/>
  <c r="J29" i="11"/>
  <c r="K29" i="11"/>
  <c r="J30" i="11"/>
  <c r="K30" i="11"/>
  <c r="J12" i="11"/>
  <c r="K12" i="11"/>
  <c r="K26" i="1"/>
  <c r="J26" i="1"/>
  <c r="K25" i="1"/>
  <c r="J25" i="1"/>
  <c r="J17" i="1"/>
  <c r="K17" i="1"/>
  <c r="L17" i="1"/>
  <c r="J18" i="1"/>
  <c r="K18" i="1"/>
  <c r="L18" i="1"/>
  <c r="I36" i="15" l="1"/>
  <c r="I41" i="15"/>
  <c r="I35" i="15"/>
  <c r="I40" i="15"/>
  <c r="K32" i="13"/>
  <c r="K32" i="9"/>
  <c r="K36" i="16"/>
  <c r="K38" i="15"/>
  <c r="K36" i="11"/>
  <c r="H45" i="15"/>
  <c r="H42" i="15" s="1"/>
  <c r="H43" i="15"/>
  <c r="K31" i="1"/>
  <c r="J32" i="1"/>
  <c r="K32" i="1"/>
  <c r="J31" i="1"/>
  <c r="I45" i="15" l="1"/>
  <c r="K34" i="9"/>
  <c r="K35" i="9"/>
  <c r="K35" i="13"/>
  <c r="K34" i="13"/>
  <c r="H5" i="13" l="1"/>
  <c r="I5" i="13" s="1"/>
  <c r="F17" i="5" s="1"/>
  <c r="L30" i="13"/>
  <c r="L35" i="13"/>
  <c r="K37" i="13"/>
  <c r="H4" i="13"/>
  <c r="L29" i="13"/>
  <c r="L34" i="13"/>
  <c r="K39" i="13"/>
  <c r="H5" i="9"/>
  <c r="I5" i="9" s="1"/>
  <c r="L35" i="9"/>
  <c r="L30" i="9"/>
  <c r="K37" i="9"/>
  <c r="H4" i="9"/>
  <c r="L34" i="9"/>
  <c r="K39" i="9"/>
  <c r="L29" i="9"/>
  <c r="I42" i="15"/>
  <c r="I43" i="15"/>
  <c r="G36" i="11"/>
  <c r="H36" i="11"/>
  <c r="L37" i="13" l="1"/>
  <c r="E17" i="5"/>
  <c r="L37" i="9"/>
  <c r="J5" i="9"/>
  <c r="L39" i="9"/>
  <c r="L36" i="9" s="1"/>
  <c r="K36" i="9"/>
  <c r="J5" i="13"/>
  <c r="K36" i="13"/>
  <c r="L39" i="13"/>
  <c r="L36" i="13" s="1"/>
  <c r="H6" i="9"/>
  <c r="I4" i="9"/>
  <c r="I4" i="13"/>
  <c r="H6" i="13"/>
  <c r="H5" i="1"/>
  <c r="H4" i="1"/>
  <c r="I6" i="13" l="1"/>
  <c r="F16" i="5"/>
  <c r="J4" i="13"/>
  <c r="E16" i="5"/>
  <c r="J4" i="9"/>
  <c r="I6" i="9"/>
  <c r="H6" i="11"/>
  <c r="H6" i="1"/>
  <c r="C30" i="11"/>
  <c r="C34" i="11" s="1"/>
  <c r="C29" i="11"/>
  <c r="C33" i="11" s="1"/>
  <c r="I36" i="11" l="1"/>
  <c r="F36" i="11"/>
  <c r="E36" i="11"/>
  <c r="D36" i="11"/>
  <c r="C32" i="1" l="1"/>
  <c r="C36" i="1" s="1"/>
  <c r="C31" i="1"/>
  <c r="C35" i="1" s="1"/>
  <c r="I12" i="11" l="1"/>
  <c r="M20" i="11" l="1"/>
  <c r="E5" i="1"/>
  <c r="E4" i="1"/>
  <c r="C45" i="1" l="1"/>
  <c r="H12" i="11" l="1"/>
  <c r="G12" i="11"/>
  <c r="F12" i="11"/>
  <c r="E12" i="11"/>
  <c r="D12" i="11"/>
  <c r="H30" i="11" l="1"/>
  <c r="H29" i="11"/>
  <c r="G30" i="11"/>
  <c r="G29" i="11"/>
  <c r="F30" i="11"/>
  <c r="F29" i="11"/>
  <c r="H18" i="1"/>
  <c r="H32" i="1" s="1"/>
  <c r="H17" i="1"/>
  <c r="H31" i="1" s="1"/>
  <c r="G18" i="1"/>
  <c r="G17" i="1"/>
  <c r="F18" i="1"/>
  <c r="F32" i="1" s="1"/>
  <c r="F17" i="1"/>
  <c r="F31" i="1" s="1"/>
  <c r="G31" i="1" l="1"/>
  <c r="G32" i="1"/>
  <c r="L16" i="11" l="1"/>
  <c r="L15" i="11"/>
  <c r="L29" i="11" l="1"/>
  <c r="L30" i="11"/>
  <c r="L43" i="1"/>
  <c r="L26" i="1"/>
  <c r="L25" i="1"/>
  <c r="L32" i="1" l="1"/>
  <c r="L31" i="1"/>
  <c r="A1" i="5"/>
  <c r="A1" i="11"/>
  <c r="A1" i="12"/>
  <c r="A1" i="1"/>
  <c r="I18" i="1" l="1"/>
  <c r="E18" i="1"/>
  <c r="D18" i="1"/>
  <c r="F5" i="1" l="1"/>
  <c r="I17" i="1"/>
  <c r="D17" i="1"/>
  <c r="E17" i="1"/>
  <c r="F4" i="1" l="1"/>
  <c r="A2" i="12"/>
  <c r="D11" i="11" l="1"/>
  <c r="E11" i="11" s="1"/>
  <c r="F11" i="11" s="1"/>
  <c r="G11" i="11" s="1"/>
  <c r="H11" i="11" s="1"/>
  <c r="I11" i="11" s="1"/>
  <c r="J11" i="11" s="1"/>
  <c r="K11" i="11" s="1"/>
  <c r="L11" i="11" s="1"/>
  <c r="E6" i="1" l="1"/>
  <c r="E31" i="1" l="1"/>
  <c r="E32" i="1"/>
  <c r="D31" i="1" l="1"/>
  <c r="D32" i="1"/>
  <c r="D41" i="1" s="1"/>
  <c r="D40" i="1" l="1"/>
  <c r="D35" i="1"/>
  <c r="D36" i="1"/>
  <c r="E41" i="1" l="1"/>
  <c r="D45" i="1"/>
  <c r="E35" i="1"/>
  <c r="D43" i="1"/>
  <c r="E40" i="1"/>
  <c r="F40" i="1" l="1"/>
  <c r="D42" i="1"/>
  <c r="E43" i="1"/>
  <c r="F35" i="1"/>
  <c r="E30" i="11"/>
  <c r="E29" i="11"/>
  <c r="G40" i="1" l="1"/>
  <c r="G35" i="1"/>
  <c r="D30" i="11"/>
  <c r="D29" i="11"/>
  <c r="E4" i="11"/>
  <c r="H40" i="1" l="1"/>
  <c r="D34" i="11"/>
  <c r="D39" i="11"/>
  <c r="D33" i="11"/>
  <c r="D38" i="11"/>
  <c r="H35" i="1"/>
  <c r="E5" i="11"/>
  <c r="D43" i="11" l="1"/>
  <c r="E38" i="11"/>
  <c r="E33" i="11"/>
  <c r="F33" i="11" l="1"/>
  <c r="F38" i="11"/>
  <c r="D41" i="11"/>
  <c r="E39" i="11"/>
  <c r="E34" i="11"/>
  <c r="D40" i="11"/>
  <c r="G38" i="11" l="1"/>
  <c r="G33" i="11"/>
  <c r="F34" i="11"/>
  <c r="F39" i="11"/>
  <c r="F41" i="11" s="1"/>
  <c r="E43" i="11"/>
  <c r="E41" i="11"/>
  <c r="D5" i="11"/>
  <c r="H33" i="11" l="1"/>
  <c r="H38" i="11"/>
  <c r="D4" i="11"/>
  <c r="E40" i="11"/>
  <c r="F43" i="11"/>
  <c r="G34" i="11"/>
  <c r="G39" i="11"/>
  <c r="G41" i="11" s="1"/>
  <c r="F40" i="11" l="1"/>
  <c r="G43" i="11"/>
  <c r="H39" i="11"/>
  <c r="H41" i="11" s="1"/>
  <c r="H34" i="11"/>
  <c r="D6" i="11"/>
  <c r="F6" i="1"/>
  <c r="B7" i="4"/>
  <c r="F7" i="4"/>
  <c r="D4" i="1" l="1"/>
  <c r="D5" i="1"/>
  <c r="G40" i="11"/>
  <c r="H43" i="11"/>
  <c r="I32" i="1"/>
  <c r="I31" i="1"/>
  <c r="I35" i="1" l="1"/>
  <c r="I40" i="1"/>
  <c r="H40" i="11"/>
  <c r="D6" i="1"/>
  <c r="G4" i="1"/>
  <c r="G5" i="5" l="1"/>
  <c r="G4" i="5"/>
  <c r="A26" i="1"/>
  <c r="H7" i="4" l="1"/>
  <c r="G7" i="4"/>
  <c r="I7" i="4" l="1"/>
  <c r="G5" i="1"/>
  <c r="G6" i="1" l="1"/>
  <c r="E36" i="1" l="1"/>
  <c r="F41" i="1" s="1"/>
  <c r="F36" i="1" l="1"/>
  <c r="G41" i="1" s="1"/>
  <c r="F43" i="1"/>
  <c r="E45" i="1"/>
  <c r="G43" i="1" l="1"/>
  <c r="J40" i="1"/>
  <c r="J35" i="1"/>
  <c r="E42" i="1"/>
  <c r="F45" i="1"/>
  <c r="G36" i="1"/>
  <c r="K40" i="1" l="1"/>
  <c r="F42" i="1"/>
  <c r="G45" i="1"/>
  <c r="H36" i="1"/>
  <c r="H41" i="1"/>
  <c r="H43" i="1" s="1"/>
  <c r="I36" i="1" l="1"/>
  <c r="I41" i="1"/>
  <c r="G42" i="1"/>
  <c r="H45" i="1"/>
  <c r="I45" i="1" l="1"/>
  <c r="H42" i="1"/>
  <c r="J41" i="1" l="1"/>
  <c r="J36" i="1"/>
  <c r="K41" i="1" l="1"/>
  <c r="J45" i="1"/>
  <c r="I42" i="1"/>
  <c r="I43" i="1"/>
  <c r="K35" i="1" l="1"/>
  <c r="L35" i="1" l="1"/>
  <c r="I4" i="1"/>
  <c r="J4" i="1" s="1"/>
  <c r="K4" i="1" l="1"/>
  <c r="J43" i="1" l="1"/>
  <c r="K36" i="1" l="1"/>
  <c r="J42" i="1" l="1"/>
  <c r="K45" i="1"/>
  <c r="I5" i="1"/>
  <c r="K43" i="1"/>
  <c r="L36" i="1"/>
  <c r="I30" i="11"/>
  <c r="I29" i="11"/>
  <c r="I39" i="11" l="1"/>
  <c r="I34" i="11"/>
  <c r="I38" i="11"/>
  <c r="I33" i="11"/>
  <c r="J5" i="1"/>
  <c r="I6" i="1"/>
  <c r="K42" i="1"/>
  <c r="L45" i="1"/>
  <c r="L42" i="1" s="1"/>
  <c r="F6" i="11"/>
  <c r="E6" i="11"/>
  <c r="G5" i="11"/>
  <c r="G4" i="11"/>
  <c r="I43" i="11" l="1"/>
  <c r="I40" i="11" s="1"/>
  <c r="J38" i="11"/>
  <c r="J33" i="11"/>
  <c r="J34" i="11"/>
  <c r="J39" i="11"/>
  <c r="K5" i="1"/>
  <c r="J6" i="1"/>
  <c r="G6" i="11"/>
  <c r="I41" i="11"/>
  <c r="K34" i="11" l="1"/>
  <c r="K33" i="11"/>
  <c r="J43" i="11"/>
  <c r="K39" i="11" l="1"/>
  <c r="J41" i="11"/>
  <c r="J40" i="11"/>
  <c r="K38" i="11"/>
  <c r="I5" i="11" l="1"/>
  <c r="J5" i="11" s="1"/>
  <c r="L34" i="11"/>
  <c r="I4" i="11"/>
  <c r="J4" i="11" s="1"/>
  <c r="L33" i="11"/>
  <c r="L39" i="11"/>
  <c r="K43" i="11"/>
  <c r="K40" i="11" s="1"/>
  <c r="K41" i="11"/>
  <c r="L38" i="11"/>
  <c r="K5" i="11" l="1"/>
  <c r="I6" i="11"/>
  <c r="K4" i="11"/>
  <c r="J6" i="11"/>
  <c r="L41" i="11"/>
  <c r="L43" i="11"/>
  <c r="L40" i="11" s="1"/>
  <c r="D9" i="8" l="1"/>
  <c r="D13" i="8" s="1"/>
  <c r="D12" i="8" l="1"/>
  <c r="E10" i="5" s="1"/>
  <c r="E11" i="5"/>
  <c r="D14" i="8"/>
  <c r="D15" i="8" s="1"/>
  <c r="L5" i="5" l="1"/>
  <c r="E5" i="5"/>
  <c r="E4" i="5"/>
  <c r="L4" i="5"/>
  <c r="I9" i="4" l="1"/>
  <c r="I10" i="4"/>
  <c r="H10" i="4" l="1"/>
  <c r="H9" i="4"/>
  <c r="K17" i="15" l="1"/>
  <c r="K31" i="15" s="1"/>
  <c r="K18" i="15" l="1"/>
  <c r="K32" i="15" l="1"/>
  <c r="D30" i="16" l="1"/>
  <c r="D39" i="16" s="1"/>
  <c r="D29" i="16"/>
  <c r="D38" i="16" s="1"/>
  <c r="D12" i="16"/>
  <c r="E30" i="16"/>
  <c r="E12" i="16" l="1"/>
  <c r="E29" i="16"/>
  <c r="D34" i="16"/>
  <c r="D33" i="16"/>
  <c r="F30" i="16"/>
  <c r="D43" i="16" l="1"/>
  <c r="D40" i="16" s="1"/>
  <c r="G29" i="16"/>
  <c r="D41" i="16"/>
  <c r="F12" i="16"/>
  <c r="F29" i="16"/>
  <c r="E39" i="16"/>
  <c r="E34" i="16"/>
  <c r="E33" i="16"/>
  <c r="E38" i="16"/>
  <c r="G30" i="16"/>
  <c r="H30" i="16"/>
  <c r="E41" i="16" l="1"/>
  <c r="F33" i="16"/>
  <c r="F38" i="16"/>
  <c r="H12" i="16"/>
  <c r="H29" i="16"/>
  <c r="E43" i="16"/>
  <c r="E40" i="16" s="1"/>
  <c r="G12" i="16"/>
  <c r="F34" i="16"/>
  <c r="F39" i="16"/>
  <c r="F43" i="16" l="1"/>
  <c r="F40" i="16" s="1"/>
  <c r="F41" i="16"/>
  <c r="G39" i="16"/>
  <c r="G34" i="16"/>
  <c r="G38" i="16"/>
  <c r="G33" i="16"/>
  <c r="I30" i="16"/>
  <c r="G43" i="16" l="1"/>
  <c r="G40" i="16" s="1"/>
  <c r="H38" i="16"/>
  <c r="H33" i="16"/>
  <c r="G41" i="16"/>
  <c r="I12" i="16"/>
  <c r="I29" i="16"/>
  <c r="H39" i="16"/>
  <c r="H34" i="16"/>
  <c r="I33" i="16" l="1"/>
  <c r="I38" i="16"/>
  <c r="I34" i="16"/>
  <c r="I39" i="16"/>
  <c r="H43" i="16"/>
  <c r="H40" i="16" s="1"/>
  <c r="H41" i="16"/>
  <c r="I43" i="16" l="1"/>
  <c r="I41" i="16"/>
  <c r="I40" i="16" l="1"/>
  <c r="G10" i="4" l="1"/>
  <c r="G9" i="4"/>
  <c r="F9" i="4" l="1"/>
  <c r="C5" i="4" s="1"/>
  <c r="F10" i="4"/>
  <c r="C6" i="4" s="1"/>
  <c r="C11" i="5" l="1"/>
  <c r="C10" i="5"/>
  <c r="C7" i="4"/>
  <c r="C8" i="4" s="1"/>
  <c r="D9" i="10" l="1"/>
  <c r="F11" i="5" s="1"/>
  <c r="D8" i="10"/>
  <c r="F10" i="5" l="1"/>
  <c r="D10" i="10"/>
  <c r="D11" i="10" s="1"/>
  <c r="F5" i="5"/>
  <c r="M5" i="5"/>
  <c r="F4" i="5" l="1"/>
  <c r="M4" i="5"/>
  <c r="J12" i="15" l="1"/>
  <c r="J10" i="15" l="1"/>
  <c r="J11" i="15" l="1"/>
  <c r="J17" i="15"/>
  <c r="F4" i="15" l="1"/>
  <c r="J31" i="15"/>
  <c r="J18" i="15"/>
  <c r="J32" i="15" l="1"/>
  <c r="F5" i="15"/>
  <c r="G5" i="15" s="1"/>
  <c r="J40" i="15"/>
  <c r="J35" i="15"/>
  <c r="G4" i="15"/>
  <c r="F6" i="15" l="1"/>
  <c r="K35" i="15"/>
  <c r="K40" i="15"/>
  <c r="I4" i="15" s="1"/>
  <c r="J4" i="15" s="1"/>
  <c r="G6" i="15"/>
  <c r="J36" i="15"/>
  <c r="J41" i="15"/>
  <c r="J43" i="15" s="1"/>
  <c r="K41" i="15" l="1"/>
  <c r="K36" i="15"/>
  <c r="C16" i="5"/>
  <c r="J45" i="15"/>
  <c r="J42" i="15" s="1"/>
  <c r="L35" i="15"/>
  <c r="K4" i="15" s="1"/>
  <c r="I5" i="15" l="1"/>
  <c r="J5" i="15" s="1"/>
  <c r="J6" i="15" s="1"/>
  <c r="K43" i="15"/>
  <c r="K45" i="15"/>
  <c r="L45" i="15" s="1"/>
  <c r="L36" i="15"/>
  <c r="C17" i="5"/>
  <c r="J4" i="5"/>
  <c r="C4" i="5"/>
  <c r="I6" i="15" l="1"/>
  <c r="L42" i="15"/>
  <c r="K42" i="15"/>
  <c r="K5" i="15"/>
  <c r="C5" i="5"/>
  <c r="J5" i="5"/>
  <c r="J19" i="16" l="1"/>
  <c r="J23" i="16" l="1"/>
  <c r="J29" i="16" l="1"/>
  <c r="J20" i="16"/>
  <c r="K23" i="16"/>
  <c r="K19" i="16"/>
  <c r="K29" i="16" l="1"/>
  <c r="M19" i="16"/>
  <c r="E4" i="16" s="1"/>
  <c r="F4" i="16"/>
  <c r="J38" i="16"/>
  <c r="J33" i="16"/>
  <c r="K20" i="16"/>
  <c r="M20" i="16" s="1"/>
  <c r="E5" i="16" s="1"/>
  <c r="J24" i="16"/>
  <c r="E6" i="16" l="1"/>
  <c r="G4" i="16"/>
  <c r="J30" i="16"/>
  <c r="J12" i="16"/>
  <c r="K38" i="16"/>
  <c r="I4" i="16" s="1"/>
  <c r="K33" i="16"/>
  <c r="K24" i="16"/>
  <c r="K30" i="16" l="1"/>
  <c r="K12" i="16"/>
  <c r="L33" i="16"/>
  <c r="L38" i="16"/>
  <c r="J34" i="16"/>
  <c r="J39" i="16"/>
  <c r="F5" i="16"/>
  <c r="J4" i="16"/>
  <c r="K4" i="16" l="1"/>
  <c r="D16" i="5"/>
  <c r="J43" i="16"/>
  <c r="J40" i="16" s="1"/>
  <c r="J41" i="16"/>
  <c r="G5" i="16"/>
  <c r="F6" i="16"/>
  <c r="K39" i="16"/>
  <c r="K41" i="16" s="1"/>
  <c r="K34" i="16"/>
  <c r="K43" i="16" l="1"/>
  <c r="K40" i="16" s="1"/>
  <c r="I5" i="16"/>
  <c r="I6" i="16" s="1"/>
  <c r="G6" i="16"/>
  <c r="L34" i="16"/>
  <c r="L39" i="16"/>
  <c r="L41" i="16" s="1"/>
  <c r="J5" i="16" l="1"/>
  <c r="L43" i="16"/>
  <c r="L40" i="16" s="1"/>
  <c r="B6" i="12"/>
  <c r="C6" i="12"/>
  <c r="J6" i="16" l="1"/>
  <c r="K5" i="16"/>
  <c r="D17" i="5"/>
  <c r="D10" i="5"/>
  <c r="K4" i="5" l="1"/>
  <c r="D4" i="5"/>
  <c r="B7" i="12"/>
  <c r="B8" i="12" s="1"/>
  <c r="C7" i="12"/>
  <c r="D11" i="5" l="1"/>
  <c r="C8" i="12"/>
  <c r="H4" i="5"/>
  <c r="K5" i="5" l="1"/>
  <c r="D5" i="5"/>
  <c r="H5" i="5" l="1"/>
</calcChain>
</file>

<file path=xl/sharedStrings.xml><?xml version="1.0" encoding="utf-8"?>
<sst xmlns="http://schemas.openxmlformats.org/spreadsheetml/2006/main" count="380" uniqueCount="150">
  <si>
    <t>Low Income</t>
  </si>
  <si>
    <t>Common/General</t>
  </si>
  <si>
    <t>Allocated Program Costs</t>
  </si>
  <si>
    <t>Over/(Under)</t>
  </si>
  <si>
    <t>PCR</t>
  </si>
  <si>
    <t>Allocations</t>
  </si>
  <si>
    <t>Total</t>
  </si>
  <si>
    <t>PPC</t>
  </si>
  <si>
    <t>Service Class</t>
  </si>
  <si>
    <t>FORECASTED</t>
  </si>
  <si>
    <t>TDR</t>
  </si>
  <si>
    <t>Interest</t>
  </si>
  <si>
    <t>CHECK</t>
  </si>
  <si>
    <t>INPUTS</t>
  </si>
  <si>
    <t>Starting Balance</t>
  </si>
  <si>
    <t>Program Cost Rate</t>
  </si>
  <si>
    <t>4. Total Interest</t>
  </si>
  <si>
    <t>2. Actual Revenues - TD-NSB Only</t>
  </si>
  <si>
    <t>5. Total Interest</t>
  </si>
  <si>
    <t>PTD</t>
  </si>
  <si>
    <t>OA</t>
  </si>
  <si>
    <t>OAR</t>
  </si>
  <si>
    <t>NPC</t>
  </si>
  <si>
    <t>NTD</t>
  </si>
  <si>
    <t>NOA</t>
  </si>
  <si>
    <t>cumulative check</t>
  </si>
  <si>
    <t>monthly GL interest check</t>
  </si>
  <si>
    <t>Programmable Thermostat</t>
  </si>
  <si>
    <t>Non-Residential %</t>
  </si>
  <si>
    <t>Residential</t>
  </si>
  <si>
    <t>Non-Residential</t>
  </si>
  <si>
    <t>2. PPC</t>
  </si>
  <si>
    <t>Residential/Non-Residential %</t>
  </si>
  <si>
    <t>DSIM($/kWh)</t>
  </si>
  <si>
    <t>2. PTD</t>
  </si>
  <si>
    <t xml:space="preserve">INPUTS </t>
  </si>
  <si>
    <t>3. Energy Savings (kWh)</t>
  </si>
  <si>
    <t>4. Total monthly interest - Source: calculated</t>
  </si>
  <si>
    <t>1. Actual/Forecasted Program Costs</t>
  </si>
  <si>
    <t>ACTUAL</t>
  </si>
  <si>
    <t>3. Actual/Forecasted Revenues - Program Costs Only</t>
  </si>
  <si>
    <t>Allocated Actual Program Costs (calculated)</t>
  </si>
  <si>
    <t>Regulatory Asset/(Liability) (calculated)</t>
  </si>
  <si>
    <t>1. Actual/Forecasted TD-NSB</t>
  </si>
  <si>
    <t>Interest Carrying Cost (calculated)</t>
  </si>
  <si>
    <t>Cumulative kWh Savings</t>
  </si>
  <si>
    <t>TD-NSB</t>
  </si>
  <si>
    <t>PE (kWh)</t>
  </si>
  <si>
    <t>Defined Terms</t>
  </si>
  <si>
    <t>EP = Effective Period (six months beginning July 2014) and each six month period thereafter</t>
  </si>
  <si>
    <t>PPC = Projected Program Costs in the upcoming EP</t>
  </si>
  <si>
    <t>PCR = Program Costs Reconciliation for the current EP</t>
  </si>
  <si>
    <t>NPC = Net Program Costs for the upcoming EP (PPC + PCR)</t>
  </si>
  <si>
    <t>PTD = Projected Throughput Disincentive in the upcoming EP</t>
  </si>
  <si>
    <t>NTD = Net Throughput Disincentive for the upcoming EP (PTD + TDR)</t>
  </si>
  <si>
    <t>OA = Ordered Adjustment</t>
  </si>
  <si>
    <t>OAR = Ordered Adjustment Reconciliation</t>
  </si>
  <si>
    <t>NOA = Net Order Adjustment (OA + OAR)</t>
  </si>
  <si>
    <t>PE = Projected Energy, in kWh to be delivered during the upcoming RP</t>
  </si>
  <si>
    <t>RP = Recovery Period (six months beginning August 2014) and each six month period thereafter</t>
  </si>
  <si>
    <t>1. PE - Recovery Period Forecasted Billed kWh Sales</t>
  </si>
  <si>
    <t>Billed kWh Sales</t>
  </si>
  <si>
    <t>Billed Revenues</t>
  </si>
  <si>
    <t>2. Actual/Forecasted Billed KWh Sales - Reduced for Opt-Out</t>
  </si>
  <si>
    <t>TDR = Throughput Disincentive Reconciliation in the current EP</t>
  </si>
  <si>
    <t>5. Short-Term Interest Rate</t>
  </si>
  <si>
    <t>6. Current Tariff Rate</t>
  </si>
  <si>
    <t>6. Actual program cost rate component of the tariff rate</t>
  </si>
  <si>
    <t>(Over)/Under (calculated)</t>
  </si>
  <si>
    <t>Cumulative (Over)/Under (calculated)</t>
  </si>
  <si>
    <t>TD</t>
  </si>
  <si>
    <t>Beginning Over/(Under)</t>
  </si>
  <si>
    <t>EO = Earnings Opportunity</t>
  </si>
  <si>
    <t>NEO = Net Earnings Opportunity (EO + EOR)</t>
  </si>
  <si>
    <t>EOR = Earnings Opportunity Reconciliation</t>
  </si>
  <si>
    <t>TD Rate</t>
  </si>
  <si>
    <t>NEO</t>
  </si>
  <si>
    <t>EO</t>
  </si>
  <si>
    <t>EOR</t>
  </si>
  <si>
    <t>Cycle 1 Program Costs Reconciliation (PCR) Calculation</t>
  </si>
  <si>
    <t>Income-Eligible</t>
  </si>
  <si>
    <t>Cycle 2 Program Costs Reconciliation (PCR) Calculation</t>
  </si>
  <si>
    <t>Cycle 2 Throughput Disincentive TD Reconciliation (TDR) Calculation</t>
  </si>
  <si>
    <t>2. Actual Revenues - TD Only</t>
  </si>
  <si>
    <t>1. Actual/Forecasted TD</t>
  </si>
  <si>
    <t>Cycle 2 Projected Program Costs (PPC) Calculation</t>
  </si>
  <si>
    <t>Cycle 1 Throughput Disincentive TD-NSB Reconciliation (TDR) Calculation</t>
  </si>
  <si>
    <t>Cycle 2 Projected Throughput Disincentive (PTD) TD Calculation</t>
  </si>
  <si>
    <t>1. Forecasted kWh Sales Impact</t>
  </si>
  <si>
    <t>3. kWh Sales Impact</t>
  </si>
  <si>
    <t>4. Actual/Forecasted TD-NSB</t>
  </si>
  <si>
    <t>5. Total monthly interest - Source: calculated</t>
  </si>
  <si>
    <t>7. Actual TD-NSB rate component of the tariff rate</t>
  </si>
  <si>
    <t>7. Current Tariff Rate</t>
  </si>
  <si>
    <t>4. Actual/Forecasted TD</t>
  </si>
  <si>
    <t>7. Actual TD rate component of the tariff rate</t>
  </si>
  <si>
    <t>Cumulative kWh Sales Impact</t>
  </si>
  <si>
    <t>Cycle 1 Earnings Opportunity (EO) Calculation</t>
  </si>
  <si>
    <t>Cycle 1 Ordered Adjustment (OA) Calculation</t>
  </si>
  <si>
    <t>EO Rate</t>
  </si>
  <si>
    <t>OA Rate</t>
  </si>
  <si>
    <t>1. Calculated Performance Incentive</t>
  </si>
  <si>
    <t>2. Performance Incentive Award</t>
  </si>
  <si>
    <t>5. Allocation % - Calculated % of Residential and Non-Residential kWh Savings to Total Savings.</t>
  </si>
  <si>
    <t>3. Performance Incentive Award Recovery in Effective Period</t>
  </si>
  <si>
    <t>4. Verified kWh Savings</t>
  </si>
  <si>
    <t>5. Allocation %</t>
  </si>
  <si>
    <t>1. Ordered Adjustment</t>
  </si>
  <si>
    <t>2. Carrying Costs on OA</t>
  </si>
  <si>
    <t>Cycle 1 Earnings Opportunity Reconciliation (EOR) Calculation</t>
  </si>
  <si>
    <t>1. Actual/Forecasted Earnings Opportunity</t>
  </si>
  <si>
    <t>2. Actual Revenues - EO Only</t>
  </si>
  <si>
    <t>4. Short-Term Interest Rate</t>
  </si>
  <si>
    <t>3. Actual/Forecasted EO Amortization</t>
  </si>
  <si>
    <t>Cycle 1 Ordered Adjustments Reconciliation (OAR) Calculation</t>
  </si>
  <si>
    <t>2. Actual Revenues - OA Only</t>
  </si>
  <si>
    <t>1. Actual/Forecasted Ordered Adjustments</t>
  </si>
  <si>
    <t>3. Actual/Forecasted Ordered Adjustments</t>
  </si>
  <si>
    <t>1. &amp; 4. Actual monthly TD-NSB - Source: None
    Forecasted monthly TD-NSB - Source: None</t>
  </si>
  <si>
    <t>3. Energy Savings (kWh) - Source: none</t>
  </si>
  <si>
    <t>7. Actual EO rate component of the tariff rate</t>
  </si>
  <si>
    <t>Res/Non-Res Allocation - Verified kWh Savings from EM&amp;V</t>
  </si>
  <si>
    <t>CONFIDENTIAL</t>
  </si>
  <si>
    <t>None</t>
  </si>
  <si>
    <t>1. Actual monthly program costs by allocation bucket Residential, Non-Residential, Low Income, Common/General, Programmable Thermostat) - Source: None</t>
  </si>
  <si>
    <t>EO Fully amortized into rates over 18 months beginning February 1, 2017 - July 31, 2018.</t>
  </si>
  <si>
    <t>1. Calculated Performance Incentive - Source: None</t>
  </si>
  <si>
    <t>2. Performance Incentive Award - Source:  None</t>
  </si>
  <si>
    <t>3. Performance Incentive Award Recovery in Effective Period - None</t>
  </si>
  <si>
    <t>4. Verified kWh Savings per final EM&amp;V Report summarized by Residential/Non-Residential programs - Source: None</t>
  </si>
  <si>
    <t>2. Actual Revenues - OA Only - Source: KCPLMO MEEIA 2018 Revenue Analysis.xlsx</t>
  </si>
  <si>
    <t>1. Forecasted kWh by Residential/Non-Residential (Reduced for Opt-Out) - Source: Billed kWh Budget KCPL 2018-2019.xlsx</t>
  </si>
  <si>
    <t>Cumulative Over/Under Carryover From 06/01/2018 Filing</t>
  </si>
  <si>
    <t>Reverse May-18 - June-18  Forecast From 06/01/2018 Filing</t>
  </si>
  <si>
    <t>Projections for Cycle 2 January 2019 - June 2019 DSIM</t>
  </si>
  <si>
    <t>2. Actual monthly kWh billed sales by Residential/Non-Residential (reduced for opt-out) - Source: KCPLMO MEEIA 2018 Revenue Analysis.xlsx
    Forecasted monthly kWh billed sales by Residential/Non-Residential (reduced for opt-out) - Source:Billed kWh Budget KCPL 2018-2019.xlsx</t>
  </si>
  <si>
    <t>3. Actual monthly billed revenues by Residential/Non-Residential (program cost revenues only) - KCPLMO MEEIA 2018 Revenue Analysis.xlsx
    Forecasted monthly billed revenues by Residential/Non-Residential (program cost revenues only) - Source: calculated = Forecasted billed kWh sales X tariff rate</t>
  </si>
  <si>
    <t>5. Monthly Short-Term Borrowing Rate - Source: KCPL Short-Term Borrowing Rate May 2018 - October 2018.xlsx</t>
  </si>
  <si>
    <t>2. Actual monthly kWh billed sales by Residential/Non-Residential (reduced for opt-out) - Source: KCPLMO MEEIA 2018 Revenue Analysis.xlsx
    Forecasted monthly kWh billed sales by Residential/Non-Residential (reduced for opt-out) - Source: Billed kWh Budget KCPL 2018-2019.xlsx</t>
  </si>
  <si>
    <t>2. Actual monthly billed revenues by Residential/Non-Residential (TD-NSB revenues only) - KCPLMO MEEIA 2018 Revenue Analysis.xlsx
Forecasted monthly billed revenues by Residential/Non-Residential (TD-NSB revenues only) - Source: calculated = Forecasted billed kWh sales X tariff rate</t>
  </si>
  <si>
    <t>2. Actual monthly billed revenues by Residential/Non-Residential (TD revenues only) - KCPLMO MEEIA 2018 Revenue Analysis.xlsx
Forecasted monthly billed revenues by Residential/Non-Residential (TD revenues only) - Source: calculated = Forecasted billed kWh sales X tariff rate</t>
  </si>
  <si>
    <t>3. Actual/Forecasted EO Amortization - Source:  None</t>
  </si>
  <si>
    <t>1. &amp; 4. Actual monthly EO - Source: PI Annuity Calc KCPL.xlsx
    Forecasted monthly TD-NSB - Source: None</t>
  </si>
  <si>
    <t>2. Forecasted program costs by allocation bucket (Residential, Non-Residential, Income-Eligible, Common/General) - Source: KCPL MEEIA Cycle 2 Forecast 2017-2019 102018 actuals 11072018.xlsx</t>
  </si>
  <si>
    <t>1. Actual monthly program costs by allocation bucket Residential, Non-Residential, Income-Eligible, Common/General) - Source: SI Projects 052018-102018 KCPL.xlsx
    Forecasted monthly program costs by allocation bucket - Source: KCPL MEEIA Cycle 2 Forecast 2017-2019 102018 actuals 11072018.xlsx</t>
  </si>
  <si>
    <t>1. Forecasted Residential/Non-Residential kWh savings  - Source: KCPL MEEIA Cycle 2 Forecast 2017-2019 102018 actuals 11072018.xlsx</t>
  </si>
  <si>
    <t>2. Forecasted Throughput Disincentive - Source: KCPL MEEIA Cycle 2 Forecast 2017-2019 102018 actuals 11072018.xlsx</t>
  </si>
  <si>
    <t>1. &amp; 4. Actual monthly TD - Source: TD Model KCPL-MO 102018 final 11072018.xlsx
    Forecasted monthly TD - Source: KCPL MEEIA Cycle 2 Forecast 2017-2019 102018 actuals 11072018.xlsx</t>
  </si>
  <si>
    <t>3. Actual kWh Sales Impact - Source:  TD Model KCPL-MO 102018 final 11072018.xls
    Forecasted kWh Sales Impact - Source: KCPL MEEIA Cycle 2 Forecast 2017-2019 102018 actuals 11072018.xlsx</t>
  </si>
  <si>
    <t>Kansas City Power &amp; Light Company - DSIM Rider Update Filed 11/30/2018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</si>
</sst>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0.000%"/>
    <numFmt numFmtId="169" formatCode="0.0000%"/>
    <numFmt numFmtId="170" formatCode="_(&quot;$&quot;* #,##0.00000_);_(&quot;$&quot;* \(#,##0.00000\);_(&quot;$&quot;* &quot;-&quot;?????_);_(@_)"/>
    <numFmt numFmtId="171" formatCode="0.000000%"/>
    <numFmt numFmtId="172" formatCode="_(&quot;$&quot;* #,##0.0_);_(&quot;$&quot;* \(#,##0.0\);_(&quot;$&quot;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0"/>
      <color rgb="FF000000"/>
      <name val="Courier New"/>
      <family val="3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0"/>
      <name val="Arial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ourier New"/>
      <family val="3"/>
    </font>
    <font>
      <b/>
      <u/>
      <sz val="10"/>
      <color theme="1"/>
      <name val="Courier New"/>
      <family val="3"/>
    </font>
    <font>
      <b/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6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7F7F7F"/>
      </bottom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double">
        <color rgb="FF3F3F3F"/>
      </left>
      <right style="medium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 style="medium">
        <color auto="1"/>
      </left>
      <right style="thin">
        <color rgb="FF7F7F7F"/>
      </right>
      <top style="thin">
        <color rgb="FF7F7F7F"/>
      </top>
      <bottom style="double">
        <color rgb="FF3F3F3F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rgb="FF7F7F7F"/>
      </bottom>
      <diagonal/>
    </border>
    <border>
      <left style="medium">
        <color auto="1"/>
      </left>
      <right style="medium">
        <color indexed="64"/>
      </right>
      <top style="thin">
        <color rgb="FF7F7F7F"/>
      </top>
      <bottom style="medium">
        <color auto="1"/>
      </bottom>
      <diagonal/>
    </border>
    <border>
      <left style="medium">
        <color auto="1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/>
      <bottom style="double">
        <color rgb="FF3F3F3F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thin">
        <color theme="0" tint="-0.24994659260841701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0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" fillId="7" borderId="17" applyNumberFormat="0" applyAlignment="0" applyProtection="0"/>
    <xf numFmtId="0" fontId="14" fillId="7" borderId="1" applyNumberFormat="0" applyAlignment="0" applyProtection="0"/>
    <xf numFmtId="0" fontId="1" fillId="8" borderId="18" applyNumberFormat="0" applyFont="0" applyAlignment="0" applyProtection="0"/>
    <xf numFmtId="0" fontId="15" fillId="0" borderId="2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29" applyNumberFormat="0" applyFill="0" applyAlignment="0" applyProtection="0"/>
    <xf numFmtId="0" fontId="18" fillId="0" borderId="30" applyNumberFormat="0" applyFill="0" applyAlignment="0" applyProtection="0"/>
    <xf numFmtId="0" fontId="19" fillId="0" borderId="31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" fillId="0" borderId="32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3" borderId="0" applyNumberFormat="0" applyAlignment="0">
      <alignment horizontal="right"/>
    </xf>
    <xf numFmtId="0" fontId="12" fillId="34" borderId="0" applyNumberFormat="0" applyAlignment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3" borderId="0" applyNumberFormat="0" applyAlignment="0">
      <alignment horizontal="right"/>
    </xf>
    <xf numFmtId="0" fontId="12" fillId="34" borderId="0" applyNumberFormat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1" fillId="0" borderId="0"/>
  </cellStyleXfs>
  <cellXfs count="245">
    <xf numFmtId="0" fontId="0" fillId="0" borderId="0" xfId="0"/>
    <xf numFmtId="164" fontId="0" fillId="0" borderId="0" xfId="0" applyNumberFormat="1"/>
    <xf numFmtId="0" fontId="7" fillId="0" borderId="0" xfId="8"/>
    <xf numFmtId="0" fontId="8" fillId="0" borderId="0" xfId="0" applyFont="1"/>
    <xf numFmtId="44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44" fontId="8" fillId="0" borderId="0" xfId="0" applyNumberFormat="1" applyFont="1"/>
    <xf numFmtId="166" fontId="0" fillId="0" borderId="0" xfId="0" applyNumberFormat="1"/>
    <xf numFmtId="0" fontId="9" fillId="0" borderId="0" xfId="0" applyFont="1" applyAlignment="1">
      <alignment horizontal="left"/>
    </xf>
    <xf numFmtId="0" fontId="0" fillId="0" borderId="9" xfId="0" applyBorder="1"/>
    <xf numFmtId="0" fontId="0" fillId="0" borderId="10" xfId="0" applyBorder="1"/>
    <xf numFmtId="44" fontId="0" fillId="0" borderId="9" xfId="0" applyNumberFormat="1" applyBorder="1"/>
    <xf numFmtId="44" fontId="0" fillId="0" borderId="10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5" fontId="5" fillId="5" borderId="13" xfId="6" applyNumberFormat="1" applyBorder="1"/>
    <xf numFmtId="0" fontId="0" fillId="0" borderId="0" xfId="0" applyBorder="1"/>
    <xf numFmtId="0" fontId="7" fillId="0" borderId="0" xfId="8" applyBorder="1"/>
    <xf numFmtId="44" fontId="0" fillId="0" borderId="0" xfId="0" applyNumberFormat="1" applyBorder="1"/>
    <xf numFmtId="164" fontId="0" fillId="0" borderId="12" xfId="0" applyNumberFormat="1" applyBorder="1"/>
    <xf numFmtId="43" fontId="6" fillId="6" borderId="2" xfId="1" applyFont="1" applyFill="1" applyBorder="1"/>
    <xf numFmtId="0" fontId="8" fillId="0" borderId="0" xfId="0" applyFont="1" applyAlignment="1">
      <alignment horizontal="right"/>
    </xf>
    <xf numFmtId="10" fontId="0" fillId="0" borderId="0" xfId="0" applyNumberFormat="1"/>
    <xf numFmtId="165" fontId="14" fillId="7" borderId="1" xfId="13" applyNumberFormat="1"/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7" borderId="1" xfId="13" applyNumberFormat="1" applyBorder="1" applyAlignment="1">
      <alignment horizontal="center"/>
    </xf>
    <xf numFmtId="10" fontId="14" fillId="7" borderId="14" xfId="13" applyNumberFormat="1" applyBorder="1" applyAlignment="1">
      <alignment horizontal="center"/>
    </xf>
    <xf numFmtId="165" fontId="14" fillId="7" borderId="16" xfId="13" applyNumberFormat="1" applyBorder="1" applyAlignment="1">
      <alignment horizontal="center"/>
    </xf>
    <xf numFmtId="165" fontId="14" fillId="7" borderId="21" xfId="13" applyNumberFormat="1" applyBorder="1" applyAlignment="1">
      <alignment horizontal="center"/>
    </xf>
    <xf numFmtId="0" fontId="7" fillId="0" borderId="9" xfId="8" applyBorder="1" applyAlignment="1">
      <alignment horizontal="right"/>
    </xf>
    <xf numFmtId="0" fontId="8" fillId="0" borderId="25" xfId="0" applyFont="1" applyBorder="1" applyAlignment="1">
      <alignment horizontal="right"/>
    </xf>
    <xf numFmtId="0" fontId="7" fillId="0" borderId="0" xfId="8" applyAlignment="1">
      <alignment horizontal="right"/>
    </xf>
    <xf numFmtId="167" fontId="5" fillId="5" borderId="1" xfId="6" applyNumberFormat="1"/>
    <xf numFmtId="167" fontId="14" fillId="7" borderId="1" xfId="13" applyNumberFormat="1"/>
    <xf numFmtId="165" fontId="13" fillId="7" borderId="17" xfId="12" applyNumberFormat="1"/>
    <xf numFmtId="165" fontId="5" fillId="5" borderId="16" xfId="6" applyNumberFormat="1" applyBorder="1" applyAlignment="1">
      <alignment horizontal="center"/>
    </xf>
    <xf numFmtId="165" fontId="5" fillId="5" borderId="21" xfId="6" applyNumberFormat="1" applyBorder="1" applyAlignment="1">
      <alignment horizontal="center"/>
    </xf>
    <xf numFmtId="165" fontId="5" fillId="5" borderId="15" xfId="11" applyNumberFormat="1" applyFont="1" applyFill="1" applyBorder="1"/>
    <xf numFmtId="165" fontId="6" fillId="6" borderId="2" xfId="7" applyNumberFormat="1"/>
    <xf numFmtId="165" fontId="0" fillId="0" borderId="9" xfId="0" applyNumberFormat="1" applyBorder="1"/>
    <xf numFmtId="165" fontId="0" fillId="0" borderId="10" xfId="0" applyNumberFormat="1" applyBorder="1"/>
    <xf numFmtId="0" fontId="8" fillId="0" borderId="0" xfId="0" applyFont="1" applyFill="1" applyBorder="1" applyAlignment="1">
      <alignment horizontal="right"/>
    </xf>
    <xf numFmtId="165" fontId="0" fillId="0" borderId="0" xfId="0" applyNumberFormat="1" applyBorder="1"/>
    <xf numFmtId="168" fontId="0" fillId="0" borderId="0" xfId="2" applyNumberFormat="1" applyFont="1"/>
    <xf numFmtId="44" fontId="6" fillId="6" borderId="2" xfId="7" applyNumberFormat="1"/>
    <xf numFmtId="165" fontId="5" fillId="0" borderId="0" xfId="11" applyNumberFormat="1" applyFont="1" applyFill="1" applyBorder="1"/>
    <xf numFmtId="165" fontId="4" fillId="0" borderId="0" xfId="11" applyNumberFormat="1" applyFont="1" applyFill="1" applyBorder="1"/>
    <xf numFmtId="10" fontId="5" fillId="0" borderId="0" xfId="2" applyNumberFormat="1" applyFont="1" applyFill="1" applyBorder="1"/>
    <xf numFmtId="165" fontId="5" fillId="0" borderId="9" xfId="6" applyNumberFormat="1" applyFill="1" applyBorder="1"/>
    <xf numFmtId="165" fontId="5" fillId="0" borderId="0" xfId="6" applyNumberFormat="1" applyFill="1" applyBorder="1"/>
    <xf numFmtId="37" fontId="4" fillId="0" borderId="10" xfId="5" applyNumberFormat="1" applyFill="1" applyBorder="1"/>
    <xf numFmtId="0" fontId="0" fillId="0" borderId="0" xfId="0" applyFill="1"/>
    <xf numFmtId="165" fontId="14" fillId="7" borderId="13" xfId="13" applyNumberFormat="1" applyBorder="1"/>
    <xf numFmtId="165" fontId="14" fillId="7" borderId="1" xfId="13" applyNumberFormat="1" applyBorder="1"/>
    <xf numFmtId="44" fontId="6" fillId="6" borderId="2" xfId="7" applyNumberFormat="1" applyBorder="1"/>
    <xf numFmtId="0" fontId="0" fillId="0" borderId="11" xfId="0" applyBorder="1"/>
    <xf numFmtId="0" fontId="0" fillId="0" borderId="28" xfId="0" applyBorder="1"/>
    <xf numFmtId="0" fontId="0" fillId="0" borderId="6" xfId="0" applyBorder="1"/>
    <xf numFmtId="0" fontId="0" fillId="0" borderId="0" xfId="0"/>
    <xf numFmtId="0" fontId="0" fillId="0" borderId="0" xfId="0"/>
    <xf numFmtId="0" fontId="0" fillId="0" borderId="0" xfId="0"/>
    <xf numFmtId="165" fontId="0" fillId="0" borderId="0" xfId="0" applyNumberFormat="1"/>
    <xf numFmtId="0" fontId="8" fillId="0" borderId="0" xfId="0" applyFont="1" applyAlignment="1">
      <alignment horizontal="center"/>
    </xf>
    <xf numFmtId="165" fontId="14" fillId="7" borderId="33" xfId="13" applyNumberFormat="1" applyBorder="1"/>
    <xf numFmtId="44" fontId="6" fillId="6" borderId="34" xfId="7" applyNumberFormat="1" applyBorder="1"/>
    <xf numFmtId="44" fontId="6" fillId="6" borderId="35" xfId="7" applyNumberFormat="1" applyBorder="1"/>
    <xf numFmtId="37" fontId="4" fillId="0" borderId="0" xfId="5" applyNumberFormat="1" applyFill="1" applyBorder="1"/>
    <xf numFmtId="0" fontId="8" fillId="35" borderId="0" xfId="0" applyFont="1" applyFill="1"/>
    <xf numFmtId="0" fontId="7" fillId="0" borderId="0" xfId="8" applyBorder="1" applyAlignment="1">
      <alignment horizontal="right"/>
    </xf>
    <xf numFmtId="165" fontId="5" fillId="5" borderId="1" xfId="6" applyNumberFormat="1" applyBorder="1"/>
    <xf numFmtId="44" fontId="0" fillId="0" borderId="0" xfId="0" applyNumberFormat="1" applyBorder="1"/>
    <xf numFmtId="44" fontId="0" fillId="0" borderId="36" xfId="0" applyNumberFormat="1" applyBorder="1"/>
    <xf numFmtId="44" fontId="0" fillId="0" borderId="37" xfId="0" applyNumberFormat="1" applyBorder="1"/>
    <xf numFmtId="3" fontId="14" fillId="7" borderId="23" xfId="13" applyNumberFormat="1" applyBorder="1" applyAlignment="1">
      <alignment horizontal="right"/>
    </xf>
    <xf numFmtId="165" fontId="4" fillId="0" borderId="10" xfId="11" applyNumberFormat="1" applyFont="1" applyFill="1" applyBorder="1"/>
    <xf numFmtId="165" fontId="14" fillId="7" borderId="14" xfId="13" applyNumberFormat="1" applyBorder="1"/>
    <xf numFmtId="44" fontId="6" fillId="6" borderId="24" xfId="7" applyNumberFormat="1" applyBorder="1"/>
    <xf numFmtId="0" fontId="8" fillId="0" borderId="0" xfId="0" applyFont="1" applyFill="1"/>
    <xf numFmtId="165" fontId="5" fillId="0" borderId="9" xfId="11" applyNumberFormat="1" applyFont="1" applyFill="1" applyBorder="1"/>
    <xf numFmtId="10" fontId="5" fillId="0" borderId="9" xfId="2" applyNumberFormat="1" applyFont="1" applyFill="1" applyBorder="1"/>
    <xf numFmtId="165" fontId="5" fillId="0" borderId="12" xfId="11" applyNumberFormat="1" applyFont="1" applyFill="1" applyBorder="1"/>
    <xf numFmtId="44" fontId="0" fillId="0" borderId="9" xfId="0" applyNumberFormat="1" applyFill="1" applyBorder="1"/>
    <xf numFmtId="44" fontId="0" fillId="0" borderId="0" xfId="0" applyNumberFormat="1" applyFill="1" applyBorder="1"/>
    <xf numFmtId="0" fontId="8" fillId="36" borderId="0" xfId="0" applyFont="1" applyFill="1"/>
    <xf numFmtId="0" fontId="8" fillId="0" borderId="0" xfId="0" applyFont="1" applyAlignment="1">
      <alignment horizontal="center" wrapText="1"/>
    </xf>
    <xf numFmtId="169" fontId="0" fillId="0" borderId="9" xfId="0" applyNumberFormat="1" applyBorder="1"/>
    <xf numFmtId="170" fontId="5" fillId="5" borderId="23" xfId="6" applyNumberFormat="1" applyBorder="1"/>
    <xf numFmtId="10" fontId="5" fillId="5" borderId="23" xfId="6" applyNumberFormat="1" applyBorder="1"/>
    <xf numFmtId="0" fontId="8" fillId="0" borderId="0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41" fontId="5" fillId="5" borderId="13" xfId="6" applyNumberFormat="1" applyBorder="1"/>
    <xf numFmtId="41" fontId="5" fillId="5" borderId="1" xfId="6" applyNumberFormat="1" applyBorder="1"/>
    <xf numFmtId="165" fontId="6" fillId="6" borderId="2" xfId="1" applyNumberFormat="1" applyFont="1" applyFill="1" applyBorder="1"/>
    <xf numFmtId="165" fontId="4" fillId="4" borderId="39" xfId="11" applyNumberFormat="1" applyFont="1" applyFill="1" applyBorder="1"/>
    <xf numFmtId="3" fontId="4" fillId="4" borderId="39" xfId="5" applyNumberFormat="1" applyBorder="1"/>
    <xf numFmtId="165" fontId="4" fillId="4" borderId="38" xfId="5" applyNumberFormat="1" applyBorder="1"/>
    <xf numFmtId="165" fontId="4" fillId="4" borderId="39" xfId="5" applyNumberFormat="1" applyBorder="1"/>
    <xf numFmtId="41" fontId="4" fillId="4" borderId="39" xfId="5" applyNumberFormat="1" applyBorder="1"/>
    <xf numFmtId="165" fontId="4" fillId="4" borderId="40" xfId="5" applyNumberFormat="1" applyBorder="1"/>
    <xf numFmtId="165" fontId="4" fillId="4" borderId="40" xfId="11" applyNumberFormat="1" applyFont="1" applyFill="1" applyBorder="1"/>
    <xf numFmtId="171" fontId="0" fillId="0" borderId="0" xfId="2" applyNumberFormat="1" applyFont="1" applyBorder="1"/>
    <xf numFmtId="171" fontId="0" fillId="0" borderId="9" xfId="2" applyNumberFormat="1" applyFont="1" applyBorder="1"/>
    <xf numFmtId="171" fontId="0" fillId="0" borderId="10" xfId="2" applyNumberFormat="1" applyFont="1" applyBorder="1"/>
    <xf numFmtId="42" fontId="5" fillId="5" borderId="1" xfId="6" applyNumberFormat="1"/>
    <xf numFmtId="0" fontId="8" fillId="0" borderId="7" xfId="0" applyFont="1" applyBorder="1" applyAlignment="1">
      <alignment horizontal="right"/>
    </xf>
    <xf numFmtId="165" fontId="14" fillId="7" borderId="26" xfId="13" applyNumberFormat="1" applyBorder="1" applyAlignment="1">
      <alignment horizontal="center"/>
    </xf>
    <xf numFmtId="165" fontId="14" fillId="7" borderId="41" xfId="13" applyNumberFormat="1" applyBorder="1" applyAlignment="1">
      <alignment horizontal="center"/>
    </xf>
    <xf numFmtId="0" fontId="30" fillId="0" borderId="3" xfId="0" applyFont="1" applyBorder="1" applyAlignment="1">
      <alignment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0" borderId="9" xfId="8" applyBorder="1"/>
    <xf numFmtId="171" fontId="0" fillId="0" borderId="10" xfId="0" applyNumberFormat="1" applyBorder="1"/>
    <xf numFmtId="0" fontId="31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164" fontId="0" fillId="0" borderId="42" xfId="0" applyNumberFormat="1" applyBorder="1"/>
    <xf numFmtId="44" fontId="6" fillId="6" borderId="43" xfId="7" applyNumberFormat="1" applyBorder="1"/>
    <xf numFmtId="165" fontId="5" fillId="0" borderId="13" xfId="6" applyNumberFormat="1" applyFill="1" applyBorder="1"/>
    <xf numFmtId="165" fontId="0" fillId="0" borderId="9" xfId="0" applyNumberFormat="1" applyFill="1" applyBorder="1"/>
    <xf numFmtId="0" fontId="0" fillId="0" borderId="9" xfId="0" applyFill="1" applyBorder="1"/>
    <xf numFmtId="165" fontId="14" fillId="0" borderId="13" xfId="13" applyNumberFormat="1" applyFill="1" applyBorder="1"/>
    <xf numFmtId="0" fontId="7" fillId="0" borderId="9" xfId="8" applyFill="1" applyBorder="1"/>
    <xf numFmtId="41" fontId="5" fillId="0" borderId="13" xfId="6" applyNumberFormat="1" applyFill="1" applyBorder="1"/>
    <xf numFmtId="165" fontId="5" fillId="0" borderId="15" xfId="11" applyNumberFormat="1" applyFont="1" applyFill="1" applyBorder="1"/>
    <xf numFmtId="171" fontId="0" fillId="0" borderId="9" xfId="0" applyNumberFormat="1" applyFill="1" applyBorder="1"/>
    <xf numFmtId="164" fontId="0" fillId="0" borderId="7" xfId="0" applyNumberFormat="1" applyFill="1" applyBorder="1"/>
    <xf numFmtId="171" fontId="0" fillId="0" borderId="9" xfId="2" applyNumberFormat="1" applyFont="1" applyFill="1" applyBorder="1"/>
    <xf numFmtId="44" fontId="6" fillId="0" borderId="35" xfId="7" applyNumberFormat="1" applyFill="1" applyBorder="1"/>
    <xf numFmtId="165" fontId="14" fillId="7" borderId="22" xfId="13" applyNumberFormat="1" applyBorder="1"/>
    <xf numFmtId="165" fontId="5" fillId="37" borderId="1" xfId="6" applyNumberFormat="1" applyFill="1" applyBorder="1"/>
    <xf numFmtId="165" fontId="5" fillId="37" borderId="22" xfId="6" applyNumberFormat="1" applyFill="1" applyBorder="1"/>
    <xf numFmtId="41" fontId="5" fillId="37" borderId="1" xfId="6" applyNumberFormat="1" applyFill="1" applyBorder="1"/>
    <xf numFmtId="165" fontId="5" fillId="37" borderId="16" xfId="11" applyNumberFormat="1" applyFont="1" applyFill="1" applyBorder="1"/>
    <xf numFmtId="165" fontId="5" fillId="37" borderId="44" xfId="11" applyNumberFormat="1" applyFont="1" applyFill="1" applyBorder="1"/>
    <xf numFmtId="165" fontId="14" fillId="7" borderId="45" xfId="13" applyNumberFormat="1" applyBorder="1"/>
    <xf numFmtId="167" fontId="6" fillId="0" borderId="35" xfId="1" applyNumberFormat="1" applyFont="1" applyFill="1" applyBorder="1"/>
    <xf numFmtId="165" fontId="14" fillId="7" borderId="46" xfId="13" applyNumberFormat="1" applyBorder="1"/>
    <xf numFmtId="165" fontId="14" fillId="7" borderId="47" xfId="13" applyNumberFormat="1" applyBorder="1"/>
    <xf numFmtId="0" fontId="0" fillId="0" borderId="3" xfId="0" applyBorder="1" applyAlignment="1">
      <alignment horizontal="center" wrapText="1"/>
    </xf>
    <xf numFmtId="165" fontId="14" fillId="7" borderId="19" xfId="13" applyNumberFormat="1" applyBorder="1"/>
    <xf numFmtId="0" fontId="0" fillId="0" borderId="48" xfId="0" applyBorder="1"/>
    <xf numFmtId="165" fontId="5" fillId="5" borderId="23" xfId="6" applyNumberFormat="1" applyBorder="1"/>
    <xf numFmtId="165" fontId="5" fillId="5" borderId="49" xfId="11" applyNumberFormat="1" applyFont="1" applyFill="1" applyBorder="1"/>
    <xf numFmtId="165" fontId="14" fillId="7" borderId="23" xfId="13" applyNumberFormat="1" applyBorder="1"/>
    <xf numFmtId="44" fontId="6" fillId="6" borderId="50" xfId="7" applyNumberFormat="1" applyBorder="1"/>
    <xf numFmtId="41" fontId="5" fillId="37" borderId="22" xfId="6" applyNumberFormat="1" applyFill="1" applyBorder="1"/>
    <xf numFmtId="42" fontId="0" fillId="0" borderId="0" xfId="0" applyNumberFormat="1"/>
    <xf numFmtId="42" fontId="0" fillId="0" borderId="0" xfId="0" applyNumberFormat="1" applyAlignment="1">
      <alignment horizontal="right"/>
    </xf>
    <xf numFmtId="42" fontId="10" fillId="0" borderId="6" xfId="0" applyNumberFormat="1" applyFont="1" applyBorder="1" applyAlignment="1">
      <alignment horizontal="right"/>
    </xf>
    <xf numFmtId="42" fontId="11" fillId="0" borderId="6" xfId="0" applyNumberFormat="1" applyFont="1" applyBorder="1" applyAlignment="1">
      <alignment horizontal="right"/>
    </xf>
    <xf numFmtId="0" fontId="30" fillId="0" borderId="4" xfId="0" applyFont="1" applyBorder="1" applyAlignment="1">
      <alignment horizontal="center" vertical="center" wrapText="1"/>
    </xf>
    <xf numFmtId="42" fontId="30" fillId="0" borderId="4" xfId="0" applyNumberFormat="1" applyFont="1" applyBorder="1" applyAlignment="1">
      <alignment horizontal="center"/>
    </xf>
    <xf numFmtId="41" fontId="10" fillId="0" borderId="6" xfId="0" applyNumberFormat="1" applyFont="1" applyBorder="1" applyAlignment="1">
      <alignment vertical="center"/>
    </xf>
    <xf numFmtId="170" fontId="10" fillId="0" borderId="6" xfId="0" applyNumberFormat="1" applyFont="1" applyFill="1" applyBorder="1" applyAlignment="1">
      <alignment vertical="center"/>
    </xf>
    <xf numFmtId="170" fontId="0" fillId="0" borderId="0" xfId="0" applyNumberFormat="1" applyFill="1" applyAlignment="1"/>
    <xf numFmtId="170" fontId="10" fillId="0" borderId="4" xfId="0" applyNumberFormat="1" applyFont="1" applyFill="1" applyBorder="1" applyAlignment="1">
      <alignment vertical="center"/>
    </xf>
    <xf numFmtId="42" fontId="5" fillId="37" borderId="1" xfId="6" applyNumberFormat="1" applyFill="1" applyBorder="1"/>
    <xf numFmtId="42" fontId="5" fillId="37" borderId="44" xfId="6" applyNumberFormat="1" applyFill="1" applyBorder="1"/>
    <xf numFmtId="41" fontId="14" fillId="7" borderId="1" xfId="13" applyNumberFormat="1"/>
    <xf numFmtId="41" fontId="6" fillId="6" borderId="2" xfId="7" applyNumberFormat="1"/>
    <xf numFmtId="0" fontId="8" fillId="0" borderId="0" xfId="0" applyFont="1" applyAlignment="1">
      <alignment horizontal="left" vertical="center" wrapText="1"/>
    </xf>
    <xf numFmtId="165" fontId="4" fillId="4" borderId="51" xfId="11" applyNumberFormat="1" applyFont="1" applyFill="1" applyBorder="1"/>
    <xf numFmtId="3" fontId="4" fillId="4" borderId="51" xfId="5" applyNumberFormat="1" applyBorder="1"/>
    <xf numFmtId="165" fontId="4" fillId="4" borderId="53" xfId="5" applyNumberFormat="1" applyBorder="1"/>
    <xf numFmtId="165" fontId="4" fillId="4" borderId="51" xfId="5" applyNumberFormat="1" applyBorder="1"/>
    <xf numFmtId="41" fontId="4" fillId="4" borderId="51" xfId="5" applyNumberFormat="1" applyBorder="1"/>
    <xf numFmtId="165" fontId="4" fillId="4" borderId="53" xfId="11" applyNumberFormat="1" applyFont="1" applyFill="1" applyBorder="1"/>
    <xf numFmtId="0" fontId="8" fillId="0" borderId="0" xfId="0" applyFont="1" applyAlignment="1">
      <alignment horizontal="left" vertical="center" wrapText="1"/>
    </xf>
    <xf numFmtId="42" fontId="5" fillId="5" borderId="1" xfId="6" applyNumberFormat="1" applyBorder="1"/>
    <xf numFmtId="44" fontId="6" fillId="6" borderId="54" xfId="7" applyNumberFormat="1" applyBorder="1"/>
    <xf numFmtId="165" fontId="5" fillId="0" borderId="11" xfId="6" applyNumberFormat="1" applyFill="1" applyBorder="1"/>
    <xf numFmtId="43" fontId="5" fillId="0" borderId="12" xfId="1" applyFont="1" applyFill="1" applyBorder="1"/>
    <xf numFmtId="43" fontId="5" fillId="0" borderId="0" xfId="1" applyFont="1" applyFill="1" applyBorder="1"/>
    <xf numFmtId="0" fontId="0" fillId="0" borderId="0" xfId="0" applyFill="1" applyBorder="1"/>
    <xf numFmtId="0" fontId="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center" wrapText="1"/>
    </xf>
    <xf numFmtId="0" fontId="0" fillId="39" borderId="19" xfId="0" applyFill="1" applyBorder="1" applyAlignment="1">
      <alignment horizontal="center" wrapText="1"/>
    </xf>
    <xf numFmtId="43" fontId="8" fillId="0" borderId="0" xfId="1" applyNumberFormat="1" applyFont="1" applyAlignment="1">
      <alignment horizontal="center"/>
    </xf>
    <xf numFmtId="10" fontId="5" fillId="5" borderId="1" xfId="2" applyNumberFormat="1" applyFont="1" applyFill="1" applyBorder="1"/>
    <xf numFmtId="10" fontId="14" fillId="7" borderId="1" xfId="2" applyNumberFormat="1" applyFont="1" applyFill="1" applyBorder="1"/>
    <xf numFmtId="42" fontId="8" fillId="0" borderId="0" xfId="1" applyNumberFormat="1" applyFont="1" applyAlignment="1">
      <alignment horizontal="center"/>
    </xf>
    <xf numFmtId="42" fontId="11" fillId="0" borderId="0" xfId="0" applyNumberFormat="1" applyFont="1" applyBorder="1" applyAlignment="1">
      <alignment horizontal="right" wrapText="1"/>
    </xf>
    <xf numFmtId="170" fontId="0" fillId="0" borderId="0" xfId="0" applyNumberFormat="1"/>
    <xf numFmtId="0" fontId="8" fillId="0" borderId="0" xfId="0" applyFont="1" applyAlignment="1">
      <alignment horizontal="left"/>
    </xf>
    <xf numFmtId="0" fontId="32" fillId="3" borderId="20" xfId="4" applyFont="1" applyBorder="1" applyAlignment="1"/>
    <xf numFmtId="0" fontId="32" fillId="3" borderId="4" xfId="4" applyFont="1" applyBorder="1" applyAlignment="1"/>
    <xf numFmtId="165" fontId="4" fillId="4" borderId="55" xfId="5" applyNumberFormat="1" applyBorder="1"/>
    <xf numFmtId="41" fontId="4" fillId="4" borderId="56" xfId="5" applyNumberFormat="1" applyBorder="1"/>
    <xf numFmtId="165" fontId="4" fillId="4" borderId="56" xfId="5" applyNumberFormat="1" applyBorder="1"/>
    <xf numFmtId="165" fontId="4" fillId="4" borderId="57" xfId="11" applyNumberFormat="1" applyFont="1" applyFill="1" applyBorder="1"/>
    <xf numFmtId="165" fontId="14" fillId="7" borderId="52" xfId="13" applyNumberFormat="1" applyBorder="1"/>
    <xf numFmtId="44" fontId="6" fillId="6" borderId="58" xfId="7" applyNumberFormat="1" applyBorder="1"/>
    <xf numFmtId="44" fontId="6" fillId="6" borderId="59" xfId="7" applyNumberFormat="1" applyBorder="1"/>
    <xf numFmtId="165" fontId="5" fillId="5" borderId="14" xfId="6" applyNumberFormat="1" applyBorder="1"/>
    <xf numFmtId="0" fontId="7" fillId="0" borderId="10" xfId="8" applyBorder="1"/>
    <xf numFmtId="165" fontId="5" fillId="5" borderId="33" xfId="6" applyNumberFormat="1" applyBorder="1"/>
    <xf numFmtId="44" fontId="0" fillId="0" borderId="10" xfId="0" applyNumberFormat="1" applyFill="1" applyBorder="1"/>
    <xf numFmtId="44" fontId="7" fillId="0" borderId="10" xfId="8" applyNumberFormat="1" applyFill="1" applyBorder="1"/>
    <xf numFmtId="41" fontId="5" fillId="5" borderId="14" xfId="6" applyNumberFormat="1" applyBorder="1"/>
    <xf numFmtId="165" fontId="5" fillId="0" borderId="10" xfId="6" applyNumberFormat="1" applyFill="1" applyBorder="1"/>
    <xf numFmtId="165" fontId="5" fillId="5" borderId="60" xfId="11" applyNumberFormat="1" applyFont="1" applyFill="1" applyBorder="1"/>
    <xf numFmtId="165" fontId="5" fillId="0" borderId="10" xfId="11" applyNumberFormat="1" applyFont="1" applyFill="1" applyBorder="1"/>
    <xf numFmtId="10" fontId="5" fillId="0" borderId="10" xfId="2" applyNumberFormat="1" applyFont="1" applyFill="1" applyBorder="1"/>
    <xf numFmtId="0" fontId="8" fillId="0" borderId="19" xfId="0" applyFont="1" applyBorder="1" applyAlignment="1"/>
    <xf numFmtId="0" fontId="8" fillId="0" borderId="20" xfId="0" applyFont="1" applyBorder="1" applyAlignment="1"/>
    <xf numFmtId="0" fontId="8" fillId="0" borderId="4" xfId="0" applyFont="1" applyBorder="1" applyAlignment="1"/>
    <xf numFmtId="165" fontId="4" fillId="4" borderId="56" xfId="11" applyNumberFormat="1" applyFont="1" applyFill="1" applyBorder="1"/>
    <xf numFmtId="3" fontId="4" fillId="4" borderId="56" xfId="5" applyNumberFormat="1" applyBorder="1"/>
    <xf numFmtId="165" fontId="4" fillId="4" borderId="57" xfId="5" applyNumberFormat="1" applyBorder="1"/>
    <xf numFmtId="42" fontId="5" fillId="5" borderId="14" xfId="1" applyNumberFormat="1" applyFont="1" applyFill="1" applyBorder="1"/>
    <xf numFmtId="165" fontId="5" fillId="5" borderId="21" xfId="11" applyNumberFormat="1" applyFont="1" applyFill="1" applyBorder="1"/>
    <xf numFmtId="42" fontId="5" fillId="5" borderId="14" xfId="6" applyNumberFormat="1" applyBorder="1"/>
    <xf numFmtId="41" fontId="5" fillId="5" borderId="33" xfId="6" applyNumberFormat="1" applyBorder="1"/>
    <xf numFmtId="0" fontId="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41" fontId="5" fillId="5" borderId="61" xfId="6" applyNumberFormat="1" applyBorder="1"/>
    <xf numFmtId="42" fontId="5" fillId="5" borderId="13" xfId="6" applyNumberFormat="1" applyBorder="1"/>
    <xf numFmtId="42" fontId="5" fillId="37" borderId="22" xfId="6" applyNumberFormat="1" applyFill="1" applyBorder="1"/>
    <xf numFmtId="41" fontId="5" fillId="5" borderId="62" xfId="6" applyNumberFormat="1" applyBorder="1"/>
    <xf numFmtId="10" fontId="8" fillId="0" borderId="0" xfId="0" applyNumberFormat="1" applyFont="1" applyAlignment="1">
      <alignment horizontal="center" wrapText="1"/>
    </xf>
    <xf numFmtId="44" fontId="33" fillId="0" borderId="0" xfId="1" applyNumberFormat="1" applyFont="1" applyAlignment="1">
      <alignment horizontal="right"/>
    </xf>
    <xf numFmtId="172" fontId="14" fillId="7" borderId="13" xfId="13" applyNumberFormat="1" applyBorder="1"/>
    <xf numFmtId="171" fontId="0" fillId="0" borderId="0" xfId="0" applyNumberFormat="1"/>
    <xf numFmtId="171" fontId="0" fillId="0" borderId="0" xfId="2" applyNumberFormat="1" applyFont="1" applyFill="1" applyBorder="1"/>
    <xf numFmtId="0" fontId="8" fillId="0" borderId="0" xfId="0" applyFont="1" applyFill="1" applyAlignment="1">
      <alignment horizontal="left" vertical="center" wrapText="1"/>
    </xf>
    <xf numFmtId="170" fontId="10" fillId="0" borderId="3" xfId="0" applyNumberFormat="1" applyFont="1" applyFill="1" applyBorder="1" applyAlignment="1">
      <alignment vertical="center"/>
    </xf>
    <xf numFmtId="170" fontId="10" fillId="0" borderId="5" xfId="0" applyNumberFormat="1" applyFont="1" applyFill="1" applyBorder="1" applyAlignment="1">
      <alignment vertical="center"/>
    </xf>
    <xf numFmtId="0" fontId="9" fillId="0" borderId="0" xfId="0" applyFont="1" applyAlignment="1">
      <alignment horizontal="center" wrapText="1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left" vertical="center" wrapText="1"/>
    </xf>
    <xf numFmtId="0" fontId="8" fillId="38" borderId="20" xfId="0" applyFont="1" applyFill="1" applyBorder="1" applyAlignment="1">
      <alignment horizontal="center"/>
    </xf>
    <xf numFmtId="0" fontId="8" fillId="38" borderId="4" xfId="0" applyFont="1" applyFill="1" applyBorder="1" applyAlignment="1">
      <alignment horizontal="center"/>
    </xf>
    <xf numFmtId="0" fontId="32" fillId="3" borderId="19" xfId="4" applyFont="1" applyBorder="1" applyAlignment="1">
      <alignment horizontal="center"/>
    </xf>
    <xf numFmtId="0" fontId="32" fillId="3" borderId="20" xfId="4" applyFont="1" applyBorder="1" applyAlignment="1">
      <alignment horizontal="center"/>
    </xf>
    <xf numFmtId="0" fontId="32" fillId="3" borderId="4" xfId="4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33" fillId="0" borderId="19" xfId="8" applyFont="1" applyBorder="1" applyAlignment="1">
      <alignment horizontal="center"/>
    </xf>
    <xf numFmtId="0" fontId="33" fillId="0" borderId="20" xfId="8" applyFont="1" applyBorder="1" applyAlignment="1">
      <alignment horizontal="center"/>
    </xf>
    <xf numFmtId="0" fontId="33" fillId="0" borderId="4" xfId="8" applyFont="1" applyBorder="1" applyAlignment="1">
      <alignment horizontal="center"/>
    </xf>
  </cellXfs>
  <cellStyles count="302">
    <cellStyle name="20% - Accent1" xfId="24" builtinId="30" customBuiltin="1"/>
    <cellStyle name="20% - Accent1 2" xfId="54"/>
    <cellStyle name="20% - Accent2" xfId="28" builtinId="34" customBuiltin="1"/>
    <cellStyle name="20% - Accent2 2" xfId="56"/>
    <cellStyle name="20% - Accent3" xfId="32" builtinId="38" customBuiltin="1"/>
    <cellStyle name="20% - Accent3 2" xfId="58"/>
    <cellStyle name="20% - Accent4" xfId="36" builtinId="42" customBuiltin="1"/>
    <cellStyle name="20% - Accent4 2" xfId="60"/>
    <cellStyle name="20% - Accent5" xfId="40" builtinId="46" customBuiltin="1"/>
    <cellStyle name="20% - Accent5 2" xfId="62"/>
    <cellStyle name="20% - Accent6" xfId="44" builtinId="50" customBuiltin="1"/>
    <cellStyle name="20% - Accent6 2" xfId="64"/>
    <cellStyle name="40% - Accent1" xfId="25" builtinId="31" customBuiltin="1"/>
    <cellStyle name="40% - Accent1 2" xfId="55"/>
    <cellStyle name="40% - Accent2" xfId="29" builtinId="35" customBuiltin="1"/>
    <cellStyle name="40% - Accent2 2" xfId="57"/>
    <cellStyle name="40% - Accent3" xfId="33" builtinId="39" customBuiltin="1"/>
    <cellStyle name="40% - Accent3 2" xfId="59"/>
    <cellStyle name="40% - Accent4" xfId="37" builtinId="43" customBuiltin="1"/>
    <cellStyle name="40% - Accent4 2" xfId="61"/>
    <cellStyle name="40% - Accent5" xfId="41" builtinId="47" customBuiltin="1"/>
    <cellStyle name="40% - Accent5 2" xfId="63"/>
    <cellStyle name="40% - Accent6" xfId="45" builtinId="51" customBuiltin="1"/>
    <cellStyle name="40% - Accent6 2" xfId="65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4" builtinId="27" customBuiltin="1"/>
    <cellStyle name="Calculation" xfId="13" builtinId="22" customBuiltin="1"/>
    <cellStyle name="Check Cell" xfId="7" builtinId="23" customBuiltin="1"/>
    <cellStyle name="Comma" xfId="1" builtinId="3"/>
    <cellStyle name="Comma 2" xfId="68"/>
    <cellStyle name="Comma 2 2" xfId="282"/>
    <cellStyle name="Comma 3" xfId="66"/>
    <cellStyle name="Comma 3 2" xfId="9"/>
    <cellStyle name="Comma 4" xfId="192"/>
    <cellStyle name="Comma 5" xfId="52"/>
    <cellStyle name="Currency" xfId="11" builtinId="4"/>
    <cellStyle name="Currency [0] 2" xfId="114"/>
    <cellStyle name="Currency [0] 2 2" xfId="203"/>
    <cellStyle name="Currency 10" xfId="193"/>
    <cellStyle name="Currency 11" xfId="112"/>
    <cellStyle name="Currency 12" xfId="197"/>
    <cellStyle name="Currency 13" xfId="50"/>
    <cellStyle name="Currency 13 2" xfId="288"/>
    <cellStyle name="Currency 14" xfId="285"/>
    <cellStyle name="Currency 15" xfId="289"/>
    <cellStyle name="Currency 16" xfId="291"/>
    <cellStyle name="Currency 17" xfId="292"/>
    <cellStyle name="Currency 18" xfId="293"/>
    <cellStyle name="Currency 19" xfId="294"/>
    <cellStyle name="Currency 2" xfId="69"/>
    <cellStyle name="Currency 2 2" xfId="111"/>
    <cellStyle name="Currency 2 2 2" xfId="202"/>
    <cellStyle name="Currency 2 3" xfId="280"/>
    <cellStyle name="Currency 20" xfId="295"/>
    <cellStyle name="Currency 21" xfId="296"/>
    <cellStyle name="Currency 22" xfId="297"/>
    <cellStyle name="Currency 3" xfId="67"/>
    <cellStyle name="Currency 3 2" xfId="279"/>
    <cellStyle name="Currency 4" xfId="115"/>
    <cellStyle name="Currency 4 2" xfId="204"/>
    <cellStyle name="Currency 4 3" xfId="281"/>
    <cellStyle name="Currency 5" xfId="116"/>
    <cellStyle name="Currency 5 2" xfId="205"/>
    <cellStyle name="Currency 6" xfId="117"/>
    <cellStyle name="Currency 6 2" xfId="206"/>
    <cellStyle name="Currency 7" xfId="118"/>
    <cellStyle name="Currency 7 2" xfId="207"/>
    <cellStyle name="Currency 8" xfId="194"/>
    <cellStyle name="Currency 9" xfId="195"/>
    <cellStyle name="Data Field" xfId="119"/>
    <cellStyle name="Data Field 2" xfId="208"/>
    <cellStyle name="Data Name" xfId="120"/>
    <cellStyle name="Data Name 2" xfId="209"/>
    <cellStyle name="Explanatory Text" xfId="8" builtinId="53" customBuiltin="1"/>
    <cellStyle name="Followed Hyperlink" xfId="287" builtinId="9" customBuiltin="1"/>
    <cellStyle name="Good" xfId="3" builtinId="26" customBuiltin="1"/>
    <cellStyle name="Heading 1" xfId="17" builtinId="16" customBuiltin="1"/>
    <cellStyle name="Heading 2" xfId="18" builtinId="17" customBuiltin="1"/>
    <cellStyle name="Heading 3" xfId="19" builtinId="18" customBuiltin="1"/>
    <cellStyle name="Heading 4" xfId="20" builtinId="19" customBuiltin="1"/>
    <cellStyle name="Hyperlink" xfId="286" builtinId="8" customBuiltin="1"/>
    <cellStyle name="Hyperlink 2" xfId="121"/>
    <cellStyle name="Hyperlink 3" xfId="122"/>
    <cellStyle name="Hyperlink 4" xfId="300"/>
    <cellStyle name="Hyperlink 5" xfId="298"/>
    <cellStyle name="Input" xfId="6" builtinId="20" customBuiltin="1"/>
    <cellStyle name="Linked Cell" xfId="15" builtinId="24" customBuiltin="1"/>
    <cellStyle name="Neutral" xfId="5" builtinId="28" customBuiltin="1"/>
    <cellStyle name="Normal" xfId="0" builtinId="0"/>
    <cellStyle name="Normal 10" xfId="123"/>
    <cellStyle name="Normal 10 2" xfId="124"/>
    <cellStyle name="Normal 10 2 2" xfId="211"/>
    <cellStyle name="Normal 10 3" xfId="210"/>
    <cellStyle name="Normal 11" xfId="125"/>
    <cellStyle name="Normal 11 2" xfId="212"/>
    <cellStyle name="Normal 12" xfId="126"/>
    <cellStyle name="Normal 12 2" xfId="213"/>
    <cellStyle name="Normal 13" xfId="127"/>
    <cellStyle name="Normal 13 2" xfId="214"/>
    <cellStyle name="Normal 14" xfId="128"/>
    <cellStyle name="Normal 14 2" xfId="215"/>
    <cellStyle name="Normal 15" xfId="129"/>
    <cellStyle name="Normal 16" xfId="130"/>
    <cellStyle name="Normal 16 2" xfId="216"/>
    <cellStyle name="Normal 17" xfId="48"/>
    <cellStyle name="Normal 18" xfId="131"/>
    <cellStyle name="Normal 18 2" xfId="217"/>
    <cellStyle name="Normal 19" xfId="132"/>
    <cellStyle name="Normal 19 2" xfId="218"/>
    <cellStyle name="Normal 2" xfId="51"/>
    <cellStyle name="Normal 2 2" xfId="71"/>
    <cellStyle name="Normal 2 2 2" xfId="72"/>
    <cellStyle name="Normal 2 2 3" xfId="73"/>
    <cellStyle name="Normal 2 2 4" xfId="74"/>
    <cellStyle name="Normal 2 2 5" xfId="75"/>
    <cellStyle name="Normal 2 2 6" xfId="76"/>
    <cellStyle name="Normal 2 2 7" xfId="77"/>
    <cellStyle name="Normal 2 2 8" xfId="78"/>
    <cellStyle name="Normal 2 2 9" xfId="79"/>
    <cellStyle name="Normal 2 3" xfId="80"/>
    <cellStyle name="Normal 2 4" xfId="81"/>
    <cellStyle name="Normal 2 4 2" xfId="82"/>
    <cellStyle name="Normal 2 5" xfId="110"/>
    <cellStyle name="Normal 2 5 2" xfId="201"/>
    <cellStyle name="Normal 2 6" xfId="47"/>
    <cellStyle name="Normal 2 6 2" xfId="70"/>
    <cellStyle name="Normal 2 7" xfId="299"/>
    <cellStyle name="Normal 26" xfId="106"/>
    <cellStyle name="Normal 26 2" xfId="199"/>
    <cellStyle name="Normal 27" xfId="107"/>
    <cellStyle name="Normal 27 2" xfId="200"/>
    <cellStyle name="Normal 28" xfId="133"/>
    <cellStyle name="Normal 28 2" xfId="219"/>
    <cellStyle name="Normal 3" xfId="83"/>
    <cellStyle name="Normal 3 2" xfId="84"/>
    <cellStyle name="Normal 3 2 2" xfId="85"/>
    <cellStyle name="Normal 3 2 3" xfId="86"/>
    <cellStyle name="Normal 3 2 4" xfId="87"/>
    <cellStyle name="Normal 3 2 5" xfId="88"/>
    <cellStyle name="Normal 3 2 6" xfId="89"/>
    <cellStyle name="Normal 3 2 7" xfId="90"/>
    <cellStyle name="Normal 3 2 8" xfId="91"/>
    <cellStyle name="Normal 3 2 9" xfId="92"/>
    <cellStyle name="Normal 3 3" xfId="108"/>
    <cellStyle name="Normal 3 40" xfId="109"/>
    <cellStyle name="Normal 33" xfId="277"/>
    <cellStyle name="Normal 35" xfId="301"/>
    <cellStyle name="Normal 36" xfId="134"/>
    <cellStyle name="Normal 36 2" xfId="220"/>
    <cellStyle name="Normal 37" xfId="135"/>
    <cellStyle name="Normal 37 2" xfId="221"/>
    <cellStyle name="Normal 38" xfId="136"/>
    <cellStyle name="Normal 38 2" xfId="222"/>
    <cellStyle name="Normal 39" xfId="137"/>
    <cellStyle name="Normal 39 2" xfId="223"/>
    <cellStyle name="Normal 4" xfId="10"/>
    <cellStyle name="Normal 4 2" xfId="94"/>
    <cellStyle name="Normal 4 3" xfId="93"/>
    <cellStyle name="Normal 4 4" xfId="278"/>
    <cellStyle name="Normal 40" xfId="138"/>
    <cellStyle name="Normal 40 2" xfId="224"/>
    <cellStyle name="Normal 41" xfId="139"/>
    <cellStyle name="Normal 41 2" xfId="225"/>
    <cellStyle name="Normal 42" xfId="140"/>
    <cellStyle name="Normal 42 2" xfId="226"/>
    <cellStyle name="Normal 43" xfId="141"/>
    <cellStyle name="Normal 43 2" xfId="227"/>
    <cellStyle name="Normal 44" xfId="142"/>
    <cellStyle name="Normal 44 2" xfId="228"/>
    <cellStyle name="Normal 45" xfId="143"/>
    <cellStyle name="Normal 45 2" xfId="229"/>
    <cellStyle name="Normal 46" xfId="144"/>
    <cellStyle name="Normal 46 2" xfId="230"/>
    <cellStyle name="Normal 47" xfId="145"/>
    <cellStyle name="Normal 47 2" xfId="231"/>
    <cellStyle name="Normal 48" xfId="146"/>
    <cellStyle name="Normal 48 2" xfId="232"/>
    <cellStyle name="Normal 49" xfId="147"/>
    <cellStyle name="Normal 49 2" xfId="233"/>
    <cellStyle name="Normal 5" xfId="95"/>
    <cellStyle name="Normal 5 2" xfId="96"/>
    <cellStyle name="Normal 5 3" xfId="97"/>
    <cellStyle name="Normal 5 4" xfId="98"/>
    <cellStyle name="Normal 50" xfId="148"/>
    <cellStyle name="Normal 50 2" xfId="234"/>
    <cellStyle name="Normal 51" xfId="149"/>
    <cellStyle name="Normal 51 2" xfId="235"/>
    <cellStyle name="Normal 52" xfId="150"/>
    <cellStyle name="Normal 52 2" xfId="236"/>
    <cellStyle name="Normal 53" xfId="151"/>
    <cellStyle name="Normal 53 2" xfId="237"/>
    <cellStyle name="Normal 54" xfId="152"/>
    <cellStyle name="Normal 54 2" xfId="238"/>
    <cellStyle name="Normal 55" xfId="153"/>
    <cellStyle name="Normal 55 2" xfId="239"/>
    <cellStyle name="Normal 56" xfId="154"/>
    <cellStyle name="Normal 56 2" xfId="240"/>
    <cellStyle name="Normal 57" xfId="155"/>
    <cellStyle name="Normal 57 2" xfId="241"/>
    <cellStyle name="Normal 58" xfId="156"/>
    <cellStyle name="Normal 58 2" xfId="242"/>
    <cellStyle name="Normal 59" xfId="157"/>
    <cellStyle name="Normal 59 2" xfId="243"/>
    <cellStyle name="Normal 6" xfId="99"/>
    <cellStyle name="Normal 6 2" xfId="100"/>
    <cellStyle name="Normal 6 3" xfId="101"/>
    <cellStyle name="Normal 60" xfId="158"/>
    <cellStyle name="Normal 60 2" xfId="244"/>
    <cellStyle name="Normal 61" xfId="159"/>
    <cellStyle name="Normal 61 2" xfId="245"/>
    <cellStyle name="Normal 62" xfId="160"/>
    <cellStyle name="Normal 62 2" xfId="246"/>
    <cellStyle name="Normal 63" xfId="161"/>
    <cellStyle name="Normal 63 2" xfId="247"/>
    <cellStyle name="Normal 64" xfId="162"/>
    <cellStyle name="Normal 64 2" xfId="248"/>
    <cellStyle name="Normal 65" xfId="163"/>
    <cellStyle name="Normal 65 2" xfId="249"/>
    <cellStyle name="Normal 66" xfId="164"/>
    <cellStyle name="Normal 66 2" xfId="250"/>
    <cellStyle name="Normal 67" xfId="165"/>
    <cellStyle name="Normal 67 2" xfId="251"/>
    <cellStyle name="Normal 69" xfId="166"/>
    <cellStyle name="Normal 69 2" xfId="252"/>
    <cellStyle name="Normal 7" xfId="102"/>
    <cellStyle name="Normal 70" xfId="167"/>
    <cellStyle name="Normal 70 2" xfId="253"/>
    <cellStyle name="Normal 71" xfId="168"/>
    <cellStyle name="Normal 71 2" xfId="254"/>
    <cellStyle name="Normal 72" xfId="169"/>
    <cellStyle name="Normal 72 2" xfId="255"/>
    <cellStyle name="Normal 73" xfId="170"/>
    <cellStyle name="Normal 73 2" xfId="256"/>
    <cellStyle name="Normal 74" xfId="171"/>
    <cellStyle name="Normal 74 2" xfId="257"/>
    <cellStyle name="Normal 75" xfId="172"/>
    <cellStyle name="Normal 75 2" xfId="258"/>
    <cellStyle name="Normal 76" xfId="173"/>
    <cellStyle name="Normal 76 2" xfId="259"/>
    <cellStyle name="Normal 77" xfId="174"/>
    <cellStyle name="Normal 77 2" xfId="260"/>
    <cellStyle name="Normal 78" xfId="175"/>
    <cellStyle name="Normal 78 2" xfId="261"/>
    <cellStyle name="Normal 79" xfId="176"/>
    <cellStyle name="Normal 79 2" xfId="262"/>
    <cellStyle name="Normal 8" xfId="103"/>
    <cellStyle name="Normal 80" xfId="177"/>
    <cellStyle name="Normal 80 2" xfId="263"/>
    <cellStyle name="Normal 81" xfId="178"/>
    <cellStyle name="Normal 81 2" xfId="264"/>
    <cellStyle name="Normal 82" xfId="179"/>
    <cellStyle name="Normal 82 2" xfId="265"/>
    <cellStyle name="Normal 83" xfId="180"/>
    <cellStyle name="Normal 83 2" xfId="266"/>
    <cellStyle name="Normal 84" xfId="181"/>
    <cellStyle name="Normal 84 2" xfId="267"/>
    <cellStyle name="Normal 85" xfId="182"/>
    <cellStyle name="Normal 85 2" xfId="268"/>
    <cellStyle name="Normal 86" xfId="183"/>
    <cellStyle name="Normal 86 2" xfId="269"/>
    <cellStyle name="Normal 87" xfId="184"/>
    <cellStyle name="Normal 87 2" xfId="270"/>
    <cellStyle name="Normal 9" xfId="104"/>
    <cellStyle name="Normal 9 2" xfId="105"/>
    <cellStyle name="Normal 9 2 2" xfId="198"/>
    <cellStyle name="Note" xfId="14" builtinId="10" customBuiltin="1"/>
    <cellStyle name="Note 2" xfId="53"/>
    <cellStyle name="Output" xfId="12" builtinId="21" customBuiltin="1"/>
    <cellStyle name="Percent" xfId="2" builtinId="5"/>
    <cellStyle name="Percent 10" xfId="113"/>
    <cellStyle name="Percent 11" xfId="49"/>
    <cellStyle name="Percent 11 2" xfId="290"/>
    <cellStyle name="Percent 2" xfId="185"/>
    <cellStyle name="Percent 2 2" xfId="271"/>
    <cellStyle name="Percent 3" xfId="186"/>
    <cellStyle name="Percent 3 2" xfId="272"/>
    <cellStyle name="Percent 3 3" xfId="283"/>
    <cellStyle name="Percent 4" xfId="187"/>
    <cellStyle name="Percent 4 2" xfId="273"/>
    <cellStyle name="Percent 4 3" xfId="284"/>
    <cellStyle name="Percent 5" xfId="188"/>
    <cellStyle name="Percent 5 2" xfId="274"/>
    <cellStyle name="Percent 6" xfId="189"/>
    <cellStyle name="Percent 6 2" xfId="275"/>
    <cellStyle name="Percent 7" xfId="190"/>
    <cellStyle name="Percent 8" xfId="191"/>
    <cellStyle name="Percent 8 2" xfId="276"/>
    <cellStyle name="Percent 9" xfId="196"/>
    <cellStyle name="Title" xfId="16" builtinId="15" customBuiltin="1"/>
    <cellStyle name="Total" xfId="22" builtinId="25" customBuiltin="1"/>
    <cellStyle name="Warning Text" xfId="21" builtinId="11" customBuiltin="1"/>
  </cellStyles>
  <dxfs count="0"/>
  <tableStyles count="0" defaultTableStyle="TableStyleMedium2" defaultPivotStyle="PivotStyleLight16"/>
  <colors>
    <mruColors>
      <color rgb="FFFF00FF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Billed%20kWh%20Budget%20KCPL%202018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KCPL%20MEEIA%20Cycle%202%20Forecast%20Model%202017-2019%20102018%20actuals%201107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KCPLMO%20MEEIA%202018%20Revenue%20Analysi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KCPL%20Short-Term%20Borrowing%20Rate%20May%202018%20-%20October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SI%20Projects%20052018-102018%20KCP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TD%20Model%20KCPL-MO%20102018%201107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6/DataRequests/20563/Library/PI%20Annuity%20Calc%20KCP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ed kWh Sales"/>
    </sheetNames>
    <sheetDataSet>
      <sheetData sheetId="0">
        <row r="39">
          <cell r="M39">
            <v>162972385</v>
          </cell>
          <cell r="N39">
            <v>237189711</v>
          </cell>
          <cell r="O39">
            <v>265262694</v>
          </cell>
        </row>
        <row r="40">
          <cell r="M40">
            <v>33770605</v>
          </cell>
          <cell r="N40">
            <v>36675555</v>
          </cell>
          <cell r="O40">
            <v>37194323</v>
          </cell>
        </row>
        <row r="41">
          <cell r="M41">
            <v>95380995</v>
          </cell>
          <cell r="N41">
            <v>103585676</v>
          </cell>
          <cell r="O41">
            <v>105050875</v>
          </cell>
        </row>
        <row r="42">
          <cell r="M42">
            <v>150627686</v>
          </cell>
          <cell r="N42">
            <v>163584691</v>
          </cell>
          <cell r="O42">
            <v>165898564</v>
          </cell>
        </row>
        <row r="43">
          <cell r="M43">
            <v>52065488</v>
          </cell>
          <cell r="N43">
            <v>56544166</v>
          </cell>
          <cell r="O43">
            <v>57343972</v>
          </cell>
        </row>
        <row r="51">
          <cell r="C51">
            <v>1224190242</v>
          </cell>
        </row>
        <row r="52">
          <cell r="C52">
            <v>210372978</v>
          </cell>
        </row>
        <row r="53">
          <cell r="C53">
            <v>594173073</v>
          </cell>
        </row>
        <row r="54">
          <cell r="C54">
            <v>938330690</v>
          </cell>
        </row>
        <row r="55">
          <cell r="C55">
            <v>324340413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 Budget Sumry"/>
      <sheetName val="EEIA Non-labor loadfile"/>
      <sheetName val="Base Rate EE Non-labor loadfile"/>
      <sheetName val="KCPL Monthly TD Calc"/>
      <sheetName val="Program Costs - KCP&amp;L"/>
    </sheetNames>
    <sheetDataSet>
      <sheetData sheetId="0"/>
      <sheetData sheetId="1"/>
      <sheetData sheetId="2"/>
      <sheetData sheetId="3">
        <row r="317">
          <cell r="AH317">
            <v>268702.02</v>
          </cell>
          <cell r="AI317">
            <v>101968.45</v>
          </cell>
        </row>
        <row r="318">
          <cell r="AH318">
            <v>452711.35</v>
          </cell>
          <cell r="AI318">
            <v>74385.210000000006</v>
          </cell>
        </row>
        <row r="321">
          <cell r="AO321">
            <v>553726.98</v>
          </cell>
        </row>
        <row r="322">
          <cell r="AO322">
            <v>1035090.79</v>
          </cell>
        </row>
        <row r="338">
          <cell r="AH338">
            <v>4073413.7098418078</v>
          </cell>
          <cell r="AI338">
            <v>1780178.9820288371</v>
          </cell>
        </row>
        <row r="339">
          <cell r="AH339">
            <v>10587037.994678272</v>
          </cell>
          <cell r="AI339">
            <v>1902348.0766334939</v>
          </cell>
        </row>
        <row r="343">
          <cell r="AO343">
            <v>9549445.2521892264</v>
          </cell>
        </row>
        <row r="344">
          <cell r="AO344">
            <v>24903026.784286633</v>
          </cell>
        </row>
      </sheetData>
      <sheetData sheetId="4">
        <row r="153">
          <cell r="AT153">
            <v>552073.60379032255</v>
          </cell>
          <cell r="AU153">
            <v>208128.54253129201</v>
          </cell>
        </row>
        <row r="154">
          <cell r="AT154">
            <v>1180351.1700000002</v>
          </cell>
          <cell r="AU154">
            <v>1111710.8400000003</v>
          </cell>
        </row>
        <row r="155">
          <cell r="AT155">
            <v>123898.36</v>
          </cell>
          <cell r="AU155">
            <v>141332.22000000003</v>
          </cell>
        </row>
        <row r="159">
          <cell r="BA159">
            <v>689059.93797249987</v>
          </cell>
        </row>
        <row r="160">
          <cell r="BA160">
            <v>4189002.2700000005</v>
          </cell>
        </row>
        <row r="161">
          <cell r="BA161">
            <v>519890.00999999989</v>
          </cell>
        </row>
        <row r="162">
          <cell r="BA16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CPL-MO Revenue Analysis"/>
      <sheetName val="October 2018 Combined"/>
      <sheetName val="September 2018 Combined"/>
      <sheetName val="August 2018 Combined"/>
      <sheetName val="July 2018 Combined"/>
      <sheetName val="June 2018 Combined"/>
      <sheetName val="May 2018 Combined"/>
      <sheetName val="KCP&amp;L MO DSIM Rate Table"/>
      <sheetName val="DSIM Rates - Initial RP"/>
      <sheetName val="DSIM Rates - 2nd RP"/>
      <sheetName val="DSIM Rates - 3rd RP"/>
      <sheetName val="DSIM Rates - 4th RP"/>
      <sheetName val="DSIM Rates - 4th RP Cycle 2"/>
      <sheetName val="DSIM Rates 5th RP"/>
      <sheetName val="DSIM Rates 6th RP"/>
      <sheetName val="DSIM Rates 7th RP"/>
      <sheetName val="DSIM Rates 8th RP"/>
      <sheetName val="DSIM Rates 9th RP"/>
    </sheetNames>
    <sheetDataSet>
      <sheetData sheetId="0"/>
      <sheetData sheetId="1">
        <row r="9">
          <cell r="F9">
            <v>0</v>
          </cell>
        </row>
        <row r="10">
          <cell r="F10">
            <v>0</v>
          </cell>
        </row>
        <row r="14">
          <cell r="F14">
            <v>0</v>
          </cell>
        </row>
        <row r="15">
          <cell r="F15">
            <v>16806.620000000003</v>
          </cell>
        </row>
        <row r="19">
          <cell r="F19">
            <v>-0.04</v>
          </cell>
        </row>
        <row r="20">
          <cell r="F20">
            <v>8410.1</v>
          </cell>
        </row>
        <row r="24">
          <cell r="F24">
            <v>1918.7900000000002</v>
          </cell>
        </row>
        <row r="25">
          <cell r="F25">
            <v>13388.66</v>
          </cell>
        </row>
        <row r="29">
          <cell r="F29">
            <v>0</v>
          </cell>
        </row>
        <row r="30">
          <cell r="F30">
            <v>0</v>
          </cell>
        </row>
        <row r="34">
          <cell r="F34">
            <v>413963.67</v>
          </cell>
        </row>
        <row r="35">
          <cell r="F35">
            <v>866107.87</v>
          </cell>
        </row>
        <row r="39">
          <cell r="F39">
            <v>1976.3999999999999</v>
          </cell>
        </row>
        <row r="40">
          <cell r="F40">
            <v>-79122.41</v>
          </cell>
        </row>
        <row r="44">
          <cell r="F44">
            <v>372910.85000000003</v>
          </cell>
        </row>
        <row r="45">
          <cell r="F45">
            <v>498856.46</v>
          </cell>
        </row>
        <row r="55">
          <cell r="F55">
            <v>186470302.09010002</v>
          </cell>
        </row>
        <row r="56">
          <cell r="F56">
            <v>422341488.7536999</v>
          </cell>
        </row>
        <row r="61">
          <cell r="F61">
            <v>186470302.09010002</v>
          </cell>
        </row>
        <row r="62">
          <cell r="F62">
            <v>422341488.7536999</v>
          </cell>
        </row>
      </sheetData>
      <sheetData sheetId="2">
        <row r="9">
          <cell r="F9">
            <v>0</v>
          </cell>
        </row>
        <row r="10">
          <cell r="F10">
            <v>0</v>
          </cell>
        </row>
        <row r="14">
          <cell r="F14">
            <v>0</v>
          </cell>
        </row>
        <row r="15">
          <cell r="F15">
            <v>16551.87</v>
          </cell>
        </row>
        <row r="19">
          <cell r="F19">
            <v>13.19</v>
          </cell>
        </row>
        <row r="20">
          <cell r="F20">
            <v>8296.43</v>
          </cell>
        </row>
        <row r="24">
          <cell r="F24">
            <v>3182.67</v>
          </cell>
        </row>
        <row r="25">
          <cell r="F25">
            <v>14784.16</v>
          </cell>
        </row>
        <row r="29">
          <cell r="F29">
            <v>0</v>
          </cell>
        </row>
        <row r="30">
          <cell r="F30">
            <v>0</v>
          </cell>
        </row>
        <row r="34">
          <cell r="F34">
            <v>571755.09</v>
          </cell>
        </row>
        <row r="35">
          <cell r="F35">
            <v>862692.6</v>
          </cell>
        </row>
        <row r="39">
          <cell r="F39">
            <v>4004.3700000000003</v>
          </cell>
        </row>
        <row r="40">
          <cell r="F40">
            <v>-76476.800000000003</v>
          </cell>
        </row>
        <row r="44">
          <cell r="F44">
            <v>515037.49</v>
          </cell>
        </row>
        <row r="45">
          <cell r="F45">
            <v>497531.68</v>
          </cell>
        </row>
        <row r="55">
          <cell r="F55">
            <v>257611249.98980001</v>
          </cell>
        </row>
        <row r="56">
          <cell r="F56">
            <v>425220866.30139995</v>
          </cell>
        </row>
        <row r="61">
          <cell r="F61">
            <v>257611249.98980001</v>
          </cell>
        </row>
        <row r="62">
          <cell r="F62">
            <v>425220866.30139995</v>
          </cell>
        </row>
      </sheetData>
      <sheetData sheetId="3">
        <row r="9">
          <cell r="F9">
            <v>1.6</v>
          </cell>
        </row>
        <row r="10">
          <cell r="F10">
            <v>0</v>
          </cell>
        </row>
        <row r="14">
          <cell r="F14">
            <v>-1.6000000000000014</v>
          </cell>
        </row>
        <row r="15">
          <cell r="F15">
            <v>-24490.29</v>
          </cell>
        </row>
        <row r="19">
          <cell r="F19">
            <v>3623.8</v>
          </cell>
        </row>
        <row r="20">
          <cell r="F20">
            <v>-9241.9</v>
          </cell>
        </row>
        <row r="24">
          <cell r="F24">
            <v>154751.24</v>
          </cell>
        </row>
        <row r="25">
          <cell r="F25">
            <v>328469.38999999996</v>
          </cell>
        </row>
        <row r="29">
          <cell r="F29">
            <v>0</v>
          </cell>
        </row>
        <row r="30">
          <cell r="F30">
            <v>0</v>
          </cell>
        </row>
        <row r="34">
          <cell r="F34">
            <v>580785.28999999992</v>
          </cell>
        </row>
        <row r="35">
          <cell r="F35">
            <v>854887.37</v>
          </cell>
        </row>
        <row r="39">
          <cell r="F39">
            <v>364490.86</v>
          </cell>
        </row>
        <row r="40">
          <cell r="F40">
            <v>430096.32999999996</v>
          </cell>
        </row>
        <row r="44">
          <cell r="F44">
            <v>513856.16</v>
          </cell>
        </row>
        <row r="45">
          <cell r="F45">
            <v>632137.96</v>
          </cell>
        </row>
        <row r="55">
          <cell r="F55">
            <v>278715744.91769993</v>
          </cell>
        </row>
        <row r="56">
          <cell r="F56">
            <v>445654704.38560003</v>
          </cell>
        </row>
        <row r="61">
          <cell r="F61">
            <v>278715744.91769993</v>
          </cell>
        </row>
        <row r="62">
          <cell r="F62">
            <v>445654704.38560003</v>
          </cell>
        </row>
      </sheetData>
      <sheetData sheetId="4">
        <row r="9">
          <cell r="F9">
            <v>-3.43</v>
          </cell>
        </row>
        <row r="10">
          <cell r="F10">
            <v>-861.26</v>
          </cell>
        </row>
        <row r="14">
          <cell r="F14">
            <v>3.4299999999999997</v>
          </cell>
        </row>
        <row r="15">
          <cell r="F15">
            <v>-45095</v>
          </cell>
        </row>
        <row r="19">
          <cell r="F19">
            <v>6291.96</v>
          </cell>
        </row>
        <row r="20">
          <cell r="F20">
            <v>-18497.39</v>
          </cell>
        </row>
        <row r="24">
          <cell r="F24">
            <v>267273.95</v>
          </cell>
        </row>
        <row r="25">
          <cell r="F25">
            <v>486723.25</v>
          </cell>
        </row>
        <row r="29">
          <cell r="F29">
            <v>0</v>
          </cell>
        </row>
        <row r="30">
          <cell r="F30">
            <v>0</v>
          </cell>
        </row>
        <row r="34">
          <cell r="F34">
            <v>632111.5</v>
          </cell>
        </row>
        <row r="35">
          <cell r="F35">
            <v>856267.44</v>
          </cell>
        </row>
        <row r="39">
          <cell r="F39">
            <v>631964.87</v>
          </cell>
        </row>
        <row r="40">
          <cell r="F40">
            <v>685014.88</v>
          </cell>
        </row>
        <row r="44">
          <cell r="F44">
            <v>553405.91</v>
          </cell>
        </row>
        <row r="45">
          <cell r="F45">
            <v>703050.17</v>
          </cell>
        </row>
        <row r="55">
          <cell r="F55">
            <v>314468889.20260006</v>
          </cell>
        </row>
        <row r="56">
          <cell r="F56">
            <v>450868978.15450001</v>
          </cell>
        </row>
        <row r="61">
          <cell r="F61">
            <v>314468889.20260006</v>
          </cell>
        </row>
        <row r="62">
          <cell r="F62">
            <v>450868978.15450001</v>
          </cell>
        </row>
      </sheetData>
      <sheetData sheetId="5">
        <row r="9">
          <cell r="G9">
            <v>0</v>
          </cell>
        </row>
        <row r="10">
          <cell r="G10">
            <v>-0.01</v>
          </cell>
        </row>
        <row r="14">
          <cell r="G14">
            <v>0</v>
          </cell>
        </row>
        <row r="15">
          <cell r="G15">
            <v>-37833.67</v>
          </cell>
        </row>
        <row r="19">
          <cell r="G19">
            <v>4930.71</v>
          </cell>
        </row>
        <row r="20">
          <cell r="G20">
            <v>-15130.97</v>
          </cell>
        </row>
        <row r="24">
          <cell r="G24">
            <v>209793.21</v>
          </cell>
        </row>
        <row r="25">
          <cell r="G25">
            <v>408047.52999999997</v>
          </cell>
        </row>
        <row r="29">
          <cell r="G29">
            <v>0</v>
          </cell>
        </row>
        <row r="30">
          <cell r="G30">
            <v>0</v>
          </cell>
        </row>
        <row r="34">
          <cell r="G34">
            <v>496157.43</v>
          </cell>
        </row>
        <row r="35">
          <cell r="G35">
            <v>717838.08</v>
          </cell>
        </row>
        <row r="39">
          <cell r="G39">
            <v>496019.65</v>
          </cell>
        </row>
        <row r="40">
          <cell r="G40">
            <v>574360.95000000007</v>
          </cell>
        </row>
        <row r="44">
          <cell r="G44">
            <v>434366.05000000005</v>
          </cell>
        </row>
        <row r="45">
          <cell r="G45">
            <v>589373.1</v>
          </cell>
        </row>
        <row r="55">
          <cell r="G55">
            <v>246848637.4325532</v>
          </cell>
        </row>
        <row r="56">
          <cell r="G56">
            <v>382803899.96757686</v>
          </cell>
        </row>
        <row r="61">
          <cell r="G61">
            <v>246848637.4325532</v>
          </cell>
        </row>
        <row r="62">
          <cell r="G62">
            <v>382803899.96757686</v>
          </cell>
        </row>
      </sheetData>
      <sheetData sheetId="6">
        <row r="9">
          <cell r="H9">
            <v>0</v>
          </cell>
        </row>
        <row r="10">
          <cell r="H10">
            <v>0</v>
          </cell>
        </row>
        <row r="14">
          <cell r="H14">
            <v>0</v>
          </cell>
        </row>
        <row r="15">
          <cell r="H15">
            <v>-35405.130000000005</v>
          </cell>
        </row>
        <row r="19">
          <cell r="H19">
            <v>3522.7000000000003</v>
          </cell>
        </row>
        <row r="20">
          <cell r="H20">
            <v>-14163.45</v>
          </cell>
        </row>
        <row r="24">
          <cell r="H24">
            <v>149862.03</v>
          </cell>
        </row>
        <row r="25">
          <cell r="H25">
            <v>382549.79</v>
          </cell>
        </row>
        <row r="29">
          <cell r="H29">
            <v>0</v>
          </cell>
        </row>
        <row r="30">
          <cell r="H30">
            <v>0</v>
          </cell>
        </row>
        <row r="34">
          <cell r="H34">
            <v>354412.09</v>
          </cell>
        </row>
        <row r="35">
          <cell r="H35">
            <v>673143.66999999993</v>
          </cell>
        </row>
        <row r="39">
          <cell r="H39">
            <v>354335.97</v>
          </cell>
        </row>
        <row r="40">
          <cell r="H40">
            <v>538322.12</v>
          </cell>
        </row>
        <row r="44">
          <cell r="H44">
            <v>310283.77</v>
          </cell>
        </row>
        <row r="45">
          <cell r="H45">
            <v>552617.31999999995</v>
          </cell>
        </row>
        <row r="55">
          <cell r="H55">
            <v>176312018.71774679</v>
          </cell>
        </row>
        <row r="56">
          <cell r="H56">
            <v>452355031.48082322</v>
          </cell>
        </row>
        <row r="61">
          <cell r="H61">
            <v>176311944.11414683</v>
          </cell>
        </row>
        <row r="62">
          <cell r="H62">
            <v>354225109.6979233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 2018"/>
      <sheetName val="June 2018"/>
      <sheetName val="July 2018"/>
      <sheetName val="Aug 2018"/>
      <sheetName val="Sept 2018"/>
      <sheetName val="Oct 2018"/>
    </sheetNames>
    <sheetDataSet>
      <sheetData sheetId="0">
        <row r="51">
          <cell r="F51">
            <v>2.6633099999999999E-3</v>
          </cell>
        </row>
      </sheetData>
      <sheetData sheetId="1">
        <row r="51">
          <cell r="F51">
            <v>2.7637299999999998E-3</v>
          </cell>
        </row>
      </sheetData>
      <sheetData sheetId="2">
        <row r="51">
          <cell r="F51">
            <v>2.7738900000000002E-3</v>
          </cell>
        </row>
      </sheetData>
      <sheetData sheetId="3">
        <row r="51">
          <cell r="F51">
            <v>2.76961E-3</v>
          </cell>
        </row>
      </sheetData>
      <sheetData sheetId="4">
        <row r="51">
          <cell r="F51">
            <v>2.8550200000000002E-3</v>
          </cell>
        </row>
      </sheetData>
      <sheetData sheetId="5">
        <row r="51">
          <cell r="F51">
            <v>2.9459999999999998E-3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SI Projects 052018-102018"/>
    </sheetNames>
    <sheetDataSet>
      <sheetData sheetId="0">
        <row r="26">
          <cell r="C26">
            <v>311757.66999999993</v>
          </cell>
          <cell r="D26">
            <v>436020.66</v>
          </cell>
          <cell r="E26">
            <v>353801.24</v>
          </cell>
          <cell r="F26">
            <v>226654.35999999996</v>
          </cell>
          <cell r="G26">
            <v>325006.29999999993</v>
          </cell>
          <cell r="H26">
            <v>534818.54999999993</v>
          </cell>
        </row>
        <row r="27">
          <cell r="C27">
            <v>542126.28</v>
          </cell>
          <cell r="D27">
            <v>602205.19000000006</v>
          </cell>
          <cell r="E27">
            <v>649116.42000000004</v>
          </cell>
          <cell r="F27">
            <v>634306.64</v>
          </cell>
          <cell r="G27">
            <v>742662.42999999993</v>
          </cell>
          <cell r="H27">
            <v>597643.9800000001</v>
          </cell>
        </row>
        <row r="28">
          <cell r="C28">
            <v>15621.269999999999</v>
          </cell>
          <cell r="D28">
            <v>66932.100000000006</v>
          </cell>
          <cell r="E28">
            <v>39066.960000000006</v>
          </cell>
          <cell r="F28">
            <v>234135.16000000003</v>
          </cell>
          <cell r="G28">
            <v>193625.96000000002</v>
          </cell>
          <cell r="H28">
            <v>147959.05000000002</v>
          </cell>
        </row>
        <row r="29">
          <cell r="C29">
            <v>0</v>
          </cell>
          <cell r="D29">
            <v>1.8189894035458565E-12</v>
          </cell>
          <cell r="E29">
            <v>43700</v>
          </cell>
          <cell r="F29">
            <v>2798.5999999999985</v>
          </cell>
          <cell r="G29">
            <v>17829.640000000003</v>
          </cell>
          <cell r="H29">
            <v>57522.25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onthly TD Calc"/>
    </sheetNames>
    <sheetDataSet>
      <sheetData sheetId="0" refreshError="1"/>
      <sheetData sheetId="1">
        <row r="285">
          <cell r="AB285">
            <v>4026440.387488036</v>
          </cell>
          <cell r="AC285">
            <v>5727224.5806319937</v>
          </cell>
          <cell r="AD285">
            <v>7158918.4238835759</v>
          </cell>
          <cell r="AE285">
            <v>6885323.6824937519</v>
          </cell>
          <cell r="AF285">
            <v>5815270.3273796933</v>
          </cell>
          <cell r="AG285">
            <v>5015433.3236406371</v>
          </cell>
        </row>
        <row r="286">
          <cell r="AB286">
            <v>9562994.660523491</v>
          </cell>
          <cell r="AC286">
            <v>9708154.7936944757</v>
          </cell>
          <cell r="AD286">
            <v>10250696.536389489</v>
          </cell>
          <cell r="AE286">
            <v>10648347.532365764</v>
          </cell>
          <cell r="AF286">
            <v>10022541.66360206</v>
          </cell>
          <cell r="AG286">
            <v>10724336.43131019</v>
          </cell>
        </row>
        <row r="318">
          <cell r="AB318">
            <v>272753.65999999997</v>
          </cell>
          <cell r="AC318">
            <v>568183.91</v>
          </cell>
          <cell r="AD318">
            <v>735817.75</v>
          </cell>
          <cell r="AE318">
            <v>706654.49</v>
          </cell>
          <cell r="AF318">
            <v>581661.98</v>
          </cell>
          <cell r="AG318">
            <v>313750.13</v>
          </cell>
        </row>
        <row r="319">
          <cell r="AB319">
            <v>402699.6</v>
          </cell>
          <cell r="AC319">
            <v>556937.06000000006</v>
          </cell>
          <cell r="AD319">
            <v>560475.47</v>
          </cell>
          <cell r="AE319">
            <v>572637.18999999994</v>
          </cell>
          <cell r="AF319">
            <v>548188.24</v>
          </cell>
          <cell r="AG319">
            <v>439278.45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 Annuity Calc"/>
      <sheetName val="kWh Savings Alloc"/>
      <sheetName val="2016"/>
    </sheetNames>
    <sheetDataSet>
      <sheetData sheetId="0">
        <row r="13">
          <cell r="G13">
            <v>171076.62090909091</v>
          </cell>
          <cell r="H13">
            <v>407401.44818181818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5"/>
  <cols>
    <col min="2" max="2" width="18.7109375" customWidth="1"/>
    <col min="3" max="3" width="16" bestFit="1" customWidth="1"/>
    <col min="4" max="4" width="15.5703125" customWidth="1"/>
    <col min="5" max="5" width="14.85546875" bestFit="1" customWidth="1"/>
    <col min="6" max="6" width="11.28515625" bestFit="1" customWidth="1"/>
    <col min="7" max="7" width="18.42578125" bestFit="1" customWidth="1"/>
    <col min="8" max="8" width="13.42578125" customWidth="1"/>
    <col min="9" max="9" width="3.5703125" customWidth="1"/>
    <col min="10" max="10" width="13.7109375" bestFit="1" customWidth="1"/>
    <col min="11" max="11" width="12.42578125" bestFit="1" customWidth="1"/>
    <col min="12" max="12" width="13.7109375" bestFit="1" customWidth="1"/>
    <col min="13" max="13" width="11.28515625" bestFit="1" customWidth="1"/>
  </cols>
  <sheetData>
    <row r="1" spans="1:13" x14ac:dyDescent="0.25">
      <c r="A1" s="3" t="str">
        <f>+PPC!A1</f>
        <v>Kansas City Power &amp; Light Company - DSIM Rider Update Filed 11/30/2018</v>
      </c>
    </row>
    <row r="2" spans="1:13" ht="15.75" thickBot="1" x14ac:dyDescent="0.3">
      <c r="H2" s="62"/>
      <c r="I2" s="62"/>
      <c r="J2" s="64"/>
      <c r="K2" s="64"/>
    </row>
    <row r="3" spans="1:13" ht="27.75" thickBot="1" x14ac:dyDescent="0.3">
      <c r="B3" s="109" t="s">
        <v>8</v>
      </c>
      <c r="C3" s="153" t="s">
        <v>22</v>
      </c>
      <c r="D3" s="153" t="s">
        <v>23</v>
      </c>
      <c r="E3" s="153" t="s">
        <v>76</v>
      </c>
      <c r="F3" s="153" t="s">
        <v>24</v>
      </c>
      <c r="G3" s="153" t="s">
        <v>47</v>
      </c>
      <c r="H3" s="111" t="s">
        <v>33</v>
      </c>
      <c r="I3" s="53"/>
      <c r="J3" s="110" t="s">
        <v>15</v>
      </c>
      <c r="K3" s="111" t="s">
        <v>75</v>
      </c>
      <c r="L3" s="111" t="s">
        <v>99</v>
      </c>
      <c r="M3" s="111" t="s">
        <v>100</v>
      </c>
    </row>
    <row r="4" spans="1:13" ht="15.75" thickBot="1" x14ac:dyDescent="0.3">
      <c r="B4" s="112" t="s">
        <v>29</v>
      </c>
      <c r="C4" s="151">
        <f t="shared" ref="C4:F5" si="0">C10+C16</f>
        <v>-270548.30670000066</v>
      </c>
      <c r="D4" s="152">
        <f t="shared" si="0"/>
        <v>565151.86999999953</v>
      </c>
      <c r="E4" s="152">
        <f t="shared" si="0"/>
        <v>-90346.117900000041</v>
      </c>
      <c r="F4" s="152">
        <f t="shared" si="0"/>
        <v>0</v>
      </c>
      <c r="G4" s="155">
        <f>PPC!B5</f>
        <v>1224190242</v>
      </c>
      <c r="H4" s="156">
        <f>ROUND(SUM(C4:F4)/G4,5)</f>
        <v>1.7000000000000001E-4</v>
      </c>
      <c r="I4" s="157"/>
      <c r="J4" s="228">
        <f>ROUND((C10+C16)/G4,5)</f>
        <v>-2.2000000000000001E-4</v>
      </c>
      <c r="K4" s="158">
        <f>ROUND((D10+D16)/G4,5)</f>
        <v>4.6000000000000001E-4</v>
      </c>
      <c r="L4" s="158">
        <f>ROUND((E10+E16)/G4,5)</f>
        <v>-6.9999999999999994E-5</v>
      </c>
      <c r="M4" s="158">
        <f>ROUND((F10+F16)/G4,5)</f>
        <v>0</v>
      </c>
    </row>
    <row r="5" spans="1:13" ht="15.75" thickBot="1" x14ac:dyDescent="0.3">
      <c r="B5" s="112" t="s">
        <v>30</v>
      </c>
      <c r="C5" s="151">
        <f t="shared" si="0"/>
        <v>4453833.4825999998</v>
      </c>
      <c r="D5" s="152">
        <f t="shared" si="0"/>
        <v>1073838.8747999999</v>
      </c>
      <c r="E5" s="152">
        <f t="shared" si="0"/>
        <v>142452.68211999998</v>
      </c>
      <c r="F5" s="152">
        <f t="shared" si="0"/>
        <v>0</v>
      </c>
      <c r="G5" s="155">
        <f>PPC!B6</f>
        <v>2067217154</v>
      </c>
      <c r="H5" s="156">
        <f>ROUND(SUM(C5:F5)/G5,5)</f>
        <v>2.7399999999999998E-3</v>
      </c>
      <c r="I5" s="157"/>
      <c r="J5" s="229">
        <f>ROUND((C11+C17)/G5,5)</f>
        <v>2.15E-3</v>
      </c>
      <c r="K5" s="158">
        <f>ROUND((D11+D17)/G5,5)</f>
        <v>5.1999999999999995E-4</v>
      </c>
      <c r="L5" s="158">
        <f>ROUND((E11+E17)/G5,5)</f>
        <v>6.9999999999999994E-5</v>
      </c>
      <c r="M5" s="158">
        <f>ROUND((F11+F17)/G5,5)</f>
        <v>0</v>
      </c>
    </row>
    <row r="6" spans="1:13" x14ac:dyDescent="0.25">
      <c r="C6" s="150"/>
      <c r="D6" s="150"/>
      <c r="E6" s="150"/>
      <c r="F6" s="150"/>
      <c r="G6" s="149"/>
    </row>
    <row r="7" spans="1:13" x14ac:dyDescent="0.25">
      <c r="C7" s="150"/>
      <c r="D7" s="150"/>
      <c r="E7" s="150"/>
      <c r="F7" s="150"/>
      <c r="G7" s="149"/>
    </row>
    <row r="8" spans="1:13" ht="15.75" thickBot="1" x14ac:dyDescent="0.3">
      <c r="C8" s="150"/>
      <c r="D8" s="150"/>
      <c r="E8" s="150"/>
      <c r="F8" s="150"/>
      <c r="G8" s="149"/>
    </row>
    <row r="9" spans="1:13" ht="15.75" thickBot="1" x14ac:dyDescent="0.3">
      <c r="B9" s="109" t="s">
        <v>8</v>
      </c>
      <c r="C9" s="154" t="s">
        <v>7</v>
      </c>
      <c r="D9" s="154" t="s">
        <v>19</v>
      </c>
      <c r="E9" s="154" t="s">
        <v>77</v>
      </c>
      <c r="F9" s="154" t="s">
        <v>20</v>
      </c>
      <c r="G9" s="149"/>
      <c r="J9" s="17"/>
      <c r="K9" s="17"/>
    </row>
    <row r="10" spans="1:13" ht="15.75" thickBot="1" x14ac:dyDescent="0.3">
      <c r="B10" s="112" t="s">
        <v>29</v>
      </c>
      <c r="C10" s="152">
        <f>PPC!C5</f>
        <v>949004.94499999995</v>
      </c>
      <c r="D10" s="152">
        <f>PTD!C6</f>
        <v>553726.98</v>
      </c>
      <c r="E10" s="152">
        <f>+EO!D12</f>
        <v>0</v>
      </c>
      <c r="F10" s="151">
        <f>+OA!D8</f>
        <v>0</v>
      </c>
      <c r="G10" s="149"/>
      <c r="J10" s="184"/>
      <c r="K10" s="17"/>
    </row>
    <row r="11" spans="1:13" ht="15.75" thickBot="1" x14ac:dyDescent="0.3">
      <c r="B11" s="112" t="s">
        <v>30</v>
      </c>
      <c r="C11" s="152">
        <f>PPC!C6</f>
        <v>4448947.2750000004</v>
      </c>
      <c r="D11" s="152">
        <f>PTD!C7</f>
        <v>1035090.79</v>
      </c>
      <c r="E11" s="152">
        <f>+EO!D13</f>
        <v>0</v>
      </c>
      <c r="F11" s="151">
        <f>+OA!D9</f>
        <v>0</v>
      </c>
      <c r="G11" s="149"/>
      <c r="J11" s="184"/>
      <c r="K11" s="17"/>
    </row>
    <row r="12" spans="1:13" x14ac:dyDescent="0.25">
      <c r="C12" s="150"/>
      <c r="D12" s="150"/>
      <c r="E12" s="150"/>
      <c r="F12" s="150"/>
      <c r="G12" s="149"/>
      <c r="J12" s="17"/>
      <c r="K12" s="17"/>
    </row>
    <row r="13" spans="1:13" x14ac:dyDescent="0.25">
      <c r="C13" s="150"/>
      <c r="D13" s="150"/>
      <c r="E13" s="150"/>
      <c r="F13" s="150"/>
      <c r="G13" s="149"/>
      <c r="J13" s="17"/>
      <c r="K13" s="17"/>
    </row>
    <row r="14" spans="1:13" ht="15.75" thickBot="1" x14ac:dyDescent="0.3">
      <c r="C14" s="150"/>
      <c r="D14" s="150"/>
      <c r="E14" s="150"/>
      <c r="F14" s="150"/>
      <c r="G14" s="149"/>
      <c r="J14" s="17"/>
      <c r="K14" s="17"/>
    </row>
    <row r="15" spans="1:13" ht="15.75" thickBot="1" x14ac:dyDescent="0.3">
      <c r="B15" s="109" t="s">
        <v>8</v>
      </c>
      <c r="C15" s="154" t="s">
        <v>4</v>
      </c>
      <c r="D15" s="154" t="s">
        <v>10</v>
      </c>
      <c r="E15" s="154" t="s">
        <v>78</v>
      </c>
      <c r="F15" s="154" t="s">
        <v>21</v>
      </c>
      <c r="G15" s="149"/>
    </row>
    <row r="16" spans="1:13" ht="15.75" thickBot="1" x14ac:dyDescent="0.3">
      <c r="B16" s="112" t="s">
        <v>29</v>
      </c>
      <c r="C16" s="152">
        <f>+'PCR Cycle 1'!J4+'PCR Cycle 2'!J4</f>
        <v>-1219553.2517000006</v>
      </c>
      <c r="D16" s="152">
        <f>+'TDR Cycle 1'!J4+'TDR Cycle 2'!J4</f>
        <v>11424.889999999506</v>
      </c>
      <c r="E16" s="152">
        <f>+EOR!I4</f>
        <v>-90346.117900000041</v>
      </c>
      <c r="F16" s="151">
        <f>+OAR!I4</f>
        <v>0</v>
      </c>
      <c r="G16" s="149"/>
    </row>
    <row r="17" spans="2:7" ht="15.75" thickBot="1" x14ac:dyDescent="0.3">
      <c r="B17" s="112" t="s">
        <v>30</v>
      </c>
      <c r="C17" s="152">
        <f>+'PCR Cycle 1'!J5+'PCR Cycle 2'!J5</f>
        <v>4886.2075999995941</v>
      </c>
      <c r="D17" s="152">
        <f>+'TDR Cycle 1'!J5+'TDR Cycle 2'!J5</f>
        <v>38748.084799999939</v>
      </c>
      <c r="E17" s="152">
        <f>+EOR!I5</f>
        <v>142452.68211999998</v>
      </c>
      <c r="F17" s="151">
        <f>+OAR!I5</f>
        <v>0</v>
      </c>
      <c r="G17" s="149"/>
    </row>
    <row r="19" spans="2:7" x14ac:dyDescent="0.25">
      <c r="B19" s="116" t="s">
        <v>48</v>
      </c>
    </row>
    <row r="20" spans="2:7" x14ac:dyDescent="0.25">
      <c r="B20" s="117" t="s">
        <v>49</v>
      </c>
    </row>
    <row r="21" spans="2:7" x14ac:dyDescent="0.25">
      <c r="B21" s="117" t="s">
        <v>59</v>
      </c>
    </row>
    <row r="22" spans="2:7" x14ac:dyDescent="0.25">
      <c r="B22" s="117" t="s">
        <v>50</v>
      </c>
    </row>
    <row r="23" spans="2:7" x14ac:dyDescent="0.25">
      <c r="B23" s="117" t="s">
        <v>51</v>
      </c>
    </row>
    <row r="24" spans="2:7" x14ac:dyDescent="0.25">
      <c r="B24" s="117" t="s">
        <v>52</v>
      </c>
    </row>
    <row r="25" spans="2:7" x14ac:dyDescent="0.25">
      <c r="B25" s="117" t="s">
        <v>53</v>
      </c>
    </row>
    <row r="26" spans="2:7" x14ac:dyDescent="0.25">
      <c r="B26" s="117" t="s">
        <v>64</v>
      </c>
    </row>
    <row r="27" spans="2:7" x14ac:dyDescent="0.25">
      <c r="B27" s="117" t="s">
        <v>54</v>
      </c>
    </row>
    <row r="28" spans="2:7" x14ac:dyDescent="0.25">
      <c r="B28" s="117" t="s">
        <v>72</v>
      </c>
    </row>
    <row r="29" spans="2:7" x14ac:dyDescent="0.25">
      <c r="B29" s="117" t="s">
        <v>74</v>
      </c>
    </row>
    <row r="30" spans="2:7" x14ac:dyDescent="0.25">
      <c r="B30" s="117" t="s">
        <v>73</v>
      </c>
    </row>
    <row r="31" spans="2:7" x14ac:dyDescent="0.25">
      <c r="B31" s="117" t="s">
        <v>55</v>
      </c>
    </row>
    <row r="32" spans="2:7" x14ac:dyDescent="0.25">
      <c r="B32" s="117" t="s">
        <v>56</v>
      </c>
    </row>
    <row r="33" spans="2:2" x14ac:dyDescent="0.25">
      <c r="B33" s="117" t="s">
        <v>57</v>
      </c>
    </row>
    <row r="34" spans="2:2" x14ac:dyDescent="0.25">
      <c r="B34" s="117" t="s">
        <v>58</v>
      </c>
    </row>
  </sheetData>
  <pageMargins left="0.2" right="0.2" top="0.75" bottom="0.25" header="0.3" footer="0.3"/>
  <pageSetup scale="78" orientation="landscape" r:id="rId1"/>
  <headerFooter>
    <oddHeader>&amp;C&amp;F &amp;A</oddHeader>
    <oddFooter>&amp;R&amp;1#&amp;"Calibri"&amp;10 Public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H1" sqref="H1"/>
    </sheetView>
  </sheetViews>
  <sheetFormatPr defaultRowHeight="15" x14ac:dyDescent="0.25"/>
  <cols>
    <col min="1" max="1" width="43.140625" style="62" customWidth="1"/>
    <col min="2" max="2" width="14.28515625" style="62" bestFit="1" customWidth="1"/>
    <col min="3" max="3" width="14.28515625" style="62" customWidth="1"/>
    <col min="4" max="4" width="13.28515625" style="62" bestFit="1" customWidth="1"/>
    <col min="5" max="16384" width="9.140625" style="62"/>
  </cols>
  <sheetData>
    <row r="1" spans="1:5" x14ac:dyDescent="0.25">
      <c r="A1" s="79" t="str">
        <f>+PPC!A1</f>
        <v>Kansas City Power &amp; Light Company - DSIM Rider Update Filed 11/30/2018</v>
      </c>
    </row>
    <row r="2" spans="1:5" x14ac:dyDescent="0.25">
      <c r="A2" s="9" t="str">
        <f>+PPC!A2</f>
        <v>Projections for Cycle 2 January 2019 - June 2019 DSIM</v>
      </c>
    </row>
    <row r="3" spans="1:5" ht="45.75" customHeight="1" x14ac:dyDescent="0.25">
      <c r="B3" s="230" t="s">
        <v>98</v>
      </c>
      <c r="C3" s="230"/>
      <c r="D3" s="230"/>
    </row>
    <row r="4" spans="1:5" x14ac:dyDescent="0.25">
      <c r="B4" s="86"/>
      <c r="C4" s="86"/>
      <c r="D4" s="64" t="s">
        <v>20</v>
      </c>
    </row>
    <row r="5" spans="1:5" x14ac:dyDescent="0.25">
      <c r="A5" s="22" t="s">
        <v>107</v>
      </c>
      <c r="B5" s="86"/>
      <c r="C5" s="86"/>
      <c r="D5" s="223">
        <v>0</v>
      </c>
    </row>
    <row r="6" spans="1:5" x14ac:dyDescent="0.25">
      <c r="A6" s="22" t="s">
        <v>108</v>
      </c>
      <c r="B6" s="86"/>
      <c r="C6" s="86"/>
      <c r="D6" s="223">
        <v>0</v>
      </c>
    </row>
    <row r="7" spans="1:5" ht="75" x14ac:dyDescent="0.25">
      <c r="A7" s="22"/>
      <c r="B7" s="86"/>
      <c r="C7" s="86" t="s">
        <v>121</v>
      </c>
      <c r="D7" s="180"/>
    </row>
    <row r="8" spans="1:5" x14ac:dyDescent="0.25">
      <c r="A8" s="22" t="s">
        <v>29</v>
      </c>
      <c r="B8" s="86"/>
      <c r="C8" s="222">
        <v>0.29573570798660664</v>
      </c>
      <c r="D8" s="36">
        <f>ROUND(SUM(D5:D6)*C8,2)</f>
        <v>0</v>
      </c>
      <c r="E8" s="4"/>
    </row>
    <row r="9" spans="1:5" x14ac:dyDescent="0.25">
      <c r="A9" s="22" t="s">
        <v>30</v>
      </c>
      <c r="B9" s="86"/>
      <c r="C9" s="222">
        <v>0.70426429201339336</v>
      </c>
      <c r="D9" s="36">
        <f>ROUND(SUM(D5:D6)*C9,2)</f>
        <v>0</v>
      </c>
      <c r="E9" s="4"/>
    </row>
    <row r="10" spans="1:5" ht="15.75" thickBot="1" x14ac:dyDescent="0.3">
      <c r="A10" s="22" t="s">
        <v>6</v>
      </c>
      <c r="B10" s="86"/>
      <c r="C10" s="222">
        <f>SUM(C8:C9)</f>
        <v>1</v>
      </c>
      <c r="D10" s="24">
        <f>SUM(D8:D9)</f>
        <v>0</v>
      </c>
      <c r="E10" s="4"/>
    </row>
    <row r="11" spans="1:5" ht="16.5" thickTop="1" thickBot="1" x14ac:dyDescent="0.3">
      <c r="B11" s="33"/>
      <c r="C11" s="33"/>
      <c r="D11" s="21">
        <f>ROUND(D5+D6,2)-D10</f>
        <v>0</v>
      </c>
      <c r="E11" s="2"/>
    </row>
    <row r="12" spans="1:5" ht="15.75" thickTop="1" x14ac:dyDescent="0.25">
      <c r="E12" s="4"/>
    </row>
    <row r="13" spans="1:5" x14ac:dyDescent="0.25">
      <c r="E13" s="4"/>
    </row>
    <row r="17" spans="1:1" x14ac:dyDescent="0.25">
      <c r="A17" s="69" t="s">
        <v>13</v>
      </c>
    </row>
    <row r="18" spans="1:1" s="53" customFormat="1" x14ac:dyDescent="0.25">
      <c r="A18" s="79" t="s">
        <v>123</v>
      </c>
    </row>
    <row r="19" spans="1:1" s="53" customFormat="1" x14ac:dyDescent="0.25">
      <c r="A19" s="79"/>
    </row>
  </sheetData>
  <mergeCells count="1">
    <mergeCell ref="B3:D3"/>
  </mergeCells>
  <pageMargins left="0.2" right="0.2" top="0.75" bottom="0.25" header="0.3" footer="0.3"/>
  <pageSetup orientation="landscape" r:id="rId1"/>
  <headerFooter>
    <oddHeader>&amp;C&amp;F &amp;A</oddHeader>
    <oddFooter>&amp;R&amp;1#&amp;"Calibri"&amp;10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0"/>
  <sheetViews>
    <sheetView workbookViewId="0">
      <selection activeCell="H1" sqref="H1"/>
    </sheetView>
  </sheetViews>
  <sheetFormatPr defaultRowHeight="15" x14ac:dyDescent="0.25"/>
  <cols>
    <col min="1" max="1" width="37.7109375" style="62" customWidth="1"/>
    <col min="2" max="2" width="12.28515625" style="62" bestFit="1" customWidth="1"/>
    <col min="3" max="3" width="12.42578125" style="62" bestFit="1" customWidth="1"/>
    <col min="4" max="4" width="15.42578125" style="62" customWidth="1"/>
    <col min="5" max="5" width="15.85546875" style="62" bestFit="1" customWidth="1"/>
    <col min="6" max="6" width="12.28515625" style="62" bestFit="1" customWidth="1"/>
    <col min="7" max="8" width="13.28515625" style="62" bestFit="1" customWidth="1"/>
    <col min="9" max="9" width="12.28515625" style="62" bestFit="1" customWidth="1"/>
    <col min="10" max="10" width="11.5703125" style="62" bestFit="1" customWidth="1"/>
    <col min="11" max="11" width="12.85546875" style="62" customWidth="1"/>
    <col min="12" max="12" width="16" style="62" customWidth="1"/>
    <col min="13" max="13" width="15" style="62" bestFit="1" customWidth="1"/>
    <col min="14" max="14" width="16" style="62" bestFit="1" customWidth="1"/>
    <col min="15" max="15" width="17.85546875" style="62" customWidth="1"/>
    <col min="16" max="16" width="15.28515625" style="62" bestFit="1" customWidth="1"/>
    <col min="17" max="17" width="17.42578125" style="62" bestFit="1" customWidth="1"/>
    <col min="18" max="18" width="16.28515625" style="62" bestFit="1" customWidth="1"/>
    <col min="19" max="19" width="15.28515625" style="62" bestFit="1" customWidth="1"/>
    <col min="20" max="20" width="12.42578125" style="62" customWidth="1"/>
    <col min="21" max="22" width="14.28515625" style="62" bestFit="1" customWidth="1"/>
    <col min="23" max="16384" width="9.140625" style="62"/>
  </cols>
  <sheetData>
    <row r="1" spans="1:35" x14ac:dyDescent="0.25">
      <c r="A1" s="3" t="str">
        <f>+PPC!A1</f>
        <v>Kansas City Power &amp; Light Company - DSIM Rider Update Filed 11/30/2018</v>
      </c>
      <c r="B1" s="3"/>
      <c r="C1" s="3"/>
    </row>
    <row r="2" spans="1:35" x14ac:dyDescent="0.25">
      <c r="D2" s="3" t="s">
        <v>114</v>
      </c>
    </row>
    <row r="3" spans="1:35" ht="30" x14ac:dyDescent="0.25">
      <c r="D3" s="64" t="s">
        <v>62</v>
      </c>
      <c r="E3" s="86" t="s">
        <v>20</v>
      </c>
      <c r="F3" s="64" t="s">
        <v>3</v>
      </c>
      <c r="G3" s="86" t="s">
        <v>71</v>
      </c>
      <c r="H3" s="64" t="s">
        <v>11</v>
      </c>
      <c r="I3" s="64" t="s">
        <v>21</v>
      </c>
      <c r="S3" s="64"/>
    </row>
    <row r="4" spans="1:35" x14ac:dyDescent="0.25">
      <c r="A4" s="22" t="s">
        <v>29</v>
      </c>
      <c r="B4" s="22"/>
      <c r="C4" s="22"/>
      <c r="D4" s="24">
        <f>SUM(C15:L15)</f>
        <v>0</v>
      </c>
      <c r="E4" s="24">
        <f>SUM(C19:K19)</f>
        <v>0</v>
      </c>
      <c r="F4" s="24">
        <f>E4-D4</f>
        <v>0</v>
      </c>
      <c r="G4" s="24">
        <f>+B29</f>
        <v>0</v>
      </c>
      <c r="H4" s="24">
        <f>SUM(C34:K34)</f>
        <v>0</v>
      </c>
      <c r="I4" s="36">
        <f>SUM(F4:H4)</f>
        <v>0</v>
      </c>
      <c r="J4" s="63">
        <f>+I4-L29</f>
        <v>0</v>
      </c>
      <c r="M4" s="63"/>
    </row>
    <row r="5" spans="1:35" ht="15.75" thickBot="1" x14ac:dyDescent="0.3">
      <c r="A5" s="22" t="s">
        <v>30</v>
      </c>
      <c r="B5" s="22"/>
      <c r="C5" s="22"/>
      <c r="D5" s="24">
        <f>SUM(C16:L16)</f>
        <v>0</v>
      </c>
      <c r="E5" s="24">
        <f>SUM(C20:K20)</f>
        <v>0</v>
      </c>
      <c r="F5" s="24">
        <f>E5-D5</f>
        <v>0</v>
      </c>
      <c r="G5" s="24">
        <f>+B30</f>
        <v>0</v>
      </c>
      <c r="H5" s="24">
        <f>SUM(C35:K35)</f>
        <v>0</v>
      </c>
      <c r="I5" s="36">
        <f>SUM(F5:H5)</f>
        <v>0</v>
      </c>
      <c r="J5" s="63">
        <f>+I5-L30</f>
        <v>0</v>
      </c>
      <c r="M5" s="63"/>
    </row>
    <row r="6" spans="1:35" ht="16.5" thickTop="1" thickBot="1" x14ac:dyDescent="0.3">
      <c r="D6" s="40">
        <f t="shared" ref="D6" si="0">SUM(D4:D5)</f>
        <v>0</v>
      </c>
      <c r="E6" s="40">
        <f>SUM(E4:E5)</f>
        <v>0</v>
      </c>
      <c r="F6" s="40">
        <f>SUM(F4:F5)</f>
        <v>0</v>
      </c>
      <c r="G6" s="40">
        <f>SUM(G4:G5)</f>
        <v>0</v>
      </c>
      <c r="H6" s="40">
        <f>SUM(H4:H5)</f>
        <v>0</v>
      </c>
      <c r="I6" s="40">
        <f>SUM(I4:I5)</f>
        <v>0</v>
      </c>
      <c r="T6" s="5"/>
    </row>
    <row r="7" spans="1:35" ht="15.75" thickTop="1" x14ac:dyDescent="0.25"/>
    <row r="8" spans="1:35" x14ac:dyDescent="0.25">
      <c r="I8" s="4"/>
      <c r="V8" s="4"/>
    </row>
    <row r="9" spans="1:35" ht="15.75" thickBot="1" x14ac:dyDescent="0.3">
      <c r="V9" s="4"/>
      <c r="W9" s="5"/>
    </row>
    <row r="10" spans="1:35" ht="90.75" thickBot="1" x14ac:dyDescent="0.3">
      <c r="B10" s="141" t="str">
        <f>+'PCR Cycle 1'!B8</f>
        <v>Cumulative Over/Under Carryover From 06/01/2018 Filing</v>
      </c>
      <c r="C10" s="179" t="str">
        <f>+'PCR Cycle 1'!C8</f>
        <v>Reverse May-18 - June-18  Forecast From 06/01/2018 Filing</v>
      </c>
      <c r="D10" s="236" t="s">
        <v>39</v>
      </c>
      <c r="E10" s="236"/>
      <c r="F10" s="237"/>
      <c r="G10" s="242" t="s">
        <v>39</v>
      </c>
      <c r="H10" s="243"/>
      <c r="I10" s="244"/>
      <c r="J10" s="238" t="s">
        <v>9</v>
      </c>
      <c r="K10" s="239"/>
      <c r="L10" s="240"/>
    </row>
    <row r="11" spans="1:35" x14ac:dyDescent="0.25">
      <c r="A11" s="62" t="s">
        <v>116</v>
      </c>
      <c r="C11" s="128"/>
      <c r="D11" s="20">
        <f>+'PCR Cycle 1'!D9</f>
        <v>43251</v>
      </c>
      <c r="E11" s="20">
        <f t="shared" ref="E11:L11" si="1">EOMONTH(D11,1)</f>
        <v>43281</v>
      </c>
      <c r="F11" s="20">
        <f t="shared" si="1"/>
        <v>43312</v>
      </c>
      <c r="G11" s="14">
        <f t="shared" si="1"/>
        <v>43343</v>
      </c>
      <c r="H11" s="20">
        <f t="shared" si="1"/>
        <v>43373</v>
      </c>
      <c r="I11" s="15">
        <f t="shared" si="1"/>
        <v>43404</v>
      </c>
      <c r="J11" s="20">
        <f t="shared" si="1"/>
        <v>43434</v>
      </c>
      <c r="K11" s="20">
        <f t="shared" si="1"/>
        <v>43465</v>
      </c>
      <c r="L11" s="15">
        <f t="shared" si="1"/>
        <v>43496</v>
      </c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5">
      <c r="A12" s="62" t="s">
        <v>6</v>
      </c>
      <c r="C12" s="120">
        <v>0</v>
      </c>
      <c r="D12" s="132">
        <f>SUM(D19:D20)</f>
        <v>0</v>
      </c>
      <c r="E12" s="132">
        <f t="shared" ref="E12:H12" si="2">SUM(E19:E20)</f>
        <v>0</v>
      </c>
      <c r="F12" s="133">
        <f t="shared" si="2"/>
        <v>0</v>
      </c>
      <c r="G12" s="16">
        <f t="shared" si="2"/>
        <v>0</v>
      </c>
      <c r="H12" s="71">
        <f t="shared" si="2"/>
        <v>0</v>
      </c>
      <c r="I12" s="196">
        <f>+I19+I20</f>
        <v>0</v>
      </c>
      <c r="J12" s="189">
        <f t="shared" ref="J12:K12" si="3">+J19+J20</f>
        <v>0</v>
      </c>
      <c r="K12" s="97">
        <f t="shared" si="3"/>
        <v>0</v>
      </c>
      <c r="L12" s="98"/>
    </row>
    <row r="13" spans="1:35" x14ac:dyDescent="0.25">
      <c r="C13" s="122"/>
      <c r="D13" s="17"/>
      <c r="E13" s="17"/>
      <c r="F13" s="17"/>
      <c r="G13" s="10"/>
      <c r="H13" s="17"/>
      <c r="I13" s="11"/>
      <c r="J13" s="44"/>
      <c r="K13" s="44"/>
      <c r="L13" s="42"/>
    </row>
    <row r="14" spans="1:35" x14ac:dyDescent="0.25">
      <c r="A14" s="62" t="s">
        <v>115</v>
      </c>
      <c r="C14" s="122"/>
      <c r="D14" s="18"/>
      <c r="E14" s="18"/>
      <c r="F14" s="18"/>
      <c r="G14" s="114"/>
      <c r="H14" s="18"/>
      <c r="I14" s="197"/>
      <c r="J14" s="44"/>
      <c r="K14" s="44"/>
      <c r="L14" s="42"/>
      <c r="M14" s="3" t="s">
        <v>93</v>
      </c>
      <c r="N14" s="53"/>
    </row>
    <row r="15" spans="1:35" x14ac:dyDescent="0.25">
      <c r="A15" s="62" t="s">
        <v>29</v>
      </c>
      <c r="C15" s="120">
        <v>0</v>
      </c>
      <c r="D15" s="159">
        <f>ROUND('[3]May 2018 Combined'!H29,2)</f>
        <v>0</v>
      </c>
      <c r="E15" s="159">
        <f>ROUND('[3]June 2018 Combined'!G29,2)</f>
        <v>0</v>
      </c>
      <c r="F15" s="220">
        <f>ROUND('[3]July 2018 Combined'!F29,2)</f>
        <v>0</v>
      </c>
      <c r="G15" s="16">
        <f>ROUND('[3]August 2018 Combined'!F29,2)</f>
        <v>0</v>
      </c>
      <c r="H15" s="144">
        <f>ROUND('[3]September 2018 Combined'!F29,2)</f>
        <v>0</v>
      </c>
      <c r="I15" s="198">
        <f>ROUND('[3]October 2018 Combined'!F29,2)</f>
        <v>0</v>
      </c>
      <c r="J15" s="146">
        <f>'PCR Cycle 1'!J21*$M15</f>
        <v>0</v>
      </c>
      <c r="K15" s="55">
        <f>'PCR Cycle 1'!K21*$M15</f>
        <v>0</v>
      </c>
      <c r="L15" s="77">
        <f>'PCR Cycle 1'!L21*$M15</f>
        <v>0</v>
      </c>
      <c r="M15" s="88">
        <v>0</v>
      </c>
      <c r="N15" s="4"/>
    </row>
    <row r="16" spans="1:35" x14ac:dyDescent="0.25">
      <c r="A16" s="62" t="s">
        <v>30</v>
      </c>
      <c r="C16" s="120">
        <v>0</v>
      </c>
      <c r="D16" s="159">
        <f>ROUND('[3]May 2018 Combined'!H30,2)</f>
        <v>0</v>
      </c>
      <c r="E16" s="159">
        <f>ROUND('[3]June 2018 Combined'!G30,2)</f>
        <v>0</v>
      </c>
      <c r="F16" s="220">
        <f>ROUND('[3]July 2018 Combined'!F30,2)</f>
        <v>0</v>
      </c>
      <c r="G16" s="16">
        <f>ROUND('[3]August 2018 Combined'!F30,2)</f>
        <v>0</v>
      </c>
      <c r="H16" s="144">
        <f>ROUND('[3]September 2018 Combined'!F30,2)</f>
        <v>0</v>
      </c>
      <c r="I16" s="198">
        <f>ROUND('[3]October 2018 Combined'!F30,2)</f>
        <v>0</v>
      </c>
      <c r="J16" s="146">
        <f>'PCR Cycle 1'!J22*$M16</f>
        <v>0</v>
      </c>
      <c r="K16" s="55">
        <f>'PCR Cycle 1'!K22*$M16</f>
        <v>0</v>
      </c>
      <c r="L16" s="77">
        <f>'PCR Cycle 1'!L22*$M16</f>
        <v>0</v>
      </c>
      <c r="M16" s="88">
        <v>0</v>
      </c>
      <c r="N16" s="4"/>
    </row>
    <row r="17" spans="1:14" x14ac:dyDescent="0.25">
      <c r="C17" s="83"/>
      <c r="D17" s="84"/>
      <c r="E17" s="84"/>
      <c r="F17" s="84"/>
      <c r="G17" s="121"/>
      <c r="H17" s="84"/>
      <c r="I17" s="199"/>
      <c r="J17" s="72"/>
      <c r="K17" s="72"/>
      <c r="L17" s="13"/>
      <c r="N17" s="4"/>
    </row>
    <row r="18" spans="1:14" x14ac:dyDescent="0.25">
      <c r="A18" s="62" t="s">
        <v>117</v>
      </c>
      <c r="C18" s="50"/>
      <c r="D18" s="51"/>
      <c r="E18" s="51"/>
      <c r="F18" s="51"/>
      <c r="G18" s="50"/>
      <c r="H18" s="51"/>
      <c r="I18" s="202"/>
      <c r="J18" s="68"/>
      <c r="K18" s="68"/>
      <c r="L18" s="52"/>
    </row>
    <row r="19" spans="1:14" x14ac:dyDescent="0.25">
      <c r="A19" s="62" t="s">
        <v>29</v>
      </c>
      <c r="C19" s="120">
        <v>0</v>
      </c>
      <c r="D19" s="132">
        <v>0</v>
      </c>
      <c r="E19" s="132">
        <v>0</v>
      </c>
      <c r="F19" s="133">
        <v>0</v>
      </c>
      <c r="G19" s="16">
        <v>0</v>
      </c>
      <c r="H19" s="71">
        <v>0</v>
      </c>
      <c r="I19" s="196">
        <v>0</v>
      </c>
      <c r="J19" s="191">
        <v>0</v>
      </c>
      <c r="K19" s="167">
        <v>0</v>
      </c>
      <c r="L19" s="98"/>
    </row>
    <row r="20" spans="1:14" x14ac:dyDescent="0.25">
      <c r="A20" s="62" t="s">
        <v>30</v>
      </c>
      <c r="C20" s="120">
        <v>0</v>
      </c>
      <c r="D20" s="132">
        <v>0</v>
      </c>
      <c r="E20" s="132">
        <v>0</v>
      </c>
      <c r="F20" s="133">
        <v>0</v>
      </c>
      <c r="G20" s="16">
        <v>0</v>
      </c>
      <c r="H20" s="71">
        <v>0</v>
      </c>
      <c r="I20" s="196">
        <v>0</v>
      </c>
      <c r="J20" s="191">
        <v>0</v>
      </c>
      <c r="K20" s="167">
        <v>0</v>
      </c>
      <c r="L20" s="98"/>
      <c r="N20" s="63"/>
    </row>
    <row r="21" spans="1:14" x14ac:dyDescent="0.25">
      <c r="C21" s="122"/>
      <c r="D21" s="18"/>
      <c r="E21" s="18"/>
      <c r="F21" s="18"/>
      <c r="G21" s="114"/>
      <c r="H21" s="18"/>
      <c r="I21" s="197"/>
      <c r="J21" s="72"/>
      <c r="K21" s="72"/>
      <c r="L21" s="13"/>
    </row>
    <row r="22" spans="1:14" ht="15.75" thickBot="1" x14ac:dyDescent="0.3">
      <c r="A22" s="3" t="s">
        <v>16</v>
      </c>
      <c r="B22" s="3"/>
      <c r="C22" s="126">
        <v>0</v>
      </c>
      <c r="D22" s="159">
        <v>0</v>
      </c>
      <c r="E22" s="159">
        <v>0</v>
      </c>
      <c r="F22" s="160">
        <v>0</v>
      </c>
      <c r="G22" s="39">
        <v>0</v>
      </c>
      <c r="H22" s="145">
        <v>0</v>
      </c>
      <c r="I22" s="203">
        <v>0</v>
      </c>
      <c r="J22" s="192"/>
      <c r="K22" s="169"/>
      <c r="L22" s="101"/>
    </row>
    <row r="23" spans="1:14" x14ac:dyDescent="0.25">
      <c r="C23" s="80"/>
      <c r="D23" s="174"/>
      <c r="E23" s="174"/>
      <c r="F23" s="175"/>
      <c r="G23" s="80"/>
      <c r="H23" s="47"/>
      <c r="I23" s="204"/>
      <c r="J23" s="48"/>
      <c r="K23" s="48"/>
      <c r="L23" s="76"/>
    </row>
    <row r="24" spans="1:14" x14ac:dyDescent="0.25">
      <c r="A24" s="62" t="s">
        <v>68</v>
      </c>
      <c r="C24" s="81"/>
      <c r="D24" s="175"/>
      <c r="E24" s="175"/>
      <c r="F24" s="175"/>
      <c r="G24" s="81"/>
      <c r="H24" s="49"/>
      <c r="I24" s="205"/>
      <c r="J24" s="48"/>
      <c r="K24" s="48"/>
      <c r="L24" s="76"/>
    </row>
    <row r="25" spans="1:14" x14ac:dyDescent="0.25">
      <c r="A25" s="62" t="s">
        <v>29</v>
      </c>
      <c r="C25" s="123">
        <f t="shared" ref="C25:L25" si="4">C19-C15</f>
        <v>0</v>
      </c>
      <c r="D25" s="55">
        <f t="shared" si="4"/>
        <v>0</v>
      </c>
      <c r="E25" s="55">
        <f t="shared" si="4"/>
        <v>0</v>
      </c>
      <c r="F25" s="131">
        <f t="shared" si="4"/>
        <v>0</v>
      </c>
      <c r="G25" s="54">
        <f t="shared" si="4"/>
        <v>0</v>
      </c>
      <c r="H25" s="55">
        <f t="shared" si="4"/>
        <v>0</v>
      </c>
      <c r="I25" s="77">
        <f t="shared" si="4"/>
        <v>0</v>
      </c>
      <c r="J25" s="146">
        <f t="shared" si="4"/>
        <v>0</v>
      </c>
      <c r="K25" s="55">
        <f t="shared" si="4"/>
        <v>0</v>
      </c>
      <c r="L25" s="77">
        <f t="shared" si="4"/>
        <v>0</v>
      </c>
    </row>
    <row r="26" spans="1:14" x14ac:dyDescent="0.25">
      <c r="A26" s="62" t="s">
        <v>30</v>
      </c>
      <c r="C26" s="123">
        <f t="shared" ref="C26:L26" si="5">C20-C16</f>
        <v>0</v>
      </c>
      <c r="D26" s="55">
        <f t="shared" si="5"/>
        <v>0</v>
      </c>
      <c r="E26" s="55">
        <f t="shared" si="5"/>
        <v>0</v>
      </c>
      <c r="F26" s="131">
        <f t="shared" si="5"/>
        <v>0</v>
      </c>
      <c r="G26" s="54">
        <f t="shared" si="5"/>
        <v>0</v>
      </c>
      <c r="H26" s="55">
        <f t="shared" si="5"/>
        <v>0</v>
      </c>
      <c r="I26" s="77">
        <f t="shared" si="5"/>
        <v>0</v>
      </c>
      <c r="J26" s="146">
        <f t="shared" si="5"/>
        <v>0</v>
      </c>
      <c r="K26" s="55">
        <f t="shared" si="5"/>
        <v>0</v>
      </c>
      <c r="L26" s="77">
        <f t="shared" si="5"/>
        <v>0</v>
      </c>
    </row>
    <row r="27" spans="1:14" x14ac:dyDescent="0.25">
      <c r="C27" s="122"/>
      <c r="D27" s="17"/>
      <c r="E27" s="17"/>
      <c r="F27" s="17"/>
      <c r="G27" s="10"/>
      <c r="H27" s="17"/>
      <c r="I27" s="11"/>
      <c r="J27" s="17"/>
      <c r="K27" s="17"/>
      <c r="L27" s="11"/>
    </row>
    <row r="28" spans="1:14" ht="15.75" thickBot="1" x14ac:dyDescent="0.3">
      <c r="A28" s="62" t="s">
        <v>69</v>
      </c>
      <c r="C28" s="122"/>
      <c r="D28" s="17"/>
      <c r="E28" s="17"/>
      <c r="F28" s="17"/>
      <c r="G28" s="10"/>
      <c r="H28" s="17"/>
      <c r="I28" s="11"/>
      <c r="J28" s="17"/>
      <c r="K28" s="17"/>
      <c r="L28" s="11"/>
    </row>
    <row r="29" spans="1:14" x14ac:dyDescent="0.25">
      <c r="A29" s="62" t="s">
        <v>29</v>
      </c>
      <c r="B29" s="139">
        <v>0</v>
      </c>
      <c r="C29" s="123">
        <f>B29+C25+B34</f>
        <v>0</v>
      </c>
      <c r="D29" s="55">
        <f t="shared" ref="D29:L30" si="6">C29+D25+C34</f>
        <v>0</v>
      </c>
      <c r="E29" s="55">
        <f t="shared" si="6"/>
        <v>0</v>
      </c>
      <c r="F29" s="131">
        <f t="shared" si="6"/>
        <v>0</v>
      </c>
      <c r="G29" s="54">
        <f t="shared" si="6"/>
        <v>0</v>
      </c>
      <c r="H29" s="55">
        <f t="shared" si="6"/>
        <v>0</v>
      </c>
      <c r="I29" s="77">
        <f t="shared" si="6"/>
        <v>0</v>
      </c>
      <c r="J29" s="146">
        <f t="shared" si="6"/>
        <v>0</v>
      </c>
      <c r="K29" s="55">
        <f t="shared" si="6"/>
        <v>0</v>
      </c>
      <c r="L29" s="77">
        <f t="shared" si="6"/>
        <v>0</v>
      </c>
    </row>
    <row r="30" spans="1:14" ht="15.75" thickBot="1" x14ac:dyDescent="0.3">
      <c r="A30" s="62" t="s">
        <v>30</v>
      </c>
      <c r="B30" s="140">
        <v>0</v>
      </c>
      <c r="C30" s="123">
        <f>B30+C26+B35</f>
        <v>0</v>
      </c>
      <c r="D30" s="55">
        <f t="shared" si="6"/>
        <v>0</v>
      </c>
      <c r="E30" s="55">
        <f t="shared" si="6"/>
        <v>0</v>
      </c>
      <c r="F30" s="131">
        <f t="shared" si="6"/>
        <v>0</v>
      </c>
      <c r="G30" s="54">
        <f t="shared" si="6"/>
        <v>0</v>
      </c>
      <c r="H30" s="55">
        <f t="shared" si="6"/>
        <v>0</v>
      </c>
      <c r="I30" s="77">
        <f t="shared" si="6"/>
        <v>0</v>
      </c>
      <c r="J30" s="146">
        <f t="shared" si="6"/>
        <v>0</v>
      </c>
      <c r="K30" s="55">
        <f t="shared" si="6"/>
        <v>0</v>
      </c>
      <c r="L30" s="77">
        <f t="shared" si="6"/>
        <v>0</v>
      </c>
    </row>
    <row r="31" spans="1:14" x14ac:dyDescent="0.25">
      <c r="C31" s="122"/>
      <c r="D31" s="17"/>
      <c r="E31" s="17"/>
      <c r="F31" s="17"/>
      <c r="G31" s="10"/>
      <c r="H31" s="17"/>
      <c r="I31" s="11"/>
      <c r="J31" s="17"/>
      <c r="K31" s="17"/>
      <c r="L31" s="11"/>
    </row>
    <row r="32" spans="1:14" x14ac:dyDescent="0.25">
      <c r="A32" s="53" t="s">
        <v>112</v>
      </c>
      <c r="B32" s="53"/>
      <c r="C32" s="127"/>
      <c r="D32" s="102">
        <f>+'PCR Cycle 1'!D38</f>
        <v>2.6633099999999999E-3</v>
      </c>
      <c r="E32" s="102">
        <f>+'PCR Cycle 1'!E38</f>
        <v>2.7637299999999998E-3</v>
      </c>
      <c r="F32" s="102">
        <f>+'PCR Cycle 1'!F38</f>
        <v>2.7738900000000002E-3</v>
      </c>
      <c r="G32" s="103">
        <f>+'PCR Cycle 1'!G38</f>
        <v>2.76961E-3</v>
      </c>
      <c r="H32" s="102">
        <f>+'PCR Cycle 1'!H38</f>
        <v>2.8550200000000002E-3</v>
      </c>
      <c r="I32" s="115">
        <f>+'PCR Cycle 1'!I38</f>
        <v>2.9459999999999998E-3</v>
      </c>
      <c r="J32" s="102">
        <f>+'PCR Cycle 1'!J38</f>
        <v>2.9459999999999998E-3</v>
      </c>
      <c r="K32" s="102">
        <f>+'PCR Cycle 1'!K38</f>
        <v>2.9459999999999998E-3</v>
      </c>
      <c r="L32" s="104"/>
    </row>
    <row r="33" spans="1:12" x14ac:dyDescent="0.25">
      <c r="A33" s="53" t="s">
        <v>44</v>
      </c>
      <c r="B33" s="53"/>
      <c r="C33" s="129"/>
      <c r="D33" s="102"/>
      <c r="E33" s="102"/>
      <c r="F33" s="102"/>
      <c r="G33" s="103"/>
      <c r="H33" s="102"/>
      <c r="I33" s="104"/>
      <c r="J33" s="102"/>
      <c r="K33" s="102"/>
      <c r="L33" s="104"/>
    </row>
    <row r="34" spans="1:12" x14ac:dyDescent="0.25">
      <c r="A34" s="62" t="s">
        <v>29</v>
      </c>
      <c r="C34" s="123">
        <v>0</v>
      </c>
      <c r="D34" s="55">
        <f t="shared" ref="D34:L35" si="7">ROUND((C29+C34+D25/2)*D$32,2)</f>
        <v>0</v>
      </c>
      <c r="E34" s="55">
        <f t="shared" si="7"/>
        <v>0</v>
      </c>
      <c r="F34" s="131">
        <f t="shared" si="7"/>
        <v>0</v>
      </c>
      <c r="G34" s="54">
        <f t="shared" si="7"/>
        <v>0</v>
      </c>
      <c r="H34" s="146">
        <f t="shared" si="7"/>
        <v>0</v>
      </c>
      <c r="I34" s="65">
        <f t="shared" si="7"/>
        <v>0</v>
      </c>
      <c r="J34" s="193">
        <f t="shared" si="7"/>
        <v>0</v>
      </c>
      <c r="K34" s="131">
        <f t="shared" si="7"/>
        <v>0</v>
      </c>
      <c r="L34" s="77">
        <f t="shared" si="7"/>
        <v>0</v>
      </c>
    </row>
    <row r="35" spans="1:12" ht="15.75" thickBot="1" x14ac:dyDescent="0.3">
      <c r="A35" s="62" t="s">
        <v>30</v>
      </c>
      <c r="C35" s="123">
        <v>0</v>
      </c>
      <c r="D35" s="55">
        <f t="shared" si="7"/>
        <v>0</v>
      </c>
      <c r="E35" s="55">
        <f t="shared" si="7"/>
        <v>0</v>
      </c>
      <c r="F35" s="131">
        <f t="shared" si="7"/>
        <v>0</v>
      </c>
      <c r="G35" s="54">
        <f t="shared" si="7"/>
        <v>0</v>
      </c>
      <c r="H35" s="146">
        <f t="shared" si="7"/>
        <v>0</v>
      </c>
      <c r="I35" s="65">
        <f t="shared" si="7"/>
        <v>0</v>
      </c>
      <c r="J35" s="193">
        <f t="shared" si="7"/>
        <v>0</v>
      </c>
      <c r="K35" s="131">
        <f t="shared" si="7"/>
        <v>0</v>
      </c>
      <c r="L35" s="77">
        <f t="shared" si="7"/>
        <v>0</v>
      </c>
    </row>
    <row r="36" spans="1:12" ht="16.5" thickTop="1" thickBot="1" x14ac:dyDescent="0.3">
      <c r="A36" s="70" t="s">
        <v>25</v>
      </c>
      <c r="B36" s="70"/>
      <c r="C36" s="130">
        <v>0</v>
      </c>
      <c r="D36" s="56">
        <f t="shared" ref="D36:I36" si="8">SUM(D34:D35)+SUM(D29:D30)-D39</f>
        <v>0</v>
      </c>
      <c r="E36" s="56">
        <f t="shared" si="8"/>
        <v>0</v>
      </c>
      <c r="F36" s="66">
        <f t="shared" ref="F36:H36" si="9">SUM(F34:F35)+SUM(F29:F30)-F39</f>
        <v>0</v>
      </c>
      <c r="G36" s="172">
        <f t="shared" si="9"/>
        <v>0</v>
      </c>
      <c r="H36" s="66">
        <f t="shared" si="9"/>
        <v>0</v>
      </c>
      <c r="I36" s="78">
        <f t="shared" si="8"/>
        <v>0</v>
      </c>
      <c r="J36" s="194">
        <f t="shared" ref="J36:L36" si="10">SUM(J34:J35)+SUM(J29:J30)-J39</f>
        <v>0</v>
      </c>
      <c r="K36" s="66">
        <f t="shared" si="10"/>
        <v>0</v>
      </c>
      <c r="L36" s="78">
        <f t="shared" si="10"/>
        <v>0</v>
      </c>
    </row>
    <row r="37" spans="1:12" ht="16.5" thickTop="1" thickBot="1" x14ac:dyDescent="0.3">
      <c r="A37" s="70" t="s">
        <v>26</v>
      </c>
      <c r="B37" s="70"/>
      <c r="C37" s="130">
        <v>0</v>
      </c>
      <c r="D37" s="56">
        <f t="shared" ref="D37:I37" si="11">SUM(D34:D35)-D22</f>
        <v>0</v>
      </c>
      <c r="E37" s="56">
        <f t="shared" si="11"/>
        <v>0</v>
      </c>
      <c r="F37" s="66">
        <f t="shared" ref="F37:H37" si="12">SUM(F34:F35)-F22</f>
        <v>0</v>
      </c>
      <c r="G37" s="172">
        <f t="shared" si="12"/>
        <v>0</v>
      </c>
      <c r="H37" s="66">
        <f t="shared" si="12"/>
        <v>0</v>
      </c>
      <c r="I37" s="78">
        <f t="shared" si="11"/>
        <v>0</v>
      </c>
      <c r="J37" s="195">
        <f t="shared" ref="J37:L37" si="13">SUM(J34:J35)-J22</f>
        <v>0</v>
      </c>
      <c r="K37" s="56">
        <f t="shared" si="13"/>
        <v>0</v>
      </c>
      <c r="L37" s="56">
        <f t="shared" si="13"/>
        <v>0</v>
      </c>
    </row>
    <row r="38" spans="1:12" ht="16.5" thickTop="1" thickBot="1" x14ac:dyDescent="0.3">
      <c r="C38" s="122"/>
      <c r="D38" s="17"/>
      <c r="E38" s="17"/>
      <c r="F38" s="17"/>
      <c r="G38" s="10"/>
      <c r="H38" s="17"/>
      <c r="I38" s="11"/>
      <c r="J38" s="17"/>
      <c r="K38" s="17"/>
      <c r="L38" s="11"/>
    </row>
    <row r="39" spans="1:12" ht="15.75" thickBot="1" x14ac:dyDescent="0.3">
      <c r="A39" s="62" t="s">
        <v>42</v>
      </c>
      <c r="B39" s="142">
        <v>0</v>
      </c>
      <c r="C39" s="123">
        <f t="shared" ref="C39:L39" si="14">(C12-SUM(C15:C16))+SUM(C34:C35)+B39</f>
        <v>0</v>
      </c>
      <c r="D39" s="55">
        <f t="shared" si="14"/>
        <v>0</v>
      </c>
      <c r="E39" s="55">
        <f t="shared" si="14"/>
        <v>0</v>
      </c>
      <c r="F39" s="131">
        <f t="shared" si="14"/>
        <v>0</v>
      </c>
      <c r="G39" s="54">
        <f t="shared" si="14"/>
        <v>0</v>
      </c>
      <c r="H39" s="55">
        <f t="shared" si="14"/>
        <v>0</v>
      </c>
      <c r="I39" s="77">
        <f t="shared" si="14"/>
        <v>0</v>
      </c>
      <c r="J39" s="193">
        <f t="shared" si="14"/>
        <v>0</v>
      </c>
      <c r="K39" s="131">
        <f t="shared" si="14"/>
        <v>0</v>
      </c>
      <c r="L39" s="77">
        <f t="shared" si="14"/>
        <v>0</v>
      </c>
    </row>
    <row r="40" spans="1:12" x14ac:dyDescent="0.25">
      <c r="A40" s="62" t="s">
        <v>14</v>
      </c>
      <c r="C40" s="143"/>
      <c r="D40" s="17"/>
      <c r="E40" s="17"/>
      <c r="F40" s="17"/>
      <c r="G40" s="10"/>
      <c r="H40" s="17"/>
      <c r="I40" s="11"/>
      <c r="J40" s="17"/>
      <c r="K40" s="17"/>
      <c r="L40" s="11"/>
    </row>
    <row r="41" spans="1:12" ht="15.75" thickBot="1" x14ac:dyDescent="0.3">
      <c r="A41" s="51"/>
      <c r="B41" s="51"/>
      <c r="C41" s="173"/>
      <c r="D41" s="58"/>
      <c r="E41" s="58"/>
      <c r="F41" s="58"/>
      <c r="G41" s="57"/>
      <c r="H41" s="58"/>
      <c r="I41" s="59"/>
      <c r="J41" s="58"/>
      <c r="K41" s="58"/>
      <c r="L41" s="59"/>
    </row>
    <row r="43" spans="1:12" x14ac:dyDescent="0.25">
      <c r="A43" s="85" t="s">
        <v>13</v>
      </c>
      <c r="B43" s="85"/>
      <c r="C43" s="85"/>
    </row>
    <row r="44" spans="1:12" ht="31.5" customHeight="1" x14ac:dyDescent="0.25">
      <c r="A44" s="235" t="s">
        <v>130</v>
      </c>
      <c r="B44" s="235"/>
      <c r="C44" s="235"/>
      <c r="D44" s="235"/>
      <c r="E44" s="235"/>
      <c r="F44" s="235"/>
      <c r="G44" s="235"/>
      <c r="H44" s="235"/>
      <c r="I44" s="235"/>
      <c r="J44" s="216"/>
      <c r="K44" s="216"/>
      <c r="L44" s="216"/>
    </row>
    <row r="45" spans="1:12" ht="45.75" customHeight="1" x14ac:dyDescent="0.25">
      <c r="A45" s="235"/>
      <c r="B45" s="235"/>
      <c r="C45" s="235"/>
      <c r="D45" s="235"/>
      <c r="E45" s="235"/>
      <c r="F45" s="235"/>
      <c r="G45" s="235"/>
      <c r="H45" s="235"/>
      <c r="I45" s="217"/>
      <c r="J45" s="216"/>
      <c r="K45" s="216"/>
    </row>
    <row r="46" spans="1:12" ht="18.75" customHeight="1" x14ac:dyDescent="0.25">
      <c r="A46" s="235"/>
      <c r="B46" s="235"/>
      <c r="C46" s="235"/>
      <c r="D46" s="235"/>
      <c r="E46" s="235"/>
      <c r="F46" s="235"/>
      <c r="G46" s="235"/>
      <c r="H46" s="235"/>
      <c r="I46" s="235"/>
      <c r="J46" s="216"/>
      <c r="K46" s="216"/>
      <c r="L46" s="216"/>
    </row>
    <row r="47" spans="1:12" x14ac:dyDescent="0.25">
      <c r="A47" s="79"/>
      <c r="B47" s="79"/>
      <c r="C47" s="79"/>
      <c r="D47" s="53"/>
      <c r="E47" s="53"/>
      <c r="F47" s="53"/>
      <c r="G47" s="53"/>
      <c r="H47" s="53"/>
      <c r="I47" s="53"/>
    </row>
    <row r="48" spans="1:12" x14ac:dyDescent="0.25">
      <c r="A48" s="79"/>
      <c r="B48" s="79"/>
      <c r="C48" s="79"/>
      <c r="D48" s="53"/>
      <c r="E48" s="53"/>
      <c r="F48" s="53"/>
      <c r="G48" s="53"/>
      <c r="H48" s="53"/>
      <c r="I48" s="53"/>
    </row>
    <row r="49" spans="1:9" x14ac:dyDescent="0.25">
      <c r="A49" s="79"/>
      <c r="B49" s="79"/>
      <c r="C49" s="79"/>
      <c r="D49" s="53"/>
      <c r="E49" s="53"/>
      <c r="F49" s="53"/>
      <c r="G49" s="53"/>
      <c r="H49" s="53"/>
      <c r="I49" s="53"/>
    </row>
    <row r="50" spans="1:9" x14ac:dyDescent="0.25">
      <c r="A50" s="3"/>
      <c r="B50" s="3"/>
      <c r="C50" s="3"/>
    </row>
  </sheetData>
  <mergeCells count="6">
    <mergeCell ref="A46:I46"/>
    <mergeCell ref="D10:F10"/>
    <mergeCell ref="G10:I10"/>
    <mergeCell ref="J10:L10"/>
    <mergeCell ref="A44:I44"/>
    <mergeCell ref="A45:H45"/>
  </mergeCells>
  <pageMargins left="0.2" right="0.2" top="0.75" bottom="0.25" header="0.3" footer="0.3"/>
  <pageSetup scale="62" orientation="landscape" r:id="rId1"/>
  <headerFooter>
    <oddHeader>&amp;C&amp;F &amp;A</oddHeader>
    <oddFooter>&amp;R&amp;1#&amp;"Calibri"&amp;10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2"/>
  <sheetViews>
    <sheetView workbookViewId="0">
      <selection activeCell="D3" sqref="D3"/>
    </sheetView>
  </sheetViews>
  <sheetFormatPr defaultRowHeight="15" x14ac:dyDescent="0.25"/>
  <cols>
    <col min="1" max="1" width="17.5703125" customWidth="1"/>
    <col min="2" max="2" width="22" customWidth="1"/>
    <col min="3" max="3" width="17.28515625" customWidth="1"/>
    <col min="4" max="4" width="24.85546875" bestFit="1" customWidth="1"/>
    <col min="5" max="5" width="15.5703125" bestFit="1" customWidth="1"/>
    <col min="6" max="9" width="17.7109375" customWidth="1"/>
  </cols>
  <sheetData>
    <row r="1" spans="1:32" s="62" customFormat="1" x14ac:dyDescent="0.25">
      <c r="A1" s="79" t="s">
        <v>149</v>
      </c>
    </row>
    <row r="2" spans="1:32" ht="15.75" thickBot="1" x14ac:dyDescent="0.3">
      <c r="A2" s="9" t="s">
        <v>134</v>
      </c>
    </row>
    <row r="3" spans="1:32" ht="35.25" customHeight="1" thickBot="1" x14ac:dyDescent="0.3">
      <c r="B3" s="230" t="s">
        <v>85</v>
      </c>
      <c r="C3" s="230"/>
      <c r="E3" s="231" t="s">
        <v>5</v>
      </c>
      <c r="F3" s="232"/>
      <c r="G3" s="232"/>
      <c r="H3" s="232"/>
      <c r="I3" s="233"/>
    </row>
    <row r="4" spans="1:32" ht="45" x14ac:dyDescent="0.25">
      <c r="B4" s="86" t="s">
        <v>60</v>
      </c>
      <c r="C4" s="6" t="s">
        <v>31</v>
      </c>
      <c r="E4" s="10"/>
      <c r="F4" s="90" t="s">
        <v>29</v>
      </c>
      <c r="G4" s="90" t="s">
        <v>30</v>
      </c>
      <c r="H4" s="90" t="s">
        <v>80</v>
      </c>
      <c r="I4" s="91" t="s">
        <v>1</v>
      </c>
    </row>
    <row r="5" spans="1:32" x14ac:dyDescent="0.25">
      <c r="A5" s="22" t="s">
        <v>29</v>
      </c>
      <c r="B5" s="93">
        <f>+'[1]Billed kWh Sales'!$C$51</f>
        <v>1224190242</v>
      </c>
      <c r="C5" s="36">
        <f>SUM(F9:I9)</f>
        <v>949004.94499999995</v>
      </c>
      <c r="D5" s="4"/>
      <c r="E5" s="25"/>
      <c r="F5" s="27">
        <v>1</v>
      </c>
      <c r="G5" s="27">
        <v>0</v>
      </c>
      <c r="H5" s="27">
        <v>0.5</v>
      </c>
      <c r="I5" s="28">
        <v>0.5</v>
      </c>
    </row>
    <row r="6" spans="1:32" ht="15.75" thickBot="1" x14ac:dyDescent="0.3">
      <c r="A6" s="22" t="s">
        <v>30</v>
      </c>
      <c r="B6" s="93">
        <f>SUM('[1]Billed kWh Sales'!$C$52:$C$55)</f>
        <v>2067217154</v>
      </c>
      <c r="C6" s="36">
        <f>SUM(F10:I10)</f>
        <v>4448947.2750000004</v>
      </c>
      <c r="D6" s="4"/>
      <c r="E6" s="25"/>
      <c r="F6" s="27">
        <v>0</v>
      </c>
      <c r="G6" s="27">
        <v>1</v>
      </c>
      <c r="H6" s="27">
        <v>0.5</v>
      </c>
      <c r="I6" s="28">
        <v>0.5</v>
      </c>
    </row>
    <row r="7" spans="1:32" ht="16.5" thickTop="1" thickBot="1" x14ac:dyDescent="0.3">
      <c r="A7" s="22" t="s">
        <v>6</v>
      </c>
      <c r="B7" s="35">
        <f>SUM(B5:B6)</f>
        <v>3291407396</v>
      </c>
      <c r="C7" s="24">
        <f>SUM(C5:C6)</f>
        <v>5397952.2200000007</v>
      </c>
      <c r="D7" s="4"/>
      <c r="E7" s="31" t="s">
        <v>12</v>
      </c>
      <c r="F7" s="21">
        <f>1-SUM(F5:F6)</f>
        <v>0</v>
      </c>
      <c r="G7" s="21">
        <f>1-SUM(G5:G6)</f>
        <v>0</v>
      </c>
      <c r="H7" s="21">
        <f>1-SUM(H5:H6)</f>
        <v>0</v>
      </c>
      <c r="I7" s="21">
        <f>1-SUM(I5:I6)</f>
        <v>0</v>
      </c>
    </row>
    <row r="8" spans="1:32" ht="16.5" thickTop="1" thickBot="1" x14ac:dyDescent="0.3">
      <c r="B8" s="33" t="s">
        <v>12</v>
      </c>
      <c r="C8" s="21">
        <f>SUM(F8:I8)-C7</f>
        <v>0</v>
      </c>
      <c r="D8" s="2"/>
      <c r="E8" s="32" t="s">
        <v>6</v>
      </c>
      <c r="F8" s="37">
        <f>ROUND('[2]Program Costs - KCP&amp;L'!$BA$159,2)</f>
        <v>689059.94</v>
      </c>
      <c r="G8" s="37">
        <f>ROUND('[2]Program Costs - KCP&amp;L'!$BA$160,2)</f>
        <v>4189002.27</v>
      </c>
      <c r="H8" s="37">
        <f>ROUND('[2]Program Costs - KCP&amp;L'!$BA$161,2)</f>
        <v>519890.01</v>
      </c>
      <c r="I8" s="38">
        <f>ROUND('[2]Program Costs - KCP&amp;L'!$BA$162,2)</f>
        <v>0</v>
      </c>
    </row>
    <row r="9" spans="1:32" ht="15.75" thickTop="1" x14ac:dyDescent="0.25">
      <c r="D9" s="4"/>
      <c r="E9" s="106" t="s">
        <v>29</v>
      </c>
      <c r="F9" s="107">
        <f t="shared" ref="F9:I10" si="0">F5*F$8</f>
        <v>689059.94</v>
      </c>
      <c r="G9" s="107">
        <f t="shared" si="0"/>
        <v>0</v>
      </c>
      <c r="H9" s="107">
        <f t="shared" si="0"/>
        <v>259945.005</v>
      </c>
      <c r="I9" s="108">
        <f t="shared" si="0"/>
        <v>0</v>
      </c>
    </row>
    <row r="10" spans="1:32" ht="15.75" thickBot="1" x14ac:dyDescent="0.3">
      <c r="D10" s="4"/>
      <c r="E10" s="26" t="s">
        <v>30</v>
      </c>
      <c r="F10" s="29">
        <f t="shared" si="0"/>
        <v>0</v>
      </c>
      <c r="G10" s="29">
        <f t="shared" si="0"/>
        <v>4189002.27</v>
      </c>
      <c r="H10" s="29">
        <f t="shared" si="0"/>
        <v>259945.005</v>
      </c>
      <c r="I10" s="30">
        <f t="shared" si="0"/>
        <v>0</v>
      </c>
    </row>
    <row r="13" spans="1:32" x14ac:dyDescent="0.25"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5">
      <c r="A14" s="69" t="s">
        <v>13</v>
      </c>
      <c r="F14" s="61"/>
      <c r="G14" s="61"/>
      <c r="H14" s="61"/>
      <c r="I14" s="176"/>
      <c r="J14" s="61"/>
    </row>
    <row r="15" spans="1:32" x14ac:dyDescent="0.25">
      <c r="A15" s="234" t="s">
        <v>131</v>
      </c>
      <c r="B15" s="234"/>
      <c r="C15" s="234"/>
      <c r="D15" s="234"/>
      <c r="E15" s="234"/>
      <c r="F15" s="234"/>
      <c r="G15" s="234"/>
      <c r="H15" s="234"/>
      <c r="I15" s="234"/>
    </row>
    <row r="16" spans="1:32" x14ac:dyDescent="0.25">
      <c r="A16" s="234" t="s">
        <v>143</v>
      </c>
      <c r="B16" s="234"/>
      <c r="C16" s="234"/>
      <c r="D16" s="234"/>
      <c r="E16" s="234"/>
      <c r="F16" s="234"/>
      <c r="G16" s="234"/>
      <c r="H16" s="234"/>
      <c r="I16" s="234"/>
    </row>
    <row r="17" spans="1:10" x14ac:dyDescent="0.25">
      <c r="I17" s="176"/>
    </row>
    <row r="18" spans="1:10" x14ac:dyDescent="0.25">
      <c r="I18" s="176"/>
    </row>
    <row r="19" spans="1:10" x14ac:dyDescent="0.25">
      <c r="I19" s="176"/>
    </row>
    <row r="26" spans="1:10" x14ac:dyDescent="0.25">
      <c r="C26" s="2"/>
    </row>
    <row r="28" spans="1:10" x14ac:dyDescent="0.25">
      <c r="A28" s="62"/>
      <c r="B28" s="62"/>
      <c r="C28" s="62"/>
      <c r="D28" s="62"/>
      <c r="E28" s="62"/>
      <c r="F28" s="62"/>
      <c r="G28" s="62"/>
      <c r="H28" s="62"/>
      <c r="I28" s="62"/>
      <c r="J28" s="62"/>
    </row>
    <row r="29" spans="1:10" x14ac:dyDescent="0.25">
      <c r="A29" s="62"/>
      <c r="B29" s="62"/>
      <c r="C29" s="62"/>
      <c r="E29" s="62"/>
      <c r="F29" s="62"/>
      <c r="G29" s="62"/>
      <c r="H29" s="62"/>
      <c r="I29" s="62"/>
      <c r="J29" s="62"/>
    </row>
    <row r="30" spans="1:10" x14ac:dyDescent="0.25">
      <c r="A30" s="62"/>
      <c r="B30" s="62"/>
      <c r="C30" s="62"/>
      <c r="D30" s="62"/>
      <c r="E30" s="62"/>
      <c r="F30" s="62"/>
      <c r="G30" s="62"/>
      <c r="H30" s="62"/>
      <c r="I30" s="62"/>
      <c r="J30" s="62"/>
    </row>
    <row r="31" spans="1:10" x14ac:dyDescent="0.25">
      <c r="A31" s="62"/>
      <c r="B31" s="62"/>
      <c r="C31" s="62"/>
      <c r="D31" s="62"/>
      <c r="E31" s="62"/>
      <c r="F31" s="62"/>
      <c r="G31" s="62"/>
      <c r="H31" s="62"/>
      <c r="I31" s="62"/>
      <c r="J31" s="62"/>
    </row>
    <row r="32" spans="1:10" x14ac:dyDescent="0.25">
      <c r="A32" s="62"/>
      <c r="B32" s="62"/>
      <c r="C32" s="62"/>
      <c r="D32" s="62"/>
      <c r="E32" s="62"/>
      <c r="F32" s="62"/>
      <c r="G32" s="62"/>
      <c r="H32" s="62"/>
      <c r="I32" s="62"/>
      <c r="J32" s="62"/>
    </row>
    <row r="33" spans="1:10" x14ac:dyDescent="0.25">
      <c r="A33" s="62"/>
      <c r="B33" s="62"/>
      <c r="C33" s="62"/>
      <c r="D33" s="62"/>
      <c r="E33" s="62"/>
      <c r="F33" s="62"/>
      <c r="G33" s="62"/>
      <c r="H33" s="62"/>
      <c r="I33" s="62"/>
      <c r="J33" s="62"/>
    </row>
    <row r="34" spans="1:10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62"/>
    </row>
    <row r="35" spans="1:10" x14ac:dyDescent="0.25">
      <c r="A35" s="62"/>
      <c r="B35" s="62"/>
      <c r="C35" s="62"/>
      <c r="D35" s="62"/>
      <c r="E35" s="62"/>
      <c r="F35" s="62"/>
      <c r="G35" s="62"/>
      <c r="H35" s="62"/>
      <c r="I35" s="62"/>
      <c r="J35" s="62"/>
    </row>
    <row r="36" spans="1:10" x14ac:dyDescent="0.25">
      <c r="A36" s="62"/>
      <c r="B36" s="62"/>
      <c r="C36" s="62"/>
      <c r="D36" s="62"/>
      <c r="E36" s="62"/>
      <c r="F36" s="62"/>
      <c r="G36" s="62"/>
      <c r="H36" s="62"/>
      <c r="I36" s="62"/>
      <c r="J36" s="62"/>
    </row>
    <row r="37" spans="1:10" x14ac:dyDescent="0.25">
      <c r="A37" s="62"/>
      <c r="B37" s="62"/>
      <c r="C37" s="62"/>
      <c r="D37" s="62"/>
      <c r="E37" s="62"/>
      <c r="F37" s="62"/>
      <c r="G37" s="62"/>
      <c r="H37" s="62"/>
      <c r="I37" s="62"/>
      <c r="J37" s="62"/>
    </row>
    <row r="38" spans="1:10" x14ac:dyDescent="0.25">
      <c r="A38" s="62"/>
      <c r="B38" s="62"/>
      <c r="C38" s="62"/>
      <c r="D38" s="62"/>
      <c r="E38" s="62"/>
      <c r="F38" s="62"/>
      <c r="G38" s="62"/>
      <c r="H38" s="62"/>
      <c r="I38" s="62"/>
      <c r="J38" s="62"/>
    </row>
    <row r="39" spans="1:10" x14ac:dyDescent="0.25">
      <c r="A39" s="62"/>
      <c r="B39" s="62"/>
      <c r="C39" s="62"/>
      <c r="D39" s="62"/>
      <c r="E39" s="62"/>
      <c r="F39" s="62"/>
      <c r="G39" s="62"/>
      <c r="H39" s="62"/>
      <c r="I39" s="62"/>
      <c r="J39" s="62"/>
    </row>
    <row r="40" spans="1:10" x14ac:dyDescent="0.25">
      <c r="A40" s="62"/>
      <c r="B40" s="62"/>
      <c r="C40" s="62"/>
      <c r="D40" s="62"/>
      <c r="E40" s="62"/>
      <c r="F40" s="62"/>
      <c r="G40" s="62"/>
      <c r="H40" s="62"/>
      <c r="I40" s="62"/>
      <c r="J40" s="62"/>
    </row>
    <row r="41" spans="1:10" x14ac:dyDescent="0.25">
      <c r="A41" s="62"/>
      <c r="B41" s="62"/>
      <c r="C41" s="62"/>
      <c r="D41" s="62"/>
      <c r="E41" s="62"/>
      <c r="F41" s="62"/>
      <c r="G41" s="62"/>
      <c r="H41" s="62"/>
      <c r="I41" s="62"/>
      <c r="J41" s="62"/>
    </row>
    <row r="42" spans="1:10" x14ac:dyDescent="0.25">
      <c r="A42" s="62"/>
      <c r="B42" s="62"/>
      <c r="C42" s="62"/>
      <c r="D42" s="62"/>
      <c r="E42" s="62"/>
      <c r="F42" s="62"/>
      <c r="G42" s="62"/>
      <c r="H42" s="62"/>
      <c r="I42" s="62"/>
      <c r="J42" s="62"/>
    </row>
    <row r="48" spans="1:10" x14ac:dyDescent="0.25">
      <c r="B48" s="8"/>
      <c r="C48" s="8"/>
      <c r="D48" s="8"/>
    </row>
    <row r="52" spans="2:4" x14ac:dyDescent="0.25">
      <c r="B52" s="8"/>
      <c r="C52" s="8"/>
      <c r="D52" s="8"/>
    </row>
  </sheetData>
  <mergeCells count="4">
    <mergeCell ref="B3:C3"/>
    <mergeCell ref="E3:I3"/>
    <mergeCell ref="A15:I15"/>
    <mergeCell ref="A16:I16"/>
  </mergeCells>
  <pageMargins left="0.2" right="0.2" top="0.75" bottom="0.25" header="0.3" footer="0.3"/>
  <pageSetup scale="80" orientation="landscape" r:id="rId1"/>
  <headerFooter>
    <oddHeader>&amp;C&amp;F &amp;A</oddHeader>
    <oddFooter>&amp;R&amp;1#&amp;"Calibri"&amp;10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5"/>
  <sheetViews>
    <sheetView workbookViewId="0">
      <pane xSplit="3" ySplit="9" topLeftCell="L10" activePane="bottomRight" state="frozen"/>
      <selection activeCell="J12" sqref="J12"/>
      <selection pane="topRight" activeCell="J12" sqref="J12"/>
      <selection pane="bottomLeft" activeCell="J12" sqref="J12"/>
      <selection pane="bottomRight" activeCell="N7" sqref="N7"/>
    </sheetView>
  </sheetViews>
  <sheetFormatPr defaultRowHeight="15" x14ac:dyDescent="0.25"/>
  <cols>
    <col min="1" max="1" width="54.5703125" customWidth="1"/>
    <col min="2" max="2" width="14.7109375" style="62" bestFit="1" customWidth="1"/>
    <col min="3" max="3" width="15" style="62" bestFit="1" customWidth="1"/>
    <col min="4" max="4" width="15.140625" customWidth="1"/>
    <col min="5" max="5" width="15.85546875" bestFit="1" customWidth="1"/>
    <col min="6" max="6" width="17.5703125" style="62" bestFit="1" customWidth="1"/>
    <col min="7" max="8" width="13.28515625" style="62" bestFit="1" customWidth="1"/>
    <col min="9" max="9" width="12.5703125" bestFit="1" customWidth="1"/>
    <col min="10" max="11" width="12.5703125" style="62" bestFit="1" customWidth="1"/>
    <col min="12" max="12" width="12.28515625" style="62" bestFit="1" customWidth="1"/>
    <col min="13" max="13" width="15" bestFit="1" customWidth="1"/>
    <col min="14" max="14" width="16.28515625" bestFit="1" customWidth="1"/>
    <col min="15" max="15" width="16.140625" customWidth="1"/>
    <col min="16" max="16" width="17.28515625" bestFit="1" customWidth="1"/>
    <col min="17" max="17" width="17.42578125" customWidth="1"/>
    <col min="18" max="18" width="15.5703125" customWidth="1"/>
    <col min="19" max="19" width="13" customWidth="1"/>
    <col min="21" max="21" width="14.28515625" bestFit="1" customWidth="1"/>
  </cols>
  <sheetData>
    <row r="1" spans="1:34" x14ac:dyDescent="0.25">
      <c r="A1" s="3" t="str">
        <f>+PPC!A1</f>
        <v>Kansas City Power &amp; Light Company - DSIM Rider Update Filed 11/30/2018</v>
      </c>
      <c r="B1" s="3"/>
      <c r="C1" s="3"/>
      <c r="H1" s="62" t="s">
        <v>122</v>
      </c>
    </row>
    <row r="2" spans="1:34" x14ac:dyDescent="0.25">
      <c r="D2" s="3" t="s">
        <v>79</v>
      </c>
    </row>
    <row r="3" spans="1:34" ht="30" x14ac:dyDescent="0.25">
      <c r="D3" s="6" t="s">
        <v>62</v>
      </c>
      <c r="E3" s="6" t="s">
        <v>61</v>
      </c>
      <c r="F3" s="86" t="s">
        <v>2</v>
      </c>
      <c r="G3" s="6" t="s">
        <v>3</v>
      </c>
      <c r="H3" s="86" t="s">
        <v>71</v>
      </c>
      <c r="I3" s="6" t="s">
        <v>11</v>
      </c>
      <c r="J3" s="6" t="s">
        <v>4</v>
      </c>
    </row>
    <row r="4" spans="1:34" x14ac:dyDescent="0.25">
      <c r="A4" s="62" t="s">
        <v>29</v>
      </c>
      <c r="D4" s="24">
        <f>SUM(C25:L25)</f>
        <v>0</v>
      </c>
      <c r="E4" s="161">
        <f>SUM(C21:L21)</f>
        <v>1515759279.3505001</v>
      </c>
      <c r="F4" s="24">
        <f>SUM(C17:K17)</f>
        <v>0</v>
      </c>
      <c r="G4" s="24">
        <f>F4-D4</f>
        <v>0</v>
      </c>
      <c r="H4" s="24">
        <f>+B35</f>
        <v>0</v>
      </c>
      <c r="I4" s="24">
        <f>SUM(C40:K40)</f>
        <v>0</v>
      </c>
      <c r="J4" s="36">
        <f>SUM(G4:I4)</f>
        <v>0</v>
      </c>
      <c r="K4" s="63">
        <f>+J4-L35</f>
        <v>0</v>
      </c>
      <c r="M4" s="45"/>
    </row>
    <row r="5" spans="1:34" ht="15.75" thickBot="1" x14ac:dyDescent="0.3">
      <c r="A5" t="s">
        <v>30</v>
      </c>
      <c r="D5" s="24">
        <f>SUM(C26:L26)</f>
        <v>54365.753839999998</v>
      </c>
      <c r="E5" s="161">
        <f>SUM(C22:L22)</f>
        <v>2413130319.0436001</v>
      </c>
      <c r="F5" s="24">
        <f>SUM(C18:K18)</f>
        <v>0</v>
      </c>
      <c r="G5" s="24">
        <f>F5-D5</f>
        <v>-54365.753839999998</v>
      </c>
      <c r="H5" s="24">
        <f>+B36</f>
        <v>94606.75</v>
      </c>
      <c r="I5" s="24">
        <f>SUM(C41:K41)</f>
        <v>1463.15</v>
      </c>
      <c r="J5" s="36">
        <f>SUM(G5:I5)</f>
        <v>41704.146160000004</v>
      </c>
      <c r="K5" s="63">
        <f>+J5-L36</f>
        <v>0</v>
      </c>
      <c r="M5" s="45"/>
    </row>
    <row r="6" spans="1:34" ht="16.5" thickTop="1" thickBot="1" x14ac:dyDescent="0.3">
      <c r="D6" s="40">
        <f t="shared" ref="D6" si="0">SUM(D4:D5)</f>
        <v>54365.753839999998</v>
      </c>
      <c r="E6" s="162">
        <f t="shared" ref="E6:H6" si="1">SUM(E4:E5)</f>
        <v>3928889598.3941002</v>
      </c>
      <c r="F6" s="40">
        <f t="shared" si="1"/>
        <v>0</v>
      </c>
      <c r="G6" s="40">
        <f t="shared" si="1"/>
        <v>-54365.753839999998</v>
      </c>
      <c r="H6" s="40">
        <f t="shared" si="1"/>
        <v>94606.75</v>
      </c>
      <c r="I6" s="94">
        <f>SUM(I4:I5)</f>
        <v>1463.15</v>
      </c>
      <c r="J6" s="40">
        <f>SUM(J4:J5)</f>
        <v>41704.146160000004</v>
      </c>
    </row>
    <row r="7" spans="1:34" ht="16.5" thickTop="1" thickBot="1" x14ac:dyDescent="0.3"/>
    <row r="8" spans="1:34" ht="75.75" thickBot="1" x14ac:dyDescent="0.3">
      <c r="B8" s="141" t="s">
        <v>132</v>
      </c>
      <c r="C8" s="179" t="s">
        <v>133</v>
      </c>
      <c r="D8" s="236" t="s">
        <v>39</v>
      </c>
      <c r="E8" s="236"/>
      <c r="F8" s="237"/>
      <c r="G8" s="206" t="s">
        <v>39</v>
      </c>
      <c r="H8" s="207"/>
      <c r="I8" s="208"/>
      <c r="J8" s="187" t="s">
        <v>9</v>
      </c>
      <c r="K8" s="187"/>
      <c r="L8" s="188"/>
    </row>
    <row r="9" spans="1:34" x14ac:dyDescent="0.25">
      <c r="A9" t="s">
        <v>38</v>
      </c>
      <c r="C9" s="14"/>
      <c r="D9" s="20">
        <v>43251</v>
      </c>
      <c r="E9" s="20">
        <f>EOMONTH(D9,1)</f>
        <v>43281</v>
      </c>
      <c r="F9" s="20">
        <f t="shared" ref="F9:L9" si="2">EOMONTH(E9,1)</f>
        <v>43312</v>
      </c>
      <c r="G9" s="14">
        <f t="shared" si="2"/>
        <v>43343</v>
      </c>
      <c r="H9" s="20">
        <f t="shared" si="2"/>
        <v>43373</v>
      </c>
      <c r="I9" s="15">
        <f t="shared" si="2"/>
        <v>43404</v>
      </c>
      <c r="J9" s="20">
        <f t="shared" si="2"/>
        <v>43434</v>
      </c>
      <c r="K9" s="20">
        <f t="shared" si="2"/>
        <v>43465</v>
      </c>
      <c r="L9" s="118">
        <f t="shared" si="2"/>
        <v>43496</v>
      </c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A10" t="s">
        <v>29</v>
      </c>
      <c r="C10" s="120">
        <v>0</v>
      </c>
      <c r="D10" s="132">
        <v>0</v>
      </c>
      <c r="E10" s="132">
        <v>0</v>
      </c>
      <c r="F10" s="133">
        <v>0</v>
      </c>
      <c r="G10" s="16">
        <v>0</v>
      </c>
      <c r="H10" s="71">
        <v>0</v>
      </c>
      <c r="I10" s="196">
        <v>0</v>
      </c>
      <c r="J10" s="209">
        <v>0</v>
      </c>
      <c r="K10" s="164">
        <v>0</v>
      </c>
      <c r="L10" s="95"/>
    </row>
    <row r="11" spans="1:34" x14ac:dyDescent="0.25">
      <c r="A11" t="s">
        <v>30</v>
      </c>
      <c r="C11" s="120">
        <v>0</v>
      </c>
      <c r="D11" s="132">
        <v>0</v>
      </c>
      <c r="E11" s="132">
        <v>0</v>
      </c>
      <c r="F11" s="133">
        <v>0</v>
      </c>
      <c r="G11" s="16">
        <v>0</v>
      </c>
      <c r="H11" s="71">
        <v>0</v>
      </c>
      <c r="I11" s="196">
        <v>0</v>
      </c>
      <c r="J11" s="209">
        <v>0</v>
      </c>
      <c r="K11" s="164">
        <v>0</v>
      </c>
      <c r="L11" s="95"/>
      <c r="M11" s="79" t="s">
        <v>32</v>
      </c>
    </row>
    <row r="12" spans="1:34" x14ac:dyDescent="0.25">
      <c r="A12" t="s">
        <v>0</v>
      </c>
      <c r="C12" s="120">
        <v>0</v>
      </c>
      <c r="D12" s="132">
        <v>0</v>
      </c>
      <c r="E12" s="132">
        <v>0</v>
      </c>
      <c r="F12" s="133">
        <v>0</v>
      </c>
      <c r="G12" s="16">
        <v>0</v>
      </c>
      <c r="H12" s="71">
        <v>0</v>
      </c>
      <c r="I12" s="196">
        <v>0</v>
      </c>
      <c r="J12" s="209">
        <v>0</v>
      </c>
      <c r="K12" s="164">
        <v>0</v>
      </c>
      <c r="L12" s="95"/>
      <c r="M12" s="89">
        <v>0.5</v>
      </c>
    </row>
    <row r="13" spans="1:34" x14ac:dyDescent="0.25">
      <c r="A13" t="s">
        <v>1</v>
      </c>
      <c r="C13" s="120">
        <v>0</v>
      </c>
      <c r="D13" s="132">
        <v>0</v>
      </c>
      <c r="E13" s="132">
        <v>0</v>
      </c>
      <c r="F13" s="133">
        <v>0</v>
      </c>
      <c r="G13" s="16">
        <v>0</v>
      </c>
      <c r="H13" s="71">
        <v>0</v>
      </c>
      <c r="I13" s="196">
        <v>0</v>
      </c>
      <c r="J13" s="209">
        <v>0</v>
      </c>
      <c r="K13" s="164">
        <v>0</v>
      </c>
      <c r="L13" s="95"/>
      <c r="M13" s="79" t="s">
        <v>28</v>
      </c>
    </row>
    <row r="14" spans="1:34" s="62" customFormat="1" x14ac:dyDescent="0.25">
      <c r="A14" s="62" t="s">
        <v>27</v>
      </c>
      <c r="C14" s="120">
        <v>0</v>
      </c>
      <c r="D14" s="132">
        <v>0</v>
      </c>
      <c r="E14" s="132">
        <v>0</v>
      </c>
      <c r="F14" s="133">
        <v>0</v>
      </c>
      <c r="G14" s="16">
        <v>0</v>
      </c>
      <c r="H14" s="71">
        <v>0</v>
      </c>
      <c r="I14" s="196">
        <v>0</v>
      </c>
      <c r="J14" s="209">
        <v>0</v>
      </c>
      <c r="K14" s="164">
        <v>0</v>
      </c>
      <c r="L14" s="95"/>
      <c r="M14" s="89">
        <v>2.4400000000000002E-2</v>
      </c>
    </row>
    <row r="15" spans="1:34" x14ac:dyDescent="0.25">
      <c r="C15" s="121"/>
      <c r="D15" s="44"/>
      <c r="E15" s="44"/>
      <c r="F15" s="44"/>
      <c r="G15" s="41"/>
      <c r="H15" s="44"/>
      <c r="I15" s="11"/>
      <c r="J15" s="44"/>
      <c r="K15" s="44"/>
      <c r="L15" s="42"/>
    </row>
    <row r="16" spans="1:34" x14ac:dyDescent="0.25">
      <c r="A16" t="s">
        <v>41</v>
      </c>
      <c r="C16" s="122"/>
      <c r="D16" s="44"/>
      <c r="E16" s="44"/>
      <c r="F16" s="44"/>
      <c r="G16" s="41"/>
      <c r="H16" s="44"/>
      <c r="I16" s="197"/>
      <c r="J16" s="17"/>
      <c r="K16" s="17"/>
      <c r="L16" s="11"/>
    </row>
    <row r="17" spans="1:16" x14ac:dyDescent="0.25">
      <c r="A17" s="62" t="s">
        <v>29</v>
      </c>
      <c r="C17" s="54">
        <f t="shared" ref="C17:I17" si="3">C10+($M$12*C$12)+($M$12*C$13)+C$14*(1-$M$14)</f>
        <v>0</v>
      </c>
      <c r="D17" s="55">
        <f t="shared" si="3"/>
        <v>0</v>
      </c>
      <c r="E17" s="55">
        <f t="shared" si="3"/>
        <v>0</v>
      </c>
      <c r="F17" s="131">
        <f t="shared" si="3"/>
        <v>0</v>
      </c>
      <c r="G17" s="54">
        <f t="shared" si="3"/>
        <v>0</v>
      </c>
      <c r="H17" s="55">
        <f t="shared" si="3"/>
        <v>0</v>
      </c>
      <c r="I17" s="77">
        <f t="shared" si="3"/>
        <v>0</v>
      </c>
      <c r="J17" s="146">
        <f t="shared" ref="J17:L17" si="4">J10+($M$12*J$12)+($M$12*J$13)+J$14*(1-$M$14)</f>
        <v>0</v>
      </c>
      <c r="K17" s="55">
        <f t="shared" si="4"/>
        <v>0</v>
      </c>
      <c r="L17" s="77">
        <f t="shared" si="4"/>
        <v>0</v>
      </c>
    </row>
    <row r="18" spans="1:16" x14ac:dyDescent="0.25">
      <c r="A18" t="s">
        <v>30</v>
      </c>
      <c r="C18" s="54">
        <f t="shared" ref="C18:I18" si="5">(C$11+$M$12*C$12+C$14*$M$14)+C$13*$M$12</f>
        <v>0</v>
      </c>
      <c r="D18" s="55">
        <f t="shared" si="5"/>
        <v>0</v>
      </c>
      <c r="E18" s="55">
        <f t="shared" si="5"/>
        <v>0</v>
      </c>
      <c r="F18" s="131">
        <f t="shared" si="5"/>
        <v>0</v>
      </c>
      <c r="G18" s="54">
        <f t="shared" si="5"/>
        <v>0</v>
      </c>
      <c r="H18" s="55">
        <f t="shared" si="5"/>
        <v>0</v>
      </c>
      <c r="I18" s="77">
        <f t="shared" si="5"/>
        <v>0</v>
      </c>
      <c r="J18" s="146">
        <f t="shared" ref="J18:L18" si="6">(J$11+$M$12*J$12+J$14*$M$14)+J$13*$M$12</f>
        <v>0</v>
      </c>
      <c r="K18" s="55">
        <f t="shared" si="6"/>
        <v>0</v>
      </c>
      <c r="L18" s="77">
        <f t="shared" si="6"/>
        <v>0</v>
      </c>
    </row>
    <row r="19" spans="1:16" x14ac:dyDescent="0.25">
      <c r="C19" s="122"/>
      <c r="D19" s="44"/>
      <c r="E19" s="44"/>
      <c r="F19" s="44"/>
      <c r="G19" s="41"/>
      <c r="H19" s="44"/>
      <c r="I19" s="11"/>
      <c r="J19" s="17"/>
      <c r="K19" s="17"/>
      <c r="L19" s="11"/>
    </row>
    <row r="20" spans="1:16" x14ac:dyDescent="0.25">
      <c r="A20" s="53" t="s">
        <v>63</v>
      </c>
      <c r="B20" s="53"/>
      <c r="C20" s="124"/>
      <c r="D20" s="44"/>
      <c r="E20" s="44"/>
      <c r="F20" s="44"/>
      <c r="G20" s="41"/>
      <c r="H20" s="44"/>
      <c r="I20" s="11"/>
      <c r="J20" s="17"/>
      <c r="K20" s="17"/>
      <c r="L20" s="11"/>
    </row>
    <row r="21" spans="1:16" x14ac:dyDescent="0.25">
      <c r="A21" s="62" t="s">
        <v>29</v>
      </c>
      <c r="C21" s="125">
        <v>-610092353</v>
      </c>
      <c r="D21" s="134">
        <f>+'[3]May 2018 Combined'!H55</f>
        <v>176312018.71774679</v>
      </c>
      <c r="E21" s="134">
        <f>+'[3]June 2018 Combined'!G55</f>
        <v>246848637.4325532</v>
      </c>
      <c r="F21" s="134">
        <f>+'[3]July 2018 Combined'!F55</f>
        <v>314468889.20260006</v>
      </c>
      <c r="G21" s="218">
        <f>+'[3]August 2018 Combined'!F55</f>
        <v>278715744.91769993</v>
      </c>
      <c r="H21" s="93">
        <f>+'[3]September 2018 Combined'!F55</f>
        <v>257611249.98980001</v>
      </c>
      <c r="I21" s="215">
        <f>+'[3]October 2018 Combined'!F55</f>
        <v>186470302.09010002</v>
      </c>
      <c r="J21" s="210">
        <f>+'[1]Billed kWh Sales'!M39</f>
        <v>162972385</v>
      </c>
      <c r="K21" s="165">
        <f>+'[1]Billed kWh Sales'!N39</f>
        <v>237189711</v>
      </c>
      <c r="L21" s="96">
        <f>+'[1]Billed kWh Sales'!O39</f>
        <v>265262694</v>
      </c>
    </row>
    <row r="22" spans="1:16" x14ac:dyDescent="0.25">
      <c r="A22" s="62" t="s">
        <v>30</v>
      </c>
      <c r="C22" s="125">
        <v>-1223837246</v>
      </c>
      <c r="D22" s="134">
        <f>+'[3]May 2018 Combined'!H56</f>
        <v>452355031.48082322</v>
      </c>
      <c r="E22" s="134">
        <f>+'[3]June 2018 Combined'!G56</f>
        <v>382803899.96757686</v>
      </c>
      <c r="F22" s="134">
        <f>+'[3]July 2018 Combined'!F56</f>
        <v>450868978.15450001</v>
      </c>
      <c r="G22" s="218">
        <f>+'[3]August 2018 Combined'!F56</f>
        <v>445654704.38560003</v>
      </c>
      <c r="H22" s="93">
        <f>+'[3]September 2018 Combined'!F56</f>
        <v>425220866.30139995</v>
      </c>
      <c r="I22" s="215">
        <f>+'[3]October 2018 Combined'!F56</f>
        <v>422341488.7536999</v>
      </c>
      <c r="J22" s="210">
        <f>SUM('[1]Billed kWh Sales'!M40:M43)</f>
        <v>331844774</v>
      </c>
      <c r="K22" s="165">
        <f>SUM('[1]Billed kWh Sales'!N40:N43)</f>
        <v>360390088</v>
      </c>
      <c r="L22" s="96">
        <f>SUM('[1]Billed kWh Sales'!O40:O43)</f>
        <v>365487734</v>
      </c>
    </row>
    <row r="23" spans="1:16" x14ac:dyDescent="0.25">
      <c r="C23" s="122"/>
      <c r="D23" s="44"/>
      <c r="E23" s="44"/>
      <c r="F23" s="44"/>
      <c r="G23" s="41"/>
      <c r="H23" s="44"/>
      <c r="I23" s="11"/>
      <c r="J23" s="17"/>
      <c r="K23" s="17"/>
      <c r="L23" s="11"/>
    </row>
    <row r="24" spans="1:16" x14ac:dyDescent="0.25">
      <c r="A24" t="s">
        <v>40</v>
      </c>
      <c r="C24" s="122"/>
      <c r="D24" s="18"/>
      <c r="E24" s="18"/>
      <c r="F24" s="18"/>
      <c r="G24" s="114"/>
      <c r="H24" s="18"/>
      <c r="I24" s="11"/>
      <c r="J24" s="73"/>
      <c r="K24" s="73"/>
      <c r="L24" s="74"/>
      <c r="M24" s="79" t="s">
        <v>66</v>
      </c>
      <c r="N24" s="53"/>
    </row>
    <row r="25" spans="1:16" x14ac:dyDescent="0.25">
      <c r="A25" s="62" t="s">
        <v>29</v>
      </c>
      <c r="C25" s="120">
        <v>0</v>
      </c>
      <c r="D25" s="132">
        <f>ROUND('[3]May 2018 Combined'!H9+'[3]May 2018 Combined'!H14,2)</f>
        <v>0</v>
      </c>
      <c r="E25" s="132">
        <f>ROUND('[3]June 2018 Combined'!G9+'[3]June 2018 Combined'!G14,2)</f>
        <v>0</v>
      </c>
      <c r="F25" s="132">
        <f>ROUND('[3]July 2018 Combined'!F9+'[3]July 2018 Combined'!F14,2)</f>
        <v>0</v>
      </c>
      <c r="G25" s="219">
        <f>ROUND('[3]August 2018 Combined'!F9+'[3]August 2018 Combined'!F14,2)</f>
        <v>0</v>
      </c>
      <c r="H25" s="171">
        <f>ROUND('[3]September 2018 Combined'!F9+'[3]September 2018 Combined'!F14,2)</f>
        <v>0</v>
      </c>
      <c r="I25" s="214">
        <f>ROUND('[3]October 2018 Combined'!F9+'[3]October 2018 Combined'!F14,2)</f>
        <v>0</v>
      </c>
      <c r="J25" s="146">
        <f t="shared" ref="J25:L26" si="7">J21*$M25</f>
        <v>0</v>
      </c>
      <c r="K25" s="55">
        <f t="shared" si="7"/>
        <v>0</v>
      </c>
      <c r="L25" s="77">
        <f t="shared" si="7"/>
        <v>0</v>
      </c>
      <c r="M25" s="88">
        <v>0</v>
      </c>
      <c r="P25" s="185">
        <f>+M25+'PCR Cycle 2'!M25+'TDR Cycle 1'!M15+'TDR Cycle 2'!M15+EOR!M15</f>
        <v>4.2399999999999998E-3</v>
      </c>
    </row>
    <row r="26" spans="1:16" x14ac:dyDescent="0.25">
      <c r="A26" t="str">
        <f>A22</f>
        <v>Non-Residential</v>
      </c>
      <c r="C26" s="120">
        <v>122383.72</v>
      </c>
      <c r="D26" s="132">
        <f>ROUND('[3]May 2018 Combined'!H10+'[3]May 2018 Combined'!H15,2)</f>
        <v>-35405.129999999997</v>
      </c>
      <c r="E26" s="132">
        <f>ROUND('[3]June 2018 Combined'!G10+'[3]June 2018 Combined'!G15,2)</f>
        <v>-37833.68</v>
      </c>
      <c r="F26" s="132">
        <f>ROUND('[3]July 2018 Combined'!F10+'[3]July 2018 Combined'!F15,2)</f>
        <v>-45956.26</v>
      </c>
      <c r="G26" s="219">
        <f>ROUND('[3]August 2018 Combined'!F10+'[3]August 2018 Combined'!F15,2)</f>
        <v>-24490.29</v>
      </c>
      <c r="H26" s="171">
        <f>ROUND('[3]September 2018 Combined'!F10+'[3]September 2018 Combined'!F15,2)</f>
        <v>16551.87</v>
      </c>
      <c r="I26" s="214">
        <f>ROUND('[3]October 2018 Combined'!F10+'[3]October 2018 Combined'!F15,2)</f>
        <v>16806.62</v>
      </c>
      <c r="J26" s="146">
        <f t="shared" si="7"/>
        <v>13273.79096</v>
      </c>
      <c r="K26" s="55">
        <f t="shared" si="7"/>
        <v>14415.603520000001</v>
      </c>
      <c r="L26" s="77">
        <f t="shared" si="7"/>
        <v>14619.509360000002</v>
      </c>
      <c r="M26" s="88">
        <v>4.0000000000000003E-5</v>
      </c>
      <c r="P26" s="185">
        <f>+M26+'PCR Cycle 2'!M26+'TDR Cycle 1'!M16+'TDR Cycle 2'!M16+EOR!M16</f>
        <v>3.1300000000000004E-3</v>
      </c>
    </row>
    <row r="27" spans="1:16" x14ac:dyDescent="0.25">
      <c r="C27" s="83"/>
      <c r="D27" s="18"/>
      <c r="E27" s="18"/>
      <c r="F27" s="18"/>
      <c r="G27" s="114"/>
      <c r="H27" s="18"/>
      <c r="I27" s="11"/>
      <c r="J27" s="72"/>
      <c r="K27" s="72"/>
      <c r="L27" s="13"/>
      <c r="M27" s="4"/>
    </row>
    <row r="28" spans="1:16" ht="15.75" thickBot="1" x14ac:dyDescent="0.3">
      <c r="A28" t="s">
        <v>16</v>
      </c>
      <c r="C28" s="126">
        <v>-75.7</v>
      </c>
      <c r="D28" s="135">
        <v>-27.03</v>
      </c>
      <c r="E28" s="135">
        <v>73.08</v>
      </c>
      <c r="F28" s="136">
        <v>189.76</v>
      </c>
      <c r="G28" s="39">
        <v>287.55</v>
      </c>
      <c r="H28" s="145">
        <v>308.57</v>
      </c>
      <c r="I28" s="213">
        <v>270.17</v>
      </c>
      <c r="J28" s="211">
        <v>226.66</v>
      </c>
      <c r="K28" s="166">
        <v>210.07999999999998</v>
      </c>
      <c r="L28" s="100"/>
    </row>
    <row r="29" spans="1:16" x14ac:dyDescent="0.25">
      <c r="C29" s="122"/>
      <c r="D29" s="44"/>
      <c r="E29" s="44"/>
      <c r="F29" s="44"/>
      <c r="G29" s="41"/>
      <c r="H29" s="44"/>
      <c r="I29" s="11"/>
      <c r="J29" s="17"/>
      <c r="K29" s="17"/>
      <c r="L29" s="11"/>
    </row>
    <row r="30" spans="1:16" x14ac:dyDescent="0.25">
      <c r="A30" t="s">
        <v>68</v>
      </c>
      <c r="C30" s="122"/>
      <c r="D30" s="44"/>
      <c r="E30" s="44"/>
      <c r="F30" s="44"/>
      <c r="G30" s="41"/>
      <c r="H30" s="44"/>
      <c r="I30" s="11"/>
      <c r="J30" s="17"/>
      <c r="K30" s="17"/>
      <c r="L30" s="11"/>
    </row>
    <row r="31" spans="1:16" x14ac:dyDescent="0.25">
      <c r="A31" s="62" t="s">
        <v>29</v>
      </c>
      <c r="C31" s="54">
        <f t="shared" ref="C31:C32" si="8">C17-C25</f>
        <v>0</v>
      </c>
      <c r="D31" s="55">
        <f t="shared" ref="D31:I32" si="9">D17-D25</f>
        <v>0</v>
      </c>
      <c r="E31" s="55">
        <f t="shared" si="9"/>
        <v>0</v>
      </c>
      <c r="F31" s="131">
        <f t="shared" ref="F31:H31" si="10">F17-F25</f>
        <v>0</v>
      </c>
      <c r="G31" s="54">
        <f t="shared" si="10"/>
        <v>0</v>
      </c>
      <c r="H31" s="55">
        <f t="shared" si="10"/>
        <v>0</v>
      </c>
      <c r="I31" s="77">
        <f t="shared" si="9"/>
        <v>0</v>
      </c>
      <c r="J31" s="146">
        <f t="shared" ref="J31:K31" si="11">J17-J25</f>
        <v>0</v>
      </c>
      <c r="K31" s="55">
        <f t="shared" si="11"/>
        <v>0</v>
      </c>
      <c r="L31" s="65">
        <f t="shared" ref="L31" si="12">L17-L25</f>
        <v>0</v>
      </c>
    </row>
    <row r="32" spans="1:16" x14ac:dyDescent="0.25">
      <c r="A32" t="s">
        <v>30</v>
      </c>
      <c r="C32" s="54">
        <f t="shared" si="8"/>
        <v>-122383.72</v>
      </c>
      <c r="D32" s="55">
        <f t="shared" si="9"/>
        <v>35405.129999999997</v>
      </c>
      <c r="E32" s="55">
        <f t="shared" si="9"/>
        <v>37833.68</v>
      </c>
      <c r="F32" s="131">
        <f t="shared" ref="F32:H32" si="13">F18-F26</f>
        <v>45956.26</v>
      </c>
      <c r="G32" s="54">
        <f t="shared" si="13"/>
        <v>24490.29</v>
      </c>
      <c r="H32" s="55">
        <f t="shared" si="13"/>
        <v>-16551.87</v>
      </c>
      <c r="I32" s="77">
        <f t="shared" si="9"/>
        <v>-16806.62</v>
      </c>
      <c r="J32" s="146">
        <f t="shared" ref="J32:K32" si="14">J18-J26</f>
        <v>-13273.79096</v>
      </c>
      <c r="K32" s="55">
        <f t="shared" si="14"/>
        <v>-14415.603520000001</v>
      </c>
      <c r="L32" s="65">
        <f t="shared" ref="L32" si="15">L18-L26</f>
        <v>-14619.509360000002</v>
      </c>
    </row>
    <row r="33" spans="1:13" x14ac:dyDescent="0.25">
      <c r="A33" s="62"/>
      <c r="C33" s="122"/>
      <c r="D33" s="44"/>
      <c r="E33" s="44"/>
      <c r="F33" s="44"/>
      <c r="G33" s="41"/>
      <c r="H33" s="44"/>
      <c r="I33" s="11"/>
      <c r="J33" s="17"/>
      <c r="K33" s="17"/>
      <c r="L33" s="11"/>
    </row>
    <row r="34" spans="1:13" ht="15.75" thickBot="1" x14ac:dyDescent="0.3">
      <c r="A34" s="62" t="s">
        <v>69</v>
      </c>
      <c r="C34" s="127"/>
      <c r="D34" s="44"/>
      <c r="E34" s="44"/>
      <c r="F34" s="44"/>
      <c r="G34" s="41"/>
      <c r="H34" s="44"/>
      <c r="I34" s="11"/>
      <c r="J34" s="17"/>
      <c r="K34" s="17"/>
      <c r="L34" s="11"/>
    </row>
    <row r="35" spans="1:13" x14ac:dyDescent="0.25">
      <c r="A35" s="62" t="s">
        <v>29</v>
      </c>
      <c r="B35" s="139">
        <v>0</v>
      </c>
      <c r="C35" s="55">
        <f>B35+C31+B40</f>
        <v>0</v>
      </c>
      <c r="D35" s="55">
        <f t="shared" ref="D35" si="16">C35+D31+C40</f>
        <v>0</v>
      </c>
      <c r="E35" s="55">
        <f t="shared" ref="E35:I36" si="17">D35+E31+D40</f>
        <v>0</v>
      </c>
      <c r="F35" s="131">
        <f t="shared" si="17"/>
        <v>0</v>
      </c>
      <c r="G35" s="54">
        <f t="shared" si="17"/>
        <v>0</v>
      </c>
      <c r="H35" s="55">
        <f t="shared" si="17"/>
        <v>0</v>
      </c>
      <c r="I35" s="77">
        <f t="shared" si="17"/>
        <v>0</v>
      </c>
      <c r="J35" s="146">
        <f t="shared" ref="J35:J36" si="18">I35+J31+I40</f>
        <v>0</v>
      </c>
      <c r="K35" s="55">
        <f t="shared" ref="K35:L36" si="19">J35+K31+J40</f>
        <v>0</v>
      </c>
      <c r="L35" s="65">
        <f t="shared" si="19"/>
        <v>0</v>
      </c>
    </row>
    <row r="36" spans="1:13" ht="15.75" thickBot="1" x14ac:dyDescent="0.3">
      <c r="A36" s="62" t="s">
        <v>30</v>
      </c>
      <c r="B36" s="140">
        <v>94606.75</v>
      </c>
      <c r="C36" s="55">
        <f>B36+C32+B41</f>
        <v>-27776.97</v>
      </c>
      <c r="D36" s="55">
        <f t="shared" ref="D36" si="20">C36+D32+C41</f>
        <v>7552.4599999999964</v>
      </c>
      <c r="E36" s="55">
        <f t="shared" si="17"/>
        <v>45359.11</v>
      </c>
      <c r="F36" s="131">
        <f t="shared" si="17"/>
        <v>91388.45</v>
      </c>
      <c r="G36" s="54">
        <f t="shared" si="17"/>
        <v>116068.49999999999</v>
      </c>
      <c r="H36" s="55">
        <f t="shared" si="17"/>
        <v>99804.18</v>
      </c>
      <c r="I36" s="77">
        <f t="shared" si="17"/>
        <v>83306.13</v>
      </c>
      <c r="J36" s="146">
        <f t="shared" si="18"/>
        <v>70302.519039999999</v>
      </c>
      <c r="K36" s="55">
        <f t="shared" si="19"/>
        <v>56113.575519999999</v>
      </c>
      <c r="L36" s="65">
        <f t="shared" si="19"/>
        <v>41704.146159999997</v>
      </c>
    </row>
    <row r="37" spans="1:13" x14ac:dyDescent="0.25">
      <c r="C37" s="122"/>
      <c r="D37" s="44"/>
      <c r="E37" s="44"/>
      <c r="F37" s="44"/>
      <c r="G37" s="41"/>
      <c r="H37" s="44"/>
      <c r="I37" s="11"/>
      <c r="J37" s="17"/>
      <c r="K37" s="17"/>
      <c r="L37" s="11"/>
    </row>
    <row r="38" spans="1:13" s="62" customFormat="1" x14ac:dyDescent="0.25">
      <c r="A38" s="53" t="s">
        <v>65</v>
      </c>
      <c r="B38" s="53"/>
      <c r="C38" s="127"/>
      <c r="D38" s="226">
        <f>+'[4]May 2018'!$F$51</f>
        <v>2.6633099999999999E-3</v>
      </c>
      <c r="E38" s="102">
        <f>+'[4]June 2018'!$F$51</f>
        <v>2.7637299999999998E-3</v>
      </c>
      <c r="F38" s="102">
        <f>+'[4]July 2018'!$F$51</f>
        <v>2.7738900000000002E-3</v>
      </c>
      <c r="G38" s="103">
        <f>+'[4]Aug 2018'!$F$51</f>
        <v>2.76961E-3</v>
      </c>
      <c r="H38" s="102">
        <f>+'[4]Sept 2018'!$F$51</f>
        <v>2.8550200000000002E-3</v>
      </c>
      <c r="I38" s="115">
        <f>+'[4]Oct 2018'!$F$51</f>
        <v>2.9459999999999998E-3</v>
      </c>
      <c r="J38" s="102">
        <f>+I38</f>
        <v>2.9459999999999998E-3</v>
      </c>
      <c r="K38" s="102">
        <f>+J38</f>
        <v>2.9459999999999998E-3</v>
      </c>
      <c r="L38" s="115"/>
    </row>
    <row r="39" spans="1:13" x14ac:dyDescent="0.25">
      <c r="A39" s="53" t="s">
        <v>44</v>
      </c>
      <c r="B39" s="53"/>
      <c r="C39" s="122"/>
      <c r="D39" s="44"/>
      <c r="E39" s="44"/>
      <c r="F39" s="44"/>
      <c r="G39" s="41"/>
      <c r="H39" s="44"/>
      <c r="I39" s="11"/>
      <c r="J39" s="17"/>
      <c r="K39" s="17"/>
      <c r="L39" s="11"/>
      <c r="M39" s="87"/>
    </row>
    <row r="40" spans="1:13" x14ac:dyDescent="0.25">
      <c r="A40" s="62" t="s">
        <v>29</v>
      </c>
      <c r="C40" s="54">
        <f>(23.44*0)-0</f>
        <v>0</v>
      </c>
      <c r="D40" s="55">
        <f t="shared" ref="D40" si="21">ROUND((C35+C40+D31/2)*D$38,2)</f>
        <v>0</v>
      </c>
      <c r="E40" s="55">
        <f t="shared" ref="E40:I41" si="22">ROUND((D35+D40+E31/2)*E$38,2)</f>
        <v>0</v>
      </c>
      <c r="F40" s="131">
        <f t="shared" si="22"/>
        <v>0</v>
      </c>
      <c r="G40" s="224">
        <f>ROUND((F35+F40+G31/2)*G$38,2)*0</f>
        <v>0</v>
      </c>
      <c r="H40" s="146">
        <f t="shared" si="22"/>
        <v>0</v>
      </c>
      <c r="I40" s="65">
        <f t="shared" si="22"/>
        <v>0</v>
      </c>
      <c r="J40" s="146">
        <f t="shared" ref="J40:J41" si="23">ROUND((I35+I40+J31/2)*J$38,2)</f>
        <v>0</v>
      </c>
      <c r="K40" s="146">
        <f>ROUND((J35+J40+K31/2)*K$38,2)</f>
        <v>0</v>
      </c>
      <c r="L40" s="65"/>
    </row>
    <row r="41" spans="1:13" ht="15.75" thickBot="1" x14ac:dyDescent="0.3">
      <c r="A41" t="s">
        <v>30</v>
      </c>
      <c r="C41" s="137">
        <v>-75.7</v>
      </c>
      <c r="D41" s="55">
        <f>ROUND((C36+C41+D32/2)*D$38,2)</f>
        <v>-27.03</v>
      </c>
      <c r="E41" s="55">
        <f t="shared" si="22"/>
        <v>73.08</v>
      </c>
      <c r="F41" s="131">
        <f t="shared" si="22"/>
        <v>189.76</v>
      </c>
      <c r="G41" s="54">
        <f>ROUND((F36+F41+G32/2)*G$38,2)</f>
        <v>287.55</v>
      </c>
      <c r="H41" s="146">
        <f t="shared" si="22"/>
        <v>308.57</v>
      </c>
      <c r="I41" s="65">
        <f t="shared" si="22"/>
        <v>270.18</v>
      </c>
      <c r="J41" s="146">
        <f t="shared" si="23"/>
        <v>226.66</v>
      </c>
      <c r="K41" s="146">
        <f>ROUND((J36+J41+K32/2)*K$38,2)+23.54</f>
        <v>210.07999999999998</v>
      </c>
      <c r="L41" s="65"/>
    </row>
    <row r="42" spans="1:13" ht="16.5" thickTop="1" thickBot="1" x14ac:dyDescent="0.3">
      <c r="A42" s="70" t="s">
        <v>25</v>
      </c>
      <c r="B42" s="70"/>
      <c r="C42" s="138">
        <v>0</v>
      </c>
      <c r="D42" s="46">
        <f t="shared" ref="D42:I42" si="24">SUM(D40:D41)+SUM(D35:D36)-D45</f>
        <v>0</v>
      </c>
      <c r="E42" s="46">
        <f t="shared" si="24"/>
        <v>0</v>
      </c>
      <c r="F42" s="66">
        <f t="shared" ref="F42:H42" si="25">SUM(F40:F41)+SUM(F35:F36)-F45</f>
        <v>0</v>
      </c>
      <c r="G42" s="147">
        <f t="shared" si="25"/>
        <v>0</v>
      </c>
      <c r="H42" s="46">
        <f t="shared" si="25"/>
        <v>0</v>
      </c>
      <c r="I42" s="78">
        <f t="shared" si="24"/>
        <v>0</v>
      </c>
      <c r="J42" s="195">
        <f t="shared" ref="J42:K42" si="26">SUM(J40:J41)+SUM(J35:J36)-J45</f>
        <v>0</v>
      </c>
      <c r="K42" s="46">
        <f t="shared" si="26"/>
        <v>0</v>
      </c>
      <c r="L42" s="119">
        <f t="shared" ref="L42" si="27">SUM(L40:L41)+SUM(L35:L36)-L45</f>
        <v>0</v>
      </c>
    </row>
    <row r="43" spans="1:13" ht="16.5" thickTop="1" thickBot="1" x14ac:dyDescent="0.3">
      <c r="A43" s="70" t="s">
        <v>26</v>
      </c>
      <c r="B43" s="70"/>
      <c r="C43" s="130">
        <v>0</v>
      </c>
      <c r="D43" s="46">
        <f t="shared" ref="D43:I43" si="28">SUM(D40:D41)-D28</f>
        <v>0</v>
      </c>
      <c r="E43" s="46">
        <f t="shared" si="28"/>
        <v>0</v>
      </c>
      <c r="F43" s="66">
        <f t="shared" ref="F43:H43" si="29">SUM(F40:F41)-F28</f>
        <v>0</v>
      </c>
      <c r="G43" s="67">
        <f t="shared" si="29"/>
        <v>0</v>
      </c>
      <c r="H43" s="46">
        <f t="shared" si="29"/>
        <v>0</v>
      </c>
      <c r="I43" s="78">
        <f t="shared" si="28"/>
        <v>9.9999999999909051E-3</v>
      </c>
      <c r="J43" s="195">
        <f t="shared" ref="J43:K43" si="30">SUM(J40:J41)-J28</f>
        <v>0</v>
      </c>
      <c r="K43" s="46">
        <f t="shared" si="30"/>
        <v>0</v>
      </c>
      <c r="L43" s="119">
        <f t="shared" ref="L43" si="31">SUM(L40:L41)-L28</f>
        <v>0</v>
      </c>
    </row>
    <row r="44" spans="1:13" ht="16.5" thickTop="1" thickBot="1" x14ac:dyDescent="0.3">
      <c r="C44" s="122"/>
      <c r="D44" s="17"/>
      <c r="E44" s="17"/>
      <c r="F44" s="17"/>
      <c r="G44" s="10"/>
      <c r="H44" s="17"/>
      <c r="I44" s="11"/>
      <c r="J44" s="17"/>
      <c r="K44" s="17"/>
      <c r="L44" s="11"/>
    </row>
    <row r="45" spans="1:13" ht="15.75" thickBot="1" x14ac:dyDescent="0.3">
      <c r="A45" t="s">
        <v>42</v>
      </c>
      <c r="B45" s="142">
        <f>+B35+B36</f>
        <v>94606.75</v>
      </c>
      <c r="C45" s="54">
        <f t="shared" ref="C45:I45" si="32">(SUM(C10:C14)-SUM(C25:C26))+SUM(C40:C41)+B45</f>
        <v>-27852.67</v>
      </c>
      <c r="D45" s="55">
        <f t="shared" si="32"/>
        <v>7525.43</v>
      </c>
      <c r="E45" s="55">
        <f t="shared" si="32"/>
        <v>45432.19</v>
      </c>
      <c r="F45" s="131">
        <f t="shared" si="32"/>
        <v>91578.21</v>
      </c>
      <c r="G45" s="54">
        <f t="shared" si="32"/>
        <v>116356.05</v>
      </c>
      <c r="H45" s="55">
        <f t="shared" si="32"/>
        <v>100112.75</v>
      </c>
      <c r="I45" s="77">
        <f t="shared" si="32"/>
        <v>83576.31</v>
      </c>
      <c r="J45" s="146">
        <f t="shared" ref="J45" si="33">(SUM(J10:J14)-SUM(J25:J26))+SUM(J40:J41)+I45</f>
        <v>70529.179040000003</v>
      </c>
      <c r="K45" s="55">
        <f t="shared" ref="K45:L45" si="34">(SUM(K10:K14)-SUM(K25:K26))+SUM(K40:K41)+J45</f>
        <v>56323.65552</v>
      </c>
      <c r="L45" s="77">
        <f t="shared" si="34"/>
        <v>41704.146159999997</v>
      </c>
    </row>
    <row r="46" spans="1:13" x14ac:dyDescent="0.25">
      <c r="C46" s="143"/>
      <c r="D46" s="72"/>
      <c r="E46" s="19"/>
      <c r="F46" s="72"/>
      <c r="G46" s="12"/>
      <c r="H46" s="72"/>
      <c r="I46" s="11"/>
      <c r="J46" s="17"/>
      <c r="K46" s="17"/>
      <c r="L46" s="11"/>
    </row>
    <row r="47" spans="1:13" ht="15.75" thickBot="1" x14ac:dyDescent="0.3">
      <c r="A47" s="62"/>
      <c r="B47" s="17"/>
      <c r="C47" s="57"/>
      <c r="D47" s="58"/>
      <c r="E47" s="58"/>
      <c r="F47" s="58"/>
      <c r="G47" s="57"/>
      <c r="H47" s="58"/>
      <c r="I47" s="59"/>
      <c r="J47" s="58"/>
      <c r="K47" s="58"/>
      <c r="L47" s="59"/>
    </row>
    <row r="49" spans="1:14" x14ac:dyDescent="0.25">
      <c r="A49" s="85" t="s">
        <v>13</v>
      </c>
      <c r="B49" s="85"/>
      <c r="C49" s="85"/>
      <c r="D49" s="60"/>
      <c r="E49" s="60"/>
      <c r="I49" s="60"/>
      <c r="M49" s="60"/>
      <c r="N49" s="60"/>
    </row>
    <row r="50" spans="1:14" x14ac:dyDescent="0.25">
      <c r="A50" s="235" t="s">
        <v>124</v>
      </c>
      <c r="B50" s="235"/>
      <c r="C50" s="235"/>
      <c r="D50" s="235"/>
      <c r="E50" s="235"/>
      <c r="F50" s="235"/>
      <c r="G50" s="235"/>
      <c r="H50" s="235"/>
      <c r="I50" s="235"/>
      <c r="J50" s="163"/>
      <c r="K50" s="163"/>
      <c r="L50" s="113"/>
      <c r="M50" s="60"/>
      <c r="N50" s="60"/>
    </row>
    <row r="51" spans="1:14" ht="27" customHeight="1" x14ac:dyDescent="0.25">
      <c r="A51" s="235" t="s">
        <v>135</v>
      </c>
      <c r="B51" s="235"/>
      <c r="C51" s="235"/>
      <c r="D51" s="235"/>
      <c r="E51" s="235"/>
      <c r="F51" s="235"/>
      <c r="G51" s="235"/>
      <c r="H51" s="235"/>
      <c r="I51" s="235"/>
      <c r="J51" s="163"/>
      <c r="K51" s="163"/>
      <c r="L51" s="113"/>
      <c r="M51" s="60"/>
      <c r="N51" s="60"/>
    </row>
    <row r="52" spans="1:14" ht="31.5" customHeight="1" x14ac:dyDescent="0.25">
      <c r="A52" s="235" t="s">
        <v>136</v>
      </c>
      <c r="B52" s="235"/>
      <c r="C52" s="235"/>
      <c r="D52" s="235"/>
      <c r="E52" s="235"/>
      <c r="F52" s="235"/>
      <c r="G52" s="235"/>
      <c r="H52" s="235"/>
      <c r="I52" s="235"/>
      <c r="J52" s="163"/>
      <c r="K52" s="163"/>
      <c r="L52" s="113"/>
      <c r="M52" s="60"/>
      <c r="N52" s="60"/>
    </row>
    <row r="53" spans="1:14" x14ac:dyDescent="0.25">
      <c r="A53" s="3" t="s">
        <v>37</v>
      </c>
      <c r="B53" s="3"/>
      <c r="C53" s="3"/>
      <c r="D53" s="60"/>
      <c r="E53" s="60"/>
      <c r="I53" s="4"/>
      <c r="M53" s="60"/>
      <c r="N53" s="60"/>
    </row>
    <row r="54" spans="1:14" s="62" customFormat="1" x14ac:dyDescent="0.25">
      <c r="A54" s="79" t="s">
        <v>137</v>
      </c>
      <c r="B54" s="3"/>
      <c r="C54" s="3"/>
      <c r="I54" s="4"/>
    </row>
    <row r="55" spans="1:14" x14ac:dyDescent="0.25">
      <c r="A55" s="3" t="s">
        <v>67</v>
      </c>
      <c r="B55" s="3"/>
      <c r="C55" s="3"/>
      <c r="D55" s="60"/>
      <c r="E55" s="60"/>
      <c r="I55" s="4"/>
      <c r="M55" s="60"/>
      <c r="N55" s="60"/>
    </row>
    <row r="56" spans="1:14" x14ac:dyDescent="0.25">
      <c r="C56" s="63"/>
      <c r="D56" s="60"/>
      <c r="E56" s="60"/>
      <c r="I56" s="60"/>
      <c r="M56" s="60"/>
      <c r="N56" s="60"/>
    </row>
    <row r="57" spans="1:14" x14ac:dyDescent="0.25">
      <c r="C57" s="63"/>
      <c r="D57" s="60"/>
      <c r="E57" s="60"/>
      <c r="I57" s="60"/>
      <c r="M57" s="60"/>
      <c r="N57" s="60"/>
    </row>
    <row r="58" spans="1:14" x14ac:dyDescent="0.25">
      <c r="C58" s="63"/>
      <c r="D58" s="60"/>
      <c r="E58" s="60"/>
      <c r="G58" s="60"/>
      <c r="I58" s="62"/>
      <c r="M58" s="60"/>
      <c r="N58" s="60"/>
    </row>
    <row r="59" spans="1:14" x14ac:dyDescent="0.25">
      <c r="D59" s="225"/>
      <c r="E59" s="225"/>
      <c r="F59" s="225"/>
      <c r="G59" s="225"/>
      <c r="H59" s="225"/>
      <c r="I59" s="225"/>
      <c r="M59" s="60"/>
      <c r="N59" s="60"/>
    </row>
    <row r="60" spans="1:14" x14ac:dyDescent="0.25">
      <c r="D60" s="60"/>
      <c r="E60" s="60"/>
      <c r="I60" s="60"/>
      <c r="M60" s="60"/>
      <c r="N60" s="60"/>
    </row>
    <row r="61" spans="1:14" x14ac:dyDescent="0.25">
      <c r="D61" s="60"/>
      <c r="E61" s="60"/>
      <c r="I61" s="60"/>
      <c r="M61" s="60"/>
      <c r="N61" s="60"/>
    </row>
    <row r="62" spans="1:14" x14ac:dyDescent="0.25">
      <c r="D62" s="60"/>
      <c r="E62" s="60"/>
      <c r="I62" s="60"/>
      <c r="M62" s="60"/>
      <c r="N62" s="60"/>
    </row>
    <row r="63" spans="1:14" x14ac:dyDescent="0.25">
      <c r="D63" s="60"/>
      <c r="E63" s="60"/>
      <c r="I63" s="60"/>
      <c r="M63" s="60"/>
      <c r="N63" s="60"/>
    </row>
    <row r="65" spans="13:13" x14ac:dyDescent="0.25">
      <c r="M65" s="8"/>
    </row>
  </sheetData>
  <mergeCells count="4">
    <mergeCell ref="A50:I50"/>
    <mergeCell ref="A51:I51"/>
    <mergeCell ref="A52:I52"/>
    <mergeCell ref="D8:F8"/>
  </mergeCells>
  <pageMargins left="0.2" right="0.2" top="0.75" bottom="0.25" header="0.3" footer="0.3"/>
  <pageSetup scale="56" orientation="landscape" r:id="rId1"/>
  <headerFooter>
    <oddHeader>&amp;C&amp;F &amp;A</oddHeader>
    <oddFooter>&amp;R&amp;1#&amp;"Calibri"&amp;10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5"/>
  <sheetViews>
    <sheetView workbookViewId="0">
      <pane xSplit="2" ySplit="9" topLeftCell="J10" activePane="bottomRight" state="frozen"/>
      <selection activeCell="J12" sqref="J12"/>
      <selection pane="topRight" activeCell="J12" sqref="J12"/>
      <selection pane="bottomLeft" activeCell="J12" sqref="J12"/>
      <selection pane="bottomRight" activeCell="O1" sqref="O1:O1048576"/>
    </sheetView>
  </sheetViews>
  <sheetFormatPr defaultRowHeight="15" x14ac:dyDescent="0.25"/>
  <cols>
    <col min="1" max="1" width="54.5703125" style="62" customWidth="1"/>
    <col min="2" max="2" width="14.7109375" style="62" customWidth="1"/>
    <col min="3" max="3" width="15" style="62" customWidth="1"/>
    <col min="4" max="4" width="15.28515625" style="62" customWidth="1"/>
    <col min="5" max="5" width="15.85546875" style="62" customWidth="1"/>
    <col min="6" max="6" width="17.5703125" style="62" customWidth="1"/>
    <col min="7" max="8" width="13.28515625" style="62" customWidth="1"/>
    <col min="9" max="9" width="15.7109375" style="62" customWidth="1"/>
    <col min="10" max="11" width="12.5703125" style="62" bestFit="1" customWidth="1"/>
    <col min="12" max="12" width="14.42578125" style="62" customWidth="1"/>
    <col min="13" max="13" width="15" style="62" bestFit="1" customWidth="1"/>
    <col min="14" max="14" width="16.28515625" style="62" bestFit="1" customWidth="1"/>
    <col min="15" max="15" width="16.140625" style="62" customWidth="1"/>
    <col min="16" max="16" width="17.28515625" style="62" bestFit="1" customWidth="1"/>
    <col min="17" max="17" width="17.42578125" style="62" customWidth="1"/>
    <col min="18" max="18" width="15.5703125" style="62" customWidth="1"/>
    <col min="19" max="19" width="13" style="62" customWidth="1"/>
    <col min="20" max="20" width="9.140625" style="62"/>
    <col min="21" max="21" width="14.28515625" style="62" bestFit="1" customWidth="1"/>
    <col min="22" max="16384" width="9.140625" style="62"/>
  </cols>
  <sheetData>
    <row r="1" spans="1:34" x14ac:dyDescent="0.25">
      <c r="A1" s="3" t="str">
        <f>+PPC!A1</f>
        <v>Kansas City Power &amp; Light Company - DSIM Rider Update Filed 11/30/2018</v>
      </c>
      <c r="B1" s="3"/>
      <c r="C1" s="3"/>
      <c r="H1" s="62" t="s">
        <v>122</v>
      </c>
    </row>
    <row r="2" spans="1:34" x14ac:dyDescent="0.25">
      <c r="D2" s="3" t="s">
        <v>81</v>
      </c>
    </row>
    <row r="3" spans="1:34" ht="30" x14ac:dyDescent="0.25">
      <c r="D3" s="64" t="s">
        <v>62</v>
      </c>
      <c r="E3" s="64" t="s">
        <v>61</v>
      </c>
      <c r="F3" s="86" t="s">
        <v>2</v>
      </c>
      <c r="G3" s="64" t="s">
        <v>3</v>
      </c>
      <c r="H3" s="86" t="s">
        <v>71</v>
      </c>
      <c r="I3" s="64" t="s">
        <v>11</v>
      </c>
      <c r="J3" s="64" t="s">
        <v>4</v>
      </c>
    </row>
    <row r="4" spans="1:34" x14ac:dyDescent="0.25">
      <c r="A4" s="62" t="s">
        <v>29</v>
      </c>
      <c r="D4" s="24">
        <f>SUM(C25:L25)</f>
        <v>3933303.2117000003</v>
      </c>
      <c r="E4" s="161">
        <f>SUM(C21:L21)</f>
        <v>1515759204.7469001</v>
      </c>
      <c r="F4" s="24">
        <f>SUM(C17:K17)</f>
        <v>2707262.1599999997</v>
      </c>
      <c r="G4" s="24">
        <f>F4-D4</f>
        <v>-1226041.0517000007</v>
      </c>
      <c r="H4" s="24">
        <f>+B35</f>
        <v>14578.98</v>
      </c>
      <c r="I4" s="24">
        <f>SUM(C40:K40)</f>
        <v>-8091.18</v>
      </c>
      <c r="J4" s="36">
        <f>SUM(G4:I4)</f>
        <v>-1219553.2517000006</v>
      </c>
      <c r="K4" s="63">
        <f>+J4-L35</f>
        <v>0</v>
      </c>
    </row>
    <row r="5" spans="1:34" ht="15.75" thickBot="1" x14ac:dyDescent="0.3">
      <c r="A5" s="62" t="s">
        <v>30</v>
      </c>
      <c r="D5" s="24">
        <f>SUM(C26:L26)</f>
        <v>4684972.7485600002</v>
      </c>
      <c r="E5" s="161">
        <f>SUM(C22:L22)</f>
        <v>2315000397.2607002</v>
      </c>
      <c r="F5" s="24">
        <f>SUM(C18:K18)</f>
        <v>5109689.76</v>
      </c>
      <c r="G5" s="24">
        <f>F5-D5</f>
        <v>424717.01143999957</v>
      </c>
      <c r="H5" s="24">
        <f>+B36</f>
        <v>-460484.1</v>
      </c>
      <c r="I5" s="24">
        <f>SUM(C41:K41)</f>
        <v>-1050.8500000000004</v>
      </c>
      <c r="J5" s="36">
        <f>SUM(G5:I5)</f>
        <v>-36817.93856000041</v>
      </c>
      <c r="K5" s="63">
        <f>+J5-L36</f>
        <v>-3.4924596548080444E-10</v>
      </c>
    </row>
    <row r="6" spans="1:34" ht="16.5" thickTop="1" thickBot="1" x14ac:dyDescent="0.3">
      <c r="D6" s="40">
        <f t="shared" ref="D6" si="0">SUM(D4:D5)</f>
        <v>8618275.9602600001</v>
      </c>
      <c r="E6" s="162">
        <f t="shared" ref="E6:H6" si="1">SUM(E4:E5)</f>
        <v>3830759602.0076003</v>
      </c>
      <c r="F6" s="40">
        <f t="shared" si="1"/>
        <v>7816951.9199999999</v>
      </c>
      <c r="G6" s="40">
        <f t="shared" si="1"/>
        <v>-801324.04026000109</v>
      </c>
      <c r="H6" s="40">
        <f t="shared" si="1"/>
        <v>-445905.12</v>
      </c>
      <c r="I6" s="94">
        <f>SUM(I4:I5)</f>
        <v>-9142.0300000000007</v>
      </c>
      <c r="J6" s="40">
        <f>SUM(J4:J5)</f>
        <v>-1256371.190260001</v>
      </c>
    </row>
    <row r="7" spans="1:34" ht="16.5" thickTop="1" thickBot="1" x14ac:dyDescent="0.3"/>
    <row r="8" spans="1:34" ht="75.75" thickBot="1" x14ac:dyDescent="0.3">
      <c r="B8" s="141" t="str">
        <f>+'PCR Cycle 1'!B8</f>
        <v>Cumulative Over/Under Carryover From 06/01/2018 Filing</v>
      </c>
      <c r="C8" s="179" t="str">
        <f>+'PCR Cycle 1'!C8</f>
        <v>Reverse May-18 - June-18  Forecast From 06/01/2018 Filing</v>
      </c>
      <c r="D8" s="236" t="s">
        <v>39</v>
      </c>
      <c r="E8" s="236"/>
      <c r="F8" s="237"/>
      <c r="G8" s="231" t="s">
        <v>39</v>
      </c>
      <c r="H8" s="232"/>
      <c r="I8" s="233"/>
      <c r="J8" s="238" t="s">
        <v>9</v>
      </c>
      <c r="K8" s="239"/>
      <c r="L8" s="240"/>
    </row>
    <row r="9" spans="1:34" x14ac:dyDescent="0.25">
      <c r="A9" s="62" t="s">
        <v>38</v>
      </c>
      <c r="C9" s="14"/>
      <c r="D9" s="20">
        <f>+'PCR Cycle 1'!D9</f>
        <v>43251</v>
      </c>
      <c r="E9" s="20">
        <f t="shared" ref="E9:L9" si="2">EOMONTH(D9,1)</f>
        <v>43281</v>
      </c>
      <c r="F9" s="20">
        <f t="shared" si="2"/>
        <v>43312</v>
      </c>
      <c r="G9" s="14">
        <f t="shared" si="2"/>
        <v>43343</v>
      </c>
      <c r="H9" s="20">
        <f t="shared" si="2"/>
        <v>43373</v>
      </c>
      <c r="I9" s="15">
        <f t="shared" si="2"/>
        <v>43404</v>
      </c>
      <c r="J9" s="20">
        <f t="shared" si="2"/>
        <v>43434</v>
      </c>
      <c r="K9" s="20">
        <f t="shared" si="2"/>
        <v>43465</v>
      </c>
      <c r="L9" s="118">
        <f t="shared" si="2"/>
        <v>43496</v>
      </c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A10" s="62" t="s">
        <v>29</v>
      </c>
      <c r="C10" s="120">
        <v>-689407.85000000009</v>
      </c>
      <c r="D10" s="132">
        <f>ROUND([5]Pivot!C26,2)</f>
        <v>311757.67</v>
      </c>
      <c r="E10" s="132">
        <f>ROUND([5]Pivot!D26,2)</f>
        <v>436020.66</v>
      </c>
      <c r="F10" s="133">
        <f>ROUND([5]Pivot!E26,2)</f>
        <v>353801.24</v>
      </c>
      <c r="G10" s="16">
        <f>ROUND([5]Pivot!F26,2)</f>
        <v>226654.36</v>
      </c>
      <c r="H10" s="71">
        <f>ROUND([5]Pivot!G26,2)</f>
        <v>325006.3</v>
      </c>
      <c r="I10" s="196">
        <f>ROUND([5]Pivot!H26,2)</f>
        <v>534818.55000000005</v>
      </c>
      <c r="J10" s="209">
        <f>ROUND('[2]Program Costs - KCP&amp;L'!AT153,2)</f>
        <v>552073.6</v>
      </c>
      <c r="K10" s="164">
        <f>ROUND('[2]Program Costs - KCP&amp;L'!AU153,2)</f>
        <v>208128.54</v>
      </c>
      <c r="L10" s="95"/>
    </row>
    <row r="11" spans="1:34" x14ac:dyDescent="0.25">
      <c r="A11" s="62" t="s">
        <v>30</v>
      </c>
      <c r="C11" s="120">
        <v>-1398842.2799999998</v>
      </c>
      <c r="D11" s="132">
        <f>ROUND([5]Pivot!C27,2)</f>
        <v>542126.28</v>
      </c>
      <c r="E11" s="132">
        <f>ROUND([5]Pivot!D27,2)</f>
        <v>602205.18999999994</v>
      </c>
      <c r="F11" s="133">
        <f>ROUND([5]Pivot!E27,2)</f>
        <v>649116.42000000004</v>
      </c>
      <c r="G11" s="16">
        <f>ROUND([5]Pivot!F27,2)</f>
        <v>634306.64</v>
      </c>
      <c r="H11" s="71">
        <f>ROUND([5]Pivot!G27,2)</f>
        <v>742662.43</v>
      </c>
      <c r="I11" s="196">
        <f>ROUND([5]Pivot!H27,2)</f>
        <v>597643.98</v>
      </c>
      <c r="J11" s="209">
        <f>ROUND('[2]Program Costs - KCP&amp;L'!AT154,2)</f>
        <v>1180351.17</v>
      </c>
      <c r="K11" s="164">
        <f>ROUND('[2]Program Costs - KCP&amp;L'!AU154,2)</f>
        <v>1111710.8400000001</v>
      </c>
      <c r="L11" s="95"/>
      <c r="M11" s="79" t="s">
        <v>32</v>
      </c>
    </row>
    <row r="12" spans="1:34" x14ac:dyDescent="0.25">
      <c r="A12" s="62" t="s">
        <v>0</v>
      </c>
      <c r="C12" s="120">
        <v>-187603.39</v>
      </c>
      <c r="D12" s="132">
        <f>ROUND([5]Pivot!C28,2)</f>
        <v>15621.27</v>
      </c>
      <c r="E12" s="132">
        <f>ROUND([5]Pivot!D28,2)</f>
        <v>66932.100000000006</v>
      </c>
      <c r="F12" s="133">
        <f>ROUND([5]Pivot!E28,2)</f>
        <v>39066.959999999999</v>
      </c>
      <c r="G12" s="16">
        <f>ROUND([5]Pivot!F28,2)</f>
        <v>234135.16</v>
      </c>
      <c r="H12" s="71">
        <f>ROUND([5]Pivot!G28,2)</f>
        <v>193625.96</v>
      </c>
      <c r="I12" s="196">
        <f>ROUND([5]Pivot!H28,2)</f>
        <v>147959.04999999999</v>
      </c>
      <c r="J12" s="209">
        <f>ROUND('[2]Program Costs - KCP&amp;L'!AT155,2)</f>
        <v>123898.36</v>
      </c>
      <c r="K12" s="164">
        <f>ROUND('[2]Program Costs - KCP&amp;L'!AU155,2)</f>
        <v>141332.22</v>
      </c>
      <c r="L12" s="95"/>
      <c r="M12" s="89">
        <v>0.5</v>
      </c>
    </row>
    <row r="13" spans="1:34" x14ac:dyDescent="0.25">
      <c r="A13" s="62" t="s">
        <v>1</v>
      </c>
      <c r="C13" s="120">
        <v>0</v>
      </c>
      <c r="D13" s="132">
        <f>ROUND([5]Pivot!C29,2)</f>
        <v>0</v>
      </c>
      <c r="E13" s="132">
        <f>ROUND([5]Pivot!D29,2)</f>
        <v>0</v>
      </c>
      <c r="F13" s="133">
        <f>ROUND([5]Pivot!E29,2)</f>
        <v>43700</v>
      </c>
      <c r="G13" s="16">
        <f>ROUND([5]Pivot!F29,2)</f>
        <v>2798.6</v>
      </c>
      <c r="H13" s="71">
        <f>ROUND([5]Pivot!G29,2)</f>
        <v>17829.64</v>
      </c>
      <c r="I13" s="196">
        <f>ROUND([5]Pivot!H29,2)</f>
        <v>57522.25</v>
      </c>
      <c r="J13" s="209">
        <f>ROUND('[2]Program Costs - KCP&amp;L'!AT156,2)</f>
        <v>0</v>
      </c>
      <c r="K13" s="164">
        <f>ROUND('[2]Program Costs - KCP&amp;L'!AU156,2)</f>
        <v>0</v>
      </c>
      <c r="L13" s="95"/>
      <c r="M13" s="79"/>
    </row>
    <row r="14" spans="1:34" x14ac:dyDescent="0.25">
      <c r="C14" s="121"/>
      <c r="D14" s="44"/>
      <c r="E14" s="44"/>
      <c r="F14" s="44"/>
      <c r="G14" s="41"/>
      <c r="H14" s="44"/>
      <c r="I14" s="11"/>
      <c r="J14" s="44"/>
      <c r="K14" s="44"/>
      <c r="L14" s="42"/>
    </row>
    <row r="15" spans="1:34" x14ac:dyDescent="0.25">
      <c r="C15" s="121"/>
      <c r="D15" s="44"/>
      <c r="E15" s="44"/>
      <c r="F15" s="44"/>
      <c r="G15" s="41"/>
      <c r="H15" s="44"/>
      <c r="I15" s="11"/>
      <c r="J15" s="44"/>
      <c r="K15" s="44"/>
      <c r="L15" s="42"/>
    </row>
    <row r="16" spans="1:34" x14ac:dyDescent="0.25">
      <c r="A16" s="62" t="s">
        <v>41</v>
      </c>
      <c r="C16" s="122"/>
      <c r="D16" s="44"/>
      <c r="E16" s="44"/>
      <c r="F16" s="44"/>
      <c r="G16" s="41"/>
      <c r="H16" s="44"/>
      <c r="I16" s="197"/>
      <c r="J16" s="17"/>
      <c r="K16" s="17"/>
      <c r="L16" s="11"/>
    </row>
    <row r="17" spans="1:14" x14ac:dyDescent="0.25">
      <c r="A17" s="62" t="s">
        <v>29</v>
      </c>
      <c r="C17" s="54">
        <f t="shared" ref="C17:K17" si="3">C10+($M$12*C$12)+($M$12*C$13)</f>
        <v>-783209.54500000016</v>
      </c>
      <c r="D17" s="55">
        <f t="shared" si="3"/>
        <v>319568.30499999999</v>
      </c>
      <c r="E17" s="55">
        <f t="shared" si="3"/>
        <v>469486.70999999996</v>
      </c>
      <c r="F17" s="131">
        <f t="shared" si="3"/>
        <v>395184.72</v>
      </c>
      <c r="G17" s="54">
        <f t="shared" si="3"/>
        <v>345121.24</v>
      </c>
      <c r="H17" s="55">
        <f t="shared" si="3"/>
        <v>430734.1</v>
      </c>
      <c r="I17" s="77">
        <f t="shared" si="3"/>
        <v>637559.20000000007</v>
      </c>
      <c r="J17" s="146">
        <f t="shared" si="3"/>
        <v>614022.78</v>
      </c>
      <c r="K17" s="55">
        <f t="shared" si="3"/>
        <v>278794.65000000002</v>
      </c>
      <c r="L17" s="77">
        <f t="shared" ref="L17" si="4">L10+($M$12*L$12)+($M$12*L$13)+L$14*(1-$M$14)</f>
        <v>0</v>
      </c>
    </row>
    <row r="18" spans="1:14" x14ac:dyDescent="0.25">
      <c r="A18" s="62" t="s">
        <v>30</v>
      </c>
      <c r="C18" s="54">
        <f t="shared" ref="C18:K18" si="5">(C$11+$M$12*C$12)+C$13*$M$12</f>
        <v>-1492643.9749999999</v>
      </c>
      <c r="D18" s="55">
        <f t="shared" si="5"/>
        <v>549936.91500000004</v>
      </c>
      <c r="E18" s="55">
        <f t="shared" si="5"/>
        <v>635671.24</v>
      </c>
      <c r="F18" s="131">
        <f t="shared" si="5"/>
        <v>690499.9</v>
      </c>
      <c r="G18" s="54">
        <f t="shared" si="5"/>
        <v>752773.52</v>
      </c>
      <c r="H18" s="55">
        <f t="shared" si="5"/>
        <v>848390.23</v>
      </c>
      <c r="I18" s="77">
        <f t="shared" si="5"/>
        <v>700384.63</v>
      </c>
      <c r="J18" s="146">
        <f t="shared" si="5"/>
        <v>1242300.3499999999</v>
      </c>
      <c r="K18" s="55">
        <f t="shared" si="5"/>
        <v>1182376.9500000002</v>
      </c>
      <c r="L18" s="77">
        <f t="shared" ref="L18" si="6">(L$11+$M$12*L$12+L$14*$M$14)+L$13*$M$12</f>
        <v>0</v>
      </c>
    </row>
    <row r="19" spans="1:14" x14ac:dyDescent="0.25">
      <c r="C19" s="122"/>
      <c r="D19" s="44"/>
      <c r="E19" s="44"/>
      <c r="F19" s="44"/>
      <c r="G19" s="41"/>
      <c r="H19" s="44"/>
      <c r="I19" s="11"/>
      <c r="J19" s="17"/>
      <c r="K19" s="17"/>
      <c r="L19" s="11"/>
    </row>
    <row r="20" spans="1:14" x14ac:dyDescent="0.25">
      <c r="A20" s="53" t="s">
        <v>63</v>
      </c>
      <c r="B20" s="53"/>
      <c r="C20" s="124"/>
      <c r="D20" s="44"/>
      <c r="E20" s="44"/>
      <c r="F20" s="44"/>
      <c r="G20" s="41"/>
      <c r="H20" s="44"/>
      <c r="I20" s="11"/>
      <c r="J20" s="17"/>
      <c r="K20" s="17"/>
      <c r="L20" s="11"/>
    </row>
    <row r="21" spans="1:14" x14ac:dyDescent="0.25">
      <c r="A21" s="62" t="s">
        <v>29</v>
      </c>
      <c r="C21" s="125">
        <v>-610092353</v>
      </c>
      <c r="D21" s="134">
        <f>+'[3]May 2018 Combined'!H61</f>
        <v>176311944.11414683</v>
      </c>
      <c r="E21" s="134">
        <f>+'[3]June 2018 Combined'!G61</f>
        <v>246848637.4325532</v>
      </c>
      <c r="F21" s="134">
        <f>+'[3]July 2018 Combined'!F61</f>
        <v>314468889.20260006</v>
      </c>
      <c r="G21" s="218">
        <f>+'[3]August 2018 Combined'!F61</f>
        <v>278715744.91769993</v>
      </c>
      <c r="H21" s="221">
        <f>+'[3]September 2018 Combined'!F61</f>
        <v>257611249.98980001</v>
      </c>
      <c r="I21" s="215">
        <f>+'[3]October 2018 Combined'!F61</f>
        <v>186470302.09010002</v>
      </c>
      <c r="J21" s="210">
        <f>+'PCR Cycle 1'!J21</f>
        <v>162972385</v>
      </c>
      <c r="K21" s="165">
        <f>+'PCR Cycle 1'!K21</f>
        <v>237189711</v>
      </c>
      <c r="L21" s="96">
        <f>+'PCR Cycle 1'!L21</f>
        <v>265262694</v>
      </c>
    </row>
    <row r="22" spans="1:14" x14ac:dyDescent="0.25">
      <c r="A22" s="62" t="s">
        <v>30</v>
      </c>
      <c r="C22" s="125">
        <v>-1223837246</v>
      </c>
      <c r="D22" s="134">
        <f>+'[3]May 2018 Combined'!H62</f>
        <v>354225109.6979233</v>
      </c>
      <c r="E22" s="134">
        <f>+'[3]June 2018 Combined'!G62</f>
        <v>382803899.96757686</v>
      </c>
      <c r="F22" s="134">
        <f>+'[3]July 2018 Combined'!F62</f>
        <v>450868978.15450001</v>
      </c>
      <c r="G22" s="218">
        <f>+'[3]August 2018 Combined'!F62</f>
        <v>445654704.38560003</v>
      </c>
      <c r="H22" s="221">
        <f>+'[3]September 2018 Combined'!F62</f>
        <v>425220866.30139995</v>
      </c>
      <c r="I22" s="215">
        <f>+'[3]October 2018 Combined'!F62</f>
        <v>422341488.7536999</v>
      </c>
      <c r="J22" s="210">
        <f>+'PCR Cycle 1'!J22</f>
        <v>331844774</v>
      </c>
      <c r="K22" s="165">
        <f>+'PCR Cycle 1'!K22</f>
        <v>360390088</v>
      </c>
      <c r="L22" s="96">
        <f>+'PCR Cycle 1'!L22</f>
        <v>365487734</v>
      </c>
    </row>
    <row r="23" spans="1:14" x14ac:dyDescent="0.25">
      <c r="C23" s="122"/>
      <c r="D23" s="44"/>
      <c r="E23" s="44"/>
      <c r="F23" s="44"/>
      <c r="G23" s="41"/>
      <c r="H23" s="44"/>
      <c r="I23" s="11"/>
      <c r="J23" s="17"/>
      <c r="K23" s="17"/>
      <c r="L23" s="11"/>
    </row>
    <row r="24" spans="1:14" x14ac:dyDescent="0.25">
      <c r="A24" s="62" t="s">
        <v>40</v>
      </c>
      <c r="C24" s="122"/>
      <c r="D24" s="18"/>
      <c r="E24" s="18"/>
      <c r="F24" s="18"/>
      <c r="G24" s="114"/>
      <c r="H24" s="18"/>
      <c r="I24" s="11"/>
      <c r="J24" s="73"/>
      <c r="K24" s="73"/>
      <c r="L24" s="74"/>
      <c r="M24" s="79" t="s">
        <v>66</v>
      </c>
      <c r="N24" s="53"/>
    </row>
    <row r="25" spans="1:14" x14ac:dyDescent="0.25">
      <c r="A25" s="62" t="s">
        <v>29</v>
      </c>
      <c r="C25" s="120">
        <v>-2452571.2599999998</v>
      </c>
      <c r="D25" s="132">
        <f>ROUND('[3]May 2018 Combined'!H34+'[3]May 2018 Combined'!H39,2)</f>
        <v>708748.06</v>
      </c>
      <c r="E25" s="132">
        <f>ROUND('[3]June 2018 Combined'!G34+'[3]June 2018 Combined'!G39,2)</f>
        <v>992177.08</v>
      </c>
      <c r="F25" s="134">
        <f>ROUND('[3]July 2018 Combined'!F34+'[3]July 2018 Combined'!F39,2)</f>
        <v>1264076.3700000001</v>
      </c>
      <c r="G25" s="219">
        <f>ROUND('[3]August 2018 Combined'!F34+'[3]August 2018 Combined'!F39,2)</f>
        <v>945276.15</v>
      </c>
      <c r="H25" s="71">
        <f>ROUND('[3]September 2018 Combined'!F34+'[3]September 2018 Combined'!F39,2)</f>
        <v>575759.46</v>
      </c>
      <c r="I25" s="212">
        <f>ROUND('[3]October 2018 Combined'!F34+'[3]October 2018 Combined'!F39,2)</f>
        <v>415940.07</v>
      </c>
      <c r="J25" s="146">
        <f t="shared" ref="J25:L26" si="7">J21*$M25</f>
        <v>363428.41855000006</v>
      </c>
      <c r="K25" s="55">
        <f t="shared" si="7"/>
        <v>528933.05553000001</v>
      </c>
      <c r="L25" s="77">
        <f t="shared" si="7"/>
        <v>591535.80762000009</v>
      </c>
      <c r="M25" s="88">
        <v>2.2300000000000002E-3</v>
      </c>
    </row>
    <row r="26" spans="1:14" x14ac:dyDescent="0.25">
      <c r="A26" s="62" t="str">
        <f>A22</f>
        <v>Non-Residential</v>
      </c>
      <c r="C26" s="120">
        <v>-4185523.38</v>
      </c>
      <c r="D26" s="132">
        <f>ROUND('[3]May 2018 Combined'!H35+'[3]May 2018 Combined'!H40,2)</f>
        <v>1211465.79</v>
      </c>
      <c r="E26" s="132">
        <f>ROUND('[3]June 2018 Combined'!G35+'[3]June 2018 Combined'!G40,2)</f>
        <v>1292199.03</v>
      </c>
      <c r="F26" s="134">
        <f>ROUND('[3]July 2018 Combined'!F35+'[3]July 2018 Combined'!F40,2)</f>
        <v>1541282.32</v>
      </c>
      <c r="G26" s="219">
        <f>ROUND('[3]August 2018 Combined'!F35+'[3]August 2018 Combined'!F40,2)</f>
        <v>1284983.7</v>
      </c>
      <c r="H26" s="71">
        <f>ROUND('[3]September 2018 Combined'!F35+'[3]September 2018 Combined'!F40,2)</f>
        <v>786215.8</v>
      </c>
      <c r="I26" s="212">
        <f>ROUND('[3]October 2018 Combined'!F35+'[3]October 2018 Combined'!F40,2)</f>
        <v>786985.46</v>
      </c>
      <c r="J26" s="146">
        <f t="shared" si="7"/>
        <v>617231.27964000008</v>
      </c>
      <c r="K26" s="55">
        <f t="shared" si="7"/>
        <v>670325.56368000002</v>
      </c>
      <c r="L26" s="77">
        <f t="shared" si="7"/>
        <v>679807.18524000002</v>
      </c>
      <c r="M26" s="88">
        <v>1.8600000000000001E-3</v>
      </c>
    </row>
    <row r="27" spans="1:14" x14ac:dyDescent="0.25">
      <c r="C27" s="83"/>
      <c r="D27" s="18"/>
      <c r="E27" s="18"/>
      <c r="F27" s="18"/>
      <c r="G27" s="114"/>
      <c r="H27" s="18"/>
      <c r="I27" s="11"/>
      <c r="J27" s="72"/>
      <c r="K27" s="72"/>
      <c r="L27" s="13"/>
      <c r="M27" s="4"/>
    </row>
    <row r="28" spans="1:14" ht="15.75" thickBot="1" x14ac:dyDescent="0.3">
      <c r="A28" s="62" t="s">
        <v>16</v>
      </c>
      <c r="C28" s="126">
        <v>-15753.4</v>
      </c>
      <c r="D28" s="135">
        <v>8989.2800000000007</v>
      </c>
      <c r="E28" s="135">
        <v>6271.61</v>
      </c>
      <c r="F28" s="136">
        <v>2291.4499999999998</v>
      </c>
      <c r="G28" s="39">
        <v>-1655.26</v>
      </c>
      <c r="H28" s="145">
        <v>-3445.77</v>
      </c>
      <c r="I28" s="213">
        <v>-3488.88</v>
      </c>
      <c r="J28" s="211">
        <v>-2010.41</v>
      </c>
      <c r="K28" s="166">
        <v>-340.67999999999984</v>
      </c>
      <c r="L28" s="100"/>
    </row>
    <row r="29" spans="1:14" x14ac:dyDescent="0.25">
      <c r="C29" s="122"/>
      <c r="D29" s="44"/>
      <c r="E29" s="44"/>
      <c r="F29" s="44"/>
      <c r="G29" s="41"/>
      <c r="H29" s="44"/>
      <c r="I29" s="11"/>
      <c r="J29" s="17"/>
      <c r="K29" s="17"/>
      <c r="L29" s="11"/>
    </row>
    <row r="30" spans="1:14" x14ac:dyDescent="0.25">
      <c r="A30" s="62" t="s">
        <v>68</v>
      </c>
      <c r="C30" s="122"/>
      <c r="D30" s="44"/>
      <c r="E30" s="44"/>
      <c r="F30" s="44"/>
      <c r="G30" s="41"/>
      <c r="H30" s="44"/>
      <c r="I30" s="11"/>
      <c r="J30" s="17"/>
      <c r="K30" s="17"/>
      <c r="L30" s="11"/>
    </row>
    <row r="31" spans="1:14" x14ac:dyDescent="0.25">
      <c r="A31" s="62" t="s">
        <v>29</v>
      </c>
      <c r="C31" s="54">
        <f t="shared" ref="C31:L32" si="8">C17-C25</f>
        <v>1669361.7149999996</v>
      </c>
      <c r="D31" s="55">
        <f t="shared" si="8"/>
        <v>-389179.75500000006</v>
      </c>
      <c r="E31" s="55">
        <f t="shared" si="8"/>
        <v>-522690.37</v>
      </c>
      <c r="F31" s="131">
        <f t="shared" si="8"/>
        <v>-868891.65000000014</v>
      </c>
      <c r="G31" s="54">
        <f t="shared" si="8"/>
        <v>-600154.91</v>
      </c>
      <c r="H31" s="55">
        <f t="shared" si="8"/>
        <v>-145025.35999999999</v>
      </c>
      <c r="I31" s="77">
        <f t="shared" si="8"/>
        <v>221619.13000000006</v>
      </c>
      <c r="J31" s="146">
        <f t="shared" si="8"/>
        <v>250594.36144999997</v>
      </c>
      <c r="K31" s="55">
        <f t="shared" si="8"/>
        <v>-250138.40552999999</v>
      </c>
      <c r="L31" s="65">
        <f t="shared" si="8"/>
        <v>-591535.80762000009</v>
      </c>
    </row>
    <row r="32" spans="1:14" x14ac:dyDescent="0.25">
      <c r="A32" s="62" t="s">
        <v>30</v>
      </c>
      <c r="C32" s="54">
        <f t="shared" si="8"/>
        <v>2692879.4050000003</v>
      </c>
      <c r="D32" s="55">
        <f t="shared" si="8"/>
        <v>-661528.875</v>
      </c>
      <c r="E32" s="55">
        <f t="shared" si="8"/>
        <v>-656527.79</v>
      </c>
      <c r="F32" s="131">
        <f t="shared" si="8"/>
        <v>-850782.42</v>
      </c>
      <c r="G32" s="54">
        <f t="shared" si="8"/>
        <v>-532210.17999999993</v>
      </c>
      <c r="H32" s="55">
        <f t="shared" si="8"/>
        <v>62174.429999999935</v>
      </c>
      <c r="I32" s="77">
        <f t="shared" si="8"/>
        <v>-86600.829999999958</v>
      </c>
      <c r="J32" s="146">
        <f t="shared" si="8"/>
        <v>625069.07035999978</v>
      </c>
      <c r="K32" s="55">
        <f t="shared" si="8"/>
        <v>512051.38632000017</v>
      </c>
      <c r="L32" s="65">
        <f t="shared" si="8"/>
        <v>-679807.18524000002</v>
      </c>
    </row>
    <row r="33" spans="1:13" x14ac:dyDescent="0.25">
      <c r="C33" s="122"/>
      <c r="D33" s="44"/>
      <c r="E33" s="44"/>
      <c r="F33" s="44"/>
      <c r="G33" s="41"/>
      <c r="H33" s="44"/>
      <c r="I33" s="11"/>
      <c r="J33" s="17"/>
      <c r="K33" s="17"/>
      <c r="L33" s="11"/>
    </row>
    <row r="34" spans="1:13" ht="15.75" thickBot="1" x14ac:dyDescent="0.3">
      <c r="A34" s="62" t="s">
        <v>69</v>
      </c>
      <c r="C34" s="127"/>
      <c r="D34" s="44"/>
      <c r="E34" s="44"/>
      <c r="F34" s="44"/>
      <c r="G34" s="41"/>
      <c r="H34" s="44"/>
      <c r="I34" s="11"/>
      <c r="J34" s="17"/>
      <c r="K34" s="17"/>
      <c r="L34" s="11"/>
    </row>
    <row r="35" spans="1:13" x14ac:dyDescent="0.25">
      <c r="A35" s="62" t="s">
        <v>29</v>
      </c>
      <c r="B35" s="139">
        <v>14578.98</v>
      </c>
      <c r="C35" s="55">
        <f>B35+C31+B40</f>
        <v>1683940.6949999996</v>
      </c>
      <c r="D35" s="55">
        <f t="shared" ref="D35:L35" si="9">C35+D31+C40</f>
        <v>1287352.8899999994</v>
      </c>
      <c r="E35" s="55">
        <f t="shared" si="9"/>
        <v>768609.38999999943</v>
      </c>
      <c r="F35" s="131">
        <f t="shared" si="9"/>
        <v>-97435.740000000704</v>
      </c>
      <c r="G35" s="54">
        <f t="shared" si="9"/>
        <v>-696655.82000000076</v>
      </c>
      <c r="H35" s="55">
        <f t="shared" si="9"/>
        <v>-842779.55000000075</v>
      </c>
      <c r="I35" s="77">
        <f t="shared" si="9"/>
        <v>-623359.55000000063</v>
      </c>
      <c r="J35" s="146">
        <f t="shared" si="9"/>
        <v>-374928.04855000065</v>
      </c>
      <c r="K35" s="55">
        <f t="shared" si="9"/>
        <v>-626540.11408000067</v>
      </c>
      <c r="L35" s="65">
        <f t="shared" si="9"/>
        <v>-1219553.2517000008</v>
      </c>
    </row>
    <row r="36" spans="1:13" ht="15.75" thickBot="1" x14ac:dyDescent="0.3">
      <c r="A36" s="62" t="s">
        <v>30</v>
      </c>
      <c r="B36" s="140">
        <v>-460484.1</v>
      </c>
      <c r="C36" s="55">
        <f>B36+C32+B41</f>
        <v>2232395.3050000002</v>
      </c>
      <c r="D36" s="55">
        <f t="shared" ref="D36:L36" si="10">C36+D32+C41</f>
        <v>1562521.08</v>
      </c>
      <c r="E36" s="55">
        <f t="shared" si="10"/>
        <v>911035.70000000007</v>
      </c>
      <c r="F36" s="131">
        <f t="shared" si="10"/>
        <v>63678.370000000024</v>
      </c>
      <c r="G36" s="54">
        <f t="shared" si="10"/>
        <v>-467175.17999999993</v>
      </c>
      <c r="H36" s="55">
        <f t="shared" si="10"/>
        <v>-405557.64</v>
      </c>
      <c r="I36" s="77">
        <f t="shared" si="10"/>
        <v>-493405.1</v>
      </c>
      <c r="J36" s="146">
        <f t="shared" si="10"/>
        <v>130337.96035999981</v>
      </c>
      <c r="K36" s="55">
        <f t="shared" si="10"/>
        <v>641852.59667999996</v>
      </c>
      <c r="L36" s="65">
        <f t="shared" si="10"/>
        <v>-36817.938560000061</v>
      </c>
    </row>
    <row r="37" spans="1:13" x14ac:dyDescent="0.25">
      <c r="C37" s="122"/>
      <c r="D37" s="44"/>
      <c r="E37" s="44"/>
      <c r="F37" s="44"/>
      <c r="G37" s="41"/>
      <c r="H37" s="44"/>
      <c r="I37" s="11"/>
      <c r="J37" s="17"/>
      <c r="K37" s="17"/>
      <c r="L37" s="11"/>
    </row>
    <row r="38" spans="1:13" x14ac:dyDescent="0.25">
      <c r="A38" s="53" t="s">
        <v>65</v>
      </c>
      <c r="B38" s="53"/>
      <c r="C38" s="127"/>
      <c r="D38" s="102">
        <f>+'PCR Cycle 1'!D38</f>
        <v>2.6633099999999999E-3</v>
      </c>
      <c r="E38" s="102">
        <f>+'PCR Cycle 1'!E38</f>
        <v>2.7637299999999998E-3</v>
      </c>
      <c r="F38" s="102">
        <f>+'PCR Cycle 1'!F38</f>
        <v>2.7738900000000002E-3</v>
      </c>
      <c r="G38" s="103">
        <f>+'PCR Cycle 1'!G38</f>
        <v>2.76961E-3</v>
      </c>
      <c r="H38" s="102">
        <f>+'PCR Cycle 1'!H38</f>
        <v>2.8550200000000002E-3</v>
      </c>
      <c r="I38" s="115">
        <f>+'PCR Cycle 1'!I38</f>
        <v>2.9459999999999998E-3</v>
      </c>
      <c r="J38" s="102">
        <f>+'PCR Cycle 1'!J38</f>
        <v>2.9459999999999998E-3</v>
      </c>
      <c r="K38" s="102">
        <f>+'PCR Cycle 1'!K38</f>
        <v>2.9459999999999998E-3</v>
      </c>
      <c r="L38" s="115"/>
    </row>
    <row r="39" spans="1:13" x14ac:dyDescent="0.25">
      <c r="A39" s="53" t="s">
        <v>44</v>
      </c>
      <c r="B39" s="53"/>
      <c r="C39" s="122"/>
      <c r="D39" s="44"/>
      <c r="E39" s="44"/>
      <c r="F39" s="44"/>
      <c r="G39" s="41"/>
      <c r="H39" s="44"/>
      <c r="I39" s="11"/>
      <c r="J39" s="17"/>
      <c r="K39" s="17"/>
      <c r="L39" s="11"/>
      <c r="M39" s="87"/>
    </row>
    <row r="40" spans="1:13" x14ac:dyDescent="0.25">
      <c r="A40" s="62" t="s">
        <v>29</v>
      </c>
      <c r="C40" s="54">
        <v>-7408.05</v>
      </c>
      <c r="D40" s="55">
        <f t="shared" ref="D40" si="11">ROUND((C35+C40+D31/2)*D$38,2)</f>
        <v>3946.87</v>
      </c>
      <c r="E40" s="55">
        <f t="shared" ref="E40:E41" si="12">ROUND((D35+D40+E31/2)*E$38,2)</f>
        <v>2846.52</v>
      </c>
      <c r="F40" s="131">
        <f t="shared" ref="F40:F41" si="13">ROUND((E35+E40+F31/2)*F$38,2)</f>
        <v>934.83</v>
      </c>
      <c r="G40" s="54">
        <f t="shared" ref="G40:G41" si="14">ROUND((F35+F40+G31/2)*G$38,2)</f>
        <v>-1098.3699999999999</v>
      </c>
      <c r="H40" s="146">
        <f t="shared" ref="H40:I41" si="15">ROUND((G35+G40+H31/2)*H$38,2)</f>
        <v>-2199.13</v>
      </c>
      <c r="I40" s="77">
        <f t="shared" si="15"/>
        <v>-2162.86</v>
      </c>
      <c r="J40" s="146">
        <f t="shared" ref="J40:J41" si="16">ROUND((I35+I40+J31/2)*J$38,2)</f>
        <v>-1473.66</v>
      </c>
      <c r="K40" s="146">
        <f t="shared" ref="K40:K41" si="17">ROUND((J35+J40+K31/2)*K$38,2)</f>
        <v>-1477.33</v>
      </c>
      <c r="L40" s="65"/>
    </row>
    <row r="41" spans="1:13" ht="15.75" thickBot="1" x14ac:dyDescent="0.3">
      <c r="A41" s="62" t="s">
        <v>30</v>
      </c>
      <c r="C41" s="137">
        <v>-8345.35</v>
      </c>
      <c r="D41" s="55">
        <f>ROUND((C36+C41+D32/2)*D$38,2)</f>
        <v>5042.41</v>
      </c>
      <c r="E41" s="55">
        <f t="shared" si="12"/>
        <v>3425.09</v>
      </c>
      <c r="F41" s="131">
        <f t="shared" si="13"/>
        <v>1356.63</v>
      </c>
      <c r="G41" s="54">
        <f t="shared" si="14"/>
        <v>-556.89</v>
      </c>
      <c r="H41" s="146">
        <f t="shared" si="15"/>
        <v>-1246.6300000000001</v>
      </c>
      <c r="I41" s="77">
        <f t="shared" si="15"/>
        <v>-1326.01</v>
      </c>
      <c r="J41" s="146">
        <f t="shared" si="16"/>
        <v>-536.75</v>
      </c>
      <c r="K41" s="146">
        <f t="shared" si="17"/>
        <v>1136.6500000000001</v>
      </c>
      <c r="L41" s="65"/>
    </row>
    <row r="42" spans="1:13" ht="16.5" thickTop="1" thickBot="1" x14ac:dyDescent="0.3">
      <c r="A42" s="70" t="s">
        <v>25</v>
      </c>
      <c r="B42" s="70"/>
      <c r="C42" s="138">
        <v>0</v>
      </c>
      <c r="D42" s="46">
        <f t="shared" ref="D42:L42" si="18">SUM(D40:D41)+SUM(D35:D36)-D45</f>
        <v>0</v>
      </c>
      <c r="E42" s="46">
        <f t="shared" si="18"/>
        <v>0</v>
      </c>
      <c r="F42" s="66">
        <f t="shared" si="18"/>
        <v>8.6583895608782768E-10</v>
      </c>
      <c r="G42" s="147">
        <f t="shared" si="18"/>
        <v>0</v>
      </c>
      <c r="H42" s="46">
        <f t="shared" si="18"/>
        <v>0</v>
      </c>
      <c r="I42" s="78">
        <f t="shared" si="18"/>
        <v>0</v>
      </c>
      <c r="J42" s="195">
        <f t="shared" si="18"/>
        <v>1.076841726899147E-9</v>
      </c>
      <c r="K42" s="46">
        <f t="shared" si="18"/>
        <v>1.2732925824820995E-9</v>
      </c>
      <c r="L42" s="119">
        <f t="shared" si="18"/>
        <v>0</v>
      </c>
    </row>
    <row r="43" spans="1:13" ht="16.5" thickTop="1" thickBot="1" x14ac:dyDescent="0.3">
      <c r="A43" s="70" t="s">
        <v>26</v>
      </c>
      <c r="B43" s="70"/>
      <c r="C43" s="130">
        <v>0</v>
      </c>
      <c r="D43" s="46">
        <f t="shared" ref="D43:I43" si="19">SUM(D40:D41)-D28</f>
        <v>0</v>
      </c>
      <c r="E43" s="46">
        <f t="shared" si="19"/>
        <v>0</v>
      </c>
      <c r="F43" s="66">
        <f t="shared" ref="F43:H43" si="20">SUM(F40:F41)-F28</f>
        <v>1.0000000000218279E-2</v>
      </c>
      <c r="G43" s="67">
        <f t="shared" si="20"/>
        <v>0</v>
      </c>
      <c r="H43" s="46">
        <f t="shared" si="20"/>
        <v>9.9999999997635314E-3</v>
      </c>
      <c r="I43" s="78">
        <f t="shared" si="19"/>
        <v>1.0000000000218279E-2</v>
      </c>
      <c r="J43" s="195">
        <f t="shared" ref="J43:L43" si="21">SUM(J40:J41)-J28</f>
        <v>0</v>
      </c>
      <c r="K43" s="46">
        <f t="shared" si="21"/>
        <v>0</v>
      </c>
      <c r="L43" s="119">
        <f t="shared" si="21"/>
        <v>0</v>
      </c>
    </row>
    <row r="44" spans="1:13" ht="16.5" thickTop="1" thickBot="1" x14ac:dyDescent="0.3">
      <c r="C44" s="122"/>
      <c r="D44" s="17"/>
      <c r="E44" s="17"/>
      <c r="F44" s="17"/>
      <c r="G44" s="10"/>
      <c r="H44" s="17"/>
      <c r="I44" s="11"/>
      <c r="J44" s="17"/>
      <c r="K44" s="17"/>
      <c r="L44" s="11"/>
    </row>
    <row r="45" spans="1:13" ht="15.75" thickBot="1" x14ac:dyDescent="0.3">
      <c r="A45" s="62" t="s">
        <v>42</v>
      </c>
      <c r="B45" s="142">
        <f>+B35+B36</f>
        <v>-445905.12</v>
      </c>
      <c r="C45" s="54">
        <f t="shared" ref="C45:I45" si="22">(SUM(C10:C14)-SUM(C25:C26))+SUM(C40:C41)+B45</f>
        <v>3900582.5999999987</v>
      </c>
      <c r="D45" s="55">
        <f t="shared" si="22"/>
        <v>2858863.2499999986</v>
      </c>
      <c r="E45" s="55">
        <f t="shared" si="22"/>
        <v>1685916.6999999988</v>
      </c>
      <c r="F45" s="131">
        <f t="shared" si="22"/>
        <v>-31465.910000001546</v>
      </c>
      <c r="G45" s="54">
        <f t="shared" si="22"/>
        <v>-1165486.2600000016</v>
      </c>
      <c r="H45" s="55">
        <f t="shared" si="22"/>
        <v>-1251782.9500000018</v>
      </c>
      <c r="I45" s="77">
        <f t="shared" si="22"/>
        <v>-1120253.5200000019</v>
      </c>
      <c r="J45" s="146">
        <f t="shared" ref="J45" si="23">(SUM(J10:J14)-SUM(J25:J26))+SUM(J40:J41)+I45</f>
        <v>-246600.49819000193</v>
      </c>
      <c r="K45" s="55">
        <f t="shared" ref="K45:L45" si="24">(SUM(K10:K14)-SUM(K25:K26))+SUM(K40:K41)+J45</f>
        <v>14971.802599998016</v>
      </c>
      <c r="L45" s="77">
        <f t="shared" si="24"/>
        <v>-1256371.1902600022</v>
      </c>
    </row>
    <row r="46" spans="1:13" x14ac:dyDescent="0.25">
      <c r="A46" s="62" t="s">
        <v>14</v>
      </c>
      <c r="C46" s="143"/>
      <c r="D46" s="72"/>
      <c r="E46" s="72"/>
      <c r="F46" s="72"/>
      <c r="G46" s="12"/>
      <c r="H46" s="72"/>
      <c r="I46" s="11"/>
      <c r="J46" s="17"/>
      <c r="K46" s="17"/>
      <c r="L46" s="11"/>
    </row>
    <row r="47" spans="1:13" ht="15.75" thickBot="1" x14ac:dyDescent="0.3">
      <c r="B47" s="17"/>
      <c r="C47" s="57"/>
      <c r="D47" s="58"/>
      <c r="E47" s="58"/>
      <c r="F47" s="58"/>
      <c r="G47" s="57"/>
      <c r="H47" s="58"/>
      <c r="I47" s="59"/>
      <c r="J47" s="58"/>
      <c r="K47" s="58"/>
      <c r="L47" s="59"/>
    </row>
    <row r="49" spans="1:12" x14ac:dyDescent="0.25">
      <c r="A49" s="85" t="s">
        <v>13</v>
      </c>
      <c r="B49" s="85"/>
      <c r="C49" s="85"/>
    </row>
    <row r="50" spans="1:12" ht="42.75" customHeight="1" x14ac:dyDescent="0.25">
      <c r="A50" s="235" t="s">
        <v>144</v>
      </c>
      <c r="B50" s="235"/>
      <c r="C50" s="235"/>
      <c r="D50" s="235"/>
      <c r="E50" s="235"/>
      <c r="F50" s="235"/>
      <c r="G50" s="235"/>
      <c r="H50" s="235"/>
      <c r="I50" s="235"/>
      <c r="J50" s="170"/>
      <c r="K50" s="170"/>
      <c r="L50" s="170"/>
    </row>
    <row r="51" spans="1:12" ht="33.75" customHeight="1" x14ac:dyDescent="0.25">
      <c r="A51" s="235" t="s">
        <v>138</v>
      </c>
      <c r="B51" s="235"/>
      <c r="C51" s="235"/>
      <c r="D51" s="235"/>
      <c r="E51" s="235"/>
      <c r="F51" s="235"/>
      <c r="G51" s="235"/>
      <c r="H51" s="235"/>
      <c r="I51" s="235"/>
      <c r="J51" s="170"/>
      <c r="K51" s="170"/>
      <c r="L51" s="170"/>
    </row>
    <row r="52" spans="1:12" ht="33.75" customHeight="1" x14ac:dyDescent="0.25">
      <c r="A52" s="235" t="s">
        <v>136</v>
      </c>
      <c r="B52" s="235"/>
      <c r="C52" s="235"/>
      <c r="D52" s="235"/>
      <c r="E52" s="235"/>
      <c r="F52" s="235"/>
      <c r="G52" s="235"/>
      <c r="H52" s="235"/>
      <c r="I52" s="235"/>
      <c r="J52" s="170"/>
      <c r="K52" s="170"/>
      <c r="L52" s="170"/>
    </row>
    <row r="53" spans="1:12" x14ac:dyDescent="0.25">
      <c r="A53" s="3" t="s">
        <v>37</v>
      </c>
      <c r="B53" s="3"/>
      <c r="C53" s="3"/>
      <c r="I53" s="4"/>
    </row>
    <row r="54" spans="1:12" x14ac:dyDescent="0.25">
      <c r="A54" s="79" t="s">
        <v>137</v>
      </c>
      <c r="B54" s="3"/>
      <c r="C54" s="3"/>
      <c r="I54" s="4"/>
    </row>
    <row r="55" spans="1:12" x14ac:dyDescent="0.25">
      <c r="A55" s="3" t="s">
        <v>67</v>
      </c>
      <c r="B55" s="3"/>
      <c r="C55" s="3"/>
      <c r="I55" s="4"/>
    </row>
    <row r="65" spans="13:13" x14ac:dyDescent="0.25">
      <c r="M65" s="8"/>
    </row>
  </sheetData>
  <mergeCells count="6">
    <mergeCell ref="J8:L8"/>
    <mergeCell ref="A52:I52"/>
    <mergeCell ref="D8:F8"/>
    <mergeCell ref="A50:I50"/>
    <mergeCell ref="A51:I51"/>
    <mergeCell ref="G8:I8"/>
  </mergeCells>
  <pageMargins left="0.2" right="0.2" top="0.75" bottom="0.25" header="0.3" footer="0.3"/>
  <pageSetup scale="54" orientation="landscape" r:id="rId1"/>
  <headerFooter>
    <oddHeader>&amp;C&amp;F &amp;A</oddHeader>
    <oddFooter>&amp;R&amp;1#&amp;"Calibri"&amp;10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workbookViewId="0">
      <selection activeCell="H1" sqref="H1"/>
    </sheetView>
  </sheetViews>
  <sheetFormatPr defaultRowHeight="15" x14ac:dyDescent="0.25"/>
  <cols>
    <col min="1" max="1" width="17.5703125" customWidth="1"/>
    <col min="2" max="2" width="16.140625" customWidth="1"/>
    <col min="3" max="3" width="15.140625" customWidth="1"/>
  </cols>
  <sheetData>
    <row r="1" spans="1:23" s="62" customFormat="1" x14ac:dyDescent="0.25">
      <c r="A1" s="3" t="str">
        <f>+PPC!A1</f>
        <v>Kansas City Power &amp; Light Company - DSIM Rider Update Filed 11/30/2018</v>
      </c>
    </row>
    <row r="2" spans="1:23" x14ac:dyDescent="0.25">
      <c r="A2" s="9" t="str">
        <f>+PPC!A2</f>
        <v>Projections for Cycle 2 January 2019 - June 2019 DSIM</v>
      </c>
    </row>
    <row r="3" spans="1:23" s="62" customFormat="1" x14ac:dyDescent="0.25">
      <c r="A3" s="9"/>
    </row>
    <row r="4" spans="1:23" ht="40.5" customHeight="1" x14ac:dyDescent="0.25">
      <c r="B4" s="230" t="s">
        <v>87</v>
      </c>
      <c r="C4" s="230"/>
    </row>
    <row r="5" spans="1:23" ht="45" x14ac:dyDescent="0.25">
      <c r="B5" s="178" t="s">
        <v>88</v>
      </c>
      <c r="C5" s="6" t="s">
        <v>34</v>
      </c>
    </row>
    <row r="6" spans="1:23" x14ac:dyDescent="0.25">
      <c r="A6" s="22" t="s">
        <v>29</v>
      </c>
      <c r="B6" s="34">
        <f>+'[2]KCPL Monthly TD Calc'!AO343</f>
        <v>9549445.2521892264</v>
      </c>
      <c r="C6" s="105">
        <f>ROUND('[2]KCPL Monthly TD Calc'!AO321,2)</f>
        <v>553726.98</v>
      </c>
    </row>
    <row r="7" spans="1:23" x14ac:dyDescent="0.25">
      <c r="A7" s="43" t="s">
        <v>30</v>
      </c>
      <c r="B7" s="34">
        <f>+'[2]KCPL Monthly TD Calc'!AO344</f>
        <v>24903026.784286633</v>
      </c>
      <c r="C7" s="105">
        <f>ROUND('[2]KCPL Monthly TD Calc'!AO322,2)</f>
        <v>1035090.79</v>
      </c>
    </row>
    <row r="8" spans="1:23" x14ac:dyDescent="0.25">
      <c r="A8" s="22" t="s">
        <v>6</v>
      </c>
      <c r="B8" s="35">
        <f>SUM(B6:B7)</f>
        <v>34452472.03647586</v>
      </c>
      <c r="C8" s="24">
        <f>SUM(C6:C7)</f>
        <v>1588817.77</v>
      </c>
    </row>
    <row r="9" spans="1:23" x14ac:dyDescent="0.25">
      <c r="B9" s="33"/>
      <c r="C9" s="62"/>
    </row>
    <row r="10" spans="1:23" x14ac:dyDescent="0.25">
      <c r="A10" s="62"/>
      <c r="B10" s="62"/>
      <c r="C10" s="62"/>
    </row>
    <row r="11" spans="1:23" x14ac:dyDescent="0.25">
      <c r="A11" s="85" t="s">
        <v>35</v>
      </c>
      <c r="B11" s="22"/>
      <c r="C11" s="23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s="53" customFormat="1" x14ac:dyDescent="0.25">
      <c r="A12" s="234" t="s">
        <v>145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</row>
    <row r="13" spans="1:23" s="53" customFormat="1" x14ac:dyDescent="0.25">
      <c r="A13" s="234" t="s">
        <v>146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</row>
    <row r="33" spans="2:3" x14ac:dyDescent="0.25">
      <c r="B33" s="8"/>
      <c r="C33" s="8"/>
    </row>
    <row r="37" spans="2:3" x14ac:dyDescent="0.25">
      <c r="B37" s="8"/>
      <c r="C37" s="8"/>
    </row>
  </sheetData>
  <mergeCells count="3">
    <mergeCell ref="B4:C4"/>
    <mergeCell ref="A12:M12"/>
    <mergeCell ref="A13:M13"/>
  </mergeCells>
  <pageMargins left="0.2" right="0.2" top="0.75" bottom="0.25" header="0.3" footer="0.3"/>
  <pageSetup scale="96" orientation="landscape" r:id="rId1"/>
  <headerFooter>
    <oddHeader>&amp;C&amp;F &amp;A</oddHeader>
    <oddFooter>&amp;R&amp;1#&amp;"Calibri"&amp;10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4"/>
  <sheetViews>
    <sheetView zoomScaleNormal="100" workbookViewId="0">
      <pane xSplit="3" ySplit="11" topLeftCell="E12" activePane="bottomRight" state="frozen"/>
      <selection activeCell="J12" sqref="J12"/>
      <selection pane="topRight" activeCell="J12" sqref="J12"/>
      <selection pane="bottomLeft" activeCell="J12" sqref="J12"/>
      <selection pane="bottomRight" activeCell="H1" sqref="H1"/>
    </sheetView>
  </sheetViews>
  <sheetFormatPr defaultRowHeight="15" x14ac:dyDescent="0.25"/>
  <cols>
    <col min="1" max="1" width="37.7109375" customWidth="1"/>
    <col min="2" max="2" width="12.28515625" style="62" bestFit="1" customWidth="1"/>
    <col min="3" max="3" width="12.42578125" style="62" bestFit="1" customWidth="1"/>
    <col min="4" max="4" width="15.42578125" customWidth="1"/>
    <col min="5" max="5" width="15.85546875" bestFit="1" customWidth="1"/>
    <col min="6" max="6" width="12.28515625" style="62" bestFit="1" customWidth="1"/>
    <col min="7" max="8" width="13.28515625" style="62" bestFit="1" customWidth="1"/>
    <col min="9" max="9" width="12.28515625" bestFit="1" customWidth="1"/>
    <col min="10" max="10" width="11.5703125" style="62" bestFit="1" customWidth="1"/>
    <col min="11" max="11" width="12.85546875" style="62" customWidth="1"/>
    <col min="12" max="12" width="16" style="62" customWidth="1"/>
    <col min="13" max="13" width="15" bestFit="1" customWidth="1"/>
    <col min="14" max="14" width="16" bestFit="1" customWidth="1"/>
    <col min="15" max="15" width="15.28515625" bestFit="1" customWidth="1"/>
    <col min="16" max="16" width="17.42578125" bestFit="1" customWidth="1"/>
    <col min="17" max="17" width="16.28515625" bestFit="1" customWidth="1"/>
    <col min="18" max="18" width="15.28515625" bestFit="1" customWidth="1"/>
    <col min="19" max="19" width="12.42578125" customWidth="1"/>
    <col min="20" max="21" width="14.28515625" bestFit="1" customWidth="1"/>
  </cols>
  <sheetData>
    <row r="1" spans="1:34" x14ac:dyDescent="0.25">
      <c r="A1" s="3" t="str">
        <f>+PPC!A1</f>
        <v>Kansas City Power &amp; Light Company - DSIM Rider Update Filed 11/30/2018</v>
      </c>
      <c r="B1" s="3"/>
      <c r="C1" s="3"/>
    </row>
    <row r="2" spans="1:34" x14ac:dyDescent="0.25">
      <c r="D2" s="3" t="s">
        <v>86</v>
      </c>
    </row>
    <row r="3" spans="1:34" ht="30" x14ac:dyDescent="0.25">
      <c r="D3" s="6" t="s">
        <v>62</v>
      </c>
      <c r="E3" s="86" t="s">
        <v>45</v>
      </c>
      <c r="F3" s="86" t="s">
        <v>46</v>
      </c>
      <c r="G3" s="6" t="s">
        <v>3</v>
      </c>
      <c r="H3" s="86" t="s">
        <v>71</v>
      </c>
      <c r="I3" s="6" t="s">
        <v>11</v>
      </c>
      <c r="J3" s="6" t="s">
        <v>10</v>
      </c>
      <c r="R3" s="6"/>
    </row>
    <row r="4" spans="1:34" x14ac:dyDescent="0.25">
      <c r="A4" s="22" t="s">
        <v>29</v>
      </c>
      <c r="B4" s="22"/>
      <c r="C4" s="22"/>
      <c r="D4" s="24">
        <f>SUM(C15:L15)</f>
        <v>6180.4699999999984</v>
      </c>
      <c r="E4" s="161">
        <f>M19</f>
        <v>0</v>
      </c>
      <c r="F4" s="24">
        <f>SUM(C23:K23)</f>
        <v>0</v>
      </c>
      <c r="G4" s="24">
        <f>F4-D4</f>
        <v>-6180.4699999999984</v>
      </c>
      <c r="H4" s="24">
        <f>+B33</f>
        <v>5365.81</v>
      </c>
      <c r="I4" s="24">
        <f>SUM(C38:K38)</f>
        <v>8.5499999999999972</v>
      </c>
      <c r="J4" s="36">
        <f>SUM(G4:I4)</f>
        <v>-806.10999999999808</v>
      </c>
      <c r="K4" s="63">
        <f>+J4-L33</f>
        <v>4.0927261579781771E-12</v>
      </c>
      <c r="M4" s="63"/>
    </row>
    <row r="5" spans="1:34" ht="15.75" thickBot="1" x14ac:dyDescent="0.3">
      <c r="A5" s="22" t="s">
        <v>30</v>
      </c>
      <c r="B5" s="22"/>
      <c r="C5" s="22"/>
      <c r="D5" s="24">
        <f>SUM(C16:L16)</f>
        <v>29780.761919999994</v>
      </c>
      <c r="E5" s="161">
        <f>M20</f>
        <v>0</v>
      </c>
      <c r="F5" s="24">
        <f>SUM(C24:K24)</f>
        <v>0</v>
      </c>
      <c r="G5" s="24">
        <f>F5-D5</f>
        <v>-29780.761919999994</v>
      </c>
      <c r="H5" s="24">
        <f>+B34</f>
        <v>43410.77</v>
      </c>
      <c r="I5" s="24">
        <f>SUM(C39:K39)</f>
        <v>639.94000000000005</v>
      </c>
      <c r="J5" s="36">
        <f>SUM(G5:I5)</f>
        <v>14269.948080000004</v>
      </c>
      <c r="K5" s="63">
        <f>+J5-L34</f>
        <v>0</v>
      </c>
      <c r="M5" s="63"/>
    </row>
    <row r="6" spans="1:34" ht="16.5" thickTop="1" thickBot="1" x14ac:dyDescent="0.3">
      <c r="D6" s="40">
        <f t="shared" ref="D6" si="0">SUM(D4:D5)</f>
        <v>35961.231919999991</v>
      </c>
      <c r="E6" s="162">
        <f t="shared" ref="E6:H6" si="1">SUM(E4:E5)</f>
        <v>0</v>
      </c>
      <c r="F6" s="40">
        <f t="shared" si="1"/>
        <v>0</v>
      </c>
      <c r="G6" s="40">
        <f t="shared" si="1"/>
        <v>-35961.231919999991</v>
      </c>
      <c r="H6" s="40">
        <f t="shared" si="1"/>
        <v>48776.579999999994</v>
      </c>
      <c r="I6" s="40">
        <f>SUM(I4:I5)</f>
        <v>648.49</v>
      </c>
      <c r="J6" s="40">
        <f>SUM(J4:J5)</f>
        <v>13463.838080000005</v>
      </c>
      <c r="K6"/>
      <c r="M6" s="62"/>
      <c r="S6" s="5"/>
    </row>
    <row r="7" spans="1:34" ht="15.75" thickTop="1" x14ac:dyDescent="0.25"/>
    <row r="8" spans="1:34" x14ac:dyDescent="0.25">
      <c r="I8" s="4"/>
      <c r="U8" s="4"/>
    </row>
    <row r="9" spans="1:34" ht="15.75" thickBot="1" x14ac:dyDescent="0.3">
      <c r="U9" s="4"/>
      <c r="V9" s="5"/>
    </row>
    <row r="10" spans="1:34" ht="90.75" thickBot="1" x14ac:dyDescent="0.3">
      <c r="B10" s="141" t="str">
        <f>+'PCR Cycle 1'!B8</f>
        <v>Cumulative Over/Under Carryover From 06/01/2018 Filing</v>
      </c>
      <c r="C10" s="179" t="str">
        <f>+'PCR Cycle 1'!C8</f>
        <v>Reverse May-18 - June-18  Forecast From 06/01/2018 Filing</v>
      </c>
      <c r="D10" s="236" t="s">
        <v>39</v>
      </c>
      <c r="E10" s="236"/>
      <c r="F10" s="237"/>
      <c r="G10" s="242" t="s">
        <v>39</v>
      </c>
      <c r="H10" s="243"/>
      <c r="I10" s="244"/>
      <c r="J10" s="238" t="s">
        <v>9</v>
      </c>
      <c r="K10" s="239"/>
      <c r="L10" s="240"/>
    </row>
    <row r="11" spans="1:34" x14ac:dyDescent="0.25">
      <c r="A11" t="s">
        <v>43</v>
      </c>
      <c r="C11" s="128"/>
      <c r="D11" s="20">
        <f>+'PCR Cycle 1'!D9</f>
        <v>43251</v>
      </c>
      <c r="E11" s="20">
        <f t="shared" ref="E11:L11" si="2">EOMONTH(D11,1)</f>
        <v>43281</v>
      </c>
      <c r="F11" s="20">
        <f t="shared" si="2"/>
        <v>43312</v>
      </c>
      <c r="G11" s="14">
        <f t="shared" si="2"/>
        <v>43343</v>
      </c>
      <c r="H11" s="20">
        <f t="shared" si="2"/>
        <v>43373</v>
      </c>
      <c r="I11" s="15">
        <f t="shared" si="2"/>
        <v>43404</v>
      </c>
      <c r="J11" s="20">
        <f t="shared" si="2"/>
        <v>43434</v>
      </c>
      <c r="K11" s="20">
        <f t="shared" si="2"/>
        <v>43465</v>
      </c>
      <c r="L11" s="15">
        <f t="shared" si="2"/>
        <v>43496</v>
      </c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25">
      <c r="A12" t="s">
        <v>6</v>
      </c>
      <c r="C12" s="120">
        <v>0</v>
      </c>
      <c r="D12" s="132">
        <f>SUM(D23:D24)</f>
        <v>0</v>
      </c>
      <c r="E12" s="132">
        <f t="shared" ref="E12:H12" si="3">SUM(E23:E24)</f>
        <v>0</v>
      </c>
      <c r="F12" s="133">
        <f t="shared" si="3"/>
        <v>0</v>
      </c>
      <c r="G12" s="16">
        <f t="shared" si="3"/>
        <v>0</v>
      </c>
      <c r="H12" s="71">
        <f t="shared" si="3"/>
        <v>0</v>
      </c>
      <c r="I12" s="196">
        <f>+I23+I24</f>
        <v>0</v>
      </c>
      <c r="J12" s="189">
        <f t="shared" ref="J12:K12" si="4">+J23+J24</f>
        <v>0</v>
      </c>
      <c r="K12" s="97">
        <f t="shared" si="4"/>
        <v>0</v>
      </c>
      <c r="L12" s="98"/>
    </row>
    <row r="13" spans="1:34" x14ac:dyDescent="0.25">
      <c r="C13" s="122"/>
      <c r="D13" s="17"/>
      <c r="E13" s="17"/>
      <c r="F13" s="17"/>
      <c r="G13" s="10"/>
      <c r="H13" s="17"/>
      <c r="I13" s="11"/>
      <c r="J13" s="44"/>
      <c r="K13" s="44"/>
      <c r="L13" s="42"/>
    </row>
    <row r="14" spans="1:34" x14ac:dyDescent="0.25">
      <c r="A14" t="s">
        <v>17</v>
      </c>
      <c r="C14" s="122"/>
      <c r="D14" s="18"/>
      <c r="E14" s="18"/>
      <c r="F14" s="18"/>
      <c r="G14" s="114"/>
      <c r="H14" s="18"/>
      <c r="I14" s="197"/>
      <c r="J14" s="44"/>
      <c r="K14" s="44"/>
      <c r="L14" s="42"/>
      <c r="M14" s="3" t="s">
        <v>93</v>
      </c>
      <c r="N14" s="53"/>
    </row>
    <row r="15" spans="1:34" x14ac:dyDescent="0.25">
      <c r="A15" t="s">
        <v>29</v>
      </c>
      <c r="C15" s="120">
        <v>-12201.85</v>
      </c>
      <c r="D15" s="159">
        <f>ROUND('[3]May 2018 Combined'!H19,2)</f>
        <v>3522.7</v>
      </c>
      <c r="E15" s="159">
        <f>ROUND('[3]June 2018 Combined'!G19,2)</f>
        <v>4930.71</v>
      </c>
      <c r="F15" s="159">
        <f>ROUND('[3]July 2018 Combined'!F19,2)</f>
        <v>6291.96</v>
      </c>
      <c r="G15" s="16">
        <f>ROUND('[3]August 2018 Combined'!F19,2)</f>
        <v>3623.8</v>
      </c>
      <c r="H15" s="144">
        <f>ROUND('[3]September 2018 Combined'!F19,2)</f>
        <v>13.19</v>
      </c>
      <c r="I15" s="198">
        <f>ROUND('[3]October 2018 Combined'!F19,2)</f>
        <v>-0.04</v>
      </c>
      <c r="J15" s="146">
        <f>'PCR Cycle 1'!J21*'TDR Cycle 1'!$M15</f>
        <v>0</v>
      </c>
      <c r="K15" s="55">
        <f>'PCR Cycle 1'!K21*'TDR Cycle 1'!$M15</f>
        <v>0</v>
      </c>
      <c r="L15" s="77">
        <f>'PCR Cycle 1'!L21*'TDR Cycle 1'!$M15</f>
        <v>0</v>
      </c>
      <c r="M15" s="88">
        <v>0</v>
      </c>
      <c r="N15" s="4"/>
    </row>
    <row r="16" spans="1:34" x14ac:dyDescent="0.25">
      <c r="A16" t="s">
        <v>30</v>
      </c>
      <c r="C16" s="120">
        <v>48953.49</v>
      </c>
      <c r="D16" s="159">
        <f>ROUND('[3]May 2018 Combined'!H20,2)</f>
        <v>-14163.45</v>
      </c>
      <c r="E16" s="159">
        <f>ROUND('[3]June 2018 Combined'!G20,2)</f>
        <v>-15130.97</v>
      </c>
      <c r="F16" s="159">
        <f>ROUND('[3]July 2018 Combined'!F20,2)</f>
        <v>-18497.39</v>
      </c>
      <c r="G16" s="16">
        <f>ROUND('[3]August 2018 Combined'!F20,2)</f>
        <v>-9241.9</v>
      </c>
      <c r="H16" s="144">
        <f>ROUND('[3]September 2018 Combined'!F20,2)</f>
        <v>8296.43</v>
      </c>
      <c r="I16" s="198">
        <f>ROUND('[3]October 2018 Combined'!F20,2)</f>
        <v>8410.1</v>
      </c>
      <c r="J16" s="146">
        <f>'PCR Cycle 1'!J22*'TDR Cycle 1'!$M16</f>
        <v>6636.8954800000001</v>
      </c>
      <c r="K16" s="55">
        <f>'PCR Cycle 1'!K22*'TDR Cycle 1'!$M16</f>
        <v>7207.8017600000003</v>
      </c>
      <c r="L16" s="77">
        <f>'PCR Cycle 1'!L22*'TDR Cycle 1'!$M16</f>
        <v>7309.7546800000009</v>
      </c>
      <c r="M16" s="88">
        <v>2.0000000000000002E-5</v>
      </c>
      <c r="N16" s="4"/>
    </row>
    <row r="17" spans="1:14" x14ac:dyDescent="0.25">
      <c r="C17" s="83"/>
      <c r="D17" s="84"/>
      <c r="E17" s="84"/>
      <c r="F17" s="84"/>
      <c r="G17" s="83"/>
      <c r="H17" s="84"/>
      <c r="I17" s="199"/>
      <c r="J17" s="72"/>
      <c r="K17" s="72"/>
      <c r="L17" s="13"/>
      <c r="N17" s="4"/>
    </row>
    <row r="18" spans="1:14" x14ac:dyDescent="0.25">
      <c r="A18" s="53" t="s">
        <v>36</v>
      </c>
      <c r="B18" s="53"/>
      <c r="C18" s="83"/>
      <c r="D18" s="72"/>
      <c r="E18" s="72"/>
      <c r="F18" s="72"/>
      <c r="G18" s="12"/>
      <c r="H18" s="72"/>
      <c r="I18" s="200"/>
      <c r="J18" s="72"/>
      <c r="K18" s="72"/>
      <c r="L18" s="13"/>
      <c r="M18" s="7"/>
      <c r="N18" s="62"/>
    </row>
    <row r="19" spans="1:14" x14ac:dyDescent="0.25">
      <c r="A19" s="62" t="s">
        <v>29</v>
      </c>
      <c r="C19" s="125">
        <v>0</v>
      </c>
      <c r="D19" s="134">
        <v>0</v>
      </c>
      <c r="E19" s="134">
        <v>0</v>
      </c>
      <c r="F19" s="148">
        <v>0</v>
      </c>
      <c r="G19" s="92">
        <v>0</v>
      </c>
      <c r="H19" s="93">
        <v>0</v>
      </c>
      <c r="I19" s="201">
        <v>0</v>
      </c>
      <c r="J19" s="190">
        <v>0</v>
      </c>
      <c r="K19" s="168">
        <v>0</v>
      </c>
      <c r="L19" s="99"/>
      <c r="M19" s="75">
        <f>SUM(C19:K19)</f>
        <v>0</v>
      </c>
      <c r="N19" s="62"/>
    </row>
    <row r="20" spans="1:14" x14ac:dyDescent="0.25">
      <c r="A20" t="s">
        <v>30</v>
      </c>
      <c r="C20" s="125">
        <v>0</v>
      </c>
      <c r="D20" s="134">
        <v>0</v>
      </c>
      <c r="E20" s="134">
        <v>0</v>
      </c>
      <c r="F20" s="148">
        <v>0</v>
      </c>
      <c r="G20" s="92">
        <v>0</v>
      </c>
      <c r="H20" s="93">
        <v>0</v>
      </c>
      <c r="I20" s="201">
        <v>0</v>
      </c>
      <c r="J20" s="190">
        <v>0</v>
      </c>
      <c r="K20" s="168">
        <v>0</v>
      </c>
      <c r="L20" s="99"/>
      <c r="M20" s="75">
        <f>SUM(C20:I20)</f>
        <v>0</v>
      </c>
      <c r="N20" s="62"/>
    </row>
    <row r="21" spans="1:14" s="62" customFormat="1" x14ac:dyDescent="0.25">
      <c r="C21" s="83"/>
      <c r="D21" s="84"/>
      <c r="E21" s="84"/>
      <c r="F21" s="84"/>
      <c r="G21" s="83"/>
      <c r="H21" s="84"/>
      <c r="I21" s="199"/>
      <c r="J21" s="72"/>
      <c r="K21" s="72"/>
      <c r="L21" s="13"/>
    </row>
    <row r="22" spans="1:14" x14ac:dyDescent="0.25">
      <c r="A22" s="62" t="s">
        <v>90</v>
      </c>
      <c r="C22" s="50"/>
      <c r="D22" s="51"/>
      <c r="E22" s="51"/>
      <c r="F22" s="51"/>
      <c r="G22" s="50"/>
      <c r="H22" s="51"/>
      <c r="I22" s="202"/>
      <c r="J22" s="68"/>
      <c r="K22" s="68"/>
      <c r="L22" s="52"/>
      <c r="M22" s="62"/>
      <c r="N22" s="62"/>
    </row>
    <row r="23" spans="1:14" x14ac:dyDescent="0.25">
      <c r="A23" s="62" t="s">
        <v>29</v>
      </c>
      <c r="C23" s="120">
        <v>0</v>
      </c>
      <c r="D23" s="132">
        <v>0</v>
      </c>
      <c r="E23" s="132">
        <v>0</v>
      </c>
      <c r="F23" s="133">
        <v>0</v>
      </c>
      <c r="G23" s="16">
        <v>0</v>
      </c>
      <c r="H23" s="71">
        <v>0</v>
      </c>
      <c r="I23" s="196">
        <v>0</v>
      </c>
      <c r="J23" s="191">
        <v>0</v>
      </c>
      <c r="K23" s="167">
        <v>0</v>
      </c>
      <c r="L23" s="98"/>
    </row>
    <row r="24" spans="1:14" x14ac:dyDescent="0.25">
      <c r="A24" s="62" t="s">
        <v>30</v>
      </c>
      <c r="C24" s="120">
        <v>0</v>
      </c>
      <c r="D24" s="132">
        <v>0</v>
      </c>
      <c r="E24" s="132">
        <v>0</v>
      </c>
      <c r="F24" s="133">
        <v>0</v>
      </c>
      <c r="G24" s="16">
        <v>0</v>
      </c>
      <c r="H24" s="71">
        <v>0</v>
      </c>
      <c r="I24" s="196">
        <v>0</v>
      </c>
      <c r="J24" s="191">
        <v>0</v>
      </c>
      <c r="K24" s="167">
        <v>0</v>
      </c>
      <c r="L24" s="98"/>
      <c r="N24" s="63"/>
    </row>
    <row r="25" spans="1:14" s="62" customFormat="1" x14ac:dyDescent="0.25">
      <c r="C25" s="122"/>
      <c r="D25" s="18"/>
      <c r="E25" s="18"/>
      <c r="F25" s="18"/>
      <c r="G25" s="114"/>
      <c r="H25" s="18"/>
      <c r="I25" s="197"/>
      <c r="J25" s="72"/>
      <c r="K25" s="72"/>
      <c r="L25" s="13"/>
    </row>
    <row r="26" spans="1:14" ht="15.75" thickBot="1" x14ac:dyDescent="0.3">
      <c r="A26" s="3" t="s">
        <v>18</v>
      </c>
      <c r="B26" s="3"/>
      <c r="C26" s="126">
        <v>-125.31</v>
      </c>
      <c r="D26" s="159">
        <v>45.86</v>
      </c>
      <c r="E26" s="159">
        <v>76.52</v>
      </c>
      <c r="F26" s="160">
        <v>108.08</v>
      </c>
      <c r="G26" s="39">
        <v>132.9</v>
      </c>
      <c r="H26" s="145">
        <v>133.53</v>
      </c>
      <c r="I26" s="203">
        <v>113.56</v>
      </c>
      <c r="J26" s="192">
        <v>91.73</v>
      </c>
      <c r="K26" s="169">
        <v>71.599999999999994</v>
      </c>
      <c r="L26" s="101"/>
    </row>
    <row r="27" spans="1:14" x14ac:dyDescent="0.25">
      <c r="C27" s="80"/>
      <c r="D27" s="174"/>
      <c r="E27" s="174"/>
      <c r="F27" s="175"/>
      <c r="G27" s="80"/>
      <c r="H27" s="47"/>
      <c r="I27" s="204"/>
      <c r="J27" s="48"/>
      <c r="K27" s="48"/>
      <c r="L27" s="76"/>
    </row>
    <row r="28" spans="1:14" x14ac:dyDescent="0.25">
      <c r="A28" t="s">
        <v>68</v>
      </c>
      <c r="C28" s="81"/>
      <c r="D28" s="175"/>
      <c r="E28" s="175"/>
      <c r="F28" s="175"/>
      <c r="G28" s="81"/>
      <c r="H28" s="49"/>
      <c r="I28" s="205"/>
      <c r="J28" s="48"/>
      <c r="K28" s="48"/>
      <c r="L28" s="76"/>
    </row>
    <row r="29" spans="1:14" x14ac:dyDescent="0.25">
      <c r="A29" s="62" t="s">
        <v>29</v>
      </c>
      <c r="C29" s="123">
        <f t="shared" ref="C29:C30" si="5">C23-C15</f>
        <v>12201.85</v>
      </c>
      <c r="D29" s="55">
        <f t="shared" ref="D29:I30" si="6">D23-D15</f>
        <v>-3522.7</v>
      </c>
      <c r="E29" s="55">
        <f t="shared" si="6"/>
        <v>-4930.71</v>
      </c>
      <c r="F29" s="131">
        <f t="shared" ref="F29:H29" si="7">F23-F15</f>
        <v>-6291.96</v>
      </c>
      <c r="G29" s="54">
        <f t="shared" si="7"/>
        <v>-3623.8</v>
      </c>
      <c r="H29" s="55">
        <f t="shared" si="7"/>
        <v>-13.19</v>
      </c>
      <c r="I29" s="77">
        <f t="shared" si="6"/>
        <v>0.04</v>
      </c>
      <c r="J29" s="146">
        <f t="shared" ref="J29:K29" si="8">J23-J15</f>
        <v>0</v>
      </c>
      <c r="K29" s="55">
        <f t="shared" si="8"/>
        <v>0</v>
      </c>
      <c r="L29" s="77">
        <f t="shared" ref="L29" si="9">L23-L15</f>
        <v>0</v>
      </c>
    </row>
    <row r="30" spans="1:14" x14ac:dyDescent="0.25">
      <c r="A30" t="s">
        <v>30</v>
      </c>
      <c r="C30" s="123">
        <f t="shared" si="5"/>
        <v>-48953.49</v>
      </c>
      <c r="D30" s="55">
        <f t="shared" si="6"/>
        <v>14163.45</v>
      </c>
      <c r="E30" s="55">
        <f t="shared" si="6"/>
        <v>15130.97</v>
      </c>
      <c r="F30" s="131">
        <f t="shared" ref="F30:H30" si="10">F24-F16</f>
        <v>18497.39</v>
      </c>
      <c r="G30" s="54">
        <f t="shared" si="10"/>
        <v>9241.9</v>
      </c>
      <c r="H30" s="55">
        <f t="shared" si="10"/>
        <v>-8296.43</v>
      </c>
      <c r="I30" s="77">
        <f t="shared" si="6"/>
        <v>-8410.1</v>
      </c>
      <c r="J30" s="146">
        <f t="shared" ref="J30:K30" si="11">J24-J16</f>
        <v>-6636.8954800000001</v>
      </c>
      <c r="K30" s="55">
        <f t="shared" si="11"/>
        <v>-7207.8017600000003</v>
      </c>
      <c r="L30" s="77">
        <f t="shared" ref="L30" si="12">L24-L16</f>
        <v>-7309.7546800000009</v>
      </c>
    </row>
    <row r="31" spans="1:14" x14ac:dyDescent="0.25">
      <c r="C31" s="122"/>
      <c r="D31" s="17"/>
      <c r="E31" s="17"/>
      <c r="F31" s="17"/>
      <c r="G31" s="10"/>
      <c r="H31" s="17"/>
      <c r="I31" s="11"/>
      <c r="J31" s="17"/>
      <c r="K31" s="17"/>
      <c r="L31" s="11"/>
    </row>
    <row r="32" spans="1:14" ht="15.75" thickBot="1" x14ac:dyDescent="0.3">
      <c r="A32" t="s">
        <v>69</v>
      </c>
      <c r="C32" s="122"/>
      <c r="D32" s="17"/>
      <c r="E32" s="17"/>
      <c r="F32" s="17"/>
      <c r="G32" s="10"/>
      <c r="H32" s="17"/>
      <c r="I32" s="11"/>
      <c r="J32" s="17"/>
      <c r="K32" s="17"/>
      <c r="L32" s="11"/>
    </row>
    <row r="33" spans="1:35" x14ac:dyDescent="0.25">
      <c r="A33" s="62" t="s">
        <v>29</v>
      </c>
      <c r="B33" s="139">
        <v>5365.81</v>
      </c>
      <c r="C33" s="123">
        <f>B33+C29+B38</f>
        <v>17567.66</v>
      </c>
      <c r="D33" s="55">
        <f t="shared" ref="D33" si="13">C33+D29+C38</f>
        <v>13969.65</v>
      </c>
      <c r="E33" s="55">
        <f t="shared" ref="E33:I34" si="14">D33+E29+D38</f>
        <v>9080.8399999999983</v>
      </c>
      <c r="F33" s="131">
        <f t="shared" si="14"/>
        <v>2820.7899999999981</v>
      </c>
      <c r="G33" s="54">
        <f t="shared" si="14"/>
        <v>-786.46000000000208</v>
      </c>
      <c r="H33" s="55">
        <f t="shared" si="14"/>
        <v>-796.81000000000211</v>
      </c>
      <c r="I33" s="77">
        <f t="shared" si="14"/>
        <v>-799.03000000000213</v>
      </c>
      <c r="J33" s="146">
        <f t="shared" ref="J33:J34" si="15">I33+J29+I38</f>
        <v>-801.38000000000216</v>
      </c>
      <c r="K33" s="55">
        <f t="shared" ref="K33:K34" si="16">J33+K29+J38</f>
        <v>-803.74000000000217</v>
      </c>
      <c r="L33" s="77">
        <f t="shared" ref="L33:L34" si="17">K33+L29+K38</f>
        <v>-806.11000000000217</v>
      </c>
    </row>
    <row r="34" spans="1:35" ht="15.75" thickBot="1" x14ac:dyDescent="0.3">
      <c r="A34" t="s">
        <v>30</v>
      </c>
      <c r="B34" s="140">
        <v>43410.77</v>
      </c>
      <c r="C34" s="123">
        <f>B34+C30+B39</f>
        <v>-5542.7200000000012</v>
      </c>
      <c r="D34" s="55">
        <f t="shared" ref="D34" si="18">C34+D30+C39</f>
        <v>8570.73</v>
      </c>
      <c r="E34" s="55">
        <f t="shared" si="14"/>
        <v>23705.67</v>
      </c>
      <c r="F34" s="131">
        <f t="shared" si="14"/>
        <v>42247.67</v>
      </c>
      <c r="G34" s="54">
        <f t="shared" si="14"/>
        <v>51581.11</v>
      </c>
      <c r="H34" s="55">
        <f t="shared" si="14"/>
        <v>43414.74</v>
      </c>
      <c r="I34" s="77">
        <f t="shared" si="14"/>
        <v>35140.43</v>
      </c>
      <c r="J34" s="146">
        <f t="shared" si="15"/>
        <v>28619.444520000001</v>
      </c>
      <c r="K34" s="55">
        <f t="shared" si="16"/>
        <v>21505.732760000003</v>
      </c>
      <c r="L34" s="77">
        <f t="shared" si="17"/>
        <v>14269.94808</v>
      </c>
    </row>
    <row r="35" spans="1:35" x14ac:dyDescent="0.25">
      <c r="C35" s="122"/>
      <c r="D35" s="17"/>
      <c r="E35" s="17"/>
      <c r="F35" s="17"/>
      <c r="G35" s="10"/>
      <c r="H35" s="17"/>
      <c r="I35" s="11"/>
      <c r="J35" s="17"/>
      <c r="K35" s="17"/>
      <c r="L35" s="11"/>
    </row>
    <row r="36" spans="1:35" x14ac:dyDescent="0.25">
      <c r="A36" s="53" t="s">
        <v>65</v>
      </c>
      <c r="B36" s="53"/>
      <c r="C36" s="127"/>
      <c r="D36" s="102">
        <f>+'PCR Cycle 1'!D38</f>
        <v>2.6633099999999999E-3</v>
      </c>
      <c r="E36" s="102">
        <f>+'PCR Cycle 1'!E38</f>
        <v>2.7637299999999998E-3</v>
      </c>
      <c r="F36" s="102">
        <f>+'PCR Cycle 1'!F38</f>
        <v>2.7738900000000002E-3</v>
      </c>
      <c r="G36" s="103">
        <f>+'PCR Cycle 1'!G38</f>
        <v>2.76961E-3</v>
      </c>
      <c r="H36" s="102">
        <f>+'PCR Cycle 1'!H38</f>
        <v>2.8550200000000002E-3</v>
      </c>
      <c r="I36" s="115">
        <f>+'PCR Cycle 1'!I38</f>
        <v>2.9459999999999998E-3</v>
      </c>
      <c r="J36" s="102">
        <f>+'PCR Cycle 1'!J38</f>
        <v>2.9459999999999998E-3</v>
      </c>
      <c r="K36" s="102">
        <f>+'PCR Cycle 1'!K38</f>
        <v>2.9459999999999998E-3</v>
      </c>
      <c r="L36" s="104"/>
    </row>
    <row r="37" spans="1:35" s="62" customFormat="1" x14ac:dyDescent="0.25">
      <c r="A37" s="53" t="s">
        <v>44</v>
      </c>
      <c r="B37" s="53"/>
      <c r="C37" s="129"/>
      <c r="D37" s="102"/>
      <c r="E37" s="102"/>
      <c r="F37" s="102"/>
      <c r="G37" s="103"/>
      <c r="H37" s="102"/>
      <c r="I37" s="104"/>
      <c r="J37" s="102"/>
      <c r="K37" s="102"/>
      <c r="L37" s="104"/>
    </row>
    <row r="38" spans="1:35" x14ac:dyDescent="0.25">
      <c r="A38" s="62" t="s">
        <v>29</v>
      </c>
      <c r="C38" s="123">
        <v>-75.31</v>
      </c>
      <c r="D38" s="55">
        <f t="shared" ref="D38" si="19">ROUND((C33+C38+D29/2)*D$36,2)</f>
        <v>41.9</v>
      </c>
      <c r="E38" s="55">
        <f t="shared" ref="E38:I39" si="20">ROUND((D33+D38+E29/2)*E$36,2)</f>
        <v>31.91</v>
      </c>
      <c r="F38" s="131">
        <f t="shared" si="20"/>
        <v>16.55</v>
      </c>
      <c r="G38" s="54">
        <f t="shared" si="20"/>
        <v>2.84</v>
      </c>
      <c r="H38" s="146">
        <f t="shared" si="20"/>
        <v>-2.2599999999999998</v>
      </c>
      <c r="I38" s="65">
        <f t="shared" si="20"/>
        <v>-2.35</v>
      </c>
      <c r="J38" s="193">
        <f t="shared" ref="J38:J39" si="21">ROUND((I33+I38+J29/2)*J$36,2)</f>
        <v>-2.36</v>
      </c>
      <c r="K38" s="131">
        <f t="shared" ref="K38:K39" si="22">ROUND((J33+J38+K29/2)*K$36,2)</f>
        <v>-2.37</v>
      </c>
      <c r="L38" s="77">
        <f t="shared" ref="L38:L39" si="23">ROUND((K33+K38+L29/2)*L$36,2)</f>
        <v>0</v>
      </c>
    </row>
    <row r="39" spans="1:35" ht="15.75" thickBot="1" x14ac:dyDescent="0.3">
      <c r="A39" t="s">
        <v>30</v>
      </c>
      <c r="C39" s="123">
        <v>-50</v>
      </c>
      <c r="D39" s="55">
        <f t="shared" ref="D39" si="24">ROUND((C34+C39+D30/2)*D$36,2)</f>
        <v>3.97</v>
      </c>
      <c r="E39" s="55">
        <f t="shared" si="20"/>
        <v>44.61</v>
      </c>
      <c r="F39" s="131">
        <f t="shared" si="20"/>
        <v>91.54</v>
      </c>
      <c r="G39" s="54">
        <f t="shared" si="20"/>
        <v>130.06</v>
      </c>
      <c r="H39" s="146">
        <f t="shared" si="20"/>
        <v>135.79</v>
      </c>
      <c r="I39" s="65">
        <f t="shared" si="20"/>
        <v>115.91</v>
      </c>
      <c r="J39" s="193">
        <f t="shared" si="21"/>
        <v>94.09</v>
      </c>
      <c r="K39" s="131">
        <f t="shared" si="22"/>
        <v>73.97</v>
      </c>
      <c r="L39" s="77">
        <f t="shared" si="23"/>
        <v>0</v>
      </c>
    </row>
    <row r="40" spans="1:35" ht="16.5" thickTop="1" thickBot="1" x14ac:dyDescent="0.3">
      <c r="A40" s="70" t="s">
        <v>25</v>
      </c>
      <c r="B40" s="70"/>
      <c r="C40" s="130">
        <v>0</v>
      </c>
      <c r="D40" s="56">
        <f t="shared" ref="D40:I40" si="25">SUM(D38:D39)+SUM(D33:D34)-D43</f>
        <v>0</v>
      </c>
      <c r="E40" s="56">
        <f t="shared" si="25"/>
        <v>0</v>
      </c>
      <c r="F40" s="66">
        <f t="shared" ref="F40:H40" si="26">SUM(F38:F39)+SUM(F33:F34)-F43</f>
        <v>0</v>
      </c>
      <c r="G40" s="172">
        <f t="shared" si="26"/>
        <v>0</v>
      </c>
      <c r="H40" s="66">
        <f t="shared" si="26"/>
        <v>0</v>
      </c>
      <c r="I40" s="78">
        <f t="shared" si="25"/>
        <v>0</v>
      </c>
      <c r="J40" s="194">
        <f t="shared" ref="J40:L40" si="27">SUM(J38:J39)+SUM(J33:J34)-J43</f>
        <v>0</v>
      </c>
      <c r="K40" s="66">
        <f t="shared" si="27"/>
        <v>0</v>
      </c>
      <c r="L40" s="78">
        <f t="shared" si="27"/>
        <v>0</v>
      </c>
    </row>
    <row r="41" spans="1:35" s="62" customFormat="1" ht="16.5" thickTop="1" thickBot="1" x14ac:dyDescent="0.3">
      <c r="A41" s="70" t="s">
        <v>26</v>
      </c>
      <c r="B41" s="70"/>
      <c r="C41" s="130">
        <v>0</v>
      </c>
      <c r="D41" s="56">
        <f t="shared" ref="D41:I41" si="28">SUM(D38:D39)-D26</f>
        <v>9.9999999999980105E-3</v>
      </c>
      <c r="E41" s="56">
        <f t="shared" si="28"/>
        <v>0</v>
      </c>
      <c r="F41" s="66">
        <f t="shared" ref="F41:H41" si="29">SUM(F38:F39)-F26</f>
        <v>1.0000000000005116E-2</v>
      </c>
      <c r="G41" s="172">
        <f t="shared" si="29"/>
        <v>0</v>
      </c>
      <c r="H41" s="66">
        <f t="shared" si="29"/>
        <v>0</v>
      </c>
      <c r="I41" s="78">
        <f t="shared" si="28"/>
        <v>0</v>
      </c>
      <c r="J41" s="195">
        <f t="shared" ref="J41:L41" si="30">SUM(J38:J39)-J26</f>
        <v>0</v>
      </c>
      <c r="K41" s="56">
        <f t="shared" si="30"/>
        <v>0</v>
      </c>
      <c r="L41" s="56">
        <f t="shared" si="30"/>
        <v>0</v>
      </c>
    </row>
    <row r="42" spans="1:35" ht="16.5" thickTop="1" thickBot="1" x14ac:dyDescent="0.3">
      <c r="C42" s="122"/>
      <c r="D42" s="17"/>
      <c r="E42" s="17"/>
      <c r="F42" s="17"/>
      <c r="G42" s="10"/>
      <c r="H42" s="17"/>
      <c r="I42" s="11"/>
      <c r="J42" s="17"/>
      <c r="K42" s="17"/>
      <c r="L42" s="11"/>
    </row>
    <row r="43" spans="1:35" ht="15.75" thickBot="1" x14ac:dyDescent="0.3">
      <c r="A43" t="s">
        <v>42</v>
      </c>
      <c r="B43" s="142">
        <f>+B33+B34</f>
        <v>48776.579999999994</v>
      </c>
      <c r="C43" s="123">
        <f>(C12-SUM(C15:C16))+SUM(C38:C39)+B43</f>
        <v>11899.629999999997</v>
      </c>
      <c r="D43" s="55">
        <f t="shared" ref="D43:I43" si="31">(D12-SUM(D15:D16))+SUM(D38:D39)+C43</f>
        <v>22586.25</v>
      </c>
      <c r="E43" s="55">
        <f t="shared" si="31"/>
        <v>32863.03</v>
      </c>
      <c r="F43" s="131">
        <f t="shared" si="31"/>
        <v>45176.55</v>
      </c>
      <c r="G43" s="54">
        <f t="shared" si="31"/>
        <v>50927.55</v>
      </c>
      <c r="H43" s="55">
        <f t="shared" si="31"/>
        <v>42751.46</v>
      </c>
      <c r="I43" s="77">
        <f t="shared" si="31"/>
        <v>34454.959999999999</v>
      </c>
      <c r="J43" s="193">
        <f t="shared" ref="J43" si="32">(J12-SUM(J15:J16))+SUM(J38:J39)+I43</f>
        <v>27909.794519999999</v>
      </c>
      <c r="K43" s="131">
        <f t="shared" ref="K43" si="33">(K12-SUM(K15:K16))+SUM(K38:K39)+J43</f>
        <v>20773.59276</v>
      </c>
      <c r="L43" s="77">
        <f t="shared" ref="L43" si="34">(L12-SUM(L15:L16))+SUM(L38:L39)+K43</f>
        <v>13463.838079999998</v>
      </c>
    </row>
    <row r="44" spans="1:35" x14ac:dyDescent="0.25">
      <c r="A44" t="s">
        <v>14</v>
      </c>
      <c r="C44" s="143"/>
      <c r="D44" s="17"/>
      <c r="E44" s="17"/>
      <c r="F44" s="17"/>
      <c r="G44" s="10"/>
      <c r="H44" s="17"/>
      <c r="I44" s="11"/>
      <c r="J44" s="17"/>
      <c r="K44" s="17"/>
      <c r="L44" s="11"/>
    </row>
    <row r="45" spans="1:35" ht="15.75" thickBot="1" x14ac:dyDescent="0.3">
      <c r="A45" s="51"/>
      <c r="B45" s="51"/>
      <c r="C45" s="173"/>
      <c r="D45" s="58"/>
      <c r="E45" s="58"/>
      <c r="F45" s="58"/>
      <c r="G45" s="57"/>
      <c r="H45" s="58"/>
      <c r="I45" s="59"/>
      <c r="J45" s="58"/>
      <c r="K45" s="58"/>
      <c r="L45" s="59"/>
    </row>
    <row r="46" spans="1:35" x14ac:dyDescent="0.25">
      <c r="A46" s="62"/>
      <c r="D46" s="62"/>
      <c r="E46" s="62"/>
      <c r="I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</row>
    <row r="47" spans="1:35" x14ac:dyDescent="0.25">
      <c r="A47" s="85" t="s">
        <v>13</v>
      </c>
      <c r="B47" s="85"/>
      <c r="C47" s="85"/>
      <c r="D47" s="62"/>
      <c r="E47" s="62"/>
      <c r="I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</row>
    <row r="48" spans="1:35" ht="31.5" customHeight="1" x14ac:dyDescent="0.25">
      <c r="A48" s="235" t="s">
        <v>118</v>
      </c>
      <c r="B48" s="235"/>
      <c r="C48" s="235"/>
      <c r="D48" s="235"/>
      <c r="E48" s="235"/>
      <c r="F48" s="235"/>
      <c r="G48" s="235"/>
      <c r="H48" s="235"/>
      <c r="I48" s="235"/>
      <c r="J48" s="163"/>
      <c r="K48" s="163"/>
      <c r="L48" s="113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</row>
    <row r="49" spans="1:35" s="62" customFormat="1" ht="44.25" customHeight="1" x14ac:dyDescent="0.25">
      <c r="A49" s="235" t="s">
        <v>139</v>
      </c>
      <c r="B49" s="235"/>
      <c r="C49" s="235"/>
      <c r="D49" s="235"/>
      <c r="E49" s="235"/>
      <c r="F49" s="235"/>
      <c r="G49" s="235"/>
      <c r="H49" s="235"/>
      <c r="I49" s="235"/>
      <c r="J49" s="177"/>
      <c r="K49" s="177"/>
    </row>
    <row r="50" spans="1:35" ht="18.75" customHeight="1" x14ac:dyDescent="0.25">
      <c r="A50" s="241" t="s">
        <v>119</v>
      </c>
      <c r="B50" s="241"/>
      <c r="C50" s="241"/>
      <c r="D50" s="241"/>
      <c r="E50" s="241"/>
      <c r="F50" s="241"/>
      <c r="G50" s="241"/>
      <c r="H50" s="241"/>
      <c r="I50" s="241"/>
      <c r="J50" s="163"/>
      <c r="K50" s="163"/>
      <c r="L50" s="113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</row>
    <row r="51" spans="1:35" x14ac:dyDescent="0.25">
      <c r="A51" s="3" t="s">
        <v>91</v>
      </c>
      <c r="B51" s="3"/>
      <c r="C51" s="3"/>
    </row>
    <row r="52" spans="1:35" x14ac:dyDescent="0.25">
      <c r="A52" s="79" t="s">
        <v>137</v>
      </c>
      <c r="B52" s="3"/>
      <c r="C52" s="3"/>
    </row>
    <row r="53" spans="1:35" x14ac:dyDescent="0.25">
      <c r="A53" s="3" t="s">
        <v>92</v>
      </c>
      <c r="B53" s="3"/>
      <c r="C53" s="3"/>
    </row>
    <row r="54" spans="1:35" x14ac:dyDescent="0.25">
      <c r="A54" s="3"/>
      <c r="B54" s="3"/>
      <c r="C54" s="3"/>
    </row>
  </sheetData>
  <mergeCells count="6">
    <mergeCell ref="J10:L10"/>
    <mergeCell ref="A48:I48"/>
    <mergeCell ref="A50:I50"/>
    <mergeCell ref="D10:F10"/>
    <mergeCell ref="G10:I10"/>
    <mergeCell ref="A49:I49"/>
  </mergeCells>
  <pageMargins left="0.2" right="0.2" top="0.75" bottom="0.25" header="0.3" footer="0.3"/>
  <pageSetup scale="58" orientation="landscape" r:id="rId1"/>
  <headerFooter>
    <oddHeader>&amp;C&amp;F &amp;A</oddHeader>
    <oddFooter>&amp;R&amp;1#&amp;"Calibri"&amp;10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4"/>
  <sheetViews>
    <sheetView zoomScaleNormal="100" workbookViewId="0">
      <pane xSplit="1" ySplit="2" topLeftCell="B3" activePane="bottomRight" state="frozen"/>
      <selection activeCell="J12" sqref="J12"/>
      <selection pane="topRight" activeCell="J12" sqref="J12"/>
      <selection pane="bottomLeft" activeCell="J12" sqref="J12"/>
      <selection pane="bottomRight" activeCell="H1" sqref="H1"/>
    </sheetView>
  </sheetViews>
  <sheetFormatPr defaultRowHeight="15" x14ac:dyDescent="0.25"/>
  <cols>
    <col min="1" max="1" width="61.7109375" style="62" customWidth="1"/>
    <col min="2" max="2" width="12.140625" style="62" customWidth="1"/>
    <col min="3" max="3" width="12.42578125" style="62" customWidth="1"/>
    <col min="4" max="4" width="15.42578125" style="62" customWidth="1"/>
    <col min="5" max="5" width="15.85546875" style="62" customWidth="1"/>
    <col min="6" max="6" width="12.28515625" style="62" customWidth="1"/>
    <col min="7" max="8" width="13.28515625" style="62" customWidth="1"/>
    <col min="9" max="9" width="12.28515625" style="62" bestFit="1" customWidth="1"/>
    <col min="10" max="10" width="11.5703125" style="62" bestFit="1" customWidth="1"/>
    <col min="11" max="11" width="12.85546875" style="62" customWidth="1"/>
    <col min="12" max="12" width="16" style="62" customWidth="1"/>
    <col min="13" max="13" width="15" style="62" bestFit="1" customWidth="1"/>
    <col min="14" max="14" width="16" style="62" bestFit="1" customWidth="1"/>
    <col min="15" max="15" width="15.28515625" style="62" bestFit="1" customWidth="1"/>
    <col min="16" max="16" width="17.42578125" style="62" bestFit="1" customWidth="1"/>
    <col min="17" max="17" width="16.28515625" style="62" bestFit="1" customWidth="1"/>
    <col min="18" max="18" width="15.28515625" style="62" bestFit="1" customWidth="1"/>
    <col min="19" max="19" width="12.42578125" style="62" customWidth="1"/>
    <col min="20" max="21" width="14.28515625" style="62" bestFit="1" customWidth="1"/>
    <col min="22" max="16384" width="9.140625" style="62"/>
  </cols>
  <sheetData>
    <row r="1" spans="1:34" x14ac:dyDescent="0.25">
      <c r="A1" s="3" t="str">
        <f>+PPC!A1</f>
        <v>Kansas City Power &amp; Light Company - DSIM Rider Update Filed 11/30/2018</v>
      </c>
      <c r="B1" s="3"/>
      <c r="C1" s="3"/>
    </row>
    <row r="2" spans="1:34" x14ac:dyDescent="0.25">
      <c r="D2" s="3" t="s">
        <v>82</v>
      </c>
    </row>
    <row r="3" spans="1:34" ht="30" x14ac:dyDescent="0.25">
      <c r="D3" s="64" t="s">
        <v>62</v>
      </c>
      <c r="E3" s="86" t="s">
        <v>96</v>
      </c>
      <c r="F3" s="86" t="s">
        <v>70</v>
      </c>
      <c r="G3" s="64" t="s">
        <v>3</v>
      </c>
      <c r="H3" s="86" t="s">
        <v>71</v>
      </c>
      <c r="I3" s="64" t="s">
        <v>11</v>
      </c>
      <c r="J3" s="64" t="s">
        <v>10</v>
      </c>
      <c r="R3" s="64"/>
    </row>
    <row r="4" spans="1:34" x14ac:dyDescent="0.25">
      <c r="A4" s="22" t="s">
        <v>29</v>
      </c>
      <c r="B4" s="22"/>
      <c r="C4" s="22"/>
      <c r="D4" s="24">
        <f>SUM(C15:L15)</f>
        <v>2956947.2700000005</v>
      </c>
      <c r="E4" s="161">
        <f>M19</f>
        <v>30769194.090031583</v>
      </c>
      <c r="F4" s="24">
        <f>SUM(C23:K23)</f>
        <v>2720564.75</v>
      </c>
      <c r="G4" s="24">
        <f>F4-D4</f>
        <v>-236382.52000000048</v>
      </c>
      <c r="H4" s="24">
        <f>+B33</f>
        <v>234020.52</v>
      </c>
      <c r="I4" s="24">
        <f>SUM(C38:K38)</f>
        <v>14593</v>
      </c>
      <c r="J4" s="36">
        <f>SUM(G4:I4)</f>
        <v>12230.999999999505</v>
      </c>
      <c r="K4" s="63">
        <f>+J4-L33</f>
        <v>-2.9831426218152046E-10</v>
      </c>
    </row>
    <row r="5" spans="1:34" ht="15.75" thickBot="1" x14ac:dyDescent="0.3">
      <c r="A5" s="22" t="s">
        <v>30</v>
      </c>
      <c r="B5" s="22"/>
      <c r="C5" s="22"/>
      <c r="D5" s="24">
        <f>SUM(C16:L16)</f>
        <v>2812493.2532799998</v>
      </c>
      <c r="E5" s="161">
        <f>M20</f>
        <v>53924340.017437048</v>
      </c>
      <c r="F5" s="24">
        <f>SUM(C24:K24)</f>
        <v>2637428.0099999998</v>
      </c>
      <c r="G5" s="24">
        <f>F5-D5</f>
        <v>-175065.24328000005</v>
      </c>
      <c r="H5" s="24">
        <f>+B34</f>
        <v>186080.3</v>
      </c>
      <c r="I5" s="24">
        <f>SUM(C39:K39)</f>
        <v>13463.08</v>
      </c>
      <c r="J5" s="36">
        <f>SUM(G5:I5)</f>
        <v>24478.136719999937</v>
      </c>
      <c r="K5" s="63">
        <f>+J5-L34</f>
        <v>7.2759576141834259E-11</v>
      </c>
    </row>
    <row r="6" spans="1:34" ht="16.5" thickTop="1" thickBot="1" x14ac:dyDescent="0.3">
      <c r="D6" s="40">
        <f t="shared" ref="D6" si="0">SUM(D4:D5)</f>
        <v>5769440.5232800003</v>
      </c>
      <c r="E6" s="162">
        <f t="shared" ref="E6:H6" si="1">SUM(E4:E5)</f>
        <v>84693534.107468635</v>
      </c>
      <c r="F6" s="40">
        <f t="shared" si="1"/>
        <v>5357992.76</v>
      </c>
      <c r="G6" s="40">
        <f t="shared" si="1"/>
        <v>-411447.76328000054</v>
      </c>
      <c r="H6" s="40">
        <f t="shared" si="1"/>
        <v>420100.81999999995</v>
      </c>
      <c r="I6" s="40">
        <f>SUM(I4:I5)</f>
        <v>28056.080000000002</v>
      </c>
      <c r="J6" s="40">
        <f>SUM(J4:J5)</f>
        <v>36709.136719999442</v>
      </c>
      <c r="S6" s="5"/>
    </row>
    <row r="7" spans="1:34" ht="15.75" thickTop="1" x14ac:dyDescent="0.25"/>
    <row r="8" spans="1:34" x14ac:dyDescent="0.25">
      <c r="I8" s="4"/>
      <c r="U8" s="4"/>
    </row>
    <row r="9" spans="1:34" ht="15.75" thickBot="1" x14ac:dyDescent="0.3">
      <c r="U9" s="4"/>
      <c r="V9" s="5"/>
    </row>
    <row r="10" spans="1:34" ht="90.75" thickBot="1" x14ac:dyDescent="0.3">
      <c r="B10" s="141" t="str">
        <f>+'PCR Cycle 1'!B8</f>
        <v>Cumulative Over/Under Carryover From 06/01/2018 Filing</v>
      </c>
      <c r="C10" s="179" t="str">
        <f>+'PCR Cycle 1'!C8</f>
        <v>Reverse May-18 - June-18  Forecast From 06/01/2018 Filing</v>
      </c>
      <c r="D10" s="236" t="s">
        <v>39</v>
      </c>
      <c r="E10" s="236"/>
      <c r="F10" s="237"/>
      <c r="G10" s="242" t="s">
        <v>39</v>
      </c>
      <c r="H10" s="243"/>
      <c r="I10" s="244"/>
      <c r="J10" s="238" t="s">
        <v>9</v>
      </c>
      <c r="K10" s="239"/>
      <c r="L10" s="240"/>
    </row>
    <row r="11" spans="1:34" x14ac:dyDescent="0.25">
      <c r="A11" s="62" t="s">
        <v>84</v>
      </c>
      <c r="C11" s="128"/>
      <c r="D11" s="20">
        <f>+'PCR Cycle 1'!D9</f>
        <v>43251</v>
      </c>
      <c r="E11" s="20">
        <f t="shared" ref="E11:L11" si="2">EOMONTH(D11,1)</f>
        <v>43281</v>
      </c>
      <c r="F11" s="20">
        <f t="shared" si="2"/>
        <v>43312</v>
      </c>
      <c r="G11" s="14">
        <f t="shared" si="2"/>
        <v>43343</v>
      </c>
      <c r="H11" s="20">
        <f t="shared" si="2"/>
        <v>43373</v>
      </c>
      <c r="I11" s="15">
        <f t="shared" si="2"/>
        <v>43404</v>
      </c>
      <c r="J11" s="20">
        <f t="shared" si="2"/>
        <v>43434</v>
      </c>
      <c r="K11" s="20">
        <f t="shared" si="2"/>
        <v>43465</v>
      </c>
      <c r="L11" s="15">
        <f t="shared" si="2"/>
        <v>43496</v>
      </c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25">
      <c r="A12" s="62" t="s">
        <v>6</v>
      </c>
      <c r="C12" s="120">
        <v>-1798812.2</v>
      </c>
      <c r="D12" s="132">
        <f t="shared" ref="D12:H12" si="3">+D23+D24</f>
        <v>675453.26</v>
      </c>
      <c r="E12" s="132">
        <f t="shared" si="3"/>
        <v>1125120.9700000002</v>
      </c>
      <c r="F12" s="133">
        <f t="shared" si="3"/>
        <v>1296293.22</v>
      </c>
      <c r="G12" s="16">
        <f t="shared" si="3"/>
        <v>1279291.68</v>
      </c>
      <c r="H12" s="71">
        <f t="shared" si="3"/>
        <v>1129850.22</v>
      </c>
      <c r="I12" s="196">
        <f t="shared" ref="I12:K12" si="4">+I23+I24</f>
        <v>753028.58000000007</v>
      </c>
      <c r="J12" s="189">
        <f t="shared" si="4"/>
        <v>721413.37</v>
      </c>
      <c r="K12" s="97">
        <f t="shared" si="4"/>
        <v>176353.66</v>
      </c>
      <c r="L12" s="98"/>
    </row>
    <row r="13" spans="1:34" x14ac:dyDescent="0.25">
      <c r="C13" s="122"/>
      <c r="D13" s="17"/>
      <c r="E13" s="17"/>
      <c r="F13" s="17"/>
      <c r="G13" s="10"/>
      <c r="H13" s="17"/>
      <c r="I13" s="11"/>
      <c r="J13" s="44"/>
      <c r="K13" s="44"/>
      <c r="L13" s="42"/>
    </row>
    <row r="14" spans="1:34" x14ac:dyDescent="0.25">
      <c r="A14" s="62" t="s">
        <v>83</v>
      </c>
      <c r="C14" s="122"/>
      <c r="D14" s="18"/>
      <c r="E14" s="18"/>
      <c r="F14" s="18"/>
      <c r="G14" s="114"/>
      <c r="H14" s="18"/>
      <c r="I14" s="197"/>
      <c r="J14" s="44"/>
      <c r="K14" s="44"/>
      <c r="L14" s="42"/>
      <c r="M14" s="3" t="s">
        <v>93</v>
      </c>
      <c r="N14" s="53"/>
    </row>
    <row r="15" spans="1:34" x14ac:dyDescent="0.25">
      <c r="A15" s="62" t="s">
        <v>29</v>
      </c>
      <c r="C15" s="120">
        <v>-1073762.54</v>
      </c>
      <c r="D15" s="159">
        <f>ROUND('[3]May 2018 Combined'!H44,2)</f>
        <v>310283.77</v>
      </c>
      <c r="E15" s="159">
        <f>ROUND('[3]June 2018 Combined'!G44,2)</f>
        <v>434366.05</v>
      </c>
      <c r="F15" s="159">
        <f>ROUND('[3]July 2018 Combined'!F44,2)</f>
        <v>553405.91</v>
      </c>
      <c r="G15" s="16">
        <f>ROUND('[3]August 2018 Combined'!F44,2)</f>
        <v>513856.16</v>
      </c>
      <c r="H15" s="144">
        <f>ROUND('[3]September 2018 Combined'!F44,2)</f>
        <v>515037.49</v>
      </c>
      <c r="I15" s="201">
        <f>ROUND('[3]October 2018 Combined'!F44,2)</f>
        <v>372910.85</v>
      </c>
      <c r="J15" s="146">
        <f>'PCR Cycle 1'!J21*'TDR Cycle 2'!$M15</f>
        <v>325944.77</v>
      </c>
      <c r="K15" s="55">
        <f>'PCR Cycle 1'!K21*'TDR Cycle 2'!$M15</f>
        <v>474379.42200000002</v>
      </c>
      <c r="L15" s="77">
        <f>'PCR Cycle 1'!L21*'TDR Cycle 2'!$M15</f>
        <v>530525.38800000004</v>
      </c>
      <c r="M15" s="88">
        <v>2E-3</v>
      </c>
      <c r="N15" s="4"/>
    </row>
    <row r="16" spans="1:34" x14ac:dyDescent="0.25">
      <c r="A16" s="62" t="s">
        <v>30</v>
      </c>
      <c r="C16" s="120">
        <v>-1909186.1</v>
      </c>
      <c r="D16" s="159">
        <f>ROUND('[3]May 2018 Combined'!H45,2)</f>
        <v>552617.31999999995</v>
      </c>
      <c r="E16" s="159">
        <f>ROUND('[3]June 2018 Combined'!G45,2)</f>
        <v>589373.1</v>
      </c>
      <c r="F16" s="159">
        <f>ROUND('[3]July 2018 Combined'!F45,2)</f>
        <v>703050.17</v>
      </c>
      <c r="G16" s="16">
        <f>ROUND('[3]August 2018 Combined'!F45,2)</f>
        <v>632137.96</v>
      </c>
      <c r="H16" s="144">
        <f>ROUND('[3]September 2018 Combined'!F45,2)</f>
        <v>497531.68</v>
      </c>
      <c r="I16" s="201">
        <f>ROUND('[3]October 2018 Combined'!F45,2)</f>
        <v>498856.46</v>
      </c>
      <c r="J16" s="146">
        <f>'PCR Cycle 1'!J22*'TDR Cycle 2'!$M16</f>
        <v>391576.83332000003</v>
      </c>
      <c r="K16" s="55">
        <f>'PCR Cycle 1'!K22*'TDR Cycle 2'!$M16</f>
        <v>425260.30384000001</v>
      </c>
      <c r="L16" s="77">
        <f>'PCR Cycle 1'!L22*'TDR Cycle 2'!$M16</f>
        <v>431275.52611999999</v>
      </c>
      <c r="M16" s="88">
        <v>1.1800000000000001E-3</v>
      </c>
      <c r="N16" s="4"/>
    </row>
    <row r="17" spans="1:14" x14ac:dyDescent="0.25">
      <c r="C17" s="83"/>
      <c r="D17" s="84"/>
      <c r="E17" s="84"/>
      <c r="F17" s="84"/>
      <c r="G17" s="83"/>
      <c r="H17" s="84"/>
      <c r="I17" s="199"/>
      <c r="J17" s="72"/>
      <c r="K17" s="72"/>
      <c r="L17" s="13"/>
      <c r="N17" s="4"/>
    </row>
    <row r="18" spans="1:14" x14ac:dyDescent="0.25">
      <c r="A18" s="53" t="s">
        <v>89</v>
      </c>
      <c r="B18" s="53"/>
      <c r="C18" s="83"/>
      <c r="D18" s="72"/>
      <c r="E18" s="72"/>
      <c r="F18" s="72"/>
      <c r="G18" s="12"/>
      <c r="H18" s="72"/>
      <c r="I18" s="200"/>
      <c r="J18" s="72"/>
      <c r="K18" s="72"/>
      <c r="L18" s="13"/>
      <c r="M18" s="7"/>
    </row>
    <row r="19" spans="1:14" x14ac:dyDescent="0.25">
      <c r="A19" s="62" t="s">
        <v>29</v>
      </c>
      <c r="C19" s="125">
        <v>-9713009.3273567483</v>
      </c>
      <c r="D19" s="134">
        <f>+'[6]Monthly TD Calc'!AB285</f>
        <v>4026440.387488036</v>
      </c>
      <c r="E19" s="134">
        <f>+'[6]Monthly TD Calc'!AC285</f>
        <v>5727224.5806319937</v>
      </c>
      <c r="F19" s="148">
        <f>+'[6]Monthly TD Calc'!AD285</f>
        <v>7158918.4238835759</v>
      </c>
      <c r="G19" s="92">
        <f>+'[6]Monthly TD Calc'!AE285</f>
        <v>6885323.6824937519</v>
      </c>
      <c r="H19" s="93">
        <f>+'[6]Monthly TD Calc'!AF285</f>
        <v>5815270.3273796933</v>
      </c>
      <c r="I19" s="201">
        <f>+'[6]Monthly TD Calc'!AG285</f>
        <v>5015433.3236406371</v>
      </c>
      <c r="J19" s="190">
        <f>+'[2]KCPL Monthly TD Calc'!AH338</f>
        <v>4073413.7098418078</v>
      </c>
      <c r="K19" s="168">
        <f>+'[2]KCPL Monthly TD Calc'!AI338</f>
        <v>1780178.9820288371</v>
      </c>
      <c r="L19" s="99"/>
      <c r="M19" s="75">
        <f>SUM(C19:K19)</f>
        <v>30769194.090031583</v>
      </c>
    </row>
    <row r="20" spans="1:14" x14ac:dyDescent="0.25">
      <c r="A20" s="62" t="s">
        <v>30</v>
      </c>
      <c r="C20" s="125">
        <v>-19482117.671760187</v>
      </c>
      <c r="D20" s="134">
        <f>+'[6]Monthly TD Calc'!AB286</f>
        <v>9562994.660523491</v>
      </c>
      <c r="E20" s="134">
        <f>+'[6]Monthly TD Calc'!AC286</f>
        <v>9708154.7936944757</v>
      </c>
      <c r="F20" s="148">
        <f>+'[6]Monthly TD Calc'!AD286</f>
        <v>10250696.536389489</v>
      </c>
      <c r="G20" s="92">
        <f>+'[6]Monthly TD Calc'!AE286</f>
        <v>10648347.532365764</v>
      </c>
      <c r="H20" s="93">
        <f>+'[6]Monthly TD Calc'!AF286</f>
        <v>10022541.66360206</v>
      </c>
      <c r="I20" s="201">
        <f>+'[6]Monthly TD Calc'!AG286</f>
        <v>10724336.43131019</v>
      </c>
      <c r="J20" s="190">
        <f>+'[2]KCPL Monthly TD Calc'!AH339</f>
        <v>10587037.994678272</v>
      </c>
      <c r="K20" s="168">
        <f>+'[2]KCPL Monthly TD Calc'!AI339</f>
        <v>1902348.0766334939</v>
      </c>
      <c r="L20" s="99"/>
      <c r="M20" s="75">
        <f>SUM(C20:K20)</f>
        <v>53924340.017437048</v>
      </c>
    </row>
    <row r="21" spans="1:14" x14ac:dyDescent="0.25">
      <c r="C21" s="83"/>
      <c r="D21" s="84"/>
      <c r="E21" s="84"/>
      <c r="F21" s="84"/>
      <c r="G21" s="83"/>
      <c r="H21" s="84"/>
      <c r="I21" s="199"/>
      <c r="J21" s="72"/>
      <c r="K21" s="72"/>
      <c r="L21" s="13"/>
    </row>
    <row r="22" spans="1:14" x14ac:dyDescent="0.25">
      <c r="A22" s="62" t="s">
        <v>94</v>
      </c>
      <c r="C22" s="50"/>
      <c r="D22" s="51"/>
      <c r="E22" s="51"/>
      <c r="F22" s="51"/>
      <c r="G22" s="50"/>
      <c r="H22" s="51"/>
      <c r="I22" s="202"/>
      <c r="J22" s="68"/>
      <c r="K22" s="68"/>
      <c r="L22" s="52"/>
    </row>
    <row r="23" spans="1:14" x14ac:dyDescent="0.25">
      <c r="A23" s="62" t="s">
        <v>29</v>
      </c>
      <c r="C23" s="120">
        <v>-828927.64</v>
      </c>
      <c r="D23" s="132">
        <f>ROUND('[6]Monthly TD Calc'!AB318,2)</f>
        <v>272753.65999999997</v>
      </c>
      <c r="E23" s="132">
        <f>ROUND('[6]Monthly TD Calc'!AC318,2)</f>
        <v>568183.91</v>
      </c>
      <c r="F23" s="133">
        <f>ROUND('[6]Monthly TD Calc'!AD318,2)</f>
        <v>735817.75</v>
      </c>
      <c r="G23" s="16">
        <f>ROUND('[6]Monthly TD Calc'!AE318,2)</f>
        <v>706654.49</v>
      </c>
      <c r="H23" s="71">
        <f>ROUND('[6]Monthly TD Calc'!AF318,2)</f>
        <v>581661.98</v>
      </c>
      <c r="I23" s="201">
        <f>ROUND('[6]Monthly TD Calc'!AG318,2)</f>
        <v>313750.13</v>
      </c>
      <c r="J23" s="191">
        <f>ROUND('[2]KCPL Monthly TD Calc'!AH317,2)</f>
        <v>268702.02</v>
      </c>
      <c r="K23" s="167">
        <f>ROUND('[2]KCPL Monthly TD Calc'!AI317,2)</f>
        <v>101968.45</v>
      </c>
      <c r="L23" s="98"/>
    </row>
    <row r="24" spans="1:14" x14ac:dyDescent="0.25">
      <c r="A24" s="62" t="s">
        <v>30</v>
      </c>
      <c r="C24" s="120">
        <v>-969884.56</v>
      </c>
      <c r="D24" s="132">
        <f>ROUND('[6]Monthly TD Calc'!AB319,2)</f>
        <v>402699.6</v>
      </c>
      <c r="E24" s="132">
        <f>ROUND('[6]Monthly TD Calc'!AC319,2)</f>
        <v>556937.06000000006</v>
      </c>
      <c r="F24" s="133">
        <f>ROUND('[6]Monthly TD Calc'!AD319,2)</f>
        <v>560475.47</v>
      </c>
      <c r="G24" s="16">
        <f>ROUND('[6]Monthly TD Calc'!AE319,2)</f>
        <v>572637.18999999994</v>
      </c>
      <c r="H24" s="71">
        <f>ROUND('[6]Monthly TD Calc'!AF319,2)</f>
        <v>548188.24</v>
      </c>
      <c r="I24" s="201">
        <f>ROUND('[6]Monthly TD Calc'!AG319,2)</f>
        <v>439278.45</v>
      </c>
      <c r="J24" s="191">
        <f>ROUND('[2]KCPL Monthly TD Calc'!AH318,2)</f>
        <v>452711.35</v>
      </c>
      <c r="K24" s="167">
        <f>ROUND('[2]KCPL Monthly TD Calc'!AI318,2)</f>
        <v>74385.210000000006</v>
      </c>
      <c r="L24" s="98"/>
      <c r="N24" s="63"/>
    </row>
    <row r="25" spans="1:14" x14ac:dyDescent="0.25">
      <c r="C25" s="122"/>
      <c r="D25" s="18"/>
      <c r="E25" s="18"/>
      <c r="F25" s="18"/>
      <c r="G25" s="114"/>
      <c r="H25" s="18"/>
      <c r="I25" s="197"/>
      <c r="J25" s="72"/>
      <c r="K25" s="72"/>
      <c r="L25" s="13"/>
    </row>
    <row r="26" spans="1:14" ht="15.75" thickBot="1" x14ac:dyDescent="0.3">
      <c r="A26" s="3" t="s">
        <v>18</v>
      </c>
      <c r="B26" s="3"/>
      <c r="C26" s="126">
        <v>-8018.79</v>
      </c>
      <c r="D26" s="159">
        <v>4001.6000000000004</v>
      </c>
      <c r="E26" s="159">
        <v>4044.62</v>
      </c>
      <c r="F26" s="160">
        <v>4266.58</v>
      </c>
      <c r="G26" s="39">
        <v>4511.55</v>
      </c>
      <c r="H26" s="145">
        <v>5021.2700000000004</v>
      </c>
      <c r="I26" s="203">
        <v>5193.93</v>
      </c>
      <c r="J26" s="192">
        <v>5040.07</v>
      </c>
      <c r="K26" s="169">
        <v>3995.24</v>
      </c>
      <c r="L26" s="101"/>
    </row>
    <row r="27" spans="1:14" x14ac:dyDescent="0.25">
      <c r="C27" s="80"/>
      <c r="D27" s="82"/>
      <c r="E27" s="82"/>
      <c r="F27" s="47"/>
      <c r="G27" s="80"/>
      <c r="H27" s="47"/>
      <c r="I27" s="204"/>
      <c r="J27" s="48"/>
      <c r="K27" s="48"/>
      <c r="L27" s="76"/>
    </row>
    <row r="28" spans="1:14" x14ac:dyDescent="0.25">
      <c r="A28" s="62" t="s">
        <v>68</v>
      </c>
      <c r="C28" s="81"/>
      <c r="D28" s="49"/>
      <c r="E28" s="49"/>
      <c r="F28" s="49"/>
      <c r="G28" s="81"/>
      <c r="H28" s="49"/>
      <c r="I28" s="205"/>
      <c r="J28" s="48"/>
      <c r="K28" s="48"/>
      <c r="L28" s="76"/>
    </row>
    <row r="29" spans="1:14" x14ac:dyDescent="0.25">
      <c r="A29" s="62" t="s">
        <v>29</v>
      </c>
      <c r="C29" s="123">
        <f t="shared" ref="C29:L30" si="5">C23-C15</f>
        <v>244834.90000000002</v>
      </c>
      <c r="D29" s="55">
        <f t="shared" si="5"/>
        <v>-37530.110000000044</v>
      </c>
      <c r="E29" s="55">
        <f t="shared" si="5"/>
        <v>133817.86000000004</v>
      </c>
      <c r="F29" s="131">
        <f t="shared" si="5"/>
        <v>182411.83999999997</v>
      </c>
      <c r="G29" s="54">
        <f t="shared" si="5"/>
        <v>192798.33000000002</v>
      </c>
      <c r="H29" s="55">
        <f t="shared" si="5"/>
        <v>66624.489999999991</v>
      </c>
      <c r="I29" s="77">
        <f t="shared" si="5"/>
        <v>-59160.719999999972</v>
      </c>
      <c r="J29" s="146">
        <f t="shared" si="5"/>
        <v>-57242.75</v>
      </c>
      <c r="K29" s="55">
        <f t="shared" si="5"/>
        <v>-372410.97200000001</v>
      </c>
      <c r="L29" s="77">
        <f t="shared" si="5"/>
        <v>-530525.38800000004</v>
      </c>
    </row>
    <row r="30" spans="1:14" x14ac:dyDescent="0.25">
      <c r="A30" s="62" t="s">
        <v>30</v>
      </c>
      <c r="C30" s="123">
        <f t="shared" si="5"/>
        <v>939301.54</v>
      </c>
      <c r="D30" s="55">
        <f t="shared" si="5"/>
        <v>-149917.71999999997</v>
      </c>
      <c r="E30" s="55">
        <f t="shared" si="5"/>
        <v>-32436.039999999921</v>
      </c>
      <c r="F30" s="131">
        <f t="shared" si="5"/>
        <v>-142574.70000000007</v>
      </c>
      <c r="G30" s="54">
        <f t="shared" si="5"/>
        <v>-59500.770000000019</v>
      </c>
      <c r="H30" s="55">
        <f t="shared" si="5"/>
        <v>50656.56</v>
      </c>
      <c r="I30" s="77">
        <f t="shared" si="5"/>
        <v>-59578.010000000009</v>
      </c>
      <c r="J30" s="146">
        <f t="shared" si="5"/>
        <v>61134.516679999942</v>
      </c>
      <c r="K30" s="55">
        <f t="shared" si="5"/>
        <v>-350875.09383999999</v>
      </c>
      <c r="L30" s="77">
        <f t="shared" si="5"/>
        <v>-431275.52611999999</v>
      </c>
    </row>
    <row r="31" spans="1:14" x14ac:dyDescent="0.25">
      <c r="C31" s="122"/>
      <c r="D31" s="17"/>
      <c r="E31" s="17"/>
      <c r="F31" s="17"/>
      <c r="G31" s="10"/>
      <c r="H31" s="17"/>
      <c r="I31" s="11"/>
      <c r="J31" s="17"/>
      <c r="K31" s="17"/>
      <c r="L31" s="11"/>
    </row>
    <row r="32" spans="1:14" ht="15.75" thickBot="1" x14ac:dyDescent="0.3">
      <c r="A32" s="62" t="s">
        <v>69</v>
      </c>
      <c r="C32" s="122"/>
      <c r="D32" s="17"/>
      <c r="E32" s="17"/>
      <c r="F32" s="17"/>
      <c r="G32" s="10"/>
      <c r="H32" s="17"/>
      <c r="I32" s="11"/>
      <c r="J32" s="17"/>
      <c r="K32" s="17"/>
      <c r="L32" s="11"/>
    </row>
    <row r="33" spans="1:12" x14ac:dyDescent="0.25">
      <c r="A33" s="62" t="s">
        <v>29</v>
      </c>
      <c r="B33" s="139">
        <v>234020.52</v>
      </c>
      <c r="C33" s="123">
        <f>+B33+C29+B38</f>
        <v>478855.42000000004</v>
      </c>
      <c r="D33" s="55">
        <f t="shared" ref="D33:L33" si="6">+C33+D29+C38</f>
        <v>438428.05</v>
      </c>
      <c r="E33" s="55">
        <f t="shared" si="6"/>
        <v>573463.56000000006</v>
      </c>
      <c r="F33" s="131">
        <f t="shared" si="6"/>
        <v>757275.38</v>
      </c>
      <c r="G33" s="54">
        <f t="shared" si="6"/>
        <v>951921.30999999994</v>
      </c>
      <c r="H33" s="55">
        <f t="shared" si="6"/>
        <v>1020915.2599999999</v>
      </c>
      <c r="I33" s="77">
        <f t="shared" si="6"/>
        <v>964574.16999999993</v>
      </c>
      <c r="J33" s="146">
        <f t="shared" si="6"/>
        <v>910260.2</v>
      </c>
      <c r="K33" s="55">
        <f t="shared" si="6"/>
        <v>540615.17799999984</v>
      </c>
      <c r="L33" s="77">
        <f t="shared" si="6"/>
        <v>12230.999999999804</v>
      </c>
    </row>
    <row r="34" spans="1:12" ht="15.75" thickBot="1" x14ac:dyDescent="0.3">
      <c r="A34" s="62" t="s">
        <v>30</v>
      </c>
      <c r="B34" s="140">
        <v>186080.3</v>
      </c>
      <c r="C34" s="123">
        <f>+B34+C30+B39</f>
        <v>1125381.8400000001</v>
      </c>
      <c r="D34" s="55">
        <f t="shared" ref="D34:L34" si="7">+C34+D30+C39</f>
        <v>970342.59000000008</v>
      </c>
      <c r="E34" s="55">
        <f t="shared" si="7"/>
        <v>940690.51000000013</v>
      </c>
      <c r="F34" s="131">
        <f t="shared" si="7"/>
        <v>800760.45000000007</v>
      </c>
      <c r="G34" s="54">
        <f t="shared" si="7"/>
        <v>743678.64</v>
      </c>
      <c r="H34" s="55">
        <f t="shared" si="7"/>
        <v>796477.29999999993</v>
      </c>
      <c r="I34" s="77">
        <f t="shared" si="7"/>
        <v>739100.94</v>
      </c>
      <c r="J34" s="146">
        <f t="shared" si="7"/>
        <v>802500.60667999985</v>
      </c>
      <c r="K34" s="55">
        <f t="shared" si="7"/>
        <v>453899.63283999986</v>
      </c>
      <c r="L34" s="77">
        <f t="shared" si="7"/>
        <v>24478.136719999864</v>
      </c>
    </row>
    <row r="35" spans="1:12" x14ac:dyDescent="0.25">
      <c r="C35" s="122"/>
      <c r="D35" s="17"/>
      <c r="E35" s="17"/>
      <c r="F35" s="17"/>
      <c r="G35" s="10"/>
      <c r="H35" s="17"/>
      <c r="I35" s="11"/>
      <c r="J35" s="17"/>
      <c r="K35" s="17"/>
      <c r="L35" s="11"/>
    </row>
    <row r="36" spans="1:12" x14ac:dyDescent="0.25">
      <c r="A36" s="53" t="s">
        <v>65</v>
      </c>
      <c r="B36" s="53"/>
      <c r="C36" s="127"/>
      <c r="D36" s="102">
        <f>+'PCR Cycle 1'!D38</f>
        <v>2.6633099999999999E-3</v>
      </c>
      <c r="E36" s="102">
        <f>+'PCR Cycle 1'!E38</f>
        <v>2.7637299999999998E-3</v>
      </c>
      <c r="F36" s="102">
        <f>+'PCR Cycle 1'!F38</f>
        <v>2.7738900000000002E-3</v>
      </c>
      <c r="G36" s="103">
        <f>+'PCR Cycle 1'!G38</f>
        <v>2.76961E-3</v>
      </c>
      <c r="H36" s="102">
        <f>+'PCR Cycle 1'!H38</f>
        <v>2.8550200000000002E-3</v>
      </c>
      <c r="I36" s="115">
        <f>+'PCR Cycle 1'!I38</f>
        <v>2.9459999999999998E-3</v>
      </c>
      <c r="J36" s="102">
        <f>+'PCR Cycle 1'!J38</f>
        <v>2.9459999999999998E-3</v>
      </c>
      <c r="K36" s="102">
        <f>+'PCR Cycle 1'!K38</f>
        <v>2.9459999999999998E-3</v>
      </c>
      <c r="L36" s="104"/>
    </row>
    <row r="37" spans="1:12" x14ac:dyDescent="0.25">
      <c r="A37" s="53" t="s">
        <v>44</v>
      </c>
      <c r="B37" s="53"/>
      <c r="C37" s="129"/>
      <c r="D37" s="102"/>
      <c r="E37" s="102"/>
      <c r="F37" s="102"/>
      <c r="G37" s="103"/>
      <c r="H37" s="102"/>
      <c r="I37" s="104"/>
      <c r="J37" s="102"/>
      <c r="K37" s="102"/>
      <c r="L37" s="104"/>
    </row>
    <row r="38" spans="1:12" x14ac:dyDescent="0.25">
      <c r="A38" s="62" t="s">
        <v>29</v>
      </c>
      <c r="C38" s="123">
        <v>-2897.26</v>
      </c>
      <c r="D38" s="55">
        <f t="shared" ref="D38" si="8">ROUND((C33+C38+D29/2)*D$36,2)</f>
        <v>1217.6500000000001</v>
      </c>
      <c r="E38" s="55">
        <f t="shared" ref="E38:E39" si="9">ROUND((D33+D38+E29/2)*E$36,2)</f>
        <v>1399.98</v>
      </c>
      <c r="F38" s="131">
        <f t="shared" ref="F38:F39" si="10">ROUND((E33+E38+F29/2)*F$36,2)</f>
        <v>1847.6</v>
      </c>
      <c r="G38" s="54">
        <f t="shared" ref="G38:G39" si="11">ROUND((F33+F38+G29/2)*G$36,2)</f>
        <v>2369.46</v>
      </c>
      <c r="H38" s="146">
        <f t="shared" ref="H38:I39" si="12">ROUND((G33+G38+H29/2)*H$36,2)</f>
        <v>2819.63</v>
      </c>
      <c r="I38" s="77">
        <f t="shared" si="12"/>
        <v>2928.78</v>
      </c>
      <c r="J38" s="193">
        <f t="shared" ref="J38:J39" si="13">ROUND((I33+I38+J29/2)*J$36,2)</f>
        <v>2765.95</v>
      </c>
      <c r="K38" s="131">
        <f t="shared" ref="K38:K39" si="14">ROUND((J33+J38+K29/2)*K$36,2)</f>
        <v>2141.21</v>
      </c>
      <c r="L38" s="77">
        <f t="shared" ref="L38:L39" si="15">ROUND((K33+K38+L29/2)*L$36,2)</f>
        <v>0</v>
      </c>
    </row>
    <row r="39" spans="1:12" ht="15.75" thickBot="1" x14ac:dyDescent="0.3">
      <c r="A39" s="62" t="s">
        <v>30</v>
      </c>
      <c r="C39" s="123">
        <v>-5121.53</v>
      </c>
      <c r="D39" s="55">
        <f>ROUND((C34+C39+D30/2)*D$36,2)</f>
        <v>2783.96</v>
      </c>
      <c r="E39" s="55">
        <f t="shared" si="9"/>
        <v>2644.64</v>
      </c>
      <c r="F39" s="131">
        <f t="shared" si="10"/>
        <v>2418.96</v>
      </c>
      <c r="G39" s="54">
        <f t="shared" si="11"/>
        <v>2142.1</v>
      </c>
      <c r="H39" s="146">
        <f t="shared" si="12"/>
        <v>2201.65</v>
      </c>
      <c r="I39" s="77">
        <f t="shared" si="12"/>
        <v>2265.15</v>
      </c>
      <c r="J39" s="193">
        <f t="shared" si="13"/>
        <v>2274.12</v>
      </c>
      <c r="K39" s="131">
        <f t="shared" si="14"/>
        <v>1854.03</v>
      </c>
      <c r="L39" s="77">
        <f t="shared" si="15"/>
        <v>0</v>
      </c>
    </row>
    <row r="40" spans="1:12" ht="16.5" thickTop="1" thickBot="1" x14ac:dyDescent="0.3">
      <c r="A40" s="70" t="s">
        <v>25</v>
      </c>
      <c r="B40" s="70"/>
      <c r="C40" s="130">
        <v>0</v>
      </c>
      <c r="D40" s="56">
        <f t="shared" ref="D40:L40" si="16">SUM(D38:D39)+SUM(D33:D34)-D43</f>
        <v>0</v>
      </c>
      <c r="E40" s="56">
        <f t="shared" si="16"/>
        <v>0</v>
      </c>
      <c r="F40" s="66">
        <f t="shared" si="16"/>
        <v>0</v>
      </c>
      <c r="G40" s="67">
        <f t="shared" si="16"/>
        <v>0</v>
      </c>
      <c r="H40" s="56">
        <f t="shared" si="16"/>
        <v>0</v>
      </c>
      <c r="I40" s="78">
        <f t="shared" si="16"/>
        <v>0</v>
      </c>
      <c r="J40" s="194">
        <f t="shared" si="16"/>
        <v>0</v>
      </c>
      <c r="K40" s="66">
        <f t="shared" si="16"/>
        <v>0</v>
      </c>
      <c r="L40" s="78">
        <f t="shared" si="16"/>
        <v>-7.4942363426089287E-10</v>
      </c>
    </row>
    <row r="41" spans="1:12" ht="16.5" thickTop="1" thickBot="1" x14ac:dyDescent="0.3">
      <c r="A41" s="70" t="s">
        <v>26</v>
      </c>
      <c r="B41" s="70"/>
      <c r="C41" s="130">
        <v>0</v>
      </c>
      <c r="D41" s="56">
        <f>SUM(D38:D39)-D26</f>
        <v>9.9999999997635314E-3</v>
      </c>
      <c r="E41" s="56">
        <f t="shared" ref="E41:I41" si="17">SUM(E38:E39)-E26</f>
        <v>0</v>
      </c>
      <c r="F41" s="66">
        <f t="shared" ref="F41:H41" si="18">SUM(F38:F39)-F26</f>
        <v>-2.0000000000436557E-2</v>
      </c>
      <c r="G41" s="67">
        <f t="shared" si="18"/>
        <v>9.999999999308784E-3</v>
      </c>
      <c r="H41" s="56">
        <f t="shared" si="18"/>
        <v>1.0000000000218279E-2</v>
      </c>
      <c r="I41" s="78">
        <f t="shared" si="17"/>
        <v>0</v>
      </c>
      <c r="J41" s="195">
        <f t="shared" ref="J41:L41" si="19">SUM(J38:J39)-J26</f>
        <v>0</v>
      </c>
      <c r="K41" s="56">
        <f t="shared" si="19"/>
        <v>0</v>
      </c>
      <c r="L41" s="56">
        <f t="shared" si="19"/>
        <v>0</v>
      </c>
    </row>
    <row r="42" spans="1:12" ht="16.5" thickTop="1" thickBot="1" x14ac:dyDescent="0.3">
      <c r="C42" s="122"/>
      <c r="D42" s="17"/>
      <c r="E42" s="17"/>
      <c r="F42" s="17"/>
      <c r="G42" s="10"/>
      <c r="H42" s="17"/>
      <c r="I42" s="11"/>
      <c r="J42" s="17"/>
      <c r="K42" s="17"/>
      <c r="L42" s="11"/>
    </row>
    <row r="43" spans="1:12" ht="15.75" thickBot="1" x14ac:dyDescent="0.3">
      <c r="A43" s="62" t="s">
        <v>42</v>
      </c>
      <c r="B43" s="142">
        <f>+B33+B34</f>
        <v>420100.81999999995</v>
      </c>
      <c r="C43" s="123">
        <f>(C12-SUM(C15:C16))+SUM(C38:C39)+B43</f>
        <v>1596218.4700000002</v>
      </c>
      <c r="D43" s="55">
        <f t="shared" ref="D43:L43" si="20">(D12-SUM(D15:D16))+SUM(D38:D39)+C43</f>
        <v>1412772.2500000002</v>
      </c>
      <c r="E43" s="55">
        <f t="shared" si="20"/>
        <v>1518198.6900000004</v>
      </c>
      <c r="F43" s="131">
        <f t="shared" si="20"/>
        <v>1562302.3900000004</v>
      </c>
      <c r="G43" s="54">
        <f t="shared" si="20"/>
        <v>1700111.5100000005</v>
      </c>
      <c r="H43" s="55">
        <f t="shared" si="20"/>
        <v>1822413.8400000005</v>
      </c>
      <c r="I43" s="77">
        <f t="shared" si="20"/>
        <v>1708869.0400000005</v>
      </c>
      <c r="J43" s="193">
        <f t="shared" si="20"/>
        <v>1717800.8766800005</v>
      </c>
      <c r="K43" s="131">
        <f t="shared" si="20"/>
        <v>998510.05084000051</v>
      </c>
      <c r="L43" s="77">
        <f t="shared" si="20"/>
        <v>36709.136720000417</v>
      </c>
    </row>
    <row r="44" spans="1:12" x14ac:dyDescent="0.25">
      <c r="A44" s="62" t="s">
        <v>14</v>
      </c>
      <c r="C44" s="143"/>
      <c r="D44" s="17"/>
      <c r="E44" s="17"/>
      <c r="F44" s="17"/>
      <c r="G44" s="10"/>
      <c r="H44" s="17"/>
      <c r="I44" s="11"/>
      <c r="J44" s="17"/>
      <c r="K44" s="17"/>
      <c r="L44" s="11"/>
    </row>
    <row r="45" spans="1:12" ht="15.75" thickBot="1" x14ac:dyDescent="0.3">
      <c r="A45" s="51"/>
      <c r="B45" s="51"/>
      <c r="C45" s="173"/>
      <c r="D45" s="58"/>
      <c r="E45" s="58"/>
      <c r="F45" s="58"/>
      <c r="G45" s="57"/>
      <c r="H45" s="58"/>
      <c r="I45" s="59"/>
      <c r="J45" s="58"/>
      <c r="K45" s="58"/>
      <c r="L45" s="59"/>
    </row>
    <row r="47" spans="1:12" x14ac:dyDescent="0.25">
      <c r="A47" s="85" t="s">
        <v>13</v>
      </c>
      <c r="B47" s="85"/>
      <c r="C47" s="85"/>
    </row>
    <row r="48" spans="1:12" ht="34.5" customHeight="1" x14ac:dyDescent="0.25">
      <c r="A48" s="235" t="s">
        <v>147</v>
      </c>
      <c r="B48" s="235"/>
      <c r="C48" s="235"/>
      <c r="D48" s="235"/>
      <c r="E48" s="235"/>
      <c r="F48" s="235"/>
      <c r="G48" s="235"/>
      <c r="H48" s="235"/>
      <c r="I48" s="235"/>
      <c r="J48" s="227"/>
      <c r="K48" s="170"/>
      <c r="L48" s="170"/>
    </row>
    <row r="49" spans="1:12" ht="42.75" customHeight="1" x14ac:dyDescent="0.25">
      <c r="A49" s="235" t="s">
        <v>140</v>
      </c>
      <c r="B49" s="235"/>
      <c r="C49" s="235"/>
      <c r="D49" s="235"/>
      <c r="E49" s="235"/>
      <c r="F49" s="235"/>
      <c r="G49" s="235"/>
      <c r="H49" s="235"/>
      <c r="I49" s="235"/>
      <c r="J49" s="235"/>
      <c r="K49" s="170"/>
      <c r="L49" s="170"/>
    </row>
    <row r="50" spans="1:12" ht="33.75" customHeight="1" x14ac:dyDescent="0.25">
      <c r="A50" s="235" t="s">
        <v>148</v>
      </c>
      <c r="B50" s="235"/>
      <c r="C50" s="235"/>
      <c r="D50" s="235"/>
      <c r="E50" s="235"/>
      <c r="F50" s="235"/>
      <c r="G50" s="235"/>
      <c r="H50" s="235"/>
      <c r="I50" s="235"/>
      <c r="J50" s="227"/>
      <c r="K50" s="170"/>
      <c r="L50" s="170"/>
    </row>
    <row r="51" spans="1:12" x14ac:dyDescent="0.25">
      <c r="A51" s="3" t="s">
        <v>91</v>
      </c>
      <c r="B51" s="3"/>
      <c r="C51" s="3"/>
    </row>
    <row r="52" spans="1:12" x14ac:dyDescent="0.25">
      <c r="A52" s="79" t="s">
        <v>137</v>
      </c>
      <c r="B52" s="3"/>
      <c r="C52" s="3"/>
    </row>
    <row r="53" spans="1:12" x14ac:dyDescent="0.25">
      <c r="A53" s="3" t="s">
        <v>95</v>
      </c>
      <c r="B53" s="3"/>
      <c r="C53" s="3"/>
    </row>
    <row r="54" spans="1:12" x14ac:dyDescent="0.25">
      <c r="A54" s="3"/>
      <c r="B54" s="3"/>
      <c r="C54" s="3"/>
    </row>
  </sheetData>
  <mergeCells count="6">
    <mergeCell ref="A50:I50"/>
    <mergeCell ref="D10:F10"/>
    <mergeCell ref="A48:I48"/>
    <mergeCell ref="A49:J49"/>
    <mergeCell ref="G10:I10"/>
    <mergeCell ref="J10:L10"/>
  </mergeCells>
  <pageMargins left="0.2" right="0.2" top="0.75" bottom="0.25" header="0.3" footer="0.3"/>
  <pageSetup scale="56" orientation="landscape" r:id="rId1"/>
  <headerFooter>
    <oddHeader>&amp;C&amp;F &amp;A</oddHeader>
    <oddFooter>&amp;R&amp;1#&amp;"Calibri"&amp;10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workbookViewId="0">
      <selection activeCell="D5" sqref="D5"/>
    </sheetView>
  </sheetViews>
  <sheetFormatPr defaultRowHeight="15" x14ac:dyDescent="0.25"/>
  <cols>
    <col min="1" max="1" width="58.140625" customWidth="1"/>
    <col min="2" max="2" width="14.28515625" bestFit="1" customWidth="1"/>
    <col min="3" max="3" width="14.28515625" style="62" customWidth="1"/>
    <col min="4" max="4" width="13.28515625" bestFit="1" customWidth="1"/>
  </cols>
  <sheetData>
    <row r="1" spans="1:5" x14ac:dyDescent="0.25">
      <c r="A1" s="79" t="str">
        <f>+PPC!A1</f>
        <v>Kansas City Power &amp; Light Company - DSIM Rider Update Filed 11/30/2018</v>
      </c>
      <c r="B1" s="62"/>
      <c r="D1" s="62"/>
      <c r="E1" s="62"/>
    </row>
    <row r="2" spans="1:5" x14ac:dyDescent="0.25">
      <c r="A2" s="9" t="str">
        <f>+PPC!A2</f>
        <v>Projections for Cycle 2 January 2019 - June 2019 DSIM</v>
      </c>
      <c r="B2" s="62"/>
      <c r="D2" s="62"/>
      <c r="E2" s="62"/>
    </row>
    <row r="3" spans="1:5" ht="45.75" customHeight="1" x14ac:dyDescent="0.25">
      <c r="A3" s="62"/>
      <c r="B3" s="230" t="s">
        <v>97</v>
      </c>
      <c r="C3" s="230"/>
      <c r="D3" s="230"/>
      <c r="E3" s="62"/>
    </row>
    <row r="4" spans="1:5" x14ac:dyDescent="0.25">
      <c r="A4" s="62"/>
      <c r="D4" s="64"/>
      <c r="E4" s="62"/>
    </row>
    <row r="5" spans="1:5" s="62" customFormat="1" x14ac:dyDescent="0.25">
      <c r="A5" s="186" t="s">
        <v>101</v>
      </c>
      <c r="B5" s="86"/>
      <c r="C5" s="86"/>
      <c r="D5" s="183">
        <v>9917518.1799999997</v>
      </c>
    </row>
    <row r="6" spans="1:5" s="62" customFormat="1" x14ac:dyDescent="0.25">
      <c r="A6" s="186"/>
      <c r="B6" s="86"/>
      <c r="C6" s="86"/>
      <c r="D6" s="183"/>
    </row>
    <row r="7" spans="1:5" s="62" customFormat="1" x14ac:dyDescent="0.25">
      <c r="A7" s="186" t="s">
        <v>102</v>
      </c>
      <c r="B7" s="86"/>
      <c r="C7" s="86"/>
      <c r="D7" s="183">
        <v>10412605.24</v>
      </c>
    </row>
    <row r="8" spans="1:5" s="62" customFormat="1" x14ac:dyDescent="0.25">
      <c r="A8" s="22"/>
      <c r="B8" s="86"/>
      <c r="C8" s="86"/>
      <c r="D8" s="183"/>
    </row>
    <row r="9" spans="1:5" s="62" customFormat="1" x14ac:dyDescent="0.25">
      <c r="A9" s="186" t="s">
        <v>104</v>
      </c>
      <c r="B9" s="86"/>
      <c r="C9" s="86"/>
      <c r="D9" s="183">
        <f>ROUND(D7/3,2)*0</f>
        <v>0</v>
      </c>
    </row>
    <row r="10" spans="1:5" s="62" customFormat="1" x14ac:dyDescent="0.25">
      <c r="A10" s="3" t="s">
        <v>125</v>
      </c>
      <c r="B10" s="86"/>
      <c r="C10" s="86"/>
      <c r="D10" s="183"/>
    </row>
    <row r="11" spans="1:5" s="62" customFormat="1" ht="30" x14ac:dyDescent="0.25">
      <c r="A11" s="22"/>
      <c r="B11" s="86" t="s">
        <v>105</v>
      </c>
      <c r="C11" s="86" t="s">
        <v>106</v>
      </c>
      <c r="D11" s="180"/>
    </row>
    <row r="12" spans="1:5" x14ac:dyDescent="0.25">
      <c r="A12" s="22" t="s">
        <v>29</v>
      </c>
      <c r="B12" s="93">
        <v>55891906.5</v>
      </c>
      <c r="C12" s="181">
        <f>+B12/$B$14</f>
        <v>0.29573570798660664</v>
      </c>
      <c r="D12" s="36">
        <f>ROUND($D$9*C12,2)</f>
        <v>0</v>
      </c>
      <c r="E12" s="4"/>
    </row>
    <row r="13" spans="1:5" x14ac:dyDescent="0.25">
      <c r="A13" s="22" t="s">
        <v>30</v>
      </c>
      <c r="B13" s="93">
        <v>133100849.5</v>
      </c>
      <c r="C13" s="181">
        <f>+B13/$B$14</f>
        <v>0.70426429201339336</v>
      </c>
      <c r="D13" s="36">
        <f>ROUND($D$9*C13,2)</f>
        <v>0</v>
      </c>
      <c r="E13" s="4"/>
    </row>
    <row r="14" spans="1:5" ht="15.75" thickBot="1" x14ac:dyDescent="0.3">
      <c r="A14" s="22" t="s">
        <v>6</v>
      </c>
      <c r="B14" s="35">
        <f>SUM(B12:B13)</f>
        <v>188992756</v>
      </c>
      <c r="C14" s="182">
        <f>SUM(C12:C13)</f>
        <v>1</v>
      </c>
      <c r="D14" s="24">
        <f>SUM(D12:D13)</f>
        <v>0</v>
      </c>
      <c r="E14" s="4"/>
    </row>
    <row r="15" spans="1:5" ht="16.5" thickTop="1" thickBot="1" x14ac:dyDescent="0.3">
      <c r="A15" s="62"/>
      <c r="B15" s="33" t="s">
        <v>12</v>
      </c>
      <c r="C15" s="33"/>
      <c r="D15" s="21">
        <f>ROUND(D7/3,2)*0-D14</f>
        <v>0</v>
      </c>
      <c r="E15" s="2"/>
    </row>
    <row r="16" spans="1:5" ht="15.75" thickTop="1" x14ac:dyDescent="0.25">
      <c r="A16" s="62"/>
      <c r="B16" s="62"/>
      <c r="D16" s="62"/>
      <c r="E16" s="4"/>
    </row>
    <row r="17" spans="1:5" x14ac:dyDescent="0.25">
      <c r="A17" s="62"/>
      <c r="B17" s="62"/>
      <c r="D17" s="62"/>
      <c r="E17" s="4"/>
    </row>
    <row r="18" spans="1:5" x14ac:dyDescent="0.25">
      <c r="A18" s="62"/>
      <c r="B18" s="62"/>
      <c r="D18" s="62"/>
      <c r="E18" s="62"/>
    </row>
    <row r="19" spans="1:5" x14ac:dyDescent="0.25">
      <c r="A19" s="62"/>
      <c r="B19" s="62"/>
      <c r="D19" s="62"/>
      <c r="E19" s="62"/>
    </row>
    <row r="20" spans="1:5" x14ac:dyDescent="0.25">
      <c r="A20" s="62"/>
      <c r="B20" s="62"/>
      <c r="D20" s="62"/>
      <c r="E20" s="62"/>
    </row>
    <row r="21" spans="1:5" x14ac:dyDescent="0.25">
      <c r="A21" s="69" t="s">
        <v>13</v>
      </c>
      <c r="B21" s="62"/>
      <c r="D21" s="62"/>
      <c r="E21" s="62"/>
    </row>
    <row r="22" spans="1:5" x14ac:dyDescent="0.25">
      <c r="A22" s="3" t="s">
        <v>126</v>
      </c>
      <c r="B22" s="62"/>
      <c r="D22" s="62"/>
      <c r="E22" s="62"/>
    </row>
    <row r="23" spans="1:5" s="62" customFormat="1" x14ac:dyDescent="0.25">
      <c r="A23" s="3" t="s">
        <v>127</v>
      </c>
    </row>
    <row r="24" spans="1:5" s="62" customFormat="1" x14ac:dyDescent="0.25">
      <c r="A24" s="3" t="s">
        <v>128</v>
      </c>
    </row>
    <row r="25" spans="1:5" x14ac:dyDescent="0.25">
      <c r="A25" s="3" t="s">
        <v>129</v>
      </c>
      <c r="B25" s="62"/>
      <c r="D25" s="62"/>
      <c r="E25" s="62"/>
    </row>
    <row r="26" spans="1:5" s="62" customFormat="1" x14ac:dyDescent="0.25">
      <c r="A26" s="3" t="s">
        <v>103</v>
      </c>
    </row>
  </sheetData>
  <mergeCells count="1">
    <mergeCell ref="B3:D3"/>
  </mergeCells>
  <pageMargins left="0.2" right="0.2" top="0.75" bottom="0.25" header="0.3" footer="0.3"/>
  <pageSetup orientation="landscape" r:id="rId1"/>
  <headerFooter>
    <oddHeader>&amp;C&amp;F &amp;A</oddHeader>
    <oddFooter>&amp;R&amp;1#&amp;"Calibri"&amp;10 Public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0"/>
  <sheetViews>
    <sheetView workbookViewId="0">
      <selection activeCell="H1" sqref="H1"/>
    </sheetView>
  </sheetViews>
  <sheetFormatPr defaultRowHeight="15" x14ac:dyDescent="0.25"/>
  <cols>
    <col min="1" max="1" width="37.7109375" style="62" customWidth="1"/>
    <col min="2" max="2" width="12.28515625" style="62" bestFit="1" customWidth="1"/>
    <col min="3" max="3" width="12.42578125" style="62" bestFit="1" customWidth="1"/>
    <col min="4" max="4" width="15.42578125" style="62" customWidth="1"/>
    <col min="5" max="5" width="15.85546875" style="62" bestFit="1" customWidth="1"/>
    <col min="6" max="6" width="12.28515625" style="62" bestFit="1" customWidth="1"/>
    <col min="7" max="8" width="13.28515625" style="62" bestFit="1" customWidth="1"/>
    <col min="9" max="9" width="12.28515625" style="62" bestFit="1" customWidth="1"/>
    <col min="10" max="10" width="11.5703125" style="62" bestFit="1" customWidth="1"/>
    <col min="11" max="11" width="12.85546875" style="62" customWidth="1"/>
    <col min="12" max="12" width="16" style="62" customWidth="1"/>
    <col min="13" max="13" width="15" style="62" bestFit="1" customWidth="1"/>
    <col min="14" max="14" width="16" style="62" bestFit="1" customWidth="1"/>
    <col min="15" max="15" width="15.28515625" style="62" bestFit="1" customWidth="1"/>
    <col min="16" max="16" width="17.42578125" style="62" bestFit="1" customWidth="1"/>
    <col min="17" max="17" width="16.28515625" style="62" bestFit="1" customWidth="1"/>
    <col min="18" max="18" width="15.28515625" style="62" bestFit="1" customWidth="1"/>
    <col min="19" max="19" width="12.42578125" style="62" customWidth="1"/>
    <col min="20" max="21" width="14.28515625" style="62" bestFit="1" customWidth="1"/>
    <col min="22" max="16384" width="9.140625" style="62"/>
  </cols>
  <sheetData>
    <row r="1" spans="1:34" x14ac:dyDescent="0.25">
      <c r="A1" s="3" t="str">
        <f>+PPC!A1</f>
        <v>Kansas City Power &amp; Light Company - DSIM Rider Update Filed 11/30/2018</v>
      </c>
      <c r="B1" s="3"/>
      <c r="C1" s="3"/>
    </row>
    <row r="2" spans="1:34" x14ac:dyDescent="0.25">
      <c r="D2" s="3" t="s">
        <v>109</v>
      </c>
    </row>
    <row r="3" spans="1:34" ht="30" x14ac:dyDescent="0.25">
      <c r="D3" s="64" t="s">
        <v>62</v>
      </c>
      <c r="E3" s="86" t="s">
        <v>77</v>
      </c>
      <c r="F3" s="64" t="s">
        <v>3</v>
      </c>
      <c r="G3" s="86" t="s">
        <v>71</v>
      </c>
      <c r="H3" s="64" t="s">
        <v>11</v>
      </c>
      <c r="I3" s="64" t="s">
        <v>78</v>
      </c>
      <c r="R3" s="64"/>
    </row>
    <row r="4" spans="1:34" x14ac:dyDescent="0.25">
      <c r="A4" s="22" t="s">
        <v>29</v>
      </c>
      <c r="B4" s="22"/>
      <c r="C4" s="22"/>
      <c r="D4" s="24">
        <f>SUM(C15:L15)</f>
        <v>274857.63790000003</v>
      </c>
      <c r="E4" s="24">
        <f>SUM(C19:K19)</f>
        <v>171076.62</v>
      </c>
      <c r="F4" s="24">
        <f>E4-D4</f>
        <v>-103781.01790000004</v>
      </c>
      <c r="G4" s="24">
        <f>+B29</f>
        <v>14185</v>
      </c>
      <c r="H4" s="24">
        <f>SUM(C34:K34)</f>
        <v>-750.0999999999998</v>
      </c>
      <c r="I4" s="36">
        <f>SUM(F4:H4)</f>
        <v>-90346.117900000041</v>
      </c>
      <c r="J4" s="63">
        <f>+I4-L29</f>
        <v>0</v>
      </c>
      <c r="M4" s="63"/>
    </row>
    <row r="5" spans="1:34" ht="15.75" thickBot="1" x14ac:dyDescent="0.3">
      <c r="A5" s="22" t="s">
        <v>30</v>
      </c>
      <c r="B5" s="22"/>
      <c r="C5" s="22"/>
      <c r="D5" s="24">
        <f>SUM(C16:L16)</f>
        <v>343950.22788000002</v>
      </c>
      <c r="E5" s="24">
        <f>SUM(C20:K20)</f>
        <v>407401.45</v>
      </c>
      <c r="F5" s="24">
        <f>E5-D5</f>
        <v>63451.222119999991</v>
      </c>
      <c r="G5" s="24">
        <f>+B30</f>
        <v>74171.490000000005</v>
      </c>
      <c r="H5" s="24">
        <f>SUM(C35:K35)</f>
        <v>4829.9699999999993</v>
      </c>
      <c r="I5" s="36">
        <f>SUM(F5:H5)</f>
        <v>142452.68211999998</v>
      </c>
      <c r="J5" s="63">
        <f>+I5-L30</f>
        <v>0</v>
      </c>
      <c r="M5" s="63"/>
    </row>
    <row r="6" spans="1:34" ht="16.5" thickTop="1" thickBot="1" x14ac:dyDescent="0.3">
      <c r="D6" s="40">
        <f t="shared" ref="D6" si="0">SUM(D4:D5)</f>
        <v>618807.86578000011</v>
      </c>
      <c r="E6" s="40">
        <f>SUM(E4:E5)</f>
        <v>578478.07000000007</v>
      </c>
      <c r="F6" s="40">
        <f>SUM(F4:F5)</f>
        <v>-40329.795780000044</v>
      </c>
      <c r="G6" s="40">
        <f>SUM(G4:G5)</f>
        <v>88356.49</v>
      </c>
      <c r="H6" s="40">
        <f>SUM(H4:H5)</f>
        <v>4079.8699999999994</v>
      </c>
      <c r="I6" s="40">
        <f>SUM(I4:I5)</f>
        <v>52106.564219999942</v>
      </c>
      <c r="S6" s="5"/>
    </row>
    <row r="7" spans="1:34" ht="15.75" thickTop="1" x14ac:dyDescent="0.25"/>
    <row r="8" spans="1:34" x14ac:dyDescent="0.25">
      <c r="I8" s="4"/>
      <c r="U8" s="4"/>
    </row>
    <row r="9" spans="1:34" ht="15.75" thickBot="1" x14ac:dyDescent="0.3">
      <c r="U9" s="4"/>
      <c r="V9" s="5"/>
    </row>
    <row r="10" spans="1:34" ht="90.75" thickBot="1" x14ac:dyDescent="0.3">
      <c r="B10" s="141" t="str">
        <f>+'PCR Cycle 1'!B8</f>
        <v>Cumulative Over/Under Carryover From 06/01/2018 Filing</v>
      </c>
      <c r="C10" s="179" t="str">
        <f>+'PCR Cycle 1'!C8</f>
        <v>Reverse May-18 - June-18  Forecast From 06/01/2018 Filing</v>
      </c>
      <c r="D10" s="236" t="s">
        <v>39</v>
      </c>
      <c r="E10" s="236"/>
      <c r="F10" s="237"/>
      <c r="G10" s="242" t="s">
        <v>39</v>
      </c>
      <c r="H10" s="243"/>
      <c r="I10" s="244"/>
      <c r="J10" s="238" t="s">
        <v>9</v>
      </c>
      <c r="K10" s="239"/>
      <c r="L10" s="240"/>
    </row>
    <row r="11" spans="1:34" x14ac:dyDescent="0.25">
      <c r="A11" s="62" t="s">
        <v>110</v>
      </c>
      <c r="C11" s="128"/>
      <c r="D11" s="20">
        <f>+'PCR Cycle 1'!D9</f>
        <v>43251</v>
      </c>
      <c r="E11" s="20">
        <f t="shared" ref="E11:L11" si="1">EOMONTH(D11,1)</f>
        <v>43281</v>
      </c>
      <c r="F11" s="20">
        <f t="shared" si="1"/>
        <v>43312</v>
      </c>
      <c r="G11" s="14">
        <f t="shared" si="1"/>
        <v>43343</v>
      </c>
      <c r="H11" s="20">
        <f t="shared" si="1"/>
        <v>43373</v>
      </c>
      <c r="I11" s="15">
        <f t="shared" si="1"/>
        <v>43404</v>
      </c>
      <c r="J11" s="20">
        <f t="shared" si="1"/>
        <v>43434</v>
      </c>
      <c r="K11" s="20">
        <f t="shared" si="1"/>
        <v>43465</v>
      </c>
      <c r="L11" s="15">
        <f t="shared" si="1"/>
        <v>43496</v>
      </c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25">
      <c r="A12" s="62" t="s">
        <v>6</v>
      </c>
      <c r="C12" s="120">
        <v>-1156956.1400000001</v>
      </c>
      <c r="D12" s="132">
        <f>SUM(D19:D20)</f>
        <v>578478.07000000007</v>
      </c>
      <c r="E12" s="132">
        <f t="shared" ref="E12:H12" si="2">SUM(E19:E20)</f>
        <v>578478.07000000007</v>
      </c>
      <c r="F12" s="133">
        <f t="shared" si="2"/>
        <v>578478.07000000007</v>
      </c>
      <c r="G12" s="16">
        <f t="shared" si="2"/>
        <v>0</v>
      </c>
      <c r="H12" s="71">
        <f t="shared" si="2"/>
        <v>0</v>
      </c>
      <c r="I12" s="196">
        <f>+I19+I20</f>
        <v>0</v>
      </c>
      <c r="J12" s="189">
        <f t="shared" ref="J12:K12" si="3">+J19+J20</f>
        <v>0</v>
      </c>
      <c r="K12" s="97">
        <f t="shared" si="3"/>
        <v>0</v>
      </c>
      <c r="L12" s="98"/>
    </row>
    <row r="13" spans="1:34" x14ac:dyDescent="0.25">
      <c r="C13" s="122"/>
      <c r="D13" s="17"/>
      <c r="E13" s="17"/>
      <c r="F13" s="17"/>
      <c r="G13" s="10"/>
      <c r="H13" s="17"/>
      <c r="I13" s="11"/>
      <c r="J13" s="44"/>
      <c r="K13" s="44"/>
      <c r="L13" s="42"/>
    </row>
    <row r="14" spans="1:34" x14ac:dyDescent="0.25">
      <c r="A14" s="62" t="s">
        <v>111</v>
      </c>
      <c r="C14" s="122"/>
      <c r="D14" s="18"/>
      <c r="E14" s="18"/>
      <c r="F14" s="18"/>
      <c r="G14" s="114"/>
      <c r="H14" s="18"/>
      <c r="I14" s="197"/>
      <c r="J14" s="44"/>
      <c r="K14" s="44"/>
      <c r="L14" s="42"/>
      <c r="M14" s="3" t="s">
        <v>93</v>
      </c>
      <c r="N14" s="53"/>
    </row>
    <row r="15" spans="1:34" x14ac:dyDescent="0.25">
      <c r="A15" s="62" t="s">
        <v>29</v>
      </c>
      <c r="C15" s="120">
        <v>-518578.5</v>
      </c>
      <c r="D15" s="159">
        <f>ROUND('[3]May 2018 Combined'!H24,2)</f>
        <v>149862.03</v>
      </c>
      <c r="E15" s="159">
        <f>ROUND('[3]June 2018 Combined'!G24,2)</f>
        <v>209793.21</v>
      </c>
      <c r="F15" s="159">
        <f>ROUND('[3]July 2018 Combined'!F24,2)</f>
        <v>267273.95</v>
      </c>
      <c r="G15" s="219">
        <f>ROUND('[3]August 2018 Combined'!F24,2)</f>
        <v>154751.24</v>
      </c>
      <c r="H15" s="144">
        <f>ROUND('[3]September 2018 Combined'!F24,2)</f>
        <v>3182.67</v>
      </c>
      <c r="I15" s="198">
        <f>ROUND('[3]October 2018 Combined'!F24,2)</f>
        <v>1918.79</v>
      </c>
      <c r="J15" s="146">
        <f>'PCR Cycle 1'!J21*$M15</f>
        <v>1629.7238500000001</v>
      </c>
      <c r="K15" s="55">
        <f>'PCR Cycle 1'!K21*$M15</f>
        <v>2371.8971100000003</v>
      </c>
      <c r="L15" s="77">
        <f>'PCR Cycle 1'!L21*$M15</f>
        <v>2652.6269400000001</v>
      </c>
      <c r="M15" s="88">
        <v>1.0000000000000001E-5</v>
      </c>
      <c r="N15" s="4"/>
    </row>
    <row r="16" spans="1:34" x14ac:dyDescent="0.25">
      <c r="A16" s="62" t="s">
        <v>30</v>
      </c>
      <c r="C16" s="120">
        <v>-1321744.23</v>
      </c>
      <c r="D16" s="159">
        <f>ROUND('[3]May 2018 Combined'!H25,2)</f>
        <v>382549.79</v>
      </c>
      <c r="E16" s="159">
        <f>ROUND('[3]June 2018 Combined'!G25,2)</f>
        <v>408047.53</v>
      </c>
      <c r="F16" s="159">
        <f>ROUND('[3]July 2018 Combined'!F25,2)</f>
        <v>486723.25</v>
      </c>
      <c r="G16" s="219">
        <f>ROUND('[3]August 2018 Combined'!F25,2)</f>
        <v>328469.39</v>
      </c>
      <c r="H16" s="144">
        <f>ROUND('[3]September 2018 Combined'!F25,2)</f>
        <v>14784.16</v>
      </c>
      <c r="I16" s="198">
        <f>ROUND('[3]October 2018 Combined'!F25,2)</f>
        <v>13388.66</v>
      </c>
      <c r="J16" s="146">
        <f>'PCR Cycle 1'!J22*$M16</f>
        <v>9955.3432200000007</v>
      </c>
      <c r="K16" s="55">
        <f>'PCR Cycle 1'!K22*$M16</f>
        <v>10811.70264</v>
      </c>
      <c r="L16" s="77">
        <f>'PCR Cycle 1'!L22*$M16</f>
        <v>10964.632020000001</v>
      </c>
      <c r="M16" s="88">
        <v>3.0000000000000001E-5</v>
      </c>
      <c r="N16" s="4"/>
    </row>
    <row r="17" spans="1:14" x14ac:dyDescent="0.25">
      <c r="C17" s="83"/>
      <c r="D17" s="84"/>
      <c r="E17" s="84"/>
      <c r="F17" s="84"/>
      <c r="G17" s="83"/>
      <c r="H17" s="84"/>
      <c r="I17" s="199"/>
      <c r="J17" s="72"/>
      <c r="K17" s="72"/>
      <c r="L17" s="13"/>
      <c r="N17" s="4"/>
    </row>
    <row r="18" spans="1:14" x14ac:dyDescent="0.25">
      <c r="A18" s="62" t="s">
        <v>113</v>
      </c>
      <c r="C18" s="50"/>
      <c r="D18" s="51"/>
      <c r="E18" s="51"/>
      <c r="F18" s="51"/>
      <c r="G18" s="50"/>
      <c r="H18" s="51"/>
      <c r="I18" s="202"/>
      <c r="J18" s="68"/>
      <c r="K18" s="68"/>
      <c r="L18" s="52"/>
    </row>
    <row r="19" spans="1:14" x14ac:dyDescent="0.25">
      <c r="A19" s="62" t="s">
        <v>29</v>
      </c>
      <c r="C19" s="120">
        <v>-342153.24</v>
      </c>
      <c r="D19" s="132">
        <f>ROUND(+'[7]PI Annuity Calc'!$G$13,2)</f>
        <v>171076.62</v>
      </c>
      <c r="E19" s="132">
        <f>ROUND(+'[7]PI Annuity Calc'!$G$13,2)</f>
        <v>171076.62</v>
      </c>
      <c r="F19" s="133">
        <f>ROUND(+'[7]PI Annuity Calc'!$G$13,2)</f>
        <v>171076.62</v>
      </c>
      <c r="G19" s="16">
        <v>0</v>
      </c>
      <c r="H19" s="71">
        <v>0</v>
      </c>
      <c r="I19" s="196">
        <v>0</v>
      </c>
      <c r="J19" s="191">
        <v>0</v>
      </c>
      <c r="K19" s="167">
        <v>0</v>
      </c>
      <c r="L19" s="98"/>
    </row>
    <row r="20" spans="1:14" x14ac:dyDescent="0.25">
      <c r="A20" s="62" t="s">
        <v>30</v>
      </c>
      <c r="C20" s="120">
        <v>-814802.9</v>
      </c>
      <c r="D20" s="132">
        <f>ROUND('[7]PI Annuity Calc'!$H$13,2)</f>
        <v>407401.45</v>
      </c>
      <c r="E20" s="132">
        <f>ROUND('[7]PI Annuity Calc'!$H$13,2)</f>
        <v>407401.45</v>
      </c>
      <c r="F20" s="133">
        <f>ROUND('[7]PI Annuity Calc'!$H$13,2)</f>
        <v>407401.45</v>
      </c>
      <c r="G20" s="16">
        <v>0</v>
      </c>
      <c r="H20" s="71">
        <v>0</v>
      </c>
      <c r="I20" s="196">
        <v>0</v>
      </c>
      <c r="J20" s="191">
        <v>0</v>
      </c>
      <c r="K20" s="167">
        <v>0</v>
      </c>
      <c r="L20" s="98"/>
      <c r="N20" s="63"/>
    </row>
    <row r="21" spans="1:14" x14ac:dyDescent="0.25">
      <c r="C21" s="122"/>
      <c r="D21" s="18"/>
      <c r="E21" s="18"/>
      <c r="F21" s="18"/>
      <c r="G21" s="114"/>
      <c r="H21" s="18"/>
      <c r="I21" s="197"/>
      <c r="J21" s="72"/>
      <c r="K21" s="72"/>
      <c r="L21" s="13"/>
    </row>
    <row r="22" spans="1:14" ht="15.75" thickBot="1" x14ac:dyDescent="0.3">
      <c r="A22" s="3" t="s">
        <v>16</v>
      </c>
      <c r="B22" s="3"/>
      <c r="C22" s="126">
        <v>-4219.93</v>
      </c>
      <c r="D22" s="159">
        <v>2105.44</v>
      </c>
      <c r="E22" s="159">
        <v>2199.91</v>
      </c>
      <c r="F22" s="160">
        <v>1916.0700000000002</v>
      </c>
      <c r="G22" s="39">
        <v>1006.19</v>
      </c>
      <c r="H22" s="145">
        <v>324.65999999999997</v>
      </c>
      <c r="I22" s="203">
        <v>286.94000000000005</v>
      </c>
      <c r="J22" s="192"/>
      <c r="K22" s="169"/>
      <c r="L22" s="101"/>
    </row>
    <row r="23" spans="1:14" x14ac:dyDescent="0.25">
      <c r="C23" s="80"/>
      <c r="D23" s="174"/>
      <c r="E23" s="174"/>
      <c r="F23" s="175"/>
      <c r="G23" s="80"/>
      <c r="H23" s="47"/>
      <c r="I23" s="204"/>
      <c r="J23" s="48"/>
      <c r="K23" s="48"/>
      <c r="L23" s="76"/>
    </row>
    <row r="24" spans="1:14" x14ac:dyDescent="0.25">
      <c r="A24" s="62" t="s">
        <v>68</v>
      </c>
      <c r="C24" s="81"/>
      <c r="D24" s="175"/>
      <c r="E24" s="175"/>
      <c r="F24" s="175"/>
      <c r="G24" s="81"/>
      <c r="H24" s="49"/>
      <c r="I24" s="205"/>
      <c r="J24" s="48"/>
      <c r="K24" s="48"/>
      <c r="L24" s="76"/>
    </row>
    <row r="25" spans="1:14" x14ac:dyDescent="0.25">
      <c r="A25" s="62" t="s">
        <v>29</v>
      </c>
      <c r="C25" s="123">
        <f t="shared" ref="C25:L25" si="4">C19-C15</f>
        <v>176425.26</v>
      </c>
      <c r="D25" s="55">
        <f t="shared" si="4"/>
        <v>21214.589999999997</v>
      </c>
      <c r="E25" s="55">
        <f t="shared" si="4"/>
        <v>-38716.589999999997</v>
      </c>
      <c r="F25" s="131">
        <f t="shared" si="4"/>
        <v>-96197.330000000016</v>
      </c>
      <c r="G25" s="54">
        <f t="shared" si="4"/>
        <v>-154751.24</v>
      </c>
      <c r="H25" s="55">
        <f t="shared" si="4"/>
        <v>-3182.67</v>
      </c>
      <c r="I25" s="77">
        <f t="shared" si="4"/>
        <v>-1918.79</v>
      </c>
      <c r="J25" s="146">
        <f t="shared" si="4"/>
        <v>-1629.7238500000001</v>
      </c>
      <c r="K25" s="55">
        <f t="shared" si="4"/>
        <v>-2371.8971100000003</v>
      </c>
      <c r="L25" s="77">
        <f t="shared" si="4"/>
        <v>-2652.6269400000001</v>
      </c>
    </row>
    <row r="26" spans="1:14" x14ac:dyDescent="0.25">
      <c r="A26" s="62" t="s">
        <v>30</v>
      </c>
      <c r="C26" s="123">
        <f t="shared" ref="C26:L26" si="5">C20-C16</f>
        <v>506941.32999999996</v>
      </c>
      <c r="D26" s="55">
        <f t="shared" si="5"/>
        <v>24851.660000000033</v>
      </c>
      <c r="E26" s="55">
        <f t="shared" si="5"/>
        <v>-646.0800000000163</v>
      </c>
      <c r="F26" s="131">
        <f t="shared" si="5"/>
        <v>-79321.799999999988</v>
      </c>
      <c r="G26" s="54">
        <f t="shared" si="5"/>
        <v>-328469.39</v>
      </c>
      <c r="H26" s="55">
        <f t="shared" si="5"/>
        <v>-14784.16</v>
      </c>
      <c r="I26" s="77">
        <f t="shared" si="5"/>
        <v>-13388.66</v>
      </c>
      <c r="J26" s="146">
        <f t="shared" si="5"/>
        <v>-9955.3432200000007</v>
      </c>
      <c r="K26" s="55">
        <f t="shared" si="5"/>
        <v>-10811.70264</v>
      </c>
      <c r="L26" s="77">
        <f t="shared" si="5"/>
        <v>-10964.632020000001</v>
      </c>
    </row>
    <row r="27" spans="1:14" x14ac:dyDescent="0.25">
      <c r="C27" s="122"/>
      <c r="D27" s="17"/>
      <c r="E27" s="17"/>
      <c r="F27" s="17"/>
      <c r="G27" s="10"/>
      <c r="H27" s="17"/>
      <c r="I27" s="11"/>
      <c r="J27" s="17"/>
      <c r="K27" s="17"/>
      <c r="L27" s="11"/>
    </row>
    <row r="28" spans="1:14" ht="15.75" thickBot="1" x14ac:dyDescent="0.3">
      <c r="A28" s="62" t="s">
        <v>69</v>
      </c>
      <c r="C28" s="122"/>
      <c r="D28" s="17"/>
      <c r="E28" s="17"/>
      <c r="F28" s="17"/>
      <c r="G28" s="10"/>
      <c r="H28" s="17"/>
      <c r="I28" s="11"/>
      <c r="J28" s="17"/>
      <c r="K28" s="17"/>
      <c r="L28" s="11"/>
    </row>
    <row r="29" spans="1:14" x14ac:dyDescent="0.25">
      <c r="A29" s="62" t="s">
        <v>29</v>
      </c>
      <c r="B29" s="139">
        <v>14185</v>
      </c>
      <c r="C29" s="123">
        <f>B29+C25+B34</f>
        <v>190610.26</v>
      </c>
      <c r="D29" s="55">
        <f t="shared" ref="D29:L30" si="6">C29+D25+C34</f>
        <v>210635.44</v>
      </c>
      <c r="E29" s="55">
        <f t="shared" si="6"/>
        <v>172451.59</v>
      </c>
      <c r="F29" s="131">
        <f t="shared" si="6"/>
        <v>76784.369999999981</v>
      </c>
      <c r="G29" s="54">
        <f t="shared" si="6"/>
        <v>-77620.460000000006</v>
      </c>
      <c r="H29" s="55">
        <f t="shared" si="6"/>
        <v>-80803.81</v>
      </c>
      <c r="I29" s="77">
        <f t="shared" si="6"/>
        <v>-82948.749999999985</v>
      </c>
      <c r="J29" s="146">
        <f t="shared" si="6"/>
        <v>-84820.013849999974</v>
      </c>
      <c r="K29" s="55">
        <f t="shared" si="6"/>
        <v>-87439.390959999975</v>
      </c>
      <c r="L29" s="77">
        <f t="shared" si="6"/>
        <v>-90346.117899999983</v>
      </c>
    </row>
    <row r="30" spans="1:14" ht="15.75" thickBot="1" x14ac:dyDescent="0.3">
      <c r="A30" s="62" t="s">
        <v>30</v>
      </c>
      <c r="B30" s="140">
        <v>74171.490000000005</v>
      </c>
      <c r="C30" s="123">
        <f>B30+C26+B35</f>
        <v>581112.81999999995</v>
      </c>
      <c r="D30" s="55">
        <f t="shared" si="6"/>
        <v>602933.96</v>
      </c>
      <c r="E30" s="55">
        <f t="shared" si="6"/>
        <v>603860.58999999985</v>
      </c>
      <c r="F30" s="131">
        <f t="shared" si="6"/>
        <v>526208.58999999985</v>
      </c>
      <c r="G30" s="54">
        <f t="shared" si="6"/>
        <v>199308.85999999984</v>
      </c>
      <c r="H30" s="55">
        <f t="shared" si="6"/>
        <v>185531.56999999983</v>
      </c>
      <c r="I30" s="77">
        <f t="shared" si="6"/>
        <v>172693.70999999982</v>
      </c>
      <c r="J30" s="146">
        <f t="shared" si="6"/>
        <v>163266.84677999982</v>
      </c>
      <c r="K30" s="55">
        <f t="shared" si="6"/>
        <v>152950.79413999981</v>
      </c>
      <c r="L30" s="77">
        <f t="shared" si="6"/>
        <v>142452.68211999981</v>
      </c>
    </row>
    <row r="31" spans="1:14" x14ac:dyDescent="0.25">
      <c r="C31" s="122"/>
      <c r="D31" s="17"/>
      <c r="E31" s="17"/>
      <c r="F31" s="17"/>
      <c r="G31" s="10"/>
      <c r="H31" s="17"/>
      <c r="I31" s="11"/>
      <c r="J31" s="17"/>
      <c r="K31" s="17"/>
      <c r="L31" s="11"/>
    </row>
    <row r="32" spans="1:14" x14ac:dyDescent="0.25">
      <c r="A32" s="53" t="s">
        <v>112</v>
      </c>
      <c r="B32" s="53"/>
      <c r="C32" s="127"/>
      <c r="D32" s="102">
        <f>+'PCR Cycle 1'!D38</f>
        <v>2.6633099999999999E-3</v>
      </c>
      <c r="E32" s="102">
        <f>+'PCR Cycle 1'!E38</f>
        <v>2.7637299999999998E-3</v>
      </c>
      <c r="F32" s="102">
        <f>+'PCR Cycle 1'!F38</f>
        <v>2.7738900000000002E-3</v>
      </c>
      <c r="G32" s="103">
        <f>+'PCR Cycle 1'!G38</f>
        <v>2.76961E-3</v>
      </c>
      <c r="H32" s="102">
        <f>+'PCR Cycle 1'!H38</f>
        <v>2.8550200000000002E-3</v>
      </c>
      <c r="I32" s="115">
        <f>+'PCR Cycle 1'!I38</f>
        <v>2.9459999999999998E-3</v>
      </c>
      <c r="J32" s="102">
        <f>+'PCR Cycle 1'!J38</f>
        <v>2.9459999999999998E-3</v>
      </c>
      <c r="K32" s="102">
        <f>+'PCR Cycle 1'!K38</f>
        <v>2.9459999999999998E-3</v>
      </c>
      <c r="L32" s="104"/>
    </row>
    <row r="33" spans="1:12" x14ac:dyDescent="0.25">
      <c r="A33" s="53" t="s">
        <v>44</v>
      </c>
      <c r="B33" s="53"/>
      <c r="C33" s="129"/>
      <c r="D33" s="102"/>
      <c r="E33" s="102"/>
      <c r="F33" s="102"/>
      <c r="G33" s="103"/>
      <c r="H33" s="102"/>
      <c r="I33" s="104"/>
      <c r="J33" s="102"/>
      <c r="K33" s="102"/>
      <c r="L33" s="104"/>
    </row>
    <row r="34" spans="1:12" x14ac:dyDescent="0.25">
      <c r="A34" s="62" t="s">
        <v>29</v>
      </c>
      <c r="C34" s="123">
        <v>-1189.4099999999999</v>
      </c>
      <c r="D34" s="55">
        <f t="shared" ref="D34:L35" si="7">ROUND((C29+C34+D25/2)*D$32,2)</f>
        <v>532.74</v>
      </c>
      <c r="E34" s="55">
        <f t="shared" si="7"/>
        <v>530.11</v>
      </c>
      <c r="F34" s="131">
        <f t="shared" si="7"/>
        <v>346.41</v>
      </c>
      <c r="G34" s="54">
        <f t="shared" si="7"/>
        <v>-0.68</v>
      </c>
      <c r="H34" s="146">
        <f t="shared" si="7"/>
        <v>-226.15</v>
      </c>
      <c r="I34" s="65">
        <f t="shared" si="7"/>
        <v>-241.54</v>
      </c>
      <c r="J34" s="193">
        <f t="shared" si="7"/>
        <v>-247.48</v>
      </c>
      <c r="K34" s="131">
        <f t="shared" si="7"/>
        <v>-254.1</v>
      </c>
      <c r="L34" s="77">
        <f t="shared" si="7"/>
        <v>0</v>
      </c>
    </row>
    <row r="35" spans="1:12" ht="15.75" thickBot="1" x14ac:dyDescent="0.3">
      <c r="A35" s="62" t="s">
        <v>30</v>
      </c>
      <c r="C35" s="123">
        <v>-3030.52</v>
      </c>
      <c r="D35" s="55">
        <f t="shared" si="7"/>
        <v>1572.71</v>
      </c>
      <c r="E35" s="55">
        <f t="shared" si="7"/>
        <v>1669.8</v>
      </c>
      <c r="F35" s="131">
        <f t="shared" si="7"/>
        <v>1569.66</v>
      </c>
      <c r="G35" s="54">
        <f t="shared" si="7"/>
        <v>1006.87</v>
      </c>
      <c r="H35" s="146">
        <f t="shared" si="7"/>
        <v>550.79999999999995</v>
      </c>
      <c r="I35" s="65">
        <f t="shared" si="7"/>
        <v>528.48</v>
      </c>
      <c r="J35" s="193">
        <f t="shared" si="7"/>
        <v>495.65</v>
      </c>
      <c r="K35" s="131">
        <f t="shared" si="7"/>
        <v>466.52</v>
      </c>
      <c r="L35" s="77">
        <f t="shared" si="7"/>
        <v>0</v>
      </c>
    </row>
    <row r="36" spans="1:12" ht="16.5" thickTop="1" thickBot="1" x14ac:dyDescent="0.3">
      <c r="A36" s="70" t="s">
        <v>25</v>
      </c>
      <c r="B36" s="70"/>
      <c r="C36" s="130">
        <v>0</v>
      </c>
      <c r="D36" s="56">
        <f t="shared" ref="D36:I36" si="8">SUM(D34:D35)+SUM(D29:D30)-D39</f>
        <v>0</v>
      </c>
      <c r="E36" s="56">
        <f t="shared" si="8"/>
        <v>0</v>
      </c>
      <c r="F36" s="66">
        <f t="shared" ref="F36:H36" si="9">SUM(F34:F35)+SUM(F29:F30)-F39</f>
        <v>0</v>
      </c>
      <c r="G36" s="172">
        <f t="shared" si="9"/>
        <v>-1.8917489796876907E-10</v>
      </c>
      <c r="H36" s="66">
        <f t="shared" si="9"/>
        <v>-2.0372681319713593E-10</v>
      </c>
      <c r="I36" s="78">
        <f t="shared" si="8"/>
        <v>-2.0372681319713593E-10</v>
      </c>
      <c r="J36" s="194">
        <f t="shared" ref="J36:L36" si="10">SUM(J34:J35)+SUM(J29:J30)-J39</f>
        <v>-1.8917489796876907E-10</v>
      </c>
      <c r="K36" s="66">
        <f t="shared" si="10"/>
        <v>-2.0372681319713593E-10</v>
      </c>
      <c r="L36" s="78">
        <f t="shared" si="10"/>
        <v>-2.1100277081131935E-10</v>
      </c>
    </row>
    <row r="37" spans="1:12" ht="16.5" thickTop="1" thickBot="1" x14ac:dyDescent="0.3">
      <c r="A37" s="70" t="s">
        <v>26</v>
      </c>
      <c r="B37" s="70"/>
      <c r="C37" s="130">
        <v>0</v>
      </c>
      <c r="D37" s="56">
        <f t="shared" ref="D37:I37" si="11">SUM(D34:D35)-D22</f>
        <v>9.9999999997635314E-3</v>
      </c>
      <c r="E37" s="56">
        <f t="shared" si="11"/>
        <v>0</v>
      </c>
      <c r="F37" s="66">
        <f t="shared" ref="F37:H37" si="12">SUM(F34:F35)-F22</f>
        <v>0</v>
      </c>
      <c r="G37" s="172">
        <f t="shared" si="12"/>
        <v>0</v>
      </c>
      <c r="H37" s="66">
        <f t="shared" si="12"/>
        <v>-9.9999999999909051E-3</v>
      </c>
      <c r="I37" s="78">
        <f t="shared" si="11"/>
        <v>0</v>
      </c>
      <c r="J37" s="195">
        <f t="shared" ref="J37:L37" si="13">SUM(J34:J35)-J22</f>
        <v>248.17</v>
      </c>
      <c r="K37" s="56">
        <f t="shared" si="13"/>
        <v>212.42</v>
      </c>
      <c r="L37" s="56">
        <f t="shared" si="13"/>
        <v>0</v>
      </c>
    </row>
    <row r="38" spans="1:12" ht="16.5" thickTop="1" thickBot="1" x14ac:dyDescent="0.3">
      <c r="C38" s="122"/>
      <c r="D38" s="17"/>
      <c r="E38" s="17"/>
      <c r="F38" s="17"/>
      <c r="G38" s="10"/>
      <c r="H38" s="17"/>
      <c r="I38" s="11"/>
      <c r="J38" s="17"/>
      <c r="K38" s="17"/>
      <c r="L38" s="11"/>
    </row>
    <row r="39" spans="1:12" ht="15.75" thickBot="1" x14ac:dyDescent="0.3">
      <c r="A39" s="62" t="s">
        <v>42</v>
      </c>
      <c r="B39" s="142">
        <f>+B29+B30</f>
        <v>88356.49</v>
      </c>
      <c r="C39" s="123">
        <f t="shared" ref="C39:L39" si="14">(C12-SUM(C15:C16))+SUM(C34:C35)+B39</f>
        <v>767503.14999999979</v>
      </c>
      <c r="D39" s="55">
        <f t="shared" si="14"/>
        <v>815674.84999999986</v>
      </c>
      <c r="E39" s="55">
        <f t="shared" si="14"/>
        <v>778512.09</v>
      </c>
      <c r="F39" s="131">
        <f t="shared" si="14"/>
        <v>604909.03</v>
      </c>
      <c r="G39" s="54">
        <f t="shared" si="14"/>
        <v>122694.59000000003</v>
      </c>
      <c r="H39" s="55">
        <f t="shared" si="14"/>
        <v>105052.41000000003</v>
      </c>
      <c r="I39" s="77">
        <f t="shared" si="14"/>
        <v>90031.900000000038</v>
      </c>
      <c r="J39" s="193">
        <f t="shared" si="14"/>
        <v>78695.002930000031</v>
      </c>
      <c r="K39" s="131">
        <f t="shared" si="14"/>
        <v>65723.823180000036</v>
      </c>
      <c r="L39" s="77">
        <f t="shared" si="14"/>
        <v>52106.564220000037</v>
      </c>
    </row>
    <row r="40" spans="1:12" x14ac:dyDescent="0.25">
      <c r="A40" s="62" t="s">
        <v>14</v>
      </c>
      <c r="C40" s="143"/>
      <c r="D40" s="17"/>
      <c r="E40" s="17"/>
      <c r="F40" s="17"/>
      <c r="G40" s="10"/>
      <c r="H40" s="17"/>
      <c r="I40" s="11"/>
      <c r="J40" s="17"/>
      <c r="K40" s="17"/>
      <c r="L40" s="11"/>
    </row>
    <row r="41" spans="1:12" ht="15.75" thickBot="1" x14ac:dyDescent="0.3">
      <c r="A41" s="51"/>
      <c r="B41" s="51"/>
      <c r="C41" s="173"/>
      <c r="D41" s="58"/>
      <c r="E41" s="58"/>
      <c r="F41" s="58"/>
      <c r="G41" s="57"/>
      <c r="H41" s="58"/>
      <c r="I41" s="59"/>
      <c r="J41" s="58"/>
      <c r="K41" s="58"/>
      <c r="L41" s="59"/>
    </row>
    <row r="43" spans="1:12" x14ac:dyDescent="0.25">
      <c r="A43" s="85" t="s">
        <v>13</v>
      </c>
      <c r="B43" s="85"/>
      <c r="C43" s="85"/>
    </row>
    <row r="44" spans="1:12" ht="31.5" customHeight="1" x14ac:dyDescent="0.25">
      <c r="A44" s="235" t="s">
        <v>142</v>
      </c>
      <c r="B44" s="235"/>
      <c r="C44" s="235"/>
      <c r="D44" s="235"/>
      <c r="E44" s="235"/>
      <c r="F44" s="235"/>
      <c r="G44" s="235"/>
      <c r="H44" s="235"/>
      <c r="I44" s="235"/>
      <c r="J44" s="216"/>
      <c r="K44" s="216"/>
      <c r="L44" s="216"/>
    </row>
    <row r="45" spans="1:12" ht="45" customHeight="1" x14ac:dyDescent="0.25">
      <c r="A45" s="235" t="s">
        <v>139</v>
      </c>
      <c r="B45" s="235"/>
      <c r="C45" s="235"/>
      <c r="D45" s="235"/>
      <c r="E45" s="235"/>
      <c r="F45" s="235"/>
      <c r="G45" s="235"/>
      <c r="H45" s="235"/>
      <c r="I45" s="235"/>
      <c r="J45" s="216"/>
      <c r="K45" s="216"/>
    </row>
    <row r="46" spans="1:12" ht="18.75" customHeight="1" x14ac:dyDescent="0.25">
      <c r="A46" s="235" t="s">
        <v>141</v>
      </c>
      <c r="B46" s="235"/>
      <c r="C46" s="235"/>
      <c r="D46" s="235"/>
      <c r="E46" s="235"/>
      <c r="F46" s="235"/>
      <c r="G46" s="235"/>
      <c r="H46" s="235"/>
      <c r="I46" s="235"/>
      <c r="J46" s="216"/>
      <c r="K46" s="216"/>
      <c r="L46" s="216"/>
    </row>
    <row r="47" spans="1:12" x14ac:dyDescent="0.25">
      <c r="A47" s="79" t="s">
        <v>91</v>
      </c>
      <c r="B47" s="79"/>
      <c r="C47" s="79"/>
      <c r="D47" s="53"/>
      <c r="E47" s="53"/>
      <c r="F47" s="53"/>
      <c r="G47" s="53"/>
      <c r="H47" s="53"/>
      <c r="I47" s="53"/>
    </row>
    <row r="48" spans="1:12" x14ac:dyDescent="0.25">
      <c r="A48" s="79" t="s">
        <v>137</v>
      </c>
      <c r="B48" s="79"/>
      <c r="C48" s="79"/>
      <c r="D48" s="53"/>
      <c r="E48" s="53"/>
      <c r="F48" s="53"/>
      <c r="G48" s="53"/>
      <c r="H48" s="53"/>
      <c r="I48" s="53"/>
    </row>
    <row r="49" spans="1:9" x14ac:dyDescent="0.25">
      <c r="A49" s="79" t="s">
        <v>120</v>
      </c>
      <c r="B49" s="79"/>
      <c r="C49" s="79"/>
      <c r="D49" s="53"/>
      <c r="E49" s="53"/>
      <c r="F49" s="53"/>
      <c r="G49" s="53"/>
      <c r="H49" s="53"/>
      <c r="I49" s="53"/>
    </row>
    <row r="50" spans="1:9" x14ac:dyDescent="0.25">
      <c r="A50" s="3"/>
      <c r="B50" s="3"/>
      <c r="C50" s="3"/>
    </row>
  </sheetData>
  <mergeCells count="6">
    <mergeCell ref="A46:I46"/>
    <mergeCell ref="A45:I45"/>
    <mergeCell ref="D10:F10"/>
    <mergeCell ref="G10:I10"/>
    <mergeCell ref="J10:L10"/>
    <mergeCell ref="A44:I44"/>
  </mergeCells>
  <pageMargins left="0.2" right="0.2" top="0.75" bottom="0.25" header="0.3" footer="0.3"/>
  <pageSetup scale="62" orientation="landscape" r:id="rId1"/>
  <headerFooter>
    <oddHeader>&amp;C&amp;F &amp;A</oddHeader>
    <oddFooter>&amp;R&amp;1#&amp;"Calibri"&amp;10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EDB18C5607042858DD9C0A8275B18" ma:contentTypeVersion="" ma:contentTypeDescription="Create a new document." ma:contentTypeScope="" ma:versionID="a8e216e06ef6f22d6d5d250416d93215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E1E782C4-BFA3-40D0-A553-ABF9AFDA22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E36353-2D23-4413-BFF3-128FB6002D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E680F6-EEBC-41A4-AEB5-0B773B5EACA2}">
  <ds:schemaRefs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c85253b9-0a55-49a1-98ad-b5b6252d7079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tariff tables</vt:lpstr>
      <vt:lpstr>PPC</vt:lpstr>
      <vt:lpstr>PCR Cycle 1</vt:lpstr>
      <vt:lpstr>PCR Cycle 2</vt:lpstr>
      <vt:lpstr>PTD</vt:lpstr>
      <vt:lpstr>TDR Cycle 1</vt:lpstr>
      <vt:lpstr>TDR Cycle 2</vt:lpstr>
      <vt:lpstr>EO</vt:lpstr>
      <vt:lpstr>EOR</vt:lpstr>
      <vt:lpstr>OA</vt:lpstr>
      <vt:lpstr>OAR</vt:lpstr>
      <vt:lpstr>'PCR Cycle 1'!Print_Area</vt:lpstr>
      <vt:lpstr>'PCR Cycle 2'!Print_Area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Unspecified User</dc:creator>
  <cp:lastModifiedBy>Jordan Shelley</cp:lastModifiedBy>
  <cp:lastPrinted>2018-11-29T19:54:38Z</cp:lastPrinted>
  <dcterms:created xsi:type="dcterms:W3CDTF">2013-08-12T19:20:10Z</dcterms:created>
  <dcterms:modified xsi:type="dcterms:W3CDTF">2018-11-29T19:56:25Z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0x01010060CEDB18C5607042858DD9C0A8275B18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SIP_Label_317d42de-01b9-46f0-9b1a-04240492a9f0_Enabled">
    <vt:lpwstr>True</vt:lpwstr>
  </property>
  <property fmtid="{D5CDD505-2E9C-101B-9397-08002B2CF9AE}" pid="6" name="MSIP_Label_317d42de-01b9-46f0-9b1a-04240492a9f0_SiteId">
    <vt:lpwstr>9ef58ab0-3510-4d99-8d3e-3c9e02ebab7f</vt:lpwstr>
  </property>
  <property fmtid="{D5CDD505-2E9C-101B-9397-08002B2CF9AE}" pid="7" name="MSIP_Label_317d42de-01b9-46f0-9b1a-04240492a9f0_Owner">
    <vt:lpwstr>Shelley.Jordan@kcpl.com</vt:lpwstr>
  </property>
  <property fmtid="{D5CDD505-2E9C-101B-9397-08002B2CF9AE}" pid="8" name="MSIP_Label_317d42de-01b9-46f0-9b1a-04240492a9f0_SetDate">
    <vt:lpwstr>2018-11-29T19:54:28.7612855Z</vt:lpwstr>
  </property>
  <property fmtid="{D5CDD505-2E9C-101B-9397-08002B2CF9AE}" pid="9" name="MSIP_Label_317d42de-01b9-46f0-9b1a-04240492a9f0_Name">
    <vt:lpwstr>Public</vt:lpwstr>
  </property>
  <property fmtid="{D5CDD505-2E9C-101B-9397-08002B2CF9AE}" pid="10" name="MSIP_Label_317d42de-01b9-46f0-9b1a-04240492a9f0_Application">
    <vt:lpwstr>Microsoft Azure Information Protection</vt:lpwstr>
  </property>
  <property fmtid="{D5CDD505-2E9C-101B-9397-08002B2CF9AE}" pid="11" name="MSIP_Label_317d42de-01b9-46f0-9b1a-04240492a9f0_Extended_MSFT_Method">
    <vt:lpwstr>Manual</vt:lpwstr>
  </property>
  <property fmtid="{D5CDD505-2E9C-101B-9397-08002B2CF9AE}" pid="12" name="Sensitivity">
    <vt:lpwstr>Public</vt:lpwstr>
  </property>
</Properties>
</file>