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2-12\"/>
    </mc:Choice>
  </mc:AlternateContent>
  <xr:revisionPtr revIDLastSave="0" documentId="13_ncr:1_{794E6D8F-E988-4610-AE4B-252C37E621B6}" xr6:coauthVersionLast="47" xr6:coauthVersionMax="47" xr10:uidLastSave="{00000000-0000-0000-0000-000000000000}"/>
  <bookViews>
    <workbookView xWindow="28680" yWindow="-120" windowWidth="29040" windowHeight="15840" xr2:uid="{00000000-000D-0000-FFFF-FFFF00000000}"/>
  </bookViews>
  <sheets>
    <sheet name="tariff tables" sheetId="5" r:id="rId1"/>
    <sheet name="DSIM Cycle Tables" sheetId="20" r:id="rId2"/>
    <sheet name="PPC Cycle 3" sheetId="18" r:id="rId3"/>
    <sheet name="PCR Cycle 2" sheetId="15" r:id="rId4"/>
    <sheet name="PCR Cycle 3" sheetId="22" r:id="rId5"/>
    <sheet name="PTD Cycle 2" sheetId="12" r:id="rId6"/>
    <sheet name="PTD Cycle 3" sheetId="19" r:id="rId7"/>
    <sheet name="TDR Cycle 2" sheetId="16" r:id="rId8"/>
    <sheet name="TDR Cycle 3" sheetId="24" r:id="rId9"/>
    <sheet name="EO Cycle 2" sheetId="8" r:id="rId10"/>
    <sheet name="EO Cycle 3" sheetId="28" r:id="rId11"/>
    <sheet name="EOR Cycle 2" sheetId="23" r:id="rId12"/>
    <sheet name="EOR Cycle 3" sheetId="29" r:id="rId13"/>
    <sheet name="OA Cycle 2" sheetId="10" r:id="rId14"/>
    <sheet name="OAR Cycle 2" sheetId="13" r:id="rId15"/>
    <sheet name="OA Cycle 3" sheetId="30" r:id="rId16"/>
    <sheet name="OAR Cycle 3" sheetId="31"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Print_Area" localSheetId="3">'PCR Cycle 2'!$A$1:$O$67</definedName>
    <definedName name="_xlnm.Print_Area" localSheetId="4">'PCR Cycle 3'!$A$1:$O$71</definedName>
    <definedName name="solver_adj" localSheetId="3" hidden="1">'PCR Cycle 2'!$F$50</definedName>
    <definedName name="solver_adj" localSheetId="4" hidden="1">'PCR Cycle 3'!$F$51</definedName>
    <definedName name="solver_adj" localSheetId="7" hidden="1">'TDR Cycle 2'!#REF!</definedName>
    <definedName name="solver_adj" localSheetId="8" hidden="1">'TDR Cycle 3'!#REF!</definedName>
    <definedName name="solver_cvg" localSheetId="3" hidden="1">0.0001</definedName>
    <definedName name="solver_cvg" localSheetId="4" hidden="1">0.0001</definedName>
    <definedName name="solver_cvg" localSheetId="7" hidden="1">0.0001</definedName>
    <definedName name="solver_cvg" localSheetId="8" hidden="1">0.0001</definedName>
    <definedName name="solver_drv" localSheetId="3" hidden="1">1</definedName>
    <definedName name="solver_drv" localSheetId="4" hidden="1">1</definedName>
    <definedName name="solver_drv" localSheetId="7" hidden="1">2</definedName>
    <definedName name="solver_drv" localSheetId="8" hidden="1">2</definedName>
    <definedName name="solver_eng" localSheetId="3" hidden="1">1</definedName>
    <definedName name="solver_eng" localSheetId="4" hidden="1">1</definedName>
    <definedName name="solver_eng" localSheetId="7" hidden="1">1</definedName>
    <definedName name="solver_eng" localSheetId="8" hidden="1">1</definedName>
    <definedName name="solver_est" localSheetId="3" hidden="1">1</definedName>
    <definedName name="solver_est" localSheetId="4" hidden="1">1</definedName>
    <definedName name="solver_est" localSheetId="7" hidden="1">1</definedName>
    <definedName name="solver_est" localSheetId="8" hidden="1">1</definedName>
    <definedName name="solver_itr" localSheetId="3" hidden="1">2147483647</definedName>
    <definedName name="solver_itr" localSheetId="4" hidden="1">2147483647</definedName>
    <definedName name="solver_itr" localSheetId="7" hidden="1">2147483647</definedName>
    <definedName name="solver_itr" localSheetId="8" hidden="1">2147483647</definedName>
    <definedName name="solver_mip" localSheetId="3" hidden="1">2147483647</definedName>
    <definedName name="solver_mip" localSheetId="4" hidden="1">2147483647</definedName>
    <definedName name="solver_mip" localSheetId="7" hidden="1">2147483647</definedName>
    <definedName name="solver_mip" localSheetId="8" hidden="1">2147483647</definedName>
    <definedName name="solver_mni" localSheetId="3" hidden="1">30</definedName>
    <definedName name="solver_mni" localSheetId="4" hidden="1">30</definedName>
    <definedName name="solver_mni" localSheetId="7" hidden="1">30</definedName>
    <definedName name="solver_mni" localSheetId="8" hidden="1">30</definedName>
    <definedName name="solver_mrt" localSheetId="3" hidden="1">0.075</definedName>
    <definedName name="solver_mrt" localSheetId="4" hidden="1">0.075</definedName>
    <definedName name="solver_mrt" localSheetId="7" hidden="1">0.075</definedName>
    <definedName name="solver_mrt" localSheetId="8" hidden="1">0.075</definedName>
    <definedName name="solver_msl" localSheetId="3" hidden="1">2</definedName>
    <definedName name="solver_msl" localSheetId="4" hidden="1">2</definedName>
    <definedName name="solver_msl" localSheetId="7" hidden="1">2</definedName>
    <definedName name="solver_msl" localSheetId="8" hidden="1">2</definedName>
    <definedName name="solver_neg" localSheetId="3" hidden="1">1</definedName>
    <definedName name="solver_neg" localSheetId="4" hidden="1">1</definedName>
    <definedName name="solver_neg" localSheetId="7" hidden="1">1</definedName>
    <definedName name="solver_neg" localSheetId="8" hidden="1">1</definedName>
    <definedName name="solver_nod" localSheetId="3" hidden="1">2147483647</definedName>
    <definedName name="solver_nod" localSheetId="4" hidden="1">2147483647</definedName>
    <definedName name="solver_nod" localSheetId="7" hidden="1">2147483647</definedName>
    <definedName name="solver_nod" localSheetId="8" hidden="1">2147483647</definedName>
    <definedName name="solver_num" localSheetId="3" hidden="1">0</definedName>
    <definedName name="solver_num" localSheetId="4" hidden="1">0</definedName>
    <definedName name="solver_num" localSheetId="7" hidden="1">0</definedName>
    <definedName name="solver_num" localSheetId="8" hidden="1">0</definedName>
    <definedName name="solver_nwt" localSheetId="3" hidden="1">1</definedName>
    <definedName name="solver_nwt" localSheetId="4" hidden="1">1</definedName>
    <definedName name="solver_nwt" localSheetId="7" hidden="1">1</definedName>
    <definedName name="solver_nwt" localSheetId="8" hidden="1">1</definedName>
    <definedName name="solver_opt" localSheetId="3" hidden="1">'PCR Cycle 2'!$F$55</definedName>
    <definedName name="solver_opt" localSheetId="4" hidden="1">'PCR Cycle 3'!$F$59</definedName>
    <definedName name="solver_opt" localSheetId="7" hidden="1">'TDR Cycle 2'!#REF!</definedName>
    <definedName name="solver_opt" localSheetId="8" hidden="1">'TDR Cycle 3'!#REF!</definedName>
    <definedName name="solver_pre" localSheetId="3" hidden="1">0.000001</definedName>
    <definedName name="solver_pre" localSheetId="4" hidden="1">0.000001</definedName>
    <definedName name="solver_pre" localSheetId="7" hidden="1">0.000001</definedName>
    <definedName name="solver_pre" localSheetId="8" hidden="1">0.000001</definedName>
    <definedName name="solver_rbv" localSheetId="3" hidden="1">1</definedName>
    <definedName name="solver_rbv" localSheetId="4" hidden="1">1</definedName>
    <definedName name="solver_rbv" localSheetId="7" hidden="1">2</definedName>
    <definedName name="solver_rbv" localSheetId="8" hidden="1">2</definedName>
    <definedName name="solver_rlx" localSheetId="3" hidden="1">2</definedName>
    <definedName name="solver_rlx" localSheetId="4" hidden="1">2</definedName>
    <definedName name="solver_rlx" localSheetId="7" hidden="1">2</definedName>
    <definedName name="solver_rlx" localSheetId="8" hidden="1">2</definedName>
    <definedName name="solver_rsd" localSheetId="3" hidden="1">0</definedName>
    <definedName name="solver_rsd" localSheetId="4" hidden="1">0</definedName>
    <definedName name="solver_rsd" localSheetId="7" hidden="1">0</definedName>
    <definedName name="solver_rsd" localSheetId="8" hidden="1">0</definedName>
    <definedName name="solver_scl" localSheetId="3" hidden="1">1</definedName>
    <definedName name="solver_scl" localSheetId="4" hidden="1">1</definedName>
    <definedName name="solver_scl" localSheetId="7" hidden="1">2</definedName>
    <definedName name="solver_scl" localSheetId="8" hidden="1">2</definedName>
    <definedName name="solver_sho" localSheetId="3" hidden="1">2</definedName>
    <definedName name="solver_sho" localSheetId="4" hidden="1">2</definedName>
    <definedName name="solver_sho" localSheetId="7" hidden="1">2</definedName>
    <definedName name="solver_sho" localSheetId="8" hidden="1">2</definedName>
    <definedName name="solver_ssz" localSheetId="3" hidden="1">100</definedName>
    <definedName name="solver_ssz" localSheetId="4" hidden="1">100</definedName>
    <definedName name="solver_ssz" localSheetId="7" hidden="1">100</definedName>
    <definedName name="solver_ssz" localSheetId="8" hidden="1">100</definedName>
    <definedName name="solver_tim" localSheetId="3" hidden="1">2147483647</definedName>
    <definedName name="solver_tim" localSheetId="4" hidden="1">2147483647</definedName>
    <definedName name="solver_tim" localSheetId="7" hidden="1">2147483647</definedName>
    <definedName name="solver_tim" localSheetId="8" hidden="1">2147483647</definedName>
    <definedName name="solver_tol" localSheetId="3" hidden="1">0.01</definedName>
    <definedName name="solver_tol" localSheetId="4" hidden="1">0.01</definedName>
    <definedName name="solver_tol" localSheetId="7" hidden="1">0.01</definedName>
    <definedName name="solver_tol" localSheetId="8" hidden="1">0.01</definedName>
    <definedName name="solver_typ" localSheetId="3" hidden="1">3</definedName>
    <definedName name="solver_typ" localSheetId="4" hidden="1">3</definedName>
    <definedName name="solver_typ" localSheetId="7" hidden="1">3</definedName>
    <definedName name="solver_typ" localSheetId="8" hidden="1">3</definedName>
    <definedName name="solver_val" localSheetId="3" hidden="1">0</definedName>
    <definedName name="solver_val" localSheetId="4" hidden="1">0</definedName>
    <definedName name="solver_val" localSheetId="7" hidden="1">23888.44</definedName>
    <definedName name="solver_val" localSheetId="8" hidden="1">23888.44</definedName>
    <definedName name="solver_ver" localSheetId="3" hidden="1">3</definedName>
    <definedName name="solver_ver" localSheetId="4" hidden="1">3</definedName>
    <definedName name="solver_ver" localSheetId="7" hidden="1">3</definedName>
    <definedName name="solver_ver" localSheetId="8"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1" i="16" l="1"/>
  <c r="L46" i="16"/>
  <c r="Z16" i="5" l="1"/>
  <c r="Z15" i="5"/>
  <c r="Y14" i="5"/>
  <c r="Y13" i="5"/>
  <c r="X14" i="5"/>
  <c r="J6" i="5"/>
  <c r="B10" i="19" l="1"/>
  <c r="B6" i="19" l="1"/>
  <c r="B9" i="19" l="1"/>
  <c r="B8" i="19"/>
  <c r="B7" i="19"/>
  <c r="L19" i="22" l="1"/>
  <c r="K19" i="22"/>
  <c r="L18" i="22"/>
  <c r="K18" i="22"/>
  <c r="L17" i="22"/>
  <c r="K17" i="22"/>
  <c r="L16" i="22"/>
  <c r="K16" i="22"/>
  <c r="L15" i="22"/>
  <c r="K15" i="22"/>
  <c r="D9" i="18"/>
  <c r="D8" i="18"/>
  <c r="D7" i="18"/>
  <c r="D6" i="18"/>
  <c r="D5" i="18"/>
  <c r="D10" i="19" l="1"/>
  <c r="D6" i="19" l="1"/>
  <c r="D7" i="19" l="1"/>
  <c r="D9" i="19" l="1"/>
  <c r="D8" i="19"/>
  <c r="K27" i="24" l="1"/>
  <c r="L27" i="24"/>
  <c r="L34" i="24" l="1"/>
  <c r="K34" i="24"/>
  <c r="K24" i="24" l="1"/>
  <c r="L24" i="24"/>
  <c r="K31" i="24" l="1"/>
  <c r="L31" i="24"/>
  <c r="K25" i="24" l="1"/>
  <c r="L25" i="24"/>
  <c r="K26" i="24"/>
  <c r="L26" i="24"/>
  <c r="L32" i="24" l="1"/>
  <c r="K32" i="24"/>
  <c r="L23" i="24"/>
  <c r="K23" i="24"/>
  <c r="L33" i="24" l="1"/>
  <c r="K33" i="24"/>
  <c r="L30" i="24" l="1"/>
  <c r="K30" i="24"/>
  <c r="E25" i="24" l="1"/>
  <c r="E27" i="24"/>
  <c r="E26" i="24"/>
  <c r="E23" i="24"/>
  <c r="F25" i="24" l="1"/>
  <c r="F23" i="24"/>
  <c r="F27" i="24"/>
  <c r="F26" i="24"/>
  <c r="E34" i="24"/>
  <c r="E33" i="24"/>
  <c r="E24" i="24" l="1"/>
  <c r="E32" i="24"/>
  <c r="E30" i="24"/>
  <c r="G26" i="24"/>
  <c r="G23" i="24"/>
  <c r="G27" i="24"/>
  <c r="G25" i="24"/>
  <c r="F34" i="24"/>
  <c r="F32" i="24"/>
  <c r="F24" i="24" l="1"/>
  <c r="H23" i="24"/>
  <c r="G30" i="24"/>
  <c r="H26" i="24"/>
  <c r="H27" i="24"/>
  <c r="H25" i="24"/>
  <c r="G33" i="24"/>
  <c r="G34" i="24"/>
  <c r="G24" i="24" l="1"/>
  <c r="G32" i="24"/>
  <c r="F30" i="24"/>
  <c r="F33" i="24"/>
  <c r="E31" i="24"/>
  <c r="H30" i="24"/>
  <c r="I27" i="24"/>
  <c r="I23" i="24"/>
  <c r="H33" i="24"/>
  <c r="I26" i="24"/>
  <c r="I25" i="24"/>
  <c r="H24" i="24" l="1"/>
  <c r="F31" i="24"/>
  <c r="J26" i="24"/>
  <c r="J25" i="24"/>
  <c r="I32" i="24"/>
  <c r="J27" i="24"/>
  <c r="J23" i="24"/>
  <c r="I30" i="24"/>
  <c r="I24" i="24" l="1"/>
  <c r="H32" i="24"/>
  <c r="I34" i="24"/>
  <c r="H34" i="24"/>
  <c r="G31" i="24"/>
  <c r="J24" i="24" l="1"/>
  <c r="J32" i="24"/>
  <c r="J33" i="24"/>
  <c r="I33" i="24"/>
  <c r="H31" i="24"/>
  <c r="J34" i="24" l="1"/>
  <c r="I31" i="24"/>
  <c r="J30" i="24"/>
  <c r="J31" i="24" l="1"/>
  <c r="I20" i="13" l="1"/>
  <c r="I19" i="13"/>
  <c r="J20" i="29"/>
  <c r="J19" i="29"/>
  <c r="J18" i="29"/>
  <c r="J17" i="29"/>
  <c r="J16" i="29"/>
  <c r="J23" i="23"/>
  <c r="J22" i="23"/>
  <c r="J21" i="23"/>
  <c r="J20" i="23"/>
  <c r="J19" i="23"/>
  <c r="J20" i="24"/>
  <c r="J19" i="24"/>
  <c r="J18" i="24"/>
  <c r="J17" i="24"/>
  <c r="J16" i="24"/>
  <c r="J23" i="16"/>
  <c r="J22" i="16"/>
  <c r="J21" i="16"/>
  <c r="J20" i="16"/>
  <c r="J19" i="16"/>
  <c r="J31" i="15"/>
  <c r="J30" i="15"/>
  <c r="J29" i="15"/>
  <c r="J28" i="15"/>
  <c r="J27" i="15"/>
  <c r="J19" i="22"/>
  <c r="J18" i="22"/>
  <c r="J17" i="22"/>
  <c r="J16" i="22"/>
  <c r="J15" i="22"/>
  <c r="J33" i="22" l="1"/>
  <c r="J32" i="22"/>
  <c r="J31" i="22"/>
  <c r="J30" i="22"/>
  <c r="J29" i="22"/>
  <c r="J50" i="15"/>
  <c r="J38" i="15" l="1"/>
  <c r="J37" i="15"/>
  <c r="J36" i="15"/>
  <c r="J35" i="15"/>
  <c r="J34" i="15"/>
  <c r="B50" i="28" l="1"/>
  <c r="B49" i="28"/>
  <c r="B48" i="28"/>
  <c r="B47" i="28"/>
  <c r="B43" i="28"/>
  <c r="B51" i="28" l="1"/>
  <c r="B44" i="28"/>
  <c r="B45" i="28" l="1"/>
  <c r="D43" i="28" l="1"/>
  <c r="D48" i="28"/>
  <c r="D47" i="28" l="1"/>
  <c r="D49" i="28" l="1"/>
  <c r="D50" i="28" l="1"/>
  <c r="D51" i="28" l="1"/>
  <c r="D44" i="28"/>
  <c r="D45" i="28" l="1"/>
  <c r="C50" i="28" l="1"/>
  <c r="C48" i="28"/>
  <c r="C49" i="28"/>
  <c r="C43" i="28" l="1"/>
  <c r="C47" i="28"/>
  <c r="E49" i="28" l="1"/>
  <c r="F49" i="28" s="1"/>
  <c r="G49" i="28" s="1"/>
  <c r="E48" i="28"/>
  <c r="F48" i="28" s="1"/>
  <c r="G48" i="28" s="1"/>
  <c r="E50" i="28"/>
  <c r="F50" i="28" s="1"/>
  <c r="G50" i="28" s="1"/>
  <c r="C44" i="28"/>
  <c r="C51" i="28"/>
  <c r="E43" i="28"/>
  <c r="F43" i="28" l="1"/>
  <c r="G43" i="28" s="1"/>
  <c r="C45" i="28"/>
  <c r="E47" i="28"/>
  <c r="E51" i="28" l="1"/>
  <c r="E44" i="28"/>
  <c r="F47" i="28"/>
  <c r="G47" i="28" l="1"/>
  <c r="G51" i="28" s="1"/>
  <c r="F51" i="28"/>
  <c r="E45" i="28"/>
  <c r="F44" i="28"/>
  <c r="G44" i="28" l="1"/>
  <c r="G45" i="28" s="1"/>
  <c r="F45" i="28"/>
  <c r="B75" i="28" l="1"/>
  <c r="E74" i="28"/>
  <c r="D74" i="28"/>
  <c r="C74" i="28"/>
  <c r="F74" i="28" s="1"/>
  <c r="G74" i="28" s="1"/>
  <c r="F73" i="28"/>
  <c r="G73" i="28" s="1"/>
  <c r="E73" i="28"/>
  <c r="D73" i="28"/>
  <c r="C73" i="28"/>
  <c r="E72" i="28"/>
  <c r="F72" i="28" s="1"/>
  <c r="G72" i="28" s="1"/>
  <c r="D72" i="28"/>
  <c r="C72" i="28"/>
  <c r="E71" i="28"/>
  <c r="D71" i="28"/>
  <c r="D75" i="28" s="1"/>
  <c r="C71" i="28"/>
  <c r="C75" i="28" s="1"/>
  <c r="E68" i="28"/>
  <c r="B68" i="28"/>
  <c r="B69" i="28" s="1"/>
  <c r="E67" i="28"/>
  <c r="D67" i="28"/>
  <c r="C67" i="28"/>
  <c r="F67" i="28" s="1"/>
  <c r="G67" i="28" s="1"/>
  <c r="B63" i="28"/>
  <c r="F62" i="28"/>
  <c r="G62" i="28" s="1"/>
  <c r="E62" i="28"/>
  <c r="D62" i="28"/>
  <c r="C62" i="28"/>
  <c r="E61" i="28"/>
  <c r="D61" i="28"/>
  <c r="C61" i="28"/>
  <c r="F61" i="28" s="1"/>
  <c r="G61" i="28" s="1"/>
  <c r="E60" i="28"/>
  <c r="D60" i="28"/>
  <c r="F60" i="28" s="1"/>
  <c r="G60" i="28" s="1"/>
  <c r="C60" i="28"/>
  <c r="E59" i="28"/>
  <c r="D59" i="28"/>
  <c r="C59" i="28"/>
  <c r="B57" i="28"/>
  <c r="D56" i="28"/>
  <c r="B56" i="28"/>
  <c r="F55" i="28"/>
  <c r="G55" i="28" s="1"/>
  <c r="E55" i="28"/>
  <c r="D55" i="28"/>
  <c r="C55" i="28"/>
  <c r="E69" i="28" l="1"/>
  <c r="C63" i="28"/>
  <c r="E63" i="28"/>
  <c r="F71" i="28"/>
  <c r="G71" i="28" s="1"/>
  <c r="E75" i="28"/>
  <c r="D57" i="28"/>
  <c r="C68" i="28"/>
  <c r="D68" i="28"/>
  <c r="D69" i="28" s="1"/>
  <c r="F59" i="28"/>
  <c r="G59" i="28" s="1"/>
  <c r="C56" i="28"/>
  <c r="C57" i="28" s="1"/>
  <c r="D63" i="28"/>
  <c r="E56" i="28"/>
  <c r="E57" i="28" s="1"/>
  <c r="E76" i="8"/>
  <c r="F68" i="28" l="1"/>
  <c r="C69" i="28"/>
  <c r="G75" i="28"/>
  <c r="F75" i="28"/>
  <c r="F56" i="28"/>
  <c r="F63" i="28"/>
  <c r="G63" i="28"/>
  <c r="E81" i="8"/>
  <c r="G56" i="28" l="1"/>
  <c r="G57" i="28" s="1"/>
  <c r="G68" i="28"/>
  <c r="G69" i="28" s="1"/>
  <c r="F69" i="28"/>
  <c r="F57" i="28"/>
  <c r="E83" i="8"/>
  <c r="E82" i="8" l="1"/>
  <c r="E80" i="8" l="1"/>
  <c r="D44" i="15" l="1"/>
  <c r="I38" i="15" l="1"/>
  <c r="I37" i="15"/>
  <c r="I36" i="15"/>
  <c r="I35" i="15"/>
  <c r="I34" i="15"/>
  <c r="H38" i="15"/>
  <c r="H37" i="15"/>
  <c r="H36" i="15"/>
  <c r="H35" i="15"/>
  <c r="H34" i="15"/>
  <c r="I20" i="31" l="1"/>
  <c r="H20" i="31"/>
  <c r="G20" i="31"/>
  <c r="F20" i="31"/>
  <c r="E20" i="31"/>
  <c r="D20" i="31"/>
  <c r="I19" i="31"/>
  <c r="H19" i="31"/>
  <c r="G19" i="31"/>
  <c r="F19" i="31"/>
  <c r="E19" i="31"/>
  <c r="D19" i="31"/>
  <c r="I18" i="31"/>
  <c r="H18" i="31"/>
  <c r="G18" i="31"/>
  <c r="F18" i="31"/>
  <c r="E18" i="31"/>
  <c r="D18" i="31"/>
  <c r="I17" i="31"/>
  <c r="H17" i="31"/>
  <c r="G17" i="31"/>
  <c r="F17" i="31"/>
  <c r="E17" i="31"/>
  <c r="D17" i="31"/>
  <c r="I16" i="31"/>
  <c r="H16" i="31"/>
  <c r="G16" i="31"/>
  <c r="F16" i="31"/>
  <c r="E16" i="31"/>
  <c r="D16" i="31"/>
  <c r="H20" i="13"/>
  <c r="H19" i="13"/>
  <c r="G20" i="13"/>
  <c r="G19" i="13"/>
  <c r="F20" i="13"/>
  <c r="F19" i="13"/>
  <c r="E20" i="13"/>
  <c r="E19" i="13"/>
  <c r="D20" i="13"/>
  <c r="D19" i="13"/>
  <c r="I20" i="29"/>
  <c r="I19" i="29"/>
  <c r="I18" i="29"/>
  <c r="I17" i="29"/>
  <c r="I16" i="29"/>
  <c r="H20" i="29"/>
  <c r="H19" i="29"/>
  <c r="H18" i="29"/>
  <c r="H17" i="29"/>
  <c r="H16" i="29"/>
  <c r="G20" i="29"/>
  <c r="G19" i="29"/>
  <c r="G18" i="29"/>
  <c r="G17" i="29"/>
  <c r="G16" i="29"/>
  <c r="F20" i="29"/>
  <c r="F19" i="29"/>
  <c r="F18" i="29"/>
  <c r="F17" i="29"/>
  <c r="F16" i="29"/>
  <c r="E20" i="29"/>
  <c r="E19" i="29"/>
  <c r="E18" i="29"/>
  <c r="E17" i="29"/>
  <c r="E16" i="29"/>
  <c r="I23" i="23"/>
  <c r="I22" i="23"/>
  <c r="I21" i="23"/>
  <c r="I20" i="23"/>
  <c r="I19" i="23"/>
  <c r="H23" i="23"/>
  <c r="H22" i="23"/>
  <c r="H21" i="23"/>
  <c r="H20" i="23"/>
  <c r="H19" i="23"/>
  <c r="G23" i="23"/>
  <c r="G22" i="23"/>
  <c r="G21" i="23"/>
  <c r="G20" i="23"/>
  <c r="G19" i="23"/>
  <c r="F23" i="23"/>
  <c r="F22" i="23"/>
  <c r="F21" i="23"/>
  <c r="F20" i="23"/>
  <c r="F19" i="23"/>
  <c r="E23" i="23"/>
  <c r="E22" i="23"/>
  <c r="E21" i="23"/>
  <c r="E20" i="23"/>
  <c r="E19" i="23"/>
  <c r="I20" i="24"/>
  <c r="I19" i="24"/>
  <c r="I18" i="24"/>
  <c r="I17" i="24"/>
  <c r="I16" i="24"/>
  <c r="H20" i="24"/>
  <c r="H19" i="24"/>
  <c r="H18" i="24"/>
  <c r="H17" i="24"/>
  <c r="H16" i="24"/>
  <c r="G20" i="24"/>
  <c r="G19" i="24"/>
  <c r="G18" i="24"/>
  <c r="G17" i="24"/>
  <c r="G16" i="24"/>
  <c r="F20" i="24"/>
  <c r="F19" i="24"/>
  <c r="F18" i="24"/>
  <c r="F17" i="24"/>
  <c r="F16" i="24"/>
  <c r="E20" i="24"/>
  <c r="E19" i="24"/>
  <c r="E18" i="24"/>
  <c r="E17" i="24"/>
  <c r="E16" i="24"/>
  <c r="I23" i="16"/>
  <c r="I22" i="16"/>
  <c r="I21" i="16"/>
  <c r="I20" i="16"/>
  <c r="I19" i="16"/>
  <c r="H23" i="16"/>
  <c r="H22" i="16"/>
  <c r="H21" i="16"/>
  <c r="H20" i="16"/>
  <c r="H19" i="16"/>
  <c r="G23" i="16"/>
  <c r="G22" i="16"/>
  <c r="G21" i="16"/>
  <c r="G20" i="16"/>
  <c r="G19" i="16"/>
  <c r="F23" i="16"/>
  <c r="F22" i="16"/>
  <c r="F21" i="16"/>
  <c r="F20" i="16"/>
  <c r="F19" i="16"/>
  <c r="E23" i="16"/>
  <c r="E22" i="16"/>
  <c r="E21" i="16"/>
  <c r="E20" i="16"/>
  <c r="E19" i="16"/>
  <c r="I33" i="22"/>
  <c r="I32" i="22"/>
  <c r="I31" i="22"/>
  <c r="I30" i="22"/>
  <c r="I29" i="22"/>
  <c r="H33" i="22"/>
  <c r="H32" i="22"/>
  <c r="H31" i="22"/>
  <c r="H30" i="22"/>
  <c r="H29" i="22"/>
  <c r="G33" i="22"/>
  <c r="G32" i="22"/>
  <c r="G31" i="22"/>
  <c r="G30" i="22"/>
  <c r="G29" i="22"/>
  <c r="F33" i="22"/>
  <c r="F32" i="22"/>
  <c r="F31" i="22"/>
  <c r="F30" i="22"/>
  <c r="F29" i="22"/>
  <c r="E33" i="22"/>
  <c r="E32" i="22"/>
  <c r="E31" i="22"/>
  <c r="E30" i="22"/>
  <c r="E29" i="22"/>
  <c r="I31" i="15"/>
  <c r="I30" i="15"/>
  <c r="I29" i="15"/>
  <c r="I28" i="15"/>
  <c r="I27" i="15"/>
  <c r="H31" i="15"/>
  <c r="H30" i="15"/>
  <c r="H29" i="15"/>
  <c r="H28" i="15"/>
  <c r="H27" i="15"/>
  <c r="G31" i="15"/>
  <c r="G30" i="15"/>
  <c r="G29" i="15"/>
  <c r="G28" i="15"/>
  <c r="G27" i="15"/>
  <c r="G38" i="15"/>
  <c r="G37" i="15"/>
  <c r="G36" i="15"/>
  <c r="G35" i="15"/>
  <c r="G34" i="15"/>
  <c r="F38" i="15"/>
  <c r="F37" i="15"/>
  <c r="F36" i="15"/>
  <c r="F35" i="15"/>
  <c r="F34" i="15"/>
  <c r="F31" i="15"/>
  <c r="F30" i="15"/>
  <c r="F29" i="15"/>
  <c r="F28" i="15"/>
  <c r="F27" i="15"/>
  <c r="E31" i="15"/>
  <c r="E30" i="15"/>
  <c r="E29" i="15"/>
  <c r="E28" i="15"/>
  <c r="E27" i="15"/>
  <c r="E38" i="15"/>
  <c r="E37" i="15"/>
  <c r="E36" i="15"/>
  <c r="E35" i="15"/>
  <c r="E34" i="15"/>
  <c r="M31" i="15" l="1"/>
  <c r="L31" i="15"/>
  <c r="K31" i="15"/>
  <c r="M30" i="15"/>
  <c r="L30" i="15"/>
  <c r="K30" i="15"/>
  <c r="M29" i="15"/>
  <c r="L29" i="15"/>
  <c r="K29" i="15"/>
  <c r="M28" i="15"/>
  <c r="L28" i="15"/>
  <c r="K28" i="15"/>
  <c r="M27" i="15"/>
  <c r="L27" i="15"/>
  <c r="K27" i="15"/>
  <c r="B9" i="18"/>
  <c r="B8" i="18"/>
  <c r="B7" i="18"/>
  <c r="B6" i="18"/>
  <c r="B5" i="18"/>
  <c r="E7" i="31" l="1"/>
  <c r="E6" i="31"/>
  <c r="E5" i="31"/>
  <c r="E35" i="31"/>
  <c r="G34" i="31"/>
  <c r="F34" i="31"/>
  <c r="I33" i="31"/>
  <c r="H33" i="31"/>
  <c r="G33" i="31"/>
  <c r="I35" i="31"/>
  <c r="H35" i="31"/>
  <c r="G35" i="31"/>
  <c r="F35" i="31"/>
  <c r="D35" i="31"/>
  <c r="C35" i="31"/>
  <c r="I34" i="31"/>
  <c r="H34" i="31"/>
  <c r="E34" i="31"/>
  <c r="D34" i="31"/>
  <c r="C34" i="31"/>
  <c r="F33" i="31"/>
  <c r="E33" i="31"/>
  <c r="D33" i="31"/>
  <c r="C33" i="31"/>
  <c r="B34" i="13" l="1"/>
  <c r="D10" i="30"/>
  <c r="D9" i="30"/>
  <c r="C10" i="30"/>
  <c r="C9" i="30"/>
  <c r="B10" i="30"/>
  <c r="B9" i="30"/>
  <c r="C11" i="30" l="1"/>
  <c r="B6" i="30" l="1"/>
  <c r="C12" i="30" s="1"/>
  <c r="E9" i="10"/>
  <c r="D84" i="8" l="1"/>
  <c r="C84" i="8"/>
  <c r="B84" i="8"/>
  <c r="F83" i="8"/>
  <c r="G83" i="8" s="1"/>
  <c r="F82" i="8"/>
  <c r="G82" i="8" s="1"/>
  <c r="F81" i="8"/>
  <c r="G81" i="8" s="1"/>
  <c r="C78" i="8"/>
  <c r="B78" i="8"/>
  <c r="D77" i="8"/>
  <c r="D78" i="8" s="1"/>
  <c r="C77" i="8"/>
  <c r="F76" i="8"/>
  <c r="E84" i="8" l="1"/>
  <c r="G76" i="8"/>
  <c r="F80" i="8"/>
  <c r="E77" i="8"/>
  <c r="F77" i="8" s="1"/>
  <c r="F78" i="8" s="1"/>
  <c r="E8" i="19"/>
  <c r="E9" i="19"/>
  <c r="E10" i="19"/>
  <c r="E78" i="8" l="1"/>
  <c r="F84" i="8"/>
  <c r="G80" i="8"/>
  <c r="E7" i="19"/>
  <c r="E6" i="19"/>
  <c r="G84" i="8" l="1"/>
  <c r="G77" i="8"/>
  <c r="G78" i="8" s="1"/>
  <c r="E9" i="18"/>
  <c r="E8" i="18"/>
  <c r="E7" i="18"/>
  <c r="E6" i="18"/>
  <c r="E5" i="18"/>
  <c r="C11" i="12" l="1"/>
  <c r="C12" i="12"/>
  <c r="C13" i="12"/>
  <c r="C10" i="12"/>
  <c r="C6" i="12"/>
  <c r="B11" i="12"/>
  <c r="B12" i="12"/>
  <c r="B13" i="12"/>
  <c r="B10" i="12"/>
  <c r="B6" i="12"/>
  <c r="E30" i="16" l="1"/>
  <c r="E29" i="16"/>
  <c r="E28" i="16"/>
  <c r="E26" i="16"/>
  <c r="F29" i="16"/>
  <c r="F30" i="16"/>
  <c r="F28" i="16"/>
  <c r="F26" i="16"/>
  <c r="E33" i="16" l="1"/>
  <c r="E35" i="16"/>
  <c r="E27" i="16"/>
  <c r="E37" i="16"/>
  <c r="E36" i="16"/>
  <c r="F37" i="16"/>
  <c r="F35" i="16"/>
  <c r="F36" i="16"/>
  <c r="G30" i="16"/>
  <c r="F27" i="16"/>
  <c r="G28" i="16"/>
  <c r="G29" i="16"/>
  <c r="G26" i="16"/>
  <c r="F33" i="16" l="1"/>
  <c r="G35" i="16"/>
  <c r="G37" i="16"/>
  <c r="G36" i="16"/>
  <c r="G33" i="16"/>
  <c r="G27" i="16"/>
  <c r="H28" i="16"/>
  <c r="H30" i="16"/>
  <c r="H29" i="16"/>
  <c r="H26" i="16"/>
  <c r="E34" i="16" l="1"/>
  <c r="F34" i="16"/>
  <c r="H33" i="16"/>
  <c r="H35" i="16"/>
  <c r="H37" i="16"/>
  <c r="H36" i="16"/>
  <c r="I29" i="16"/>
  <c r="I30" i="16"/>
  <c r="I28" i="16"/>
  <c r="I26" i="16"/>
  <c r="H27" i="16" l="1"/>
  <c r="G34" i="16"/>
  <c r="I33" i="16"/>
  <c r="I35" i="16"/>
  <c r="I36" i="16"/>
  <c r="I37" i="16"/>
  <c r="J30" i="16"/>
  <c r="J29" i="16"/>
  <c r="J28" i="16"/>
  <c r="J26" i="16"/>
  <c r="I27" i="16" l="1"/>
  <c r="H34" i="16"/>
  <c r="J35" i="16"/>
  <c r="J33" i="16"/>
  <c r="J36" i="16"/>
  <c r="J37" i="16"/>
  <c r="K28" i="16"/>
  <c r="K29" i="16"/>
  <c r="K30" i="16"/>
  <c r="K26" i="16"/>
  <c r="J27" i="16" l="1"/>
  <c r="I34" i="16"/>
  <c r="K36" i="16"/>
  <c r="K33" i="16"/>
  <c r="K35" i="16"/>
  <c r="K37" i="16"/>
  <c r="L35" i="16"/>
  <c r="L28" i="16"/>
  <c r="L36" i="16"/>
  <c r="L29" i="16"/>
  <c r="L27" i="16"/>
  <c r="L37" i="16"/>
  <c r="L30" i="16"/>
  <c r="L26" i="16"/>
  <c r="J34" i="16" l="1"/>
  <c r="K27" i="16"/>
  <c r="L33" i="16"/>
  <c r="K34" i="16" l="1"/>
  <c r="L34" i="16"/>
  <c r="I19" i="22" l="1"/>
  <c r="I18" i="22"/>
  <c r="I17" i="22"/>
  <c r="I16" i="22"/>
  <c r="I15" i="22"/>
  <c r="H19" i="22"/>
  <c r="H18" i="22"/>
  <c r="H17" i="22"/>
  <c r="H16" i="22"/>
  <c r="H15" i="22"/>
  <c r="G19" i="22"/>
  <c r="G18" i="22"/>
  <c r="G17" i="22"/>
  <c r="G16" i="22"/>
  <c r="G15" i="22"/>
  <c r="F19" i="22"/>
  <c r="F18" i="22"/>
  <c r="F17" i="22"/>
  <c r="F16" i="22"/>
  <c r="F15" i="22"/>
  <c r="E19" i="22"/>
  <c r="E18" i="22"/>
  <c r="E17" i="22"/>
  <c r="E16" i="22"/>
  <c r="E15" i="22"/>
  <c r="I50" i="15" l="1"/>
  <c r="H50" i="15"/>
  <c r="G50" i="15"/>
  <c r="F50" i="15"/>
  <c r="E50" i="15"/>
  <c r="C36" i="31" l="1"/>
  <c r="C32" i="31"/>
  <c r="I36" i="31"/>
  <c r="H36" i="31"/>
  <c r="G36" i="31"/>
  <c r="F36" i="31"/>
  <c r="E36" i="31"/>
  <c r="I32" i="31"/>
  <c r="H32" i="31"/>
  <c r="G32" i="31"/>
  <c r="F32" i="31"/>
  <c r="E32" i="31"/>
  <c r="K13" i="31"/>
  <c r="J13" i="31"/>
  <c r="I13" i="31"/>
  <c r="H13" i="31"/>
  <c r="G13" i="31"/>
  <c r="F13" i="31"/>
  <c r="E13" i="31"/>
  <c r="D13" i="31"/>
  <c r="E12" i="31"/>
  <c r="F12" i="31" s="1"/>
  <c r="G12" i="31" s="1"/>
  <c r="H12" i="31" s="1"/>
  <c r="I12" i="31" s="1"/>
  <c r="J12" i="31" s="1"/>
  <c r="K12" i="31" s="1"/>
  <c r="L12" i="31" s="1"/>
  <c r="D12" i="31"/>
  <c r="C11" i="31"/>
  <c r="B11" i="31"/>
  <c r="E8" i="31"/>
  <c r="E4" i="31"/>
  <c r="A1" i="31"/>
  <c r="E10" i="30"/>
  <c r="D11" i="30"/>
  <c r="B7" i="30" s="1"/>
  <c r="B11" i="30"/>
  <c r="B5" i="30" s="1"/>
  <c r="A2" i="30"/>
  <c r="A1" i="30"/>
  <c r="E5" i="19"/>
  <c r="D5" i="19"/>
  <c r="E9" i="31" l="1"/>
  <c r="B12" i="30"/>
  <c r="D12" i="30"/>
  <c r="E9" i="30"/>
  <c r="D32" i="31"/>
  <c r="D36" i="31"/>
  <c r="C8" i="10"/>
  <c r="B6" i="10" s="1"/>
  <c r="B8" i="10"/>
  <c r="B5" i="10" s="1"/>
  <c r="E11" i="30" l="1"/>
  <c r="E12" i="30" s="1"/>
  <c r="B39" i="31"/>
  <c r="F13" i="5"/>
  <c r="D10" i="18"/>
  <c r="D36" i="28"/>
  <c r="D31" i="28"/>
  <c r="G4" i="31" l="1"/>
  <c r="C39" i="31"/>
  <c r="D39" i="31" s="1"/>
  <c r="D35" i="28"/>
  <c r="D37" i="28" l="1"/>
  <c r="D38" i="28" l="1"/>
  <c r="C36" i="28" l="1"/>
  <c r="C31" i="28"/>
  <c r="C37" i="28" l="1"/>
  <c r="E38" i="28" l="1"/>
  <c r="C38" i="28"/>
  <c r="E36" i="28"/>
  <c r="E37" i="28"/>
  <c r="E31" i="28"/>
  <c r="C35" i="28"/>
  <c r="E35" i="28" l="1"/>
  <c r="E54" i="8" l="1"/>
  <c r="E65" i="8" l="1"/>
  <c r="E59" i="8" l="1"/>
  <c r="E61" i="8" l="1"/>
  <c r="E70" i="8" l="1"/>
  <c r="E60" i="8" l="1"/>
  <c r="E72" i="8" l="1"/>
  <c r="E71" i="8" l="1"/>
  <c r="E58" i="8" l="1"/>
  <c r="E69" i="8" l="1"/>
  <c r="D73" i="8" l="1"/>
  <c r="C73" i="8"/>
  <c r="B73" i="8"/>
  <c r="F72" i="8"/>
  <c r="G72" i="8" s="1"/>
  <c r="F71" i="8"/>
  <c r="G71" i="8" s="1"/>
  <c r="F70" i="8"/>
  <c r="G70" i="8" s="1"/>
  <c r="F69" i="8"/>
  <c r="G69" i="8" s="1"/>
  <c r="C67" i="8"/>
  <c r="B67" i="8"/>
  <c r="D66" i="8"/>
  <c r="D67" i="8" s="1"/>
  <c r="C66" i="8"/>
  <c r="F73" i="8" l="1"/>
  <c r="E73" i="8"/>
  <c r="E66" i="8"/>
  <c r="F66" i="8" s="1"/>
  <c r="G73" i="8" l="1"/>
  <c r="G66" i="8"/>
  <c r="E67" i="8" l="1"/>
  <c r="F65" i="8"/>
  <c r="G65" i="8" s="1"/>
  <c r="F67" i="8" l="1"/>
  <c r="G67" i="8"/>
  <c r="I45" i="31" l="1"/>
  <c r="H45" i="31"/>
  <c r="H8" i="29" l="1"/>
  <c r="H7" i="29"/>
  <c r="H6" i="29"/>
  <c r="H5" i="29"/>
  <c r="B55" i="29"/>
  <c r="C55" i="29" s="1"/>
  <c r="C36" i="29"/>
  <c r="C43" i="29" s="1"/>
  <c r="C35" i="29"/>
  <c r="C42" i="29" s="1"/>
  <c r="C34" i="29"/>
  <c r="C41" i="29" s="1"/>
  <c r="C33" i="29"/>
  <c r="C40" i="29" s="1"/>
  <c r="C32" i="29"/>
  <c r="C39" i="29" s="1"/>
  <c r="E12" i="29"/>
  <c r="F12" i="29" s="1"/>
  <c r="G12" i="29" s="1"/>
  <c r="H12" i="29" s="1"/>
  <c r="I12" i="29" s="1"/>
  <c r="J12" i="29" s="1"/>
  <c r="K12" i="29" s="1"/>
  <c r="L12" i="29" s="1"/>
  <c r="M12" i="29" s="1"/>
  <c r="C11" i="29"/>
  <c r="B11" i="29"/>
  <c r="H4" i="29"/>
  <c r="A1" i="29"/>
  <c r="F45" i="29" l="1"/>
  <c r="E45" i="31"/>
  <c r="G45" i="29"/>
  <c r="F45" i="31"/>
  <c r="E45" i="29"/>
  <c r="D45" i="31"/>
  <c r="H45" i="29"/>
  <c r="G45" i="31"/>
  <c r="H9" i="29"/>
  <c r="D47" i="31" l="1"/>
  <c r="E39" i="31" l="1"/>
  <c r="E47" i="31"/>
  <c r="F47" i="31" l="1"/>
  <c r="F39" i="31"/>
  <c r="G47" i="31" l="1"/>
  <c r="G39" i="31"/>
  <c r="H47" i="31" l="1"/>
  <c r="H39" i="31"/>
  <c r="I39" i="31" l="1"/>
  <c r="I47" i="31"/>
  <c r="J17" i="31" l="1"/>
  <c r="M20" i="29"/>
  <c r="M36" i="29" s="1"/>
  <c r="L17" i="31"/>
  <c r="L33" i="31" s="1"/>
  <c r="M19" i="29" l="1"/>
  <c r="M35" i="29" s="1"/>
  <c r="L19" i="31"/>
  <c r="L35" i="31" s="1"/>
  <c r="K19" i="29"/>
  <c r="J19" i="31"/>
  <c r="K18" i="29"/>
  <c r="J18" i="31"/>
  <c r="J33" i="31"/>
  <c r="M18" i="29"/>
  <c r="M34" i="29" s="1"/>
  <c r="L18" i="31"/>
  <c r="L34" i="31" s="1"/>
  <c r="M16" i="29"/>
  <c r="M32" i="29" s="1"/>
  <c r="L16" i="31"/>
  <c r="K17" i="29"/>
  <c r="K16" i="29"/>
  <c r="J16" i="31"/>
  <c r="M17" i="29"/>
  <c r="M33" i="29" s="1"/>
  <c r="L20" i="31"/>
  <c r="L36" i="31" s="1"/>
  <c r="L16" i="29"/>
  <c r="K16" i="31"/>
  <c r="K20" i="29"/>
  <c r="J34" i="31" l="1"/>
  <c r="J35" i="31"/>
  <c r="E4" i="29"/>
  <c r="J20" i="31"/>
  <c r="J32" i="31"/>
  <c r="D4" i="31"/>
  <c r="K32" i="31"/>
  <c r="L32" i="31"/>
  <c r="L20" i="29"/>
  <c r="K17" i="31"/>
  <c r="K33" i="31" l="1"/>
  <c r="D5" i="31"/>
  <c r="F5" i="31" s="1"/>
  <c r="L19" i="29"/>
  <c r="K19" i="31"/>
  <c r="L18" i="29"/>
  <c r="E6" i="29" s="1"/>
  <c r="K18" i="31"/>
  <c r="F4" i="31"/>
  <c r="J39" i="31"/>
  <c r="L17" i="29"/>
  <c r="K20" i="31"/>
  <c r="J36" i="31"/>
  <c r="E7" i="29"/>
  <c r="E8" i="29"/>
  <c r="E5" i="29" l="1"/>
  <c r="K34" i="31"/>
  <c r="D6" i="31"/>
  <c r="F6" i="31" s="1"/>
  <c r="K35" i="31"/>
  <c r="D7" i="31"/>
  <c r="F7" i="31" s="1"/>
  <c r="K36" i="31"/>
  <c r="D8" i="31"/>
  <c r="E9" i="29"/>
  <c r="F8" i="31" l="1"/>
  <c r="F9" i="31" s="1"/>
  <c r="D9" i="31"/>
  <c r="B62" i="8"/>
  <c r="B56" i="8"/>
  <c r="F54" i="8" l="1"/>
  <c r="G54" i="8" l="1"/>
  <c r="F59" i="8"/>
  <c r="G59" i="8" l="1"/>
  <c r="F61" i="8"/>
  <c r="G61" i="8" l="1"/>
  <c r="F60" i="8"/>
  <c r="E62" i="8"/>
  <c r="E55" i="8"/>
  <c r="E56" i="8" s="1"/>
  <c r="G60" i="8" l="1"/>
  <c r="D62" i="8"/>
  <c r="D55" i="8"/>
  <c r="D56" i="8" s="1"/>
  <c r="C62" i="8"/>
  <c r="C55" i="8"/>
  <c r="F58" i="8"/>
  <c r="G58" i="8" l="1"/>
  <c r="F62" i="8"/>
  <c r="F55" i="8"/>
  <c r="C56" i="8"/>
  <c r="G62" i="8" l="1"/>
  <c r="G55" i="8"/>
  <c r="F56" i="8"/>
  <c r="G56" i="8" l="1"/>
  <c r="L11" i="15"/>
  <c r="L10" i="15"/>
  <c r="L9" i="15"/>
  <c r="L8" i="15"/>
  <c r="D14" i="30" l="1"/>
  <c r="B14" i="30" s="1"/>
  <c r="D17" i="30"/>
  <c r="B17" i="30" s="1"/>
  <c r="D15" i="30"/>
  <c r="B15" i="30" s="1"/>
  <c r="D16" i="30"/>
  <c r="B16" i="30" s="1"/>
  <c r="B42" i="31" l="1"/>
  <c r="F16" i="5"/>
  <c r="B43" i="31"/>
  <c r="F17" i="5"/>
  <c r="B40" i="31"/>
  <c r="F14" i="5"/>
  <c r="B41" i="31"/>
  <c r="F15" i="5"/>
  <c r="B18" i="30"/>
  <c r="D18" i="30"/>
  <c r="D26" i="28"/>
  <c r="D14" i="28" s="1"/>
  <c r="D25" i="28"/>
  <c r="D13" i="28" s="1"/>
  <c r="D19" i="28"/>
  <c r="D7" i="28" s="1"/>
  <c r="C41" i="31" l="1"/>
  <c r="G6" i="31"/>
  <c r="C40" i="31"/>
  <c r="G5" i="31"/>
  <c r="B55" i="31"/>
  <c r="C55" i="31" s="1"/>
  <c r="G8" i="31"/>
  <c r="C43" i="31"/>
  <c r="G7" i="31"/>
  <c r="C42" i="31"/>
  <c r="D24" i="28"/>
  <c r="D12" i="28" s="1"/>
  <c r="D23" i="28"/>
  <c r="D11" i="28" s="1"/>
  <c r="D15" i="28" l="1"/>
  <c r="D43" i="31"/>
  <c r="D51" i="31"/>
  <c r="D40" i="31"/>
  <c r="D48" i="31"/>
  <c r="G9" i="31"/>
  <c r="D42" i="31"/>
  <c r="D50" i="31"/>
  <c r="D41" i="31"/>
  <c r="D49" i="31"/>
  <c r="C25" i="28"/>
  <c r="C13" i="28" s="1"/>
  <c r="C26" i="28"/>
  <c r="C14" i="28" s="1"/>
  <c r="D53" i="31" l="1"/>
  <c r="E40" i="31"/>
  <c r="E48" i="31"/>
  <c r="E50" i="31"/>
  <c r="E42" i="31"/>
  <c r="E51" i="31"/>
  <c r="E43" i="31"/>
  <c r="E41" i="31"/>
  <c r="E49" i="31"/>
  <c r="D55" i="31"/>
  <c r="C19" i="28"/>
  <c r="C7" i="28" s="1"/>
  <c r="C24" i="28"/>
  <c r="C12" i="28" s="1"/>
  <c r="F41" i="31" l="1"/>
  <c r="F49" i="31"/>
  <c r="F51" i="31"/>
  <c r="F43" i="31"/>
  <c r="F42" i="31"/>
  <c r="F50" i="31"/>
  <c r="F48" i="31"/>
  <c r="F53" i="31" s="1"/>
  <c r="F40" i="31"/>
  <c r="E53" i="31"/>
  <c r="D52" i="31"/>
  <c r="E55" i="31"/>
  <c r="E26" i="28"/>
  <c r="E14" i="28" s="1"/>
  <c r="C23" i="28"/>
  <c r="C11" i="28" s="1"/>
  <c r="C15" i="28" s="1"/>
  <c r="G50" i="31" l="1"/>
  <c r="G42" i="31"/>
  <c r="E52" i="31"/>
  <c r="F55" i="31"/>
  <c r="G40" i="31"/>
  <c r="G48" i="31"/>
  <c r="G43" i="31"/>
  <c r="G51" i="31"/>
  <c r="G41" i="31"/>
  <c r="G49" i="31"/>
  <c r="E25" i="28"/>
  <c r="E13" i="28" s="1"/>
  <c r="E24" i="28"/>
  <c r="E12" i="28" s="1"/>
  <c r="H51" i="31" l="1"/>
  <c r="H43" i="31"/>
  <c r="F52" i="31"/>
  <c r="G55" i="31"/>
  <c r="H40" i="31"/>
  <c r="H48" i="31"/>
  <c r="G53" i="31"/>
  <c r="H42" i="31"/>
  <c r="H50" i="31"/>
  <c r="H41" i="31"/>
  <c r="H49" i="31"/>
  <c r="E19" i="28"/>
  <c r="E7" i="28" s="1"/>
  <c r="E23" i="28"/>
  <c r="E11" i="28" s="1"/>
  <c r="E15" i="28" s="1"/>
  <c r="H53" i="31" l="1"/>
  <c r="I42" i="31"/>
  <c r="I50" i="31"/>
  <c r="G52" i="31"/>
  <c r="H55" i="31"/>
  <c r="I40" i="31"/>
  <c r="I48" i="31"/>
  <c r="I49" i="31"/>
  <c r="I41" i="31"/>
  <c r="I51" i="31"/>
  <c r="I43" i="31"/>
  <c r="B26" i="28"/>
  <c r="B14" i="28" s="1"/>
  <c r="B25" i="28"/>
  <c r="B13" i="28" s="1"/>
  <c r="B24" i="28"/>
  <c r="B12" i="28" s="1"/>
  <c r="B23" i="28"/>
  <c r="B11" i="28" s="1"/>
  <c r="B15" i="28" s="1"/>
  <c r="B19" i="28"/>
  <c r="B7" i="28" s="1"/>
  <c r="J41" i="31" l="1"/>
  <c r="J40" i="31"/>
  <c r="H52" i="31"/>
  <c r="I55" i="31"/>
  <c r="I52" i="31" s="1"/>
  <c r="J43" i="31"/>
  <c r="I53" i="31"/>
  <c r="J42" i="31"/>
  <c r="B20" i="28"/>
  <c r="B8" i="28" s="1"/>
  <c r="B9" i="28" s="1"/>
  <c r="B38" i="28" l="1"/>
  <c r="B37" i="28"/>
  <c r="B36" i="28"/>
  <c r="B35" i="28"/>
  <c r="B31" i="28"/>
  <c r="F26" i="28"/>
  <c r="D20" i="28"/>
  <c r="C20" i="28"/>
  <c r="F24" i="28"/>
  <c r="E27" i="28"/>
  <c r="D27" i="28"/>
  <c r="C27" i="28"/>
  <c r="F23" i="28"/>
  <c r="E20" i="28"/>
  <c r="F19" i="28"/>
  <c r="A2" i="28"/>
  <c r="A1" i="28"/>
  <c r="G26" i="28" l="1"/>
  <c r="G19" i="28"/>
  <c r="J23" i="29"/>
  <c r="G23" i="28"/>
  <c r="G24" i="28"/>
  <c r="D21" i="28"/>
  <c r="E21" i="28"/>
  <c r="C21" i="28"/>
  <c r="F23" i="29"/>
  <c r="G23" i="29"/>
  <c r="E23" i="29"/>
  <c r="G27" i="29"/>
  <c r="G36" i="29" s="1"/>
  <c r="F27" i="29"/>
  <c r="F36" i="29" s="1"/>
  <c r="E27" i="29"/>
  <c r="E36" i="29" s="1"/>
  <c r="E25" i="29"/>
  <c r="E34" i="29" s="1"/>
  <c r="G25" i="29"/>
  <c r="G34" i="29" s="1"/>
  <c r="F25" i="29"/>
  <c r="F34" i="29" s="1"/>
  <c r="E24" i="29"/>
  <c r="E33" i="29" s="1"/>
  <c r="G24" i="29"/>
  <c r="G33" i="29" s="1"/>
  <c r="F24" i="29"/>
  <c r="F33" i="29" s="1"/>
  <c r="D39" i="28"/>
  <c r="C39" i="28"/>
  <c r="F36" i="28"/>
  <c r="G36" i="28" s="1"/>
  <c r="E39" i="28"/>
  <c r="E32" i="28"/>
  <c r="E33" i="28" s="1"/>
  <c r="D32" i="28"/>
  <c r="D33" i="28" s="1"/>
  <c r="F35" i="28"/>
  <c r="G35" i="28" s="1"/>
  <c r="C32" i="28"/>
  <c r="C33" i="28" s="1"/>
  <c r="F31" i="28"/>
  <c r="G31" i="28" s="1"/>
  <c r="F38" i="28"/>
  <c r="G38" i="28" s="1"/>
  <c r="F37" i="28"/>
  <c r="G37" i="28" s="1"/>
  <c r="B32" i="28"/>
  <c r="F20" i="28"/>
  <c r="F25" i="28"/>
  <c r="B27" i="28"/>
  <c r="B39" i="28"/>
  <c r="B21" i="28"/>
  <c r="F13" i="28"/>
  <c r="K25" i="29" l="1"/>
  <c r="L23" i="29"/>
  <c r="L25" i="29"/>
  <c r="L34" i="29" s="1"/>
  <c r="K23" i="29"/>
  <c r="J24" i="29"/>
  <c r="J33" i="29" s="1"/>
  <c r="L27" i="29"/>
  <c r="L36" i="29" s="1"/>
  <c r="G25" i="28"/>
  <c r="L26" i="29"/>
  <c r="L35" i="29" s="1"/>
  <c r="K26" i="29"/>
  <c r="J26" i="29"/>
  <c r="K24" i="29"/>
  <c r="J27" i="29"/>
  <c r="J36" i="29" s="1"/>
  <c r="L24" i="29"/>
  <c r="L33" i="29" s="1"/>
  <c r="K27" i="29"/>
  <c r="K13" i="29" s="1"/>
  <c r="J25" i="29"/>
  <c r="J34" i="29" s="1"/>
  <c r="G12" i="28"/>
  <c r="C8" i="28"/>
  <c r="C9" i="28" s="1"/>
  <c r="G11" i="28"/>
  <c r="E8" i="28"/>
  <c r="E9" i="28" s="1"/>
  <c r="G14" i="28"/>
  <c r="D8" i="28"/>
  <c r="D9" i="28" s="1"/>
  <c r="G7" i="28"/>
  <c r="E26" i="29"/>
  <c r="E35" i="29" s="1"/>
  <c r="I26" i="29"/>
  <c r="I35" i="29" s="1"/>
  <c r="F26" i="29"/>
  <c r="F35" i="29" s="1"/>
  <c r="G26" i="29"/>
  <c r="G35" i="29" s="1"/>
  <c r="H26" i="29"/>
  <c r="I25" i="29"/>
  <c r="I34" i="29" s="1"/>
  <c r="I27" i="29"/>
  <c r="I36" i="29" s="1"/>
  <c r="I24" i="29"/>
  <c r="I33" i="29" s="1"/>
  <c r="H25" i="29"/>
  <c r="H34" i="29" s="1"/>
  <c r="H24" i="29"/>
  <c r="H33" i="29" s="1"/>
  <c r="H23" i="29"/>
  <c r="H32" i="29" s="1"/>
  <c r="E40" i="29"/>
  <c r="E48" i="29"/>
  <c r="I23" i="29"/>
  <c r="I32" i="29" s="1"/>
  <c r="H27" i="29"/>
  <c r="E32" i="29"/>
  <c r="E43" i="29"/>
  <c r="E51" i="29"/>
  <c r="G32" i="29"/>
  <c r="F32" i="29"/>
  <c r="E41" i="29"/>
  <c r="E49" i="29"/>
  <c r="F12" i="28"/>
  <c r="L32" i="29"/>
  <c r="K36" i="29"/>
  <c r="J32" i="29"/>
  <c r="K33" i="29"/>
  <c r="J35" i="29"/>
  <c r="K34" i="29"/>
  <c r="K32" i="29"/>
  <c r="G39" i="28"/>
  <c r="F27" i="28"/>
  <c r="F21" i="28"/>
  <c r="F11" i="28"/>
  <c r="F14" i="28"/>
  <c r="F32" i="28"/>
  <c r="G32" i="28" s="1"/>
  <c r="F39" i="28"/>
  <c r="B33" i="28"/>
  <c r="F7" i="28"/>
  <c r="F8" i="29" l="1"/>
  <c r="G8" i="29" s="1"/>
  <c r="G13" i="29"/>
  <c r="F13" i="29"/>
  <c r="F4" i="29"/>
  <c r="G4" i="29" s="1"/>
  <c r="G20" i="28"/>
  <c r="G13" i="28"/>
  <c r="F6" i="29"/>
  <c r="G6" i="29" s="1"/>
  <c r="E13" i="29"/>
  <c r="F40" i="29"/>
  <c r="F51" i="29"/>
  <c r="F5" i="29"/>
  <c r="G5" i="29" s="1"/>
  <c r="H36" i="29"/>
  <c r="F48" i="29"/>
  <c r="F43" i="29"/>
  <c r="E42" i="29"/>
  <c r="E50" i="29"/>
  <c r="F41" i="29"/>
  <c r="F49" i="29"/>
  <c r="E47" i="29"/>
  <c r="E39" i="29"/>
  <c r="G33" i="28"/>
  <c r="L13" i="29"/>
  <c r="J13" i="29"/>
  <c r="G27" i="28"/>
  <c r="I13" i="29"/>
  <c r="F7" i="29"/>
  <c r="G7" i="29" s="1"/>
  <c r="H35" i="29"/>
  <c r="H13" i="29"/>
  <c r="K35" i="29"/>
  <c r="F15" i="28"/>
  <c r="F33" i="28"/>
  <c r="F8" i="28"/>
  <c r="F9" i="28" s="1"/>
  <c r="G51" i="29" l="1"/>
  <c r="E53" i="29"/>
  <c r="G43" i="29"/>
  <c r="G48" i="29"/>
  <c r="G21" i="28"/>
  <c r="G8" i="28"/>
  <c r="G9" i="28" s="1"/>
  <c r="F39" i="29"/>
  <c r="F47" i="29"/>
  <c r="G41" i="29"/>
  <c r="G49" i="29"/>
  <c r="G40" i="29"/>
  <c r="F50" i="29"/>
  <c r="F42" i="29"/>
  <c r="E55" i="29"/>
  <c r="E52" i="29" s="1"/>
  <c r="G9" i="29"/>
  <c r="F9" i="29"/>
  <c r="G15" i="28"/>
  <c r="H43" i="29" l="1"/>
  <c r="H51" i="29"/>
  <c r="I43" i="29" s="1"/>
  <c r="G42" i="29"/>
  <c r="G50" i="29"/>
  <c r="H40" i="29"/>
  <c r="H48" i="29"/>
  <c r="H41" i="29"/>
  <c r="H49" i="29"/>
  <c r="F53" i="29"/>
  <c r="F55" i="29"/>
  <c r="F52" i="29" s="1"/>
  <c r="G39" i="29"/>
  <c r="G47" i="29"/>
  <c r="I41" i="29" l="1"/>
  <c r="I40" i="29"/>
  <c r="G53" i="29"/>
  <c r="G55" i="29"/>
  <c r="G52" i="29" s="1"/>
  <c r="H47" i="29"/>
  <c r="H39" i="29"/>
  <c r="H50" i="29"/>
  <c r="H42" i="29"/>
  <c r="D42" i="22"/>
  <c r="D41" i="22"/>
  <c r="D40" i="22"/>
  <c r="D39" i="22"/>
  <c r="D38" i="22"/>
  <c r="H53" i="29" l="1"/>
  <c r="H55" i="29"/>
  <c r="H52" i="29" s="1"/>
  <c r="I42" i="29"/>
  <c r="I39" i="29"/>
  <c r="D9" i="10"/>
  <c r="B10" i="10" l="1"/>
  <c r="B11" i="10" s="1"/>
  <c r="D8" i="10"/>
  <c r="C10" i="10"/>
  <c r="C11" i="10" s="1"/>
  <c r="E8" i="10" l="1"/>
  <c r="B33" i="13"/>
  <c r="B43" i="13" s="1"/>
  <c r="E10" i="10"/>
  <c r="C38" i="8"/>
  <c r="C36" i="8"/>
  <c r="C37" i="8"/>
  <c r="D38" i="8" l="1"/>
  <c r="D37" i="8"/>
  <c r="D36" i="8"/>
  <c r="E36" i="8" l="1"/>
  <c r="E38" i="8" l="1"/>
  <c r="E37" i="8" l="1"/>
  <c r="E35" i="8" l="1"/>
  <c r="C35" i="8" l="1"/>
  <c r="D35" i="8" l="1"/>
  <c r="E31" i="8" l="1"/>
  <c r="D31" i="8"/>
  <c r="C31" i="8"/>
  <c r="E26" i="8"/>
  <c r="D26" i="8"/>
  <c r="C26" i="8"/>
  <c r="E25" i="8"/>
  <c r="D25" i="8"/>
  <c r="C25" i="8"/>
  <c r="E24" i="8"/>
  <c r="D24" i="8"/>
  <c r="C24" i="8"/>
  <c r="E23" i="8"/>
  <c r="D23" i="8"/>
  <c r="C23" i="8"/>
  <c r="E19" i="8"/>
  <c r="D19" i="8"/>
  <c r="C19" i="8"/>
  <c r="E20" i="8" l="1"/>
  <c r="C20" i="8"/>
  <c r="D20" i="8"/>
  <c r="E43" i="8" l="1"/>
  <c r="E7" i="8" s="1"/>
  <c r="C43" i="8" l="1"/>
  <c r="C7" i="8" s="1"/>
  <c r="D43" i="8" l="1"/>
  <c r="D7" i="8" s="1"/>
  <c r="C49" i="8" l="1"/>
  <c r="C13" i="8" s="1"/>
  <c r="C48" i="8"/>
  <c r="C12" i="8" s="1"/>
  <c r="C50" i="8"/>
  <c r="C14" i="8" s="1"/>
  <c r="D49" i="8" l="1"/>
  <c r="D13" i="8" s="1"/>
  <c r="D50" i="8"/>
  <c r="D14" i="8" s="1"/>
  <c r="D48" i="8"/>
  <c r="D12" i="8" s="1"/>
  <c r="E48" i="8" l="1"/>
  <c r="E12" i="8" s="1"/>
  <c r="E50" i="8" l="1"/>
  <c r="E14" i="8" s="1"/>
  <c r="E47" i="8" l="1"/>
  <c r="E11" i="8" s="1"/>
  <c r="E49" i="8" l="1"/>
  <c r="E13" i="8" s="1"/>
  <c r="E15" i="8" s="1"/>
  <c r="E44" i="8" l="1"/>
  <c r="D47" i="8"/>
  <c r="D11" i="8" s="1"/>
  <c r="D15" i="8" s="1"/>
  <c r="D44" i="8" l="1"/>
  <c r="C47" i="8"/>
  <c r="C11" i="8" s="1"/>
  <c r="C15" i="8" s="1"/>
  <c r="C44" i="8" l="1"/>
  <c r="F50" i="8"/>
  <c r="G50" i="8" s="1"/>
  <c r="F49" i="8"/>
  <c r="G49" i="8" s="1"/>
  <c r="F48" i="8"/>
  <c r="G48" i="8" s="1"/>
  <c r="E51" i="8"/>
  <c r="D51" i="8"/>
  <c r="C51" i="8"/>
  <c r="B51" i="8"/>
  <c r="B45" i="8"/>
  <c r="F47" i="8" l="1"/>
  <c r="G47" i="8" s="1"/>
  <c r="F51" i="8" l="1"/>
  <c r="G51" i="8" l="1"/>
  <c r="D11" i="24" l="1"/>
  <c r="D14" i="16" l="1"/>
  <c r="C14" i="16"/>
  <c r="F22" i="22" l="1"/>
  <c r="E22" i="22"/>
  <c r="J26" i="22" l="1"/>
  <c r="I26" i="22"/>
  <c r="H26" i="22"/>
  <c r="G26" i="22"/>
  <c r="J25" i="22"/>
  <c r="I25" i="22"/>
  <c r="H25" i="22"/>
  <c r="G25" i="22"/>
  <c r="J24" i="22"/>
  <c r="I24" i="22"/>
  <c r="H24" i="22"/>
  <c r="G24" i="22"/>
  <c r="J23" i="22"/>
  <c r="I23" i="22"/>
  <c r="H23" i="22"/>
  <c r="G23" i="22"/>
  <c r="J22" i="22"/>
  <c r="I22" i="22"/>
  <c r="H22" i="22"/>
  <c r="G22" i="22"/>
  <c r="E26" i="22" l="1"/>
  <c r="E25" i="22"/>
  <c r="E24" i="22"/>
  <c r="E23" i="22"/>
  <c r="F23" i="22" l="1"/>
  <c r="F24" i="22" l="1"/>
  <c r="F25" i="22"/>
  <c r="F26" i="22"/>
  <c r="J11" i="13" l="1"/>
  <c r="J10" i="13"/>
  <c r="J9" i="13"/>
  <c r="J8" i="13"/>
  <c r="C15" i="10" l="1"/>
  <c r="L8" i="16"/>
  <c r="C13" i="10"/>
  <c r="L9" i="16"/>
  <c r="C14" i="10"/>
  <c r="L10" i="16"/>
  <c r="L11" i="16"/>
  <c r="C16" i="10"/>
  <c r="K8" i="23"/>
  <c r="K9" i="23"/>
  <c r="K10" i="23"/>
  <c r="K11" i="23"/>
  <c r="A1" i="13"/>
  <c r="A2" i="10"/>
  <c r="A1" i="10"/>
  <c r="A1" i="23"/>
  <c r="A2" i="8"/>
  <c r="A1" i="8"/>
  <c r="A1" i="24"/>
  <c r="A1" i="16"/>
  <c r="A1" i="19"/>
  <c r="A1" i="12"/>
  <c r="A1" i="22"/>
  <c r="A1" i="15"/>
  <c r="A2" i="12"/>
  <c r="A1" i="5"/>
  <c r="C42" i="16"/>
  <c r="B38" i="8" l="1"/>
  <c r="B37" i="8"/>
  <c r="B36" i="8"/>
  <c r="B35" i="8"/>
  <c r="B32" i="8"/>
  <c r="B31" i="8"/>
  <c r="B26" i="8"/>
  <c r="B14" i="8" s="1"/>
  <c r="B25" i="8"/>
  <c r="B13" i="8" s="1"/>
  <c r="B24" i="8"/>
  <c r="B12" i="8" s="1"/>
  <c r="B23" i="8"/>
  <c r="B20" i="8"/>
  <c r="B19" i="8"/>
  <c r="B11" i="8" l="1"/>
  <c r="B15" i="8" s="1"/>
  <c r="B7" i="8"/>
  <c r="B8" i="8"/>
  <c r="B61" i="22"/>
  <c r="B9" i="8" l="1"/>
  <c r="P16" i="22"/>
  <c r="P18" i="22" l="1"/>
  <c r="P17" i="22"/>
  <c r="P19" i="22"/>
  <c r="H5" i="23" l="1"/>
  <c r="B58" i="23"/>
  <c r="B62" i="24" l="1"/>
  <c r="D43" i="16" l="1"/>
  <c r="C43" i="16"/>
  <c r="I7" i="24" l="1"/>
  <c r="I6" i="24"/>
  <c r="I5" i="24"/>
  <c r="C43" i="24" l="1"/>
  <c r="C50" i="24" s="1"/>
  <c r="C42" i="24"/>
  <c r="C49" i="24" s="1"/>
  <c r="C41" i="24"/>
  <c r="C48" i="24" s="1"/>
  <c r="C40" i="24"/>
  <c r="C47" i="24" s="1"/>
  <c r="C39" i="24"/>
  <c r="D43" i="24"/>
  <c r="D42" i="24"/>
  <c r="D41" i="24"/>
  <c r="D40" i="24"/>
  <c r="D48" i="24" l="1"/>
  <c r="D49" i="24"/>
  <c r="D50" i="24"/>
  <c r="D47" i="24"/>
  <c r="I7" i="22" l="1"/>
  <c r="I6" i="22"/>
  <c r="I5" i="22"/>
  <c r="I41" i="22" l="1"/>
  <c r="H41" i="22"/>
  <c r="G41" i="22"/>
  <c r="F41" i="22"/>
  <c r="E41" i="22"/>
  <c r="C41" i="22"/>
  <c r="C48" i="22" s="1"/>
  <c r="D48" i="22" s="1"/>
  <c r="I40" i="22"/>
  <c r="H40" i="22"/>
  <c r="G40" i="22"/>
  <c r="F40" i="22"/>
  <c r="E40" i="22"/>
  <c r="C40" i="22"/>
  <c r="C47" i="22" s="1"/>
  <c r="D47" i="22" s="1"/>
  <c r="I39" i="22"/>
  <c r="H39" i="22"/>
  <c r="G39" i="22"/>
  <c r="F39" i="22"/>
  <c r="E39" i="22"/>
  <c r="C39" i="22"/>
  <c r="C46" i="22" s="1"/>
  <c r="D46" i="22" s="1"/>
  <c r="E46" i="22" l="1"/>
  <c r="E47" i="22"/>
  <c r="E48" i="22"/>
  <c r="C38" i="23"/>
  <c r="C45" i="23" s="1"/>
  <c r="C37" i="23"/>
  <c r="C44" i="23" s="1"/>
  <c r="C36" i="23"/>
  <c r="C43" i="23" s="1"/>
  <c r="C14" i="13"/>
  <c r="B14" i="13"/>
  <c r="C14" i="23"/>
  <c r="B14" i="23"/>
  <c r="C11" i="24"/>
  <c r="B11" i="24"/>
  <c r="B14" i="16"/>
  <c r="C11" i="22"/>
  <c r="B11" i="22"/>
  <c r="C62" i="24" l="1"/>
  <c r="D39" i="24"/>
  <c r="C46" i="24"/>
  <c r="E12" i="24"/>
  <c r="F12" i="24" s="1"/>
  <c r="G12" i="24" s="1"/>
  <c r="H12" i="24" s="1"/>
  <c r="I12" i="24" s="1"/>
  <c r="J12" i="24" s="1"/>
  <c r="K12" i="24" s="1"/>
  <c r="L12" i="24" s="1"/>
  <c r="M12" i="24" s="1"/>
  <c r="I8" i="24"/>
  <c r="I4" i="24"/>
  <c r="D46" i="24" l="1"/>
  <c r="I9" i="24"/>
  <c r="D62" i="24"/>
  <c r="D15" i="13" l="1"/>
  <c r="E15" i="23"/>
  <c r="F15" i="23" s="1"/>
  <c r="G15" i="23" s="1"/>
  <c r="H15" i="23" s="1"/>
  <c r="I15" i="23" s="1"/>
  <c r="J15" i="23" s="1"/>
  <c r="K15" i="23" s="1"/>
  <c r="L15" i="23" s="1"/>
  <c r="M15" i="23" s="1"/>
  <c r="E15" i="16"/>
  <c r="E12" i="22"/>
  <c r="F15" i="15"/>
  <c r="G15" i="15" s="1"/>
  <c r="H15" i="15" s="1"/>
  <c r="I15" i="15" s="1"/>
  <c r="J15" i="15" s="1"/>
  <c r="K15" i="15" s="1"/>
  <c r="L15" i="15" s="1"/>
  <c r="M15" i="15" s="1"/>
  <c r="M12" i="22" s="1"/>
  <c r="C58" i="23"/>
  <c r="C39" i="23"/>
  <c r="C46" i="23" s="1"/>
  <c r="C35" i="23"/>
  <c r="C42" i="23" s="1"/>
  <c r="H4" i="23"/>
  <c r="H6" i="23" s="1"/>
  <c r="C61" i="22"/>
  <c r="D61" i="22" s="1"/>
  <c r="M59" i="22"/>
  <c r="C42" i="22"/>
  <c r="C49" i="22" s="1"/>
  <c r="D49" i="22" s="1"/>
  <c r="H42" i="22"/>
  <c r="G42" i="22"/>
  <c r="G38" i="22"/>
  <c r="F38" i="22"/>
  <c r="I8" i="22"/>
  <c r="I4" i="22"/>
  <c r="I9" i="22" s="1"/>
  <c r="H38" i="22" l="1"/>
  <c r="I38" i="22"/>
  <c r="F42" i="22"/>
  <c r="I42" i="22"/>
  <c r="K12" i="23"/>
  <c r="F12" i="22"/>
  <c r="H12" i="22"/>
  <c r="G12" i="22"/>
  <c r="I12" i="22"/>
  <c r="J12" i="22"/>
  <c r="K12" i="22"/>
  <c r="L12" i="22"/>
  <c r="E42" i="22"/>
  <c r="E49" i="22" s="1"/>
  <c r="C38" i="22"/>
  <c r="C45" i="22" s="1"/>
  <c r="D45" i="22" s="1"/>
  <c r="E38" i="22"/>
  <c r="E45" i="22" l="1"/>
  <c r="A2" i="19"/>
  <c r="J12" i="13" l="1"/>
  <c r="C17" i="10" l="1"/>
  <c r="L12" i="15"/>
  <c r="B27" i="8"/>
  <c r="L12" i="16"/>
  <c r="B21" i="8" l="1"/>
  <c r="D42" i="16" l="1"/>
  <c r="D16" i="16"/>
  <c r="B56" i="16" l="1"/>
  <c r="B57" i="15"/>
  <c r="C43" i="13" l="1"/>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G6" i="13" l="1"/>
  <c r="D34" i="13"/>
  <c r="D33" i="13"/>
  <c r="I30" i="13"/>
  <c r="E5" i="13"/>
  <c r="E4" i="13"/>
  <c r="G30" i="13"/>
  <c r="H16" i="13"/>
  <c r="E6" i="13" l="1"/>
  <c r="J24" i="15" l="1"/>
  <c r="J44" i="15" s="1"/>
  <c r="J23" i="15"/>
  <c r="C24" i="15"/>
  <c r="C44" i="15" s="1"/>
  <c r="C23" i="15"/>
  <c r="H24" i="15"/>
  <c r="H44" i="15" s="1"/>
  <c r="H23" i="15" l="1"/>
  <c r="G24" i="15"/>
  <c r="G44" i="15" s="1"/>
  <c r="F24" i="15"/>
  <c r="F44" i="15" s="1"/>
  <c r="I24" i="15"/>
  <c r="I44" i="15" s="1"/>
  <c r="I23" i="15"/>
  <c r="E23" i="15"/>
  <c r="F23" i="15"/>
  <c r="E24" i="15"/>
  <c r="E44" i="15" s="1"/>
  <c r="G23" i="15"/>
  <c r="E52" i="24" l="1"/>
  <c r="D36" i="13"/>
  <c r="E49" i="16"/>
  <c r="E48" i="23"/>
  <c r="E51" i="22"/>
  <c r="E55" i="22" l="1"/>
  <c r="E54" i="22"/>
  <c r="E56" i="22"/>
  <c r="E57" i="22"/>
  <c r="E53" i="22"/>
  <c r="D39" i="13"/>
  <c r="D38" i="13"/>
  <c r="C56" i="16"/>
  <c r="D56" i="16" s="1"/>
  <c r="E61" i="22" l="1"/>
  <c r="E58" i="22" s="1"/>
  <c r="F48" i="22"/>
  <c r="F46" i="22"/>
  <c r="F47" i="22"/>
  <c r="E59" i="22"/>
  <c r="F45" i="22"/>
  <c r="E33" i="13"/>
  <c r="D41" i="13"/>
  <c r="D43" i="13"/>
  <c r="D40" i="13" s="1"/>
  <c r="F49" i="22"/>
  <c r="E34" i="13"/>
  <c r="C47" i="16" l="1"/>
  <c r="D47" i="16" s="1"/>
  <c r="C46" i="16"/>
  <c r="D46" i="16" s="1"/>
  <c r="F15" i="16"/>
  <c r="G15" i="16" s="1"/>
  <c r="H15" i="16" s="1"/>
  <c r="I15" i="16" s="1"/>
  <c r="J15" i="16" s="1"/>
  <c r="K15" i="16" s="1"/>
  <c r="L15" i="16" s="1"/>
  <c r="M15" i="16" s="1"/>
  <c r="I5" i="16"/>
  <c r="I4" i="16"/>
  <c r="C57" i="15"/>
  <c r="D57" i="15" s="1"/>
  <c r="M55" i="15"/>
  <c r="C48" i="15"/>
  <c r="E48" i="15" s="1"/>
  <c r="C43" i="15"/>
  <c r="C47" i="15" s="1"/>
  <c r="D47" i="15" s="1"/>
  <c r="M24" i="15"/>
  <c r="M23" i="15"/>
  <c r="J43" i="15"/>
  <c r="I43" i="15"/>
  <c r="H43" i="15"/>
  <c r="G43" i="15"/>
  <c r="F43" i="15"/>
  <c r="E43" i="15"/>
  <c r="E47" i="15" s="1"/>
  <c r="I5" i="15"/>
  <c r="I4" i="15"/>
  <c r="D48" i="15" l="1"/>
  <c r="E53" i="15"/>
  <c r="E52" i="15"/>
  <c r="I6" i="15"/>
  <c r="I6" i="16"/>
  <c r="E57" i="15" l="1"/>
  <c r="E54" i="15" s="1"/>
  <c r="F48" i="15"/>
  <c r="F47" i="15"/>
  <c r="E55" i="15"/>
  <c r="D10" i="10" l="1"/>
  <c r="D11" i="10" s="1"/>
  <c r="B17" i="10" l="1"/>
  <c r="L24" i="15" l="1"/>
  <c r="K23" i="15" l="1"/>
  <c r="L23" i="15" l="1"/>
  <c r="G4" i="15" l="1"/>
  <c r="K24" i="15" l="1"/>
  <c r="G5" i="15" l="1"/>
  <c r="G6" i="15" l="1"/>
  <c r="E16" i="16" l="1"/>
  <c r="E42" i="16"/>
  <c r="E43" i="16"/>
  <c r="F42" i="16" l="1"/>
  <c r="E51" i="16"/>
  <c r="E46" i="16"/>
  <c r="E52" i="16"/>
  <c r="E47" i="16"/>
  <c r="E54" i="16" l="1"/>
  <c r="F43" i="16"/>
  <c r="F47" i="16" s="1"/>
  <c r="F16" i="16"/>
  <c r="E56" i="16"/>
  <c r="E53" i="16" s="1"/>
  <c r="G42" i="16"/>
  <c r="F46" i="16"/>
  <c r="G43" i="16"/>
  <c r="H43" i="16"/>
  <c r="G16" i="16" l="1"/>
  <c r="H16" i="16"/>
  <c r="H42" i="16"/>
  <c r="I43" i="16"/>
  <c r="J43" i="16" l="1"/>
  <c r="I16" i="16" l="1"/>
  <c r="I42" i="16"/>
  <c r="N30" i="16"/>
  <c r="N29" i="16"/>
  <c r="J16" i="16" l="1"/>
  <c r="J42" i="16"/>
  <c r="N28" i="16"/>
  <c r="N27" i="16"/>
  <c r="N26" i="16"/>
  <c r="F4" i="16" s="1"/>
  <c r="F5" i="16" l="1"/>
  <c r="F6" i="16" s="1"/>
  <c r="G5" i="16"/>
  <c r="K16" i="16"/>
  <c r="L16" i="16" l="1"/>
  <c r="G4" i="16"/>
  <c r="G6" i="16" l="1"/>
  <c r="B14" i="12" l="1"/>
  <c r="B7" i="12" s="1"/>
  <c r="B8" i="12" s="1"/>
  <c r="C14" i="12" l="1"/>
  <c r="C7" i="12" s="1"/>
  <c r="C8" i="12" l="1"/>
  <c r="J42" i="22" l="1"/>
  <c r="J41" i="22" l="1"/>
  <c r="G4" i="22"/>
  <c r="J38" i="22"/>
  <c r="G8" i="22"/>
  <c r="G7" i="22" l="1"/>
  <c r="J40" i="22"/>
  <c r="J39" i="22" l="1"/>
  <c r="G5" i="22"/>
  <c r="G6" i="22"/>
  <c r="G9" i="22" l="1"/>
  <c r="B39" i="8" l="1"/>
  <c r="B33" i="8"/>
  <c r="L35" i="15" l="1"/>
  <c r="K20" i="13"/>
  <c r="K30" i="13" s="1"/>
  <c r="L23" i="22"/>
  <c r="L30" i="22" s="1"/>
  <c r="L39" i="22" s="1"/>
  <c r="L20" i="16"/>
  <c r="L20" i="23"/>
  <c r="L17" i="24"/>
  <c r="L24" i="22"/>
  <c r="L31" i="22" s="1"/>
  <c r="L40" i="22" s="1"/>
  <c r="L21" i="16"/>
  <c r="L21" i="23"/>
  <c r="L36" i="15"/>
  <c r="L18" i="24"/>
  <c r="L25" i="22"/>
  <c r="L32" i="22" s="1"/>
  <c r="L41" i="22" s="1"/>
  <c r="L22" i="16"/>
  <c r="L22" i="23"/>
  <c r="L19" i="24"/>
  <c r="L37" i="15"/>
  <c r="L23" i="16"/>
  <c r="L26" i="22"/>
  <c r="L33" i="22" s="1"/>
  <c r="L42" i="22" s="1"/>
  <c r="L23" i="23"/>
  <c r="L20" i="24"/>
  <c r="L38" i="15"/>
  <c r="M35" i="15"/>
  <c r="M23" i="22"/>
  <c r="M30" i="22" s="1"/>
  <c r="M39" i="22" s="1"/>
  <c r="M20" i="23"/>
  <c r="M36" i="23" s="1"/>
  <c r="L20" i="13"/>
  <c r="L30" i="13" s="1"/>
  <c r="M17" i="24"/>
  <c r="M40" i="24" s="1"/>
  <c r="M20" i="16"/>
  <c r="M24" i="22"/>
  <c r="M31" i="22" s="1"/>
  <c r="M40" i="22" s="1"/>
  <c r="M21" i="23"/>
  <c r="M37" i="23" s="1"/>
  <c r="M18" i="24"/>
  <c r="M41" i="24" s="1"/>
  <c r="M21" i="16"/>
  <c r="M36" i="15"/>
  <c r="M25" i="22"/>
  <c r="M32" i="22" s="1"/>
  <c r="M41" i="22" s="1"/>
  <c r="M37" i="15"/>
  <c r="M22" i="23"/>
  <c r="M38" i="23" s="1"/>
  <c r="M22" i="16"/>
  <c r="M19" i="24"/>
  <c r="M42" i="24" s="1"/>
  <c r="M23" i="23"/>
  <c r="M39" i="23" s="1"/>
  <c r="M20" i="24"/>
  <c r="M43" i="24" s="1"/>
  <c r="M23" i="16"/>
  <c r="M26" i="22"/>
  <c r="M33" i="22" s="1"/>
  <c r="M42" i="22" s="1"/>
  <c r="M38" i="15"/>
  <c r="K35" i="15"/>
  <c r="K20" i="23"/>
  <c r="K23" i="22"/>
  <c r="K17" i="24"/>
  <c r="K20" i="16"/>
  <c r="J20" i="13"/>
  <c r="F5" i="15"/>
  <c r="K36" i="15"/>
  <c r="K24" i="22"/>
  <c r="K21" i="23"/>
  <c r="K18" i="24"/>
  <c r="K21" i="16"/>
  <c r="K25" i="22"/>
  <c r="K22" i="23"/>
  <c r="K19" i="24"/>
  <c r="K37" i="15"/>
  <c r="K22" i="16"/>
  <c r="K26" i="22"/>
  <c r="K23" i="23"/>
  <c r="K20" i="24"/>
  <c r="K23" i="16"/>
  <c r="K38" i="15"/>
  <c r="M44" i="15" l="1"/>
  <c r="E5" i="15"/>
  <c r="H5" i="15" s="1"/>
  <c r="K44" i="15"/>
  <c r="K32" i="22"/>
  <c r="F7" i="22"/>
  <c r="E5" i="24"/>
  <c r="K33" i="22"/>
  <c r="F8" i="22"/>
  <c r="K30" i="22"/>
  <c r="F5" i="22"/>
  <c r="M43" i="16"/>
  <c r="J30" i="13"/>
  <c r="D5" i="13"/>
  <c r="F5" i="13" s="1"/>
  <c r="L43" i="16"/>
  <c r="E5" i="16"/>
  <c r="H5" i="16" s="1"/>
  <c r="K43" i="16"/>
  <c r="E7" i="24"/>
  <c r="K31" i="22"/>
  <c r="F6" i="22"/>
  <c r="E5" i="23"/>
  <c r="E6" i="24"/>
  <c r="E8" i="24"/>
  <c r="L44" i="15"/>
  <c r="E5" i="22" l="1"/>
  <c r="H5" i="22" s="1"/>
  <c r="K39" i="22"/>
  <c r="E7" i="22"/>
  <c r="H7" i="22" s="1"/>
  <c r="K41" i="22"/>
  <c r="E8" i="22"/>
  <c r="H8" i="22" s="1"/>
  <c r="K42" i="22"/>
  <c r="E6" i="22"/>
  <c r="H6" i="22" s="1"/>
  <c r="K40" i="22"/>
  <c r="G7" i="5" l="1"/>
  <c r="AA16" i="5" s="1"/>
  <c r="G5" i="5"/>
  <c r="G8" i="5"/>
  <c r="Z17" i="5" l="1"/>
  <c r="AA17" i="5"/>
  <c r="AA14" i="5"/>
  <c r="Z14" i="5"/>
  <c r="G4" i="5"/>
  <c r="V17" i="5"/>
  <c r="T17" i="5"/>
  <c r="K22" i="22"/>
  <c r="K19" i="23"/>
  <c r="K19" i="16"/>
  <c r="K16" i="24"/>
  <c r="J19" i="13"/>
  <c r="K34" i="15"/>
  <c r="F4" i="15"/>
  <c r="F6" i="15" s="1"/>
  <c r="V14" i="5"/>
  <c r="T14" i="5"/>
  <c r="V16" i="5"/>
  <c r="T16" i="5"/>
  <c r="G6" i="5"/>
  <c r="M22" i="22"/>
  <c r="M29" i="22" s="1"/>
  <c r="M38" i="22" s="1"/>
  <c r="M16" i="24"/>
  <c r="M19" i="23"/>
  <c r="M19" i="16"/>
  <c r="L19" i="13"/>
  <c r="M34" i="15"/>
  <c r="M43" i="15" s="1"/>
  <c r="L22" i="22"/>
  <c r="L29" i="22" s="1"/>
  <c r="K19" i="13"/>
  <c r="L16" i="24"/>
  <c r="L19" i="23"/>
  <c r="L19" i="16"/>
  <c r="L34" i="15"/>
  <c r="Z13" i="5" l="1"/>
  <c r="AA13" i="5"/>
  <c r="V13" i="5"/>
  <c r="AA15" i="5"/>
  <c r="E4" i="24"/>
  <c r="E4" i="16"/>
  <c r="K42" i="16"/>
  <c r="M42" i="16"/>
  <c r="B10" i="18"/>
  <c r="E4" i="23"/>
  <c r="S6" i="5"/>
  <c r="V15" i="5"/>
  <c r="T15" i="5"/>
  <c r="L38" i="22"/>
  <c r="S7" i="5"/>
  <c r="M35" i="23"/>
  <c r="M39" i="24"/>
  <c r="T13" i="5"/>
  <c r="K29" i="22"/>
  <c r="F4" i="22"/>
  <c r="F9" i="22" s="1"/>
  <c r="K29" i="13"/>
  <c r="S5" i="5"/>
  <c r="E4" i="15"/>
  <c r="K43" i="15"/>
  <c r="L43" i="15"/>
  <c r="L42" i="16"/>
  <c r="L29" i="13"/>
  <c r="J29" i="13"/>
  <c r="D4" i="13"/>
  <c r="S8" i="5"/>
  <c r="E6" i="16" l="1"/>
  <c r="H4" i="16"/>
  <c r="E9" i="24"/>
  <c r="E6" i="15"/>
  <c r="H4" i="15"/>
  <c r="H6" i="15" s="1"/>
  <c r="D6" i="13"/>
  <c r="F4" i="13"/>
  <c r="E6" i="23"/>
  <c r="E4" i="22"/>
  <c r="K38" i="22"/>
  <c r="H6" i="16" l="1"/>
  <c r="E9" i="22"/>
  <c r="H4" i="22"/>
  <c r="F6" i="13"/>
  <c r="H9" i="22" l="1"/>
  <c r="F19" i="8" l="1"/>
  <c r="G19" i="8" l="1"/>
  <c r="C27" i="8"/>
  <c r="C21" i="8" l="1"/>
  <c r="D27" i="8" l="1"/>
  <c r="D21" i="8" l="1"/>
  <c r="F24" i="8" l="1"/>
  <c r="F26" i="8"/>
  <c r="G26" i="8" l="1"/>
  <c r="G24" i="8"/>
  <c r="F25" i="8"/>
  <c r="G25" i="8" l="1"/>
  <c r="E27" i="8"/>
  <c r="F23" i="8"/>
  <c r="G23" i="8" l="1"/>
  <c r="E21" i="8"/>
  <c r="F20" i="8"/>
  <c r="G20" i="8" s="1"/>
  <c r="F27" i="8"/>
  <c r="F21" i="8" l="1"/>
  <c r="G27" i="8"/>
  <c r="G21" i="8" l="1"/>
  <c r="F7" i="8" l="1"/>
  <c r="F31" i="8"/>
  <c r="G31" i="8" l="1"/>
  <c r="F43" i="8"/>
  <c r="G43" i="8" s="1"/>
  <c r="I26" i="23" l="1"/>
  <c r="E26" i="23"/>
  <c r="E35" i="23" s="1"/>
  <c r="F26" i="23"/>
  <c r="F35" i="23" s="1"/>
  <c r="H26" i="23"/>
  <c r="L26" i="23"/>
  <c r="L35" i="23" s="1"/>
  <c r="G26" i="23"/>
  <c r="G35" i="23" s="1"/>
  <c r="J26" i="23"/>
  <c r="K26" i="23"/>
  <c r="G7" i="8"/>
  <c r="E13" i="5" l="1"/>
  <c r="E50" i="23"/>
  <c r="E42" i="23"/>
  <c r="I35" i="23"/>
  <c r="H35" i="23"/>
  <c r="F4" i="23"/>
  <c r="G4" i="23" s="1"/>
  <c r="K35" i="23"/>
  <c r="J35" i="23"/>
  <c r="U13" i="5" l="1"/>
  <c r="F42" i="23"/>
  <c r="F12" i="8" l="1"/>
  <c r="F36" i="8"/>
  <c r="G36" i="8" l="1"/>
  <c r="G12" i="8" s="1"/>
  <c r="J28" i="23"/>
  <c r="E28" i="23"/>
  <c r="E37" i="23" s="1"/>
  <c r="I28" i="23"/>
  <c r="F28" i="23"/>
  <c r="F37" i="23" s="1"/>
  <c r="H28" i="23"/>
  <c r="H37" i="23" s="1"/>
  <c r="G28" i="23"/>
  <c r="G37" i="23" s="1"/>
  <c r="K28" i="23"/>
  <c r="L28" i="23"/>
  <c r="F14" i="8"/>
  <c r="F38" i="8"/>
  <c r="G38" i="8" l="1"/>
  <c r="G14" i="8" s="1"/>
  <c r="J30" i="23"/>
  <c r="F30" i="23"/>
  <c r="F39" i="23" s="1"/>
  <c r="I30" i="23"/>
  <c r="E30" i="23"/>
  <c r="E39" i="23" s="1"/>
  <c r="H30" i="23"/>
  <c r="H39" i="23" s="1"/>
  <c r="G30" i="23"/>
  <c r="G39" i="23" s="1"/>
  <c r="K30" i="23"/>
  <c r="L30" i="23"/>
  <c r="U15" i="5"/>
  <c r="E15" i="5"/>
  <c r="I37" i="23"/>
  <c r="L37" i="23"/>
  <c r="J37" i="23"/>
  <c r="E52" i="23"/>
  <c r="E44" i="23"/>
  <c r="U17" i="5" l="1"/>
  <c r="E17" i="5"/>
  <c r="I39" i="23"/>
  <c r="K37" i="23"/>
  <c r="E46" i="23"/>
  <c r="E54" i="23"/>
  <c r="L39" i="23"/>
  <c r="F44" i="23"/>
  <c r="J39" i="23"/>
  <c r="K39" i="23" l="1"/>
  <c r="F46" i="23"/>
  <c r="F13" i="8"/>
  <c r="F37" i="8"/>
  <c r="G37" i="8" l="1"/>
  <c r="G13" i="8" s="1"/>
  <c r="G29" i="23"/>
  <c r="G38" i="23" s="1"/>
  <c r="L29" i="23"/>
  <c r="K29" i="23"/>
  <c r="H29" i="23"/>
  <c r="H38" i="23" s="1"/>
  <c r="F29" i="23"/>
  <c r="F38" i="23" s="1"/>
  <c r="J29" i="23"/>
  <c r="E29" i="23"/>
  <c r="E38" i="23" s="1"/>
  <c r="I29" i="23"/>
  <c r="E32" i="8"/>
  <c r="E8" i="8" s="1"/>
  <c r="E9" i="8" s="1"/>
  <c r="E39" i="8"/>
  <c r="E16" i="5" l="1"/>
  <c r="L38" i="23"/>
  <c r="I38" i="23"/>
  <c r="J38" i="23"/>
  <c r="E53" i="23"/>
  <c r="E45" i="23"/>
  <c r="E45" i="8"/>
  <c r="K38" i="23"/>
  <c r="E33" i="8"/>
  <c r="U16" i="5" l="1"/>
  <c r="F45" i="23"/>
  <c r="D45" i="8" l="1"/>
  <c r="C45" i="8" l="1"/>
  <c r="F44" i="8"/>
  <c r="G44" i="8" s="1"/>
  <c r="D32" i="8" l="1"/>
  <c r="D8" i="8" s="1"/>
  <c r="D9" i="8" s="1"/>
  <c r="C32" i="8"/>
  <c r="C8" i="8" s="1"/>
  <c r="C9" i="8" s="1"/>
  <c r="F45" i="8"/>
  <c r="D39" i="8"/>
  <c r="C39" i="8"/>
  <c r="F35" i="8"/>
  <c r="G35" i="8" l="1"/>
  <c r="G11" i="8" s="1"/>
  <c r="G27" i="23"/>
  <c r="L27" i="23"/>
  <c r="E27" i="23"/>
  <c r="F27" i="23"/>
  <c r="K27" i="23"/>
  <c r="J27" i="23"/>
  <c r="I27" i="23"/>
  <c r="H27" i="23"/>
  <c r="C33" i="8"/>
  <c r="F32" i="8"/>
  <c r="G32" i="8" s="1"/>
  <c r="G8" i="8" s="1"/>
  <c r="D33" i="8"/>
  <c r="G45" i="8"/>
  <c r="F11" i="8"/>
  <c r="F15" i="8" s="1"/>
  <c r="F39" i="8"/>
  <c r="U14" i="5" l="1"/>
  <c r="F8" i="8"/>
  <c r="F9" i="8" s="1"/>
  <c r="E14" i="5"/>
  <c r="F33" i="8"/>
  <c r="G36" i="23"/>
  <c r="G16" i="23"/>
  <c r="E36" i="23"/>
  <c r="E16" i="23"/>
  <c r="F36" i="23"/>
  <c r="F16" i="23"/>
  <c r="G39" i="8"/>
  <c r="G9" i="8" l="1"/>
  <c r="G33" i="8"/>
  <c r="E43" i="23"/>
  <c r="E51" i="23"/>
  <c r="L16" i="23"/>
  <c r="L36" i="23"/>
  <c r="G15" i="8"/>
  <c r="H36" i="23"/>
  <c r="F5" i="23"/>
  <c r="H16" i="23"/>
  <c r="K36" i="23"/>
  <c r="K16" i="23"/>
  <c r="J36" i="23"/>
  <c r="J16" i="23"/>
  <c r="I36" i="23"/>
  <c r="I16" i="23"/>
  <c r="F43" i="23" l="1"/>
  <c r="E58" i="23"/>
  <c r="E55" i="23" s="1"/>
  <c r="E56" i="23"/>
  <c r="F6" i="23"/>
  <c r="G5" i="23"/>
  <c r="G6" i="23" s="1"/>
  <c r="E41" i="24" l="1"/>
  <c r="E39" i="24"/>
  <c r="E43" i="24"/>
  <c r="F43" i="24"/>
  <c r="F42" i="24"/>
  <c r="E42" i="24" l="1"/>
  <c r="E50" i="24"/>
  <c r="E58" i="24"/>
  <c r="F39" i="24"/>
  <c r="E46" i="24"/>
  <c r="E54" i="24"/>
  <c r="E48" i="24"/>
  <c r="E56" i="24"/>
  <c r="G43" i="24"/>
  <c r="G42" i="24"/>
  <c r="E40" i="24" l="1"/>
  <c r="E13" i="24"/>
  <c r="F41" i="24"/>
  <c r="F48" i="24" s="1"/>
  <c r="F50" i="24"/>
  <c r="G39" i="24"/>
  <c r="E49" i="24"/>
  <c r="E57" i="24"/>
  <c r="F46" i="24"/>
  <c r="H43" i="24"/>
  <c r="G41" i="24"/>
  <c r="H42" i="24"/>
  <c r="H39" i="24" l="1"/>
  <c r="F49" i="24"/>
  <c r="F40" i="24"/>
  <c r="F13" i="24"/>
  <c r="E47" i="24"/>
  <c r="E55" i="24"/>
  <c r="E60" i="24" s="1"/>
  <c r="I43" i="24"/>
  <c r="I41" i="24"/>
  <c r="I42" i="24"/>
  <c r="H41" i="24"/>
  <c r="E62" i="24" l="1"/>
  <c r="E59" i="24" s="1"/>
  <c r="G40" i="24"/>
  <c r="G13" i="24"/>
  <c r="F47" i="24"/>
  <c r="J43" i="24"/>
  <c r="J42" i="24"/>
  <c r="I39" i="24" l="1"/>
  <c r="H40" i="24"/>
  <c r="H13" i="24"/>
  <c r="J39" i="24"/>
  <c r="I40" i="24"/>
  <c r="I13" i="24" l="1"/>
  <c r="J41" i="24"/>
  <c r="J40" i="24" l="1"/>
  <c r="J13" i="24"/>
  <c r="I45" i="29" l="1"/>
  <c r="I51" i="29" l="1"/>
  <c r="I49" i="29"/>
  <c r="I48" i="29"/>
  <c r="I50" i="29"/>
  <c r="I47" i="29"/>
  <c r="I51" i="22"/>
  <c r="I52" i="24"/>
  <c r="H36" i="13"/>
  <c r="I49" i="16"/>
  <c r="I48" i="23"/>
  <c r="J45" i="29"/>
  <c r="I55" i="29" l="1"/>
  <c r="I53" i="29"/>
  <c r="J47" i="29"/>
  <c r="J39" i="29"/>
  <c r="J50" i="29"/>
  <c r="J42" i="29"/>
  <c r="J40" i="29"/>
  <c r="J48" i="29"/>
  <c r="J49" i="29"/>
  <c r="J41" i="29"/>
  <c r="J51" i="29"/>
  <c r="J43" i="29"/>
  <c r="K50" i="15"/>
  <c r="J48" i="23"/>
  <c r="I36" i="13"/>
  <c r="J51" i="22"/>
  <c r="J49" i="16"/>
  <c r="J52" i="24"/>
  <c r="F52" i="24"/>
  <c r="E36" i="13"/>
  <c r="F49" i="16"/>
  <c r="F48" i="23"/>
  <c r="F52" i="23" s="1"/>
  <c r="F51" i="22"/>
  <c r="F53" i="15"/>
  <c r="F52" i="15"/>
  <c r="H52" i="24"/>
  <c r="H48" i="23"/>
  <c r="H49" i="16"/>
  <c r="H51" i="22"/>
  <c r="G36" i="13"/>
  <c r="F36" i="13"/>
  <c r="G48" i="23"/>
  <c r="G49" i="16"/>
  <c r="G51" i="22"/>
  <c r="G52" i="24"/>
  <c r="K45" i="29" l="1"/>
  <c r="J45" i="31"/>
  <c r="J53" i="29"/>
  <c r="K42" i="29"/>
  <c r="K50" i="29"/>
  <c r="K39" i="29"/>
  <c r="K47" i="29"/>
  <c r="K49" i="29"/>
  <c r="K41" i="29"/>
  <c r="K43" i="29"/>
  <c r="K51" i="29"/>
  <c r="K40" i="29"/>
  <c r="K48" i="29"/>
  <c r="I52" i="29"/>
  <c r="J55" i="29"/>
  <c r="F58" i="24"/>
  <c r="F54" i="24"/>
  <c r="F57" i="24"/>
  <c r="F56" i="24"/>
  <c r="F55" i="24"/>
  <c r="E39" i="13"/>
  <c r="E38" i="13"/>
  <c r="G48" i="15"/>
  <c r="G53" i="15"/>
  <c r="G52" i="15"/>
  <c r="G47" i="15"/>
  <c r="F55" i="15"/>
  <c r="F57" i="15"/>
  <c r="F54" i="15" s="1"/>
  <c r="F57" i="22"/>
  <c r="F56" i="22"/>
  <c r="F53" i="22"/>
  <c r="F54" i="22"/>
  <c r="F55" i="22"/>
  <c r="F50" i="23"/>
  <c r="F54" i="23"/>
  <c r="F53" i="23"/>
  <c r="F51" i="23"/>
  <c r="F51" i="16"/>
  <c r="F52" i="16"/>
  <c r="L50" i="15"/>
  <c r="K48" i="23"/>
  <c r="J36" i="13"/>
  <c r="K52" i="24"/>
  <c r="K49" i="16"/>
  <c r="K51" i="22"/>
  <c r="H52" i="15" l="1"/>
  <c r="H53" i="15"/>
  <c r="J49" i="31"/>
  <c r="J50" i="31"/>
  <c r="J48" i="31"/>
  <c r="H47" i="15"/>
  <c r="L45" i="29"/>
  <c r="L48" i="29" s="1"/>
  <c r="I5" i="29" s="1"/>
  <c r="J5" i="29" s="1"/>
  <c r="Z23" i="5" s="1"/>
  <c r="K45" i="31"/>
  <c r="J47" i="31"/>
  <c r="J51" i="31"/>
  <c r="L41" i="29"/>
  <c r="K53" i="29"/>
  <c r="J52" i="29"/>
  <c r="K55" i="29"/>
  <c r="L39" i="29"/>
  <c r="L40" i="29"/>
  <c r="L43" i="29"/>
  <c r="L42" i="29"/>
  <c r="E41" i="13"/>
  <c r="E43" i="13"/>
  <c r="E40" i="13" s="1"/>
  <c r="F33" i="13"/>
  <c r="F38" i="13"/>
  <c r="G57" i="22"/>
  <c r="G49" i="22"/>
  <c r="F34" i="13"/>
  <c r="F39" i="13"/>
  <c r="H48" i="15"/>
  <c r="F60" i="24"/>
  <c r="G47" i="24"/>
  <c r="G55" i="24"/>
  <c r="G53" i="23"/>
  <c r="G45" i="23"/>
  <c r="G52" i="23"/>
  <c r="G44" i="23"/>
  <c r="G55" i="22"/>
  <c r="G47" i="22"/>
  <c r="G56" i="24"/>
  <c r="G48" i="24"/>
  <c r="G46" i="23"/>
  <c r="G54" i="23"/>
  <c r="G46" i="22"/>
  <c r="G54" i="22"/>
  <c r="G57" i="15"/>
  <c r="G54" i="15" s="1"/>
  <c r="G55" i="15"/>
  <c r="G57" i="24"/>
  <c r="G49" i="24"/>
  <c r="G42" i="23"/>
  <c r="G50" i="23"/>
  <c r="F56" i="23"/>
  <c r="F58" i="23"/>
  <c r="F55" i="23" s="1"/>
  <c r="G52" i="16"/>
  <c r="G47" i="16"/>
  <c r="G46" i="16"/>
  <c r="G51" i="16"/>
  <c r="F54" i="16"/>
  <c r="F56" i="16"/>
  <c r="F53" i="16" s="1"/>
  <c r="G45" i="22"/>
  <c r="F59" i="22"/>
  <c r="F61" i="22"/>
  <c r="F58" i="22" s="1"/>
  <c r="G53" i="22"/>
  <c r="G54" i="24"/>
  <c r="G46" i="24"/>
  <c r="F62" i="24"/>
  <c r="F59" i="24" s="1"/>
  <c r="L48" i="23"/>
  <c r="K36" i="13"/>
  <c r="L49" i="16"/>
  <c r="L51" i="22"/>
  <c r="L52" i="24"/>
  <c r="G43" i="23"/>
  <c r="G51" i="23"/>
  <c r="G48" i="22"/>
  <c r="G56" i="22"/>
  <c r="G58" i="24"/>
  <c r="G50" i="24"/>
  <c r="L47" i="29" l="1"/>
  <c r="L50" i="29"/>
  <c r="I7" i="29" s="1"/>
  <c r="J7" i="29" s="1"/>
  <c r="Z25" i="5" s="1"/>
  <c r="L51" i="29"/>
  <c r="I8" i="29" s="1"/>
  <c r="J8" i="29" s="1"/>
  <c r="Z26" i="5" s="1"/>
  <c r="L49" i="29"/>
  <c r="I6" i="29" s="1"/>
  <c r="J6" i="29" s="1"/>
  <c r="Z24" i="5" s="1"/>
  <c r="D16" i="20" s="1"/>
  <c r="K40" i="31"/>
  <c r="K48" i="31"/>
  <c r="H5" i="31" s="1"/>
  <c r="I5" i="31" s="1"/>
  <c r="AA23" i="5" s="1"/>
  <c r="E15" i="20" s="1"/>
  <c r="K50" i="31"/>
  <c r="H7" i="31" s="1"/>
  <c r="I7" i="31" s="1"/>
  <c r="AA25" i="5" s="1"/>
  <c r="E17" i="20" s="1"/>
  <c r="K42" i="31"/>
  <c r="K41" i="31"/>
  <c r="K49" i="31"/>
  <c r="H6" i="31" s="1"/>
  <c r="I6" i="31" s="1"/>
  <c r="AA24" i="5" s="1"/>
  <c r="E16" i="20" s="1"/>
  <c r="G38" i="13"/>
  <c r="G39" i="13"/>
  <c r="K51" i="31"/>
  <c r="H8" i="31" s="1"/>
  <c r="I8" i="31" s="1"/>
  <c r="AA26" i="5" s="1"/>
  <c r="E18" i="20" s="1"/>
  <c r="K43" i="31"/>
  <c r="J53" i="31"/>
  <c r="J55" i="31"/>
  <c r="J52" i="31" s="1"/>
  <c r="K39" i="31"/>
  <c r="K47" i="31"/>
  <c r="D15" i="20"/>
  <c r="D17" i="20"/>
  <c r="I4" i="29"/>
  <c r="M39" i="29"/>
  <c r="M47" i="29"/>
  <c r="M42" i="29"/>
  <c r="K7" i="29" s="1"/>
  <c r="K52" i="29"/>
  <c r="L55" i="29"/>
  <c r="M51" i="29"/>
  <c r="M43" i="29"/>
  <c r="K8" i="29" s="1"/>
  <c r="M48" i="29"/>
  <c r="M40" i="29"/>
  <c r="K5" i="29" s="1"/>
  <c r="G34" i="13"/>
  <c r="G60" i="24"/>
  <c r="G56" i="23"/>
  <c r="G58" i="23"/>
  <c r="G55" i="23" s="1"/>
  <c r="H46" i="22"/>
  <c r="H54" i="22"/>
  <c r="H55" i="24"/>
  <c r="H47" i="24"/>
  <c r="H49" i="22"/>
  <c r="H57" i="22"/>
  <c r="H46" i="24"/>
  <c r="H54" i="24"/>
  <c r="H42" i="23"/>
  <c r="H50" i="23"/>
  <c r="H55" i="22"/>
  <c r="H47" i="22"/>
  <c r="H45" i="22"/>
  <c r="H53" i="22"/>
  <c r="G54" i="16"/>
  <c r="G56" i="16"/>
  <c r="G53" i="16" s="1"/>
  <c r="F43" i="13"/>
  <c r="F41" i="13"/>
  <c r="H58" i="24"/>
  <c r="H50" i="24"/>
  <c r="H51" i="16"/>
  <c r="H46" i="16"/>
  <c r="H49" i="24"/>
  <c r="H57" i="24"/>
  <c r="H52" i="23"/>
  <c r="H44" i="23"/>
  <c r="I48" i="15"/>
  <c r="I53" i="15"/>
  <c r="G33" i="13"/>
  <c r="H57" i="15"/>
  <c r="H54" i="15" s="1"/>
  <c r="H55" i="15"/>
  <c r="I47" i="15"/>
  <c r="I52" i="15"/>
  <c r="H43" i="23"/>
  <c r="H51" i="23"/>
  <c r="H46" i="23"/>
  <c r="H54" i="23"/>
  <c r="G61" i="22"/>
  <c r="G58" i="22" s="1"/>
  <c r="G59" i="22"/>
  <c r="H47" i="16"/>
  <c r="H52" i="16"/>
  <c r="H48" i="24"/>
  <c r="H56" i="24"/>
  <c r="H56" i="22"/>
  <c r="H48" i="22"/>
  <c r="G62" i="24"/>
  <c r="G59" i="24" s="1"/>
  <c r="H45" i="23"/>
  <c r="H53" i="23"/>
  <c r="L53" i="29" l="1"/>
  <c r="M49" i="29"/>
  <c r="M41" i="29"/>
  <c r="K6" i="29" s="1"/>
  <c r="M50" i="29"/>
  <c r="M55" i="29" s="1"/>
  <c r="M52" i="29" s="1"/>
  <c r="D18" i="20"/>
  <c r="H39" i="13"/>
  <c r="H38" i="13"/>
  <c r="L41" i="31"/>
  <c r="L49" i="31"/>
  <c r="L42" i="31"/>
  <c r="L50" i="31"/>
  <c r="L40" i="31"/>
  <c r="L48" i="31"/>
  <c r="G41" i="13"/>
  <c r="L43" i="31"/>
  <c r="J8" i="31" s="1"/>
  <c r="L51" i="31"/>
  <c r="L39" i="31"/>
  <c r="L47" i="31"/>
  <c r="K53" i="31"/>
  <c r="H4" i="31"/>
  <c r="K55" i="31"/>
  <c r="K52" i="31" s="1"/>
  <c r="J4" i="29"/>
  <c r="I9" i="29"/>
  <c r="M53" i="29"/>
  <c r="L52" i="29"/>
  <c r="H34" i="13"/>
  <c r="I54" i="22"/>
  <c r="I46" i="22"/>
  <c r="H58" i="23"/>
  <c r="H55" i="23" s="1"/>
  <c r="H56" i="23"/>
  <c r="F40" i="13"/>
  <c r="G43" i="13"/>
  <c r="G40" i="13" s="1"/>
  <c r="I49" i="24"/>
  <c r="I57" i="24"/>
  <c r="I56" i="22"/>
  <c r="I48" i="22"/>
  <c r="I51" i="16"/>
  <c r="I46" i="16"/>
  <c r="I46" i="24"/>
  <c r="I54" i="24"/>
  <c r="I53" i="23"/>
  <c r="I45" i="23"/>
  <c r="I47" i="16"/>
  <c r="I52" i="16"/>
  <c r="H56" i="16"/>
  <c r="H53" i="16" s="1"/>
  <c r="I45" i="22"/>
  <c r="I53" i="22"/>
  <c r="I57" i="22"/>
  <c r="I49" i="22"/>
  <c r="I42" i="23"/>
  <c r="I50" i="23"/>
  <c r="H62" i="24"/>
  <c r="H59" i="24" s="1"/>
  <c r="H33" i="13"/>
  <c r="I58" i="24"/>
  <c r="I50" i="24"/>
  <c r="I51" i="23"/>
  <c r="I43" i="23"/>
  <c r="I47" i="22"/>
  <c r="I55" i="22"/>
  <c r="I47" i="24"/>
  <c r="I55" i="24"/>
  <c r="J47" i="15"/>
  <c r="J52" i="15"/>
  <c r="I46" i="23"/>
  <c r="I54" i="23"/>
  <c r="H61" i="22"/>
  <c r="H58" i="22" s="1"/>
  <c r="H59" i="22"/>
  <c r="I56" i="24"/>
  <c r="I48" i="24"/>
  <c r="J53" i="15"/>
  <c r="J48" i="15"/>
  <c r="H54" i="16"/>
  <c r="I57" i="15"/>
  <c r="I54" i="15" s="1"/>
  <c r="I55" i="15"/>
  <c r="I52" i="23"/>
  <c r="I44" i="23"/>
  <c r="H60" i="24"/>
  <c r="I38" i="13" l="1"/>
  <c r="H9" i="31"/>
  <c r="I4" i="31"/>
  <c r="L53" i="31"/>
  <c r="L55" i="31"/>
  <c r="L52" i="31" s="1"/>
  <c r="I34" i="13"/>
  <c r="I39" i="13"/>
  <c r="J9" i="29"/>
  <c r="Z22" i="5"/>
  <c r="K4" i="29"/>
  <c r="I56" i="23"/>
  <c r="I58" i="23"/>
  <c r="I55" i="23" s="1"/>
  <c r="J57" i="24"/>
  <c r="J49" i="24"/>
  <c r="J53" i="22"/>
  <c r="J45" i="22"/>
  <c r="J54" i="23"/>
  <c r="J46" i="23"/>
  <c r="I62" i="24"/>
  <c r="I59" i="24" s="1"/>
  <c r="I60" i="24"/>
  <c r="J53" i="23"/>
  <c r="J45" i="23"/>
  <c r="J58" i="24"/>
  <c r="J50" i="24"/>
  <c r="J57" i="15"/>
  <c r="J54" i="15" s="1"/>
  <c r="J55" i="15"/>
  <c r="J56" i="24"/>
  <c r="J48" i="24"/>
  <c r="J52" i="16"/>
  <c r="J47" i="16"/>
  <c r="J46" i="16"/>
  <c r="J51" i="16"/>
  <c r="K48" i="15"/>
  <c r="K53" i="15"/>
  <c r="J44" i="23"/>
  <c r="J52" i="23"/>
  <c r="J47" i="24"/>
  <c r="J55" i="24"/>
  <c r="J57" i="22"/>
  <c r="J49" i="22"/>
  <c r="I54" i="16"/>
  <c r="I56" i="16"/>
  <c r="I53" i="16" s="1"/>
  <c r="I33" i="13"/>
  <c r="J56" i="22"/>
  <c r="J48" i="22"/>
  <c r="J46" i="22"/>
  <c r="J54" i="22"/>
  <c r="J43" i="23"/>
  <c r="J51" i="23"/>
  <c r="J50" i="23"/>
  <c r="J42" i="23"/>
  <c r="K47" i="15"/>
  <c r="K52" i="15"/>
  <c r="J46" i="24"/>
  <c r="J54" i="24"/>
  <c r="H41" i="13"/>
  <c r="H43" i="13"/>
  <c r="H40" i="13" s="1"/>
  <c r="J47" i="22"/>
  <c r="J55" i="22"/>
  <c r="I59" i="22"/>
  <c r="I61" i="22"/>
  <c r="I58" i="22" s="1"/>
  <c r="J38" i="13" l="1"/>
  <c r="AA22" i="5"/>
  <c r="J34" i="13"/>
  <c r="J4" i="31"/>
  <c r="I9" i="31"/>
  <c r="J39" i="13"/>
  <c r="K39" i="13" s="1"/>
  <c r="H5" i="13" s="1"/>
  <c r="I5" i="13" s="1"/>
  <c r="D14" i="20"/>
  <c r="J62" i="24"/>
  <c r="J59" i="24" s="1"/>
  <c r="K53" i="23"/>
  <c r="K45" i="23"/>
  <c r="K55" i="15"/>
  <c r="K57" i="15"/>
  <c r="K54" i="15" s="1"/>
  <c r="K44" i="23"/>
  <c r="K52" i="23"/>
  <c r="K46" i="22"/>
  <c r="K54" i="22"/>
  <c r="L52" i="15"/>
  <c r="J4" i="15" s="1"/>
  <c r="L47" i="15"/>
  <c r="K48" i="22"/>
  <c r="K56" i="22"/>
  <c r="L53" i="15"/>
  <c r="L48" i="15"/>
  <c r="K49" i="22"/>
  <c r="K57" i="22"/>
  <c r="J56" i="16"/>
  <c r="J53" i="16" s="1"/>
  <c r="J54" i="16"/>
  <c r="K54" i="23"/>
  <c r="K46" i="23"/>
  <c r="K55" i="22"/>
  <c r="K47" i="22"/>
  <c r="K42" i="23"/>
  <c r="K50" i="23"/>
  <c r="J56" i="23"/>
  <c r="J58" i="23"/>
  <c r="J55" i="23" s="1"/>
  <c r="K46" i="16"/>
  <c r="K51" i="16"/>
  <c r="I43" i="13"/>
  <c r="I40" i="13" s="1"/>
  <c r="I41" i="13"/>
  <c r="J60" i="24"/>
  <c r="K47" i="16"/>
  <c r="K52" i="16"/>
  <c r="K45" i="22"/>
  <c r="K53" i="22"/>
  <c r="K43" i="23"/>
  <c r="K51" i="23"/>
  <c r="J33" i="13"/>
  <c r="K38" i="13" s="1"/>
  <c r="J61" i="22"/>
  <c r="J58" i="22" s="1"/>
  <c r="J59" i="22"/>
  <c r="E14" i="20" l="1"/>
  <c r="K34" i="13"/>
  <c r="M48" i="15"/>
  <c r="I10" i="13"/>
  <c r="F24" i="5" s="1"/>
  <c r="I11" i="13"/>
  <c r="F25" i="5" s="1"/>
  <c r="I8" i="13"/>
  <c r="I9" i="13"/>
  <c r="F23" i="5" s="1"/>
  <c r="L47" i="16"/>
  <c r="L52" i="16"/>
  <c r="J5" i="16" s="1"/>
  <c r="K5" i="16" s="1"/>
  <c r="K58" i="23"/>
  <c r="K55" i="23" s="1"/>
  <c r="K56" i="23"/>
  <c r="L56" i="22"/>
  <c r="J7" i="22" s="1"/>
  <c r="K7" i="22" s="1"/>
  <c r="X25" i="5" s="1"/>
  <c r="L48" i="22"/>
  <c r="L42" i="23"/>
  <c r="L50" i="23"/>
  <c r="M47" i="15"/>
  <c r="L52" i="23"/>
  <c r="L44" i="23"/>
  <c r="K4" i="15"/>
  <c r="L55" i="15"/>
  <c r="L57" i="15"/>
  <c r="M57" i="15" s="1"/>
  <c r="K33" i="13"/>
  <c r="J41" i="13"/>
  <c r="J43" i="13"/>
  <c r="J40" i="13" s="1"/>
  <c r="K54" i="16"/>
  <c r="K56" i="16"/>
  <c r="K53" i="16" s="1"/>
  <c r="L57" i="22"/>
  <c r="L49" i="22"/>
  <c r="L46" i="23"/>
  <c r="L54" i="23"/>
  <c r="L45" i="23"/>
  <c r="L53" i="23"/>
  <c r="K59" i="22"/>
  <c r="K61" i="22"/>
  <c r="K58" i="22" s="1"/>
  <c r="L53" i="22"/>
  <c r="L45" i="22"/>
  <c r="L47" i="22"/>
  <c r="L55" i="22"/>
  <c r="L43" i="23"/>
  <c r="L51" i="23"/>
  <c r="L34" i="13"/>
  <c r="J5" i="13" s="1"/>
  <c r="L39" i="13"/>
  <c r="J5" i="15"/>
  <c r="K5" i="15" s="1"/>
  <c r="L46" i="22"/>
  <c r="L54" i="22"/>
  <c r="J5" i="22" s="1"/>
  <c r="K5" i="22" s="1"/>
  <c r="L54" i="15" l="1"/>
  <c r="M48" i="22"/>
  <c r="L7" i="22" s="1"/>
  <c r="J6" i="15"/>
  <c r="I5" i="23"/>
  <c r="J5" i="23" s="1"/>
  <c r="J10" i="23" s="1"/>
  <c r="E25" i="5" s="1"/>
  <c r="M54" i="15"/>
  <c r="V24" i="5"/>
  <c r="E7" i="20" s="1"/>
  <c r="E25" i="20" s="1"/>
  <c r="L59" i="22"/>
  <c r="L61" i="22"/>
  <c r="M61" i="22" s="1"/>
  <c r="J4" i="22"/>
  <c r="J4" i="16"/>
  <c r="L56" i="16"/>
  <c r="L53" i="16" s="1"/>
  <c r="L54" i="16"/>
  <c r="M46" i="22"/>
  <c r="L5" i="22" s="1"/>
  <c r="M54" i="23"/>
  <c r="M46" i="23"/>
  <c r="M51" i="23"/>
  <c r="M43" i="23"/>
  <c r="I4" i="23"/>
  <c r="L56" i="23"/>
  <c r="L58" i="23"/>
  <c r="L55" i="23" s="1"/>
  <c r="V23" i="5"/>
  <c r="E6" i="20" s="1"/>
  <c r="E24" i="20" s="1"/>
  <c r="I12" i="13"/>
  <c r="F26" i="5" s="1"/>
  <c r="J6" i="22"/>
  <c r="K6" i="22" s="1"/>
  <c r="H4" i="13"/>
  <c r="K41" i="13"/>
  <c r="K43" i="13"/>
  <c r="K40" i="13" s="1"/>
  <c r="M50" i="23"/>
  <c r="M42" i="23"/>
  <c r="K10" i="16"/>
  <c r="T25" i="5" s="1"/>
  <c r="K8" i="16"/>
  <c r="K11" i="16"/>
  <c r="T26" i="5" s="1"/>
  <c r="K9" i="16"/>
  <c r="T24" i="5" s="1"/>
  <c r="V26" i="5"/>
  <c r="E9" i="20" s="1"/>
  <c r="E27" i="20" s="1"/>
  <c r="X23" i="5"/>
  <c r="M44" i="23"/>
  <c r="M52" i="23"/>
  <c r="M47" i="22"/>
  <c r="M49" i="22"/>
  <c r="L38" i="13"/>
  <c r="L33" i="13"/>
  <c r="M52" i="16"/>
  <c r="M47" i="16"/>
  <c r="L5" i="16" s="1"/>
  <c r="M53" i="23"/>
  <c r="M45" i="23"/>
  <c r="M51" i="16"/>
  <c r="M46" i="16"/>
  <c r="K8" i="15"/>
  <c r="S23" i="5" s="1"/>
  <c r="K10" i="15"/>
  <c r="K11" i="15"/>
  <c r="S26" i="5" s="1"/>
  <c r="K9" i="15"/>
  <c r="S24" i="5" s="1"/>
  <c r="L5" i="15"/>
  <c r="M45" i="22"/>
  <c r="J8" i="22"/>
  <c r="K8" i="22" s="1"/>
  <c r="S22" i="5"/>
  <c r="K6" i="15"/>
  <c r="L4" i="15"/>
  <c r="V25" i="5"/>
  <c r="E8" i="20" s="1"/>
  <c r="E26" i="20" s="1"/>
  <c r="T23" i="5" l="1"/>
  <c r="L7" i="5"/>
  <c r="J9" i="23"/>
  <c r="E24" i="5" s="1"/>
  <c r="J8" i="23"/>
  <c r="J11" i="23"/>
  <c r="E26" i="5" s="1"/>
  <c r="K5" i="23"/>
  <c r="J4" i="23"/>
  <c r="I6" i="23"/>
  <c r="U25" i="5"/>
  <c r="B9" i="20"/>
  <c r="C25" i="5"/>
  <c r="S25" i="5"/>
  <c r="C7" i="20"/>
  <c r="M58" i="22"/>
  <c r="C9" i="20"/>
  <c r="H6" i="13"/>
  <c r="I4" i="13"/>
  <c r="F22" i="5" s="1"/>
  <c r="K12" i="16"/>
  <c r="M6" i="5"/>
  <c r="F6" i="5"/>
  <c r="B7" i="20"/>
  <c r="B5" i="20"/>
  <c r="M54" i="16"/>
  <c r="M56" i="16"/>
  <c r="M53" i="16" s="1"/>
  <c r="C8" i="20"/>
  <c r="F5" i="5"/>
  <c r="M5" i="5"/>
  <c r="J6" i="16"/>
  <c r="K4" i="16"/>
  <c r="F8" i="5"/>
  <c r="M8" i="5"/>
  <c r="K12" i="15"/>
  <c r="C24" i="5"/>
  <c r="L6" i="22"/>
  <c r="X24" i="5"/>
  <c r="K4" i="22"/>
  <c r="J9" i="22"/>
  <c r="L41" i="13"/>
  <c r="L43" i="13"/>
  <c r="L40" i="13" s="1"/>
  <c r="M7" i="5"/>
  <c r="F7" i="5"/>
  <c r="C26" i="5"/>
  <c r="L8" i="22"/>
  <c r="X26" i="5"/>
  <c r="C23" i="5"/>
  <c r="M56" i="23"/>
  <c r="M58" i="23"/>
  <c r="M55" i="23" s="1"/>
  <c r="L58" i="22"/>
  <c r="E31" i="20" l="1"/>
  <c r="V30" i="5"/>
  <c r="E30" i="20"/>
  <c r="V29" i="5"/>
  <c r="E33" i="20"/>
  <c r="V32" i="5"/>
  <c r="E32" i="20"/>
  <c r="V31" i="5"/>
  <c r="L6" i="5"/>
  <c r="K4" i="23"/>
  <c r="E22" i="5"/>
  <c r="U26" i="5"/>
  <c r="D9" i="20" s="1"/>
  <c r="D27" i="20" s="1"/>
  <c r="U23" i="5"/>
  <c r="E23" i="5"/>
  <c r="U24" i="5"/>
  <c r="D7" i="20" s="1"/>
  <c r="D25" i="20" s="1"/>
  <c r="J12" i="23"/>
  <c r="R7" i="5"/>
  <c r="E7" i="5"/>
  <c r="U31" i="5"/>
  <c r="E6" i="5"/>
  <c r="T22" i="5"/>
  <c r="L4" i="16"/>
  <c r="K6" i="16"/>
  <c r="C6" i="20"/>
  <c r="X22" i="5"/>
  <c r="L4" i="22"/>
  <c r="K9" i="22"/>
  <c r="C22" i="5"/>
  <c r="B6" i="20"/>
  <c r="E8" i="5"/>
  <c r="L8" i="5"/>
  <c r="U22" i="5"/>
  <c r="J6" i="23"/>
  <c r="B8" i="20"/>
  <c r="R5" i="5"/>
  <c r="R8" i="5"/>
  <c r="R6" i="5"/>
  <c r="I6" i="13"/>
  <c r="V22" i="5"/>
  <c r="J4" i="13"/>
  <c r="D8" i="20"/>
  <c r="D26" i="20" s="1"/>
  <c r="E5" i="20" l="1"/>
  <c r="E23" i="20" s="1"/>
  <c r="U32" i="5"/>
  <c r="L4" i="5"/>
  <c r="U28" i="5" s="1"/>
  <c r="E5" i="5"/>
  <c r="Q8" i="5" s="1"/>
  <c r="D6" i="20"/>
  <c r="D24" i="20" s="1"/>
  <c r="L5" i="5"/>
  <c r="U29" i="5" s="1"/>
  <c r="U30" i="5"/>
  <c r="D32" i="20"/>
  <c r="F7" i="20"/>
  <c r="F9" i="20"/>
  <c r="D31" i="20"/>
  <c r="F8" i="20"/>
  <c r="E4" i="5"/>
  <c r="C5" i="20"/>
  <c r="D5" i="20"/>
  <c r="D23" i="20" s="1"/>
  <c r="M4" i="5"/>
  <c r="F4" i="5"/>
  <c r="D33" i="20"/>
  <c r="E29" i="20" l="1"/>
  <c r="V28" i="5"/>
  <c r="Q5" i="5"/>
  <c r="Q7" i="5"/>
  <c r="Q6" i="5"/>
  <c r="F6" i="20"/>
  <c r="D30" i="20"/>
  <c r="D29" i="20"/>
  <c r="F5" i="20"/>
  <c r="C5" i="18" l="1"/>
  <c r="X13" i="5" s="1"/>
  <c r="C9" i="18"/>
  <c r="X17" i="5" s="1"/>
  <c r="C17" i="5" l="1"/>
  <c r="C13" i="5"/>
  <c r="J4" i="5" s="1"/>
  <c r="C7" i="18"/>
  <c r="C8" i="18"/>
  <c r="J8" i="5" l="1"/>
  <c r="S32" i="5" s="1"/>
  <c r="C16" i="5"/>
  <c r="X16" i="5"/>
  <c r="B14" i="20"/>
  <c r="C4" i="5"/>
  <c r="S28" i="5"/>
  <c r="C15" i="5"/>
  <c r="X15" i="5"/>
  <c r="B18" i="20"/>
  <c r="C8" i="5"/>
  <c r="B23" i="20" l="1"/>
  <c r="B27" i="20"/>
  <c r="B16" i="20"/>
  <c r="B17" i="20"/>
  <c r="C6" i="5"/>
  <c r="S30" i="5"/>
  <c r="C7" i="5"/>
  <c r="J7" i="5"/>
  <c r="S31" i="5" s="1"/>
  <c r="B25" i="20" l="1"/>
  <c r="C6" i="18"/>
  <c r="E10" i="18"/>
  <c r="B26" i="20"/>
  <c r="B33" i="20"/>
  <c r="B29" i="20"/>
  <c r="B31" i="20" l="1"/>
  <c r="B32" i="20"/>
  <c r="C14" i="5"/>
  <c r="C10" i="18"/>
  <c r="B15" i="20" l="1"/>
  <c r="J5" i="5"/>
  <c r="S29" i="5" s="1"/>
  <c r="C5" i="5"/>
  <c r="O5" i="5" l="1"/>
  <c r="O8" i="5"/>
  <c r="O6" i="5"/>
  <c r="O7" i="5"/>
  <c r="B24" i="20"/>
  <c r="B30" i="20" l="1"/>
  <c r="E11" i="19" l="1"/>
  <c r="N27" i="24" l="1"/>
  <c r="F8" i="24" s="1"/>
  <c r="K43" i="24" l="1"/>
  <c r="L43" i="24"/>
  <c r="K40" i="24" l="1"/>
  <c r="G8" i="24"/>
  <c r="H8" i="24" s="1"/>
  <c r="K50" i="24"/>
  <c r="K58" i="24"/>
  <c r="N24" i="24"/>
  <c r="F5" i="24" s="1"/>
  <c r="L58" i="24" l="1"/>
  <c r="J8" i="24" s="1"/>
  <c r="K8" i="24" s="1"/>
  <c r="L50" i="24"/>
  <c r="K55" i="24"/>
  <c r="K47" i="24"/>
  <c r="N25" i="24" l="1"/>
  <c r="F6" i="24" s="1"/>
  <c r="K41" i="24"/>
  <c r="L40" i="24"/>
  <c r="L55" i="24" s="1"/>
  <c r="G5" i="24"/>
  <c r="H5" i="24" s="1"/>
  <c r="N26" i="24"/>
  <c r="F7" i="24" s="1"/>
  <c r="L47" i="24"/>
  <c r="M47" i="24" s="1"/>
  <c r="M58" i="24"/>
  <c r="M50" i="24"/>
  <c r="L8" i="24" s="1"/>
  <c r="D26" i="5"/>
  <c r="Y26" i="5"/>
  <c r="L41" i="24"/>
  <c r="J5" i="24" l="1"/>
  <c r="K5" i="24" s="1"/>
  <c r="D23" i="5" s="1"/>
  <c r="G6" i="24"/>
  <c r="H6" i="24" s="1"/>
  <c r="K48" i="24"/>
  <c r="K56" i="24"/>
  <c r="N23" i="24"/>
  <c r="F4" i="24" s="1"/>
  <c r="F9" i="24" s="1"/>
  <c r="K42" i="24"/>
  <c r="L42" i="24"/>
  <c r="L5" i="24" l="1"/>
  <c r="Y23" i="5"/>
  <c r="C10" i="19"/>
  <c r="Y17" i="5" s="1"/>
  <c r="K39" i="24"/>
  <c r="K13" i="24"/>
  <c r="G7" i="24"/>
  <c r="H7" i="24" s="1"/>
  <c r="K49" i="24"/>
  <c r="K57" i="24"/>
  <c r="L56" i="24"/>
  <c r="J6" i="24" s="1"/>
  <c r="K6" i="24" s="1"/>
  <c r="L48" i="24"/>
  <c r="D17" i="5" l="1"/>
  <c r="K8" i="5" s="1"/>
  <c r="C18" i="20"/>
  <c r="M48" i="24"/>
  <c r="L6" i="24" s="1"/>
  <c r="G4" i="24"/>
  <c r="L13" i="24"/>
  <c r="L39" i="24"/>
  <c r="D24" i="5"/>
  <c r="Y24" i="5"/>
  <c r="K54" i="24"/>
  <c r="K46" i="24"/>
  <c r="L49" i="24"/>
  <c r="L57" i="24"/>
  <c r="J7" i="24" s="1"/>
  <c r="K7" i="24" s="1"/>
  <c r="C7" i="19"/>
  <c r="AB17" i="5" l="1"/>
  <c r="T32" i="5"/>
  <c r="D8" i="5"/>
  <c r="H8" i="5" s="1"/>
  <c r="D14" i="5"/>
  <c r="L46" i="24"/>
  <c r="L54" i="24"/>
  <c r="L60" i="24" s="1"/>
  <c r="H4" i="24"/>
  <c r="G9" i="24"/>
  <c r="K62" i="24"/>
  <c r="K59" i="24" s="1"/>
  <c r="K60" i="24"/>
  <c r="C27" i="20"/>
  <c r="F18" i="20"/>
  <c r="Y25" i="5"/>
  <c r="D25" i="5"/>
  <c r="M49" i="24"/>
  <c r="L7" i="24" s="1"/>
  <c r="J4" i="24" l="1"/>
  <c r="J9" i="24" s="1"/>
  <c r="L62" i="24"/>
  <c r="L59" i="24" s="1"/>
  <c r="M54" i="24"/>
  <c r="M46" i="24"/>
  <c r="N8" i="5"/>
  <c r="C33" i="20"/>
  <c r="F27" i="20"/>
  <c r="G27" i="20" s="1"/>
  <c r="H9" i="24"/>
  <c r="D5" i="5"/>
  <c r="K5" i="5"/>
  <c r="T29" i="5" s="1"/>
  <c r="C15" i="20"/>
  <c r="AB14" i="5"/>
  <c r="M62" i="24" l="1"/>
  <c r="M59" i="24" s="1"/>
  <c r="K4" i="24"/>
  <c r="L4" i="24" s="1"/>
  <c r="B11" i="19"/>
  <c r="H5" i="5"/>
  <c r="C8" i="19"/>
  <c r="C24" i="20"/>
  <c r="F15" i="20"/>
  <c r="M60" i="24"/>
  <c r="K9" i="24" l="1"/>
  <c r="D22" i="5"/>
  <c r="Y22" i="5"/>
  <c r="N5" i="5"/>
  <c r="C9" i="19"/>
  <c r="C30" i="20"/>
  <c r="F24" i="20"/>
  <c r="G24" i="20" s="1"/>
  <c r="Y15" i="5"/>
  <c r="D15" i="5"/>
  <c r="K6" i="5" l="1"/>
  <c r="T30" i="5" s="1"/>
  <c r="C6" i="19"/>
  <c r="D6" i="5"/>
  <c r="C16" i="20"/>
  <c r="AB15" i="5"/>
  <c r="D16" i="5"/>
  <c r="Y16" i="5"/>
  <c r="D11" i="19" l="1"/>
  <c r="D13" i="5"/>
  <c r="C11" i="19"/>
  <c r="C25" i="20"/>
  <c r="F16" i="20"/>
  <c r="H6" i="5"/>
  <c r="C17" i="20"/>
  <c r="AB16" i="5"/>
  <c r="K7" i="5"/>
  <c r="T31" i="5" s="1"/>
  <c r="D7" i="5"/>
  <c r="P6" i="5" s="1"/>
  <c r="P8" i="5" l="1"/>
  <c r="P7" i="5"/>
  <c r="H7" i="5"/>
  <c r="N6" i="5"/>
  <c r="C31" i="20"/>
  <c r="F25" i="20"/>
  <c r="G25" i="20" s="1"/>
  <c r="C14" i="20"/>
  <c r="AB13" i="5"/>
  <c r="C26" i="20"/>
  <c r="F17" i="20"/>
  <c r="P5" i="5"/>
  <c r="D4" i="5"/>
  <c r="H4" i="5" s="1"/>
  <c r="K4" i="5"/>
  <c r="T28" i="5" s="1"/>
  <c r="N4" i="5" l="1"/>
  <c r="C32" i="20"/>
  <c r="F26" i="20"/>
  <c r="G26" i="20" s="1"/>
  <c r="N7" i="5"/>
  <c r="C23" i="20"/>
  <c r="F14" i="20"/>
  <c r="C29" i="20" l="1"/>
  <c r="F23" i="20"/>
  <c r="G23" i="20" s="1"/>
</calcChain>
</file>

<file path=xl/sharedStrings.xml><?xml version="1.0" encoding="utf-8"?>
<sst xmlns="http://schemas.openxmlformats.org/spreadsheetml/2006/main" count="847" uniqueCount="233">
  <si>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</si>
  <si>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</si>
  <si>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</si>
  <si>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</si>
  <si>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</si>
  <si>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</si>
  <si>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</si>
  <si>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</si>
  <si>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</si>
  <si>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</si>
  <si>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</si>
  <si>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</si>
  <si>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</si>
  <si>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</si>
  <si>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</si>
  <si>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</si>
  <si>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</si>
  <si>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</si>
  <si>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</si>
  <si>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</si>
  <si>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</si>
  <si>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</si>
  <si>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</si>
  <si>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</si>
  <si>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</si>
  <si>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</si>
  <si>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</si>
  <si>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</si>
  <si>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</si>
  <si>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</si>
  <si>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</si>
  <si>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</si>
  <si>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</si>
  <si>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</si>
  <si>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</si>
  <si>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</si>
  <si>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</si>
  <si>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</si>
  <si>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</si>
  <si>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</si>
  <si>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</si>
  <si>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</si>
  <si>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</si>
  <si>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</si>
  <si>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</si>
  <si>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</si>
  <si>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</si>
  <si>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</si>
  <si>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</si>
  <si>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</si>
  <si>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</si>
  <si>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</si>
  <si>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</si>
  <si>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</si>
  <si>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</si>
  <si>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</si>
  <si>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</si>
  <si>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</si>
  <si>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</si>
  <si>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</si>
  <si>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</si>
  <si>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</si>
  <si>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</si>
  <si>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</si>
  <si>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</si>
  <si>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</si>
  <si>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</si>
  <si>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</si>
  <si>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</si>
  <si>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</si>
  <si>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</si>
  <si>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</si>
  <si>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</si>
  <si>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</si>
  <si>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</si>
  <si>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</si>
  <si>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</si>
  <si>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</si>
  <si>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</si>
  <si>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</si>
  <si>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</si>
  <si>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</si>
  <si>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</si>
  <si>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</si>
  <si>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</si>
  <si>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</si>
  <si>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</si>
  <si>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</si>
  <si>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</si>
  <si>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</si>
  <si>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</si>
  <si>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</si>
  <si>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</si>
  <si>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</si>
  <si>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</si>
  <si>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</si>
  <si>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</si>
  <si>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</si>
  <si>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</si>
  <si>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</si>
  <si>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</si>
  <si>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</si>
  <si>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</si>
  <si>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</si>
  <si>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</si>
  <si>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</si>
  <si>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</si>
  <si>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</si>
  <si>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</si>
  <si>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</si>
  <si>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</si>
  <si>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</si>
  <si>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</si>
  <si>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</si>
  <si>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</si>
  <si>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</si>
  <si>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</si>
  <si>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</si>
  <si>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</si>
  <si>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</si>
  <si>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</si>
  <si>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</si>
  <si>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</si>
  <si>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</si>
  <si>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</si>
  <si>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</si>
  <si>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</si>
  <si>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</si>
  <si>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</si>
  <si>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</si>
  <si>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</si>
  <si>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</si>
  <si>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</si>
  <si>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</si>
  <si>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</si>
  <si>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</si>
  <si>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</si>
  <si>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</si>
  <si>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</si>
  <si>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</si>
  <si>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</si>
  <si>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</si>
  <si>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</si>
  <si>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</si>
  <si>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</si>
  <si>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</si>
  <si>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</si>
  <si>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</si>
  <si>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</si>
  <si>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</si>
  <si>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</si>
  <si>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</si>
  <si>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</si>
  <si>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</si>
  <si>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</si>
  <si>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MGS</t>
  </si>
  <si>
    <t>LGS</t>
  </si>
  <si>
    <t>LPS</t>
  </si>
  <si>
    <t>7. Cycle 2 kWh Participation - Source: None</t>
  </si>
  <si>
    <t>DSIM ($/kWh)</t>
  </si>
  <si>
    <t>Cycle 2 - Total</t>
  </si>
  <si>
    <t>1. Total Earnings Opportunity - Source: Metro EO Calculation PY1-PY3 v2.xlsx, Metro EO Calculation PY4.xlsx</t>
  </si>
  <si>
    <t>5. Total Earnings Opportunity plus Carrying Costs - Source: Sum of Columns 1. through 4.</t>
  </si>
  <si>
    <t>1.  Actual monthly EO - Source: Sum of Line 3.
    Forecasted monthly EO - Source: Sum of Line 3.</t>
  </si>
  <si>
    <t>3. Actual/Forecasted EO Amortization - Source:  EO Cycle 2 tab column G divided by remaining months on EO Cycle 2 tab line 6.</t>
  </si>
  <si>
    <t>Cumulative Correction of Short-Term Borrowing Rates September 2018 - October 2020 (Note A)
Cumulative Correction of allocation of Business Demand Response costs with interest (Note B)</t>
  </si>
  <si>
    <t>Cycle 3 - Total</t>
  </si>
  <si>
    <t>Cycle 3 - Program Year 3 (including EO TD Adjustments TBD)</t>
  </si>
  <si>
    <t>Cycle 3 Earnings Opportunity (EO) Calculation</t>
  </si>
  <si>
    <t>6. Amortization Over 12 Month Recovery Period</t>
  </si>
  <si>
    <t>1. Total Earnings Opportunity - Source: Metro EO Calculated Cycle 3 PY1.xlsx</t>
  </si>
  <si>
    <t>2. EO TD Ex Post Gross Adjustment -  Source: Metro Cycle 3 PY1 EO TD Adj Calc.xlsx</t>
  </si>
  <si>
    <t>3. EO TD NTG Adjustment -  Source: Metro Cycle 3 PY1 EO TD Adj Calc.xlsx</t>
  </si>
  <si>
    <t>4. Carrying Costs @ AFUDC Rate -  Source: Metro Cycle 3 PY1 EO TD Adj Calc.xlsx</t>
  </si>
  <si>
    <t>1. Actual monthly program costs by allocation bucket Residential, Non-Residential, Income-Eligible, Common/General) - Source: None
    Forecasted monthly program costs by allocation bucket - Source: None</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</si>
  <si>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</si>
  <si>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</si>
  <si>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</si>
  <si>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2 - EO TD Adjustments Carrying Costs May - October 2022 (Amortize February 2022-January 2024)</t>
  </si>
  <si>
    <t>Cycle 3 - Program Year 1 (including EO TD Adjustments through October 2021) (Amortize February 2022-January 2023)</t>
  </si>
  <si>
    <t>1. Forecasted kWh by Residential/Non-Residential (Reduced for Opt-Out) - Source: Billed kWh Budget Metro 2022-2023.xlsx</t>
  </si>
  <si>
    <t>Cycle 3 Earnings Opportunity Reconciliation (EOR) Calculation</t>
  </si>
  <si>
    <t>Cycle 2 - EO TD Adjustments Carrying Costs November 2021 - April 2022 (Amortize August 2022-July 2024)</t>
  </si>
  <si>
    <t>Cycle 3 - Program Year 1 EO TD Adjustments November 2021 - April 2022 (Amortize August 2022 - July 2023)</t>
  </si>
  <si>
    <t>2. Actual monthly billed revenues by Residential/Non-Residential (program cost revenues only) - None
Forecasted monthly billed revenues by Residential/Non-Residential (program cost revenues only) - Source: calculated = Forecasted billed kWh sales X tariff rate</t>
  </si>
  <si>
    <t>4. Total monthly interest - Source: None</t>
  </si>
  <si>
    <t>3. Actual monthly billed revenues by Residential/Non-Residential (program cost revenues only) - Metro MEEIA 2022 Revenue Analysis.xlsx
    Forecasted monthly billed revenues by Residential/Non-Residential (program cost revenues only) - Source: calculated = Forecasted billed kWh sales X tariff rate</t>
  </si>
  <si>
    <t>4. Forecasted Throughput Disincentive - Source: Metro Cycle 3 Monthly TD Calc Extension 835 NTG.xlsx</t>
  </si>
  <si>
    <t>2. Forecasted program costs by customer class - Source: Sum of 2. and 3.</t>
  </si>
  <si>
    <t>2. Forecasted Throughput Disincentive -Sum of 3. and 4.</t>
  </si>
  <si>
    <t>4. Forecasted program costs by customer class - Source: Evergy MC3 Extension Appendix A settlement.xlsx</t>
  </si>
  <si>
    <t>2. Actual monthly billed revenues by Residential/Non-Residential (TD revenues only) - Metro MEEIA 2022 Revenue Analysis.xlsx
Forecasted monthly billed revenues by Residential/Non-Residential (TD revenues only) - Source: calculated = Forecasted billed kWh sales X tariff rate</t>
  </si>
  <si>
    <t>2. Actual monthly billed revenues by Residential/Non-Residential (EO revenues only) - Metro MEEIA 2022 Revenue Analysis.xlsx
Forecasted monthly billed revenues by Residential/Non-Residential (EO revenues only) - Source: calculated = Forecasted billed kWh sales X tariff rate</t>
  </si>
  <si>
    <t>1. &amp; 3. Actual monthly Ordered Adjustments - Source: None</t>
  </si>
  <si>
    <t>1. Ordered Adjustment - Source: Metro Cycle 2 OA Carrying Costs Calculations.xlsx</t>
  </si>
  <si>
    <t>2. Carrying Costs on OA - Source: Metro Cyce 2 OA Carrying Costs Calculations.xlsx</t>
  </si>
  <si>
    <t>Projections for Cycle 3 January 2023 - December 2023 DSIM</t>
  </si>
  <si>
    <t>3. Cycle 3 Forecast - January 2023 - December 2023</t>
  </si>
  <si>
    <t>4. Cycle 3 Extension - January 2023 - December 2023</t>
  </si>
  <si>
    <t>Cumulative Over/Under Carryover From 06/01/2022 Filing</t>
  </si>
  <si>
    <t>Reverse May 2022 - October 2022 Forecast From 06/01/2022 Filing</t>
  </si>
  <si>
    <t>Cycle 3 Ordered Adjustment (OA) Calculation</t>
  </si>
  <si>
    <t>Cycle 3 Ordered Adjustments Reconciliation (OAR) Calculation</t>
  </si>
  <si>
    <t>5. Monthly Short-Term Borrowing Rate - Source: Metro Short-Term Borrowing Rate May 2022 - October 2022.xlsx</t>
  </si>
  <si>
    <t>7. Cycle 2 kWh Participation - Source: Metro Cycle 2 Monthly TD Calc 102022 11042022.xlsx</t>
  </si>
  <si>
    <t>1. Forecasted Residential/Non-Residential kWh savings  - Source: None, TD reset effective December 2022</t>
  </si>
  <si>
    <t>2. Forecasted Throughput Disincentive - Source: None, TD reset effective December 2022</t>
  </si>
  <si>
    <t>Amortization Over 12 Month Recovery Period</t>
  </si>
  <si>
    <t>1. Ordered Adjustment - Program Costs</t>
  </si>
  <si>
    <t>2. Ordered Adjustment - Throughput Disincentive</t>
  </si>
  <si>
    <t>1. Ordered Adjustment - Source: Metro Cycle 3 OA Carrying Costs Calculations.xlsx</t>
  </si>
  <si>
    <t>2. Carrying Costs on OA - Source: Metro Cyce 3 OA Carrying Costs Calculations.xlsx</t>
  </si>
  <si>
    <t>3. Carrying Costs on OA</t>
  </si>
  <si>
    <t>Cycle 2 - EO TD Adjustments Carrying Costs May 2022 - November 2022 (Amortize February 2023-January 2025)</t>
  </si>
  <si>
    <t>6. Amortization Over 24 Month Recovery Period - Source: Column 5  PY 1 - 3 divided by 24 times 0 months remaining recovery, PY 4 Column 5 divided by 24 times 1, EO TD Adjustments January - November 2022 Column 5 divided by 24 times 7, EO TD Adjustments Carrying Costs May - October 2022 Column 5 divided by 24 times 12, EO TD Adjustments Carrying Costs November 2021 - April 2022 Column 5 divided by 24 times 12, EO TD Adjustments Carrying Costs May 2022 - November 2022 Column 5 divided by 24 times 11</t>
  </si>
  <si>
    <t>Cycle 3 - Program Year 2 (including EO TD Adjustments through October 2022) (Amortize February 2023-January 2024)</t>
  </si>
  <si>
    <t>Cycle 3 - Program Year 1 EO TD Adjustments May 2022 - November 2022 (Amortize February 2023 - January 2024)</t>
  </si>
  <si>
    <t>Allocation</t>
  </si>
  <si>
    <t>3. Forecasted program costs by customer class - Source: MEEIA Cycle 3 Forecast Metro 102022 11152022.xlsx</t>
  </si>
  <si>
    <t>2. Actual monthly kWh billed sales by Residential/Non-Residential (reduced for opt-out) - Source: Metro MEEIA 2022 Revenue Analysis.xlsx
    Forecasted monthly kWh billed sales by Residential/Non-Residential (reduced for opt-out) - Source: Billed kWh Budget Metro 2023-2024.xlsx</t>
  </si>
  <si>
    <t>1. Actual monthly program costs by allocation bucket Residential, Non-Residential, Income-Eligible, Common/General) - Source: 05 2022 Metro Spend Allocations Worksheet.xlsx, 06 2022 Metro Spend Allocations Worksheet.xlsx, 07 2022 Metro Spend Allocations Worksheet.xlsx, 08 2022 Metro Spend Allocations Worksheet.xlsx, 09 2022 Metro Spend Allocations Worksheet.xlsx, 10 2022 Metro Spend Allocations Worksheet.xlsx
    Forecasted monthly program costs by allocation bucket - Source: MEEIA Cycle 3 Forecast Metro 102022 11152022.xlsx</t>
  </si>
  <si>
    <t>1. Forecasted Residential/Non-Residential kWh savings  - Source: MEEIA Cycle 3 Forecast Metro 102022 11152022.xlsx, Metro Cycle 3 Monthly TD Calc Extension 835 NTG.xlsx</t>
  </si>
  <si>
    <t>3. Forecasted Throughput Disincentive - Source: MEEIA Cycle 3 Forecast Metro 102022 11152022.xlsx</t>
  </si>
  <si>
    <t>1. &amp; 4. Actual monthly TD - Source: Metro Cycle 2 Monthly TD Calc 102022 11042022.xlsx
    Forecasted monthly TD - Source:Metro Cycle 2 Monthly TD Calc 102022 11042022.xlsx</t>
  </si>
  <si>
    <t>3. Actual kWh Sales Impact - Source:  Metro Cycle 2 Monthly TD Calc 102022 11042022.xlsx
    Forecasted kWh Sales Impact - Source: Metro Cycle 2 Monthly TD Calc 102022 11042022.xlsx</t>
  </si>
  <si>
    <t>8. Cycle 2 kWh Participation - Source: Metro Cycle 2 Monthly TD Calc 102022 11042022.xlsx</t>
  </si>
  <si>
    <t>1. &amp; 4. Actual monthly TD - Source: Metro Cycle 3 Monthly TD Calc 102022 11092022.xlsx
    Forecasted monthly TD - Source: MEEIA Cycle 3 Forecast Metro 102022 11152022.xlsx</t>
  </si>
  <si>
    <t>3. Actual kWh Sales Impact - Source:  Metro Cycle 3 Monthly TD Calc 102022 11042022.xlsx
    Forecasted kWh Sales Impact - Source: MEEIA Cycle 3 Forecast Metro 102022 11152022.xlsx</t>
  </si>
  <si>
    <t>2. EO TD Ex Post Gross Adjustment -  Source: TD Model Metro PY1-3 102022.xlsx, TD Model PY4 102022.xlsx</t>
  </si>
  <si>
    <t>3. EO TD NTG Adjustment -  Source: TD Model Metro PY1-3 102022.xlsx, TD Model PY4 102022.xlsx</t>
  </si>
  <si>
    <t>4. Carrying Costs @ AFUDC Rate -  Source: TD Model Metro PY1-3 102022.xlsx, TD Model PY4 102022.xlsx</t>
  </si>
  <si>
    <t>6. Amortization Over 12 Month Recovery Period - Source: Column 5  PY 1 divided by 12 times 1 months in forecast period, Program Year 1 EO TD Adjustments November 2021 - April 2022 divided by 12 times 7 months in forecast period,  Program Year 1 EO TD Adjustments May 2022 - November 2022 divided by 12 times 11 months in forecast period</t>
  </si>
  <si>
    <t>Evergy Metro, Inc. - DSIM Rider Update Filed 12/02/2022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</si>
</sst>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_);_(&quot;$&quot;* \(#,##0.00\);_(&quot;$&quot;* &quot;-&quot;_);_(@_)"/>
    <numFmt numFmtId="178" formatCode="_(&quot;$&quot;* #,##0.0_);_(&quot;$&quot;* \(#,##0.0\);_(&quot;$&quot;* &quot;-&quot;?????_);_(@_)"/>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
      <left style="medium">
        <color indexed="64"/>
      </left>
      <right style="medium">
        <color indexed="64"/>
      </right>
      <top style="thin">
        <color rgb="FF7F7F7F"/>
      </top>
      <bottom style="thin">
        <color rgb="FF7F7F7F"/>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20">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3" xfId="0" applyNumberFormat="1" applyFont="1" applyFill="1" applyBorder="1" applyAlignment="1">
      <alignment vertical="center"/>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177" fontId="5" fillId="37" borderId="1" xfId="6" applyNumberFormat="1" applyFill="1" applyBorder="1"/>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170" fontId="36" fillId="0" borderId="3" xfId="0" applyNumberFormat="1" applyFont="1" applyFill="1" applyBorder="1" applyAlignment="1">
      <alignment vertical="center"/>
    </xf>
    <xf numFmtId="0" fontId="8" fillId="0" borderId="0" xfId="0" applyFont="1" applyAlignment="1">
      <alignment horizontal="left" vertical="center" wrapText="1"/>
    </xf>
    <xf numFmtId="0" fontId="38" fillId="0" borderId="0" xfId="0" applyFont="1"/>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Fill="1" applyAlignment="1"/>
    <xf numFmtId="42" fontId="14" fillId="7" borderId="1" xfId="13" applyNumberFormat="1"/>
    <xf numFmtId="0" fontId="8" fillId="0" borderId="0" xfId="0" applyFont="1" applyAlignment="1">
      <alignment horizontal="left" vertical="center" wrapText="1"/>
    </xf>
    <xf numFmtId="165" fontId="14" fillId="7" borderId="75" xfId="13" applyNumberFormat="1" applyBorder="1"/>
    <xf numFmtId="44" fontId="14" fillId="7" borderId="13" xfId="13" applyNumberFormat="1" applyBorder="1"/>
    <xf numFmtId="43" fontId="14" fillId="7" borderId="1" xfId="1" applyFont="1" applyFill="1" applyBorder="1"/>
    <xf numFmtId="44" fontId="8" fillId="0" borderId="0" xfId="0" applyNumberFormat="1" applyFont="1" applyFill="1" applyAlignment="1">
      <alignment wrapText="1"/>
    </xf>
    <xf numFmtId="170" fontId="40" fillId="0" borderId="3" xfId="0" applyNumberFormat="1" applyFont="1" applyFill="1" applyBorder="1" applyAlignment="1">
      <alignment vertical="center"/>
    </xf>
    <xf numFmtId="170" fontId="40" fillId="0" borderId="4" xfId="0" applyNumberFormat="1" applyFont="1" applyFill="1" applyBorder="1" applyAlignment="1">
      <alignment vertical="center"/>
    </xf>
    <xf numFmtId="172" fontId="40" fillId="0" borderId="6" xfId="0" applyNumberFormat="1" applyFont="1" applyBorder="1" applyAlignment="1">
      <alignment horizontal="right"/>
    </xf>
    <xf numFmtId="178" fontId="0" fillId="0" borderId="0" xfId="0" applyNumberFormat="1"/>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xf>
    <xf numFmtId="0" fontId="8" fillId="0" borderId="0" xfId="0" applyFont="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customXml" Target="../customXml/item1.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Billed%20kWh%20Budget%20Metro%20Missouri%202023-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08%202022%20Metro%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09%202022%20Metro%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10%202022%20Metro%20Spend%20Allocations%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Cycle%203%20Monthly%20TD%20Calc%20Extension%20835%20NTG.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Cycle%203%20Monthly%20TD%20Calc%20102022%20110920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EO%20Calculation%20PY1-PY3%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TD%20Model%20Metro%20PY1-3%2010202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EO%20Calculation%20PY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TD%20Model%20Metro%20PY4%201020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TD%20Model%20Metro%20PY1-3%20102022%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EIA%20Cycle%203%20Forecast%20Metro%20102022%201115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TD%20Model%20Metro%20PY4%20102022%20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CorpAcctg\MEEIA\Metro%20MEEIA%20DSIM%20RIDER\20220601%20Filing\Metro%20EO%20Calculated%20Cycle%203%20PY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Cycle%203%20PY1%20EO%20TD%20Adj%20Cal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20MEEIA%20Cycle%202%20OA%20Carrying%20Cost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MEEIA%20Cycle%203%20OA%20Carrying%20Costs%20Calcul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Evergy%20MC3%20Extension%20Appendix%20A%20settle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Cycle%202%20Monthly%20TD%20Calc%20%20102022%201104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orpAcctg\MEEIA\Month-End%20Close\Deferred%20DSM%20projects%20SI\2022\Revenue%20Analysis\Metro\Metro%20MEEIA%202022%20Revenue%20Analys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Short-Term%20Borrowing%20Rate%20May%202022%20-%20October%2020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05%202022%20Metro%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06%202022%20Metro%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07%202022%20Metro%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O24">
            <v>162457956</v>
          </cell>
          <cell r="P24">
            <v>233885125</v>
          </cell>
          <cell r="Q24">
            <v>270196756</v>
          </cell>
        </row>
        <row r="25">
          <cell r="O25">
            <v>43695768</v>
          </cell>
          <cell r="P25">
            <v>47716997</v>
          </cell>
          <cell r="Q25">
            <v>47981178</v>
          </cell>
        </row>
        <row r="26">
          <cell r="O26">
            <v>87665683</v>
          </cell>
          <cell r="P26">
            <v>95733369</v>
          </cell>
          <cell r="Q26">
            <v>96263389</v>
          </cell>
        </row>
        <row r="27">
          <cell r="O27">
            <v>139477037</v>
          </cell>
          <cell r="P27">
            <v>152312812</v>
          </cell>
          <cell r="Q27">
            <v>153156079</v>
          </cell>
        </row>
        <row r="28">
          <cell r="O28">
            <v>37274982</v>
          </cell>
          <cell r="P28">
            <v>40705320</v>
          </cell>
          <cell r="Q28">
            <v>40930681</v>
          </cell>
        </row>
        <row r="36">
          <cell r="F36">
            <v>1269001187</v>
          </cell>
          <cell r="G36">
            <v>1417042207</v>
          </cell>
        </row>
        <row r="37">
          <cell r="F37">
            <v>272997017</v>
          </cell>
          <cell r="G37">
            <v>289395395</v>
          </cell>
        </row>
        <row r="38">
          <cell r="F38">
            <v>547706812</v>
          </cell>
          <cell r="G38">
            <v>580606450</v>
          </cell>
        </row>
        <row r="39">
          <cell r="F39">
            <v>871407384</v>
          </cell>
          <cell r="G39">
            <v>923751058</v>
          </cell>
        </row>
        <row r="40">
          <cell r="F40">
            <v>232882025</v>
          </cell>
          <cell r="G40">
            <v>246870777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82022 09072022"/>
      <sheetName val="Input"/>
      <sheetName val="Program Descriptions"/>
    </sheetNames>
    <sheetDataSet>
      <sheetData sheetId="0">
        <row r="30">
          <cell r="N30">
            <v>518446.89</v>
          </cell>
          <cell r="O30">
            <v>208815.65000000002</v>
          </cell>
          <cell r="P30">
            <v>107710.16</v>
          </cell>
          <cell r="Q30">
            <v>269232.38</v>
          </cell>
          <cell r="R30">
            <v>24702.279999999995</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92022 10072022"/>
      <sheetName val="Input"/>
      <sheetName val="Program Descriptions"/>
    </sheetNames>
    <sheetDataSet>
      <sheetData sheetId="0">
        <row r="30">
          <cell r="N30">
            <v>568676.99</v>
          </cell>
          <cell r="O30">
            <v>172785.16</v>
          </cell>
          <cell r="P30">
            <v>67020.75</v>
          </cell>
          <cell r="Q30">
            <v>106271.90000000001</v>
          </cell>
          <cell r="R30">
            <v>7793.6700000000938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02022 11072022"/>
      <sheetName val="Input"/>
      <sheetName val="Program Descriptions"/>
    </sheetNames>
    <sheetDataSet>
      <sheetData sheetId="0">
        <row r="30">
          <cell r="N30">
            <v>961610.8</v>
          </cell>
          <cell r="O30">
            <v>76140.19</v>
          </cell>
          <cell r="P30">
            <v>118253.39000000001</v>
          </cell>
          <cell r="Q30">
            <v>79486.14</v>
          </cell>
          <cell r="R30">
            <v>278291.54999999993</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AO460">
            <v>297792.58209641138</v>
          </cell>
          <cell r="AP460">
            <v>363374.75078189303</v>
          </cell>
          <cell r="AQ460">
            <v>461181.7660446089</v>
          </cell>
          <cell r="AR460">
            <v>527323.43751685345</v>
          </cell>
          <cell r="AS460">
            <v>648171.46674452396</v>
          </cell>
          <cell r="AT460">
            <v>906262.27069103252</v>
          </cell>
          <cell r="AU460">
            <v>1480789.8465079824</v>
          </cell>
          <cell r="AV460">
            <v>1539814.0984819075</v>
          </cell>
          <cell r="AW460">
            <v>1030470.8680527132</v>
          </cell>
          <cell r="AX460">
            <v>1028995.825566638</v>
          </cell>
          <cell r="AY460">
            <v>1065906.4527174032</v>
          </cell>
          <cell r="AZ460">
            <v>1146735.6369120174</v>
          </cell>
        </row>
        <row r="461">
          <cell r="AO461">
            <v>7943.4082872498257</v>
          </cell>
          <cell r="AP461">
            <v>21544.308629655363</v>
          </cell>
          <cell r="AQ461">
            <v>39887.850716700632</v>
          </cell>
          <cell r="AR461">
            <v>53258.903520870961</v>
          </cell>
          <cell r="AS461">
            <v>71881.590960158923</v>
          </cell>
          <cell r="AT461">
            <v>84848.379631345219</v>
          </cell>
          <cell r="AU461">
            <v>103011.73258553667</v>
          </cell>
          <cell r="AV461">
            <v>120984.51328915393</v>
          </cell>
          <cell r="AW461">
            <v>127859.31911177543</v>
          </cell>
          <cell r="AX461">
            <v>151819.47586601568</v>
          </cell>
          <cell r="AY461">
            <v>158819.08287119804</v>
          </cell>
          <cell r="AZ461">
            <v>174064.33094068911</v>
          </cell>
        </row>
        <row r="462">
          <cell r="AO462">
            <v>29791.46898808852</v>
          </cell>
          <cell r="AP462">
            <v>80811.184732651644</v>
          </cell>
          <cell r="AQ462">
            <v>149389.61410529632</v>
          </cell>
          <cell r="AR462">
            <v>199455.43484138555</v>
          </cell>
          <cell r="AS462">
            <v>269179.42151263409</v>
          </cell>
          <cell r="AT462">
            <v>316436.31681072206</v>
          </cell>
          <cell r="AU462">
            <v>384152.10605290486</v>
          </cell>
          <cell r="AV462">
            <v>451394.38935650559</v>
          </cell>
          <cell r="AW462">
            <v>477009.52860073058</v>
          </cell>
          <cell r="AX462">
            <v>568499.18516360852</v>
          </cell>
          <cell r="AY462">
            <v>594573.19910436345</v>
          </cell>
          <cell r="AZ462">
            <v>652645.70427804778</v>
          </cell>
        </row>
        <row r="463">
          <cell r="AO463">
            <v>49338.056083928139</v>
          </cell>
          <cell r="AP463">
            <v>133815.55209732859</v>
          </cell>
          <cell r="AQ463">
            <v>247324.13230509279</v>
          </cell>
          <cell r="AR463">
            <v>330561.3525414319</v>
          </cell>
          <cell r="AS463">
            <v>445684.04010640341</v>
          </cell>
          <cell r="AT463">
            <v>524194.21117556241</v>
          </cell>
          <cell r="AU463">
            <v>636455.5028525769</v>
          </cell>
          <cell r="AV463">
            <v>747744.52269424265</v>
          </cell>
          <cell r="AW463">
            <v>790809.29069097526</v>
          </cell>
          <cell r="AX463">
            <v>942352.92842998879</v>
          </cell>
          <cell r="AY463">
            <v>986000.87573671679</v>
          </cell>
          <cell r="AZ463">
            <v>1082220.7705700251</v>
          </cell>
        </row>
        <row r="464">
          <cell r="AO464">
            <v>4359.0817809373339</v>
          </cell>
          <cell r="AP464">
            <v>11832.657200060501</v>
          </cell>
          <cell r="AQ464">
            <v>21916.37375991002</v>
          </cell>
          <cell r="AR464">
            <v>29327.467466335194</v>
          </cell>
          <cell r="AS464">
            <v>39506.620907406577</v>
          </cell>
          <cell r="AT464">
            <v>46931.272922563934</v>
          </cell>
          <cell r="AU464">
            <v>56976.346040275457</v>
          </cell>
          <cell r="AV464">
            <v>66847.755752582016</v>
          </cell>
          <cell r="AW464">
            <v>70792.431415249972</v>
          </cell>
          <cell r="AX464">
            <v>83589.239240931653</v>
          </cell>
          <cell r="AY464">
            <v>87579.940417350794</v>
          </cell>
          <cell r="AZ464">
            <v>95787.648652528573</v>
          </cell>
        </row>
        <row r="562">
          <cell r="AO562">
            <v>17540.260000000002</v>
          </cell>
          <cell r="AP562">
            <v>22638.010000000002</v>
          </cell>
          <cell r="AQ562">
            <v>30005.96</v>
          </cell>
          <cell r="AR562">
            <v>35379.31</v>
          </cell>
          <cell r="AS562">
            <v>44613.01</v>
          </cell>
          <cell r="AT562">
            <v>91670.16</v>
          </cell>
          <cell r="AU562">
            <v>152925.29999999999</v>
          </cell>
          <cell r="AV562">
            <v>158956.63</v>
          </cell>
          <cell r="AW562">
            <v>104707.33</v>
          </cell>
          <cell r="AX562">
            <v>63203.59</v>
          </cell>
          <cell r="AY562">
            <v>72991.5</v>
          </cell>
          <cell r="AZ562">
            <v>73126.139999999985</v>
          </cell>
        </row>
        <row r="563">
          <cell r="AO563">
            <v>481.17</v>
          </cell>
          <cell r="AP563">
            <v>1337.51</v>
          </cell>
          <cell r="AQ563">
            <v>2538.2199999999998</v>
          </cell>
          <cell r="AR563">
            <v>3552.7300000000005</v>
          </cell>
          <cell r="AS563">
            <v>5072.17</v>
          </cell>
          <cell r="AT563">
            <v>7625.54</v>
          </cell>
          <cell r="AU563">
            <v>8823.0499999999993</v>
          </cell>
          <cell r="AV563">
            <v>10358.89</v>
          </cell>
          <cell r="AW563">
            <v>11094.39</v>
          </cell>
          <cell r="AX563">
            <v>10103.31</v>
          </cell>
          <cell r="AY563">
            <v>10916.41</v>
          </cell>
          <cell r="AZ563">
            <v>11056.51</v>
          </cell>
        </row>
        <row r="564">
          <cell r="AO564">
            <v>1102.7</v>
          </cell>
          <cell r="AP564">
            <v>3053.97</v>
          </cell>
          <cell r="AQ564">
            <v>5753.8200000000006</v>
          </cell>
          <cell r="AR564">
            <v>8243.4</v>
          </cell>
          <cell r="AS564">
            <v>12095.69</v>
          </cell>
          <cell r="AT564">
            <v>18734.48</v>
          </cell>
          <cell r="AU564">
            <v>21785.54</v>
          </cell>
          <cell r="AV564">
            <v>25714.689999999995</v>
          </cell>
          <cell r="AW564">
            <v>27163.05</v>
          </cell>
          <cell r="AX564">
            <v>23143.640000000003</v>
          </cell>
          <cell r="AY564">
            <v>25897.170000000002</v>
          </cell>
          <cell r="AZ564">
            <v>25548.01</v>
          </cell>
        </row>
        <row r="565">
          <cell r="AO565">
            <v>1123.68</v>
          </cell>
          <cell r="AP565">
            <v>3174.96</v>
          </cell>
          <cell r="AQ565">
            <v>6099.17</v>
          </cell>
          <cell r="AR565">
            <v>8645.0800000000017</v>
          </cell>
          <cell r="AS565">
            <v>12205.429999999998</v>
          </cell>
          <cell r="AT565">
            <v>19658.310000000001</v>
          </cell>
          <cell r="AU565">
            <v>22435.27</v>
          </cell>
          <cell r="AV565">
            <v>26810.41</v>
          </cell>
          <cell r="AW565">
            <v>27308.970000000005</v>
          </cell>
          <cell r="AX565">
            <v>23752.62</v>
          </cell>
          <cell r="AY565">
            <v>26215.57</v>
          </cell>
          <cell r="AZ565">
            <v>25451.910000000003</v>
          </cell>
        </row>
        <row r="566">
          <cell r="AO566">
            <v>49.990000000000009</v>
          </cell>
          <cell r="AP566">
            <v>149.25</v>
          </cell>
          <cell r="AQ566">
            <v>277.43</v>
          </cell>
          <cell r="AR566">
            <v>347.98</v>
          </cell>
          <cell r="AS566">
            <v>554.73</v>
          </cell>
          <cell r="AT566">
            <v>846.66</v>
          </cell>
          <cell r="AU566">
            <v>938.43</v>
          </cell>
          <cell r="AV566">
            <v>1159.0899999999999</v>
          </cell>
          <cell r="AW566">
            <v>1205.1300000000001</v>
          </cell>
          <cell r="AX566">
            <v>1019.07</v>
          </cell>
          <cell r="AY566">
            <v>1234.31</v>
          </cell>
          <cell r="AZ566">
            <v>1130.43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refreshError="1"/>
      <sheetData sheetId="1" refreshError="1"/>
      <sheetData sheetId="2">
        <row r="460">
          <cell r="AG460">
            <v>6219354.8035658486</v>
          </cell>
          <cell r="AH460">
            <v>5937462.7245354047</v>
          </cell>
          <cell r="AI460">
            <v>7954790.8169923425</v>
          </cell>
          <cell r="AJ460">
            <v>6160063.3279139325</v>
          </cell>
          <cell r="AK460">
            <v>5190460.3298981823</v>
          </cell>
          <cell r="AL460">
            <v>5907313.2305947319</v>
          </cell>
        </row>
        <row r="461">
          <cell r="AG461">
            <v>488791.44559406111</v>
          </cell>
          <cell r="AH461">
            <v>474995.16122831282</v>
          </cell>
          <cell r="AI461">
            <v>518610.96678640565</v>
          </cell>
          <cell r="AJ461">
            <v>556630.75089633302</v>
          </cell>
          <cell r="AK461">
            <v>537315.54012074205</v>
          </cell>
          <cell r="AL461">
            <v>590979.45308925537</v>
          </cell>
        </row>
        <row r="462">
          <cell r="AG462">
            <v>1571468.9563590689</v>
          </cell>
          <cell r="AH462">
            <v>1570554.6028124716</v>
          </cell>
          <cell r="AI462">
            <v>1681820.0416850578</v>
          </cell>
          <cell r="AJ462">
            <v>1734262.419183766</v>
          </cell>
          <cell r="AK462">
            <v>1636774.0568888746</v>
          </cell>
          <cell r="AL462">
            <v>1765216.346722563</v>
          </cell>
        </row>
        <row r="463">
          <cell r="AG463">
            <v>2551791.8809912778</v>
          </cell>
          <cell r="AH463">
            <v>2517016.5938986428</v>
          </cell>
          <cell r="AI463">
            <v>2674980.1237526098</v>
          </cell>
          <cell r="AJ463">
            <v>2786034.7973166103</v>
          </cell>
          <cell r="AK463">
            <v>2649671.6460981895</v>
          </cell>
          <cell r="AL463">
            <v>2841407.956976519</v>
          </cell>
        </row>
        <row r="464">
          <cell r="AG464">
            <v>221174.6111359385</v>
          </cell>
          <cell r="AH464">
            <v>213844.06438468525</v>
          </cell>
          <cell r="AI464">
            <v>219371.27071550844</v>
          </cell>
          <cell r="AJ464">
            <v>221906.97926955868</v>
          </cell>
          <cell r="AK464">
            <v>208797.84974951431</v>
          </cell>
          <cell r="AL464">
            <v>279343.35629283235</v>
          </cell>
        </row>
        <row r="562">
          <cell r="AG562">
            <v>351286.48999999993</v>
          </cell>
          <cell r="AH562">
            <v>515159.37999999995</v>
          </cell>
          <cell r="AI562">
            <v>752748.14</v>
          </cell>
          <cell r="AJ562">
            <v>525827.68999999994</v>
          </cell>
          <cell r="AK562">
            <v>395215.40000000008</v>
          </cell>
          <cell r="AL562">
            <v>268080.95999999996</v>
          </cell>
        </row>
        <row r="563">
          <cell r="AG563">
            <v>37866.049999999996</v>
          </cell>
          <cell r="AH563">
            <v>46854.71</v>
          </cell>
          <cell r="AI563">
            <v>48881.920000000006</v>
          </cell>
          <cell r="AJ563">
            <v>52154.99</v>
          </cell>
          <cell r="AK563">
            <v>50632.810000000005</v>
          </cell>
          <cell r="AL563">
            <v>42722.189999999995</v>
          </cell>
        </row>
        <row r="564">
          <cell r="AG564">
            <v>76564.739999999991</v>
          </cell>
          <cell r="AH564">
            <v>100702.99</v>
          </cell>
          <cell r="AI564">
            <v>103107.23</v>
          </cell>
          <cell r="AJ564">
            <v>106636.79</v>
          </cell>
          <cell r="AK564">
            <v>100872.65999999999</v>
          </cell>
          <cell r="AL564">
            <v>77826.650000000009</v>
          </cell>
        </row>
        <row r="565">
          <cell r="AG565">
            <v>73681.98</v>
          </cell>
          <cell r="AH565">
            <v>99478.33</v>
          </cell>
          <cell r="AI565">
            <v>99236.72</v>
          </cell>
          <cell r="AJ565">
            <v>104695.84</v>
          </cell>
          <cell r="AK565">
            <v>96467.839999999997</v>
          </cell>
          <cell r="AL565">
            <v>75535.199999999997</v>
          </cell>
        </row>
        <row r="566">
          <cell r="AG566">
            <v>3469.3900000000003</v>
          </cell>
          <cell r="AH566">
            <v>4297.97</v>
          </cell>
          <cell r="AI566">
            <v>4014.79</v>
          </cell>
          <cell r="AJ566">
            <v>4129.58</v>
          </cell>
          <cell r="AK566">
            <v>3989.71</v>
          </cell>
          <cell r="AL566">
            <v>3499.1899999999996</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3528190.0700000003</v>
          </cell>
          <cell r="T18">
            <v>4826270.37</v>
          </cell>
          <cell r="W18">
            <v>674006.21</v>
          </cell>
          <cell r="X18">
            <v>1713084.19</v>
          </cell>
          <cell r="Y18">
            <v>2024596.5400000003</v>
          </cell>
          <cell r="Z18">
            <v>414583.44999999995</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ow r="370">
          <cell r="AL370">
            <v>-1041427.6034010574</v>
          </cell>
          <cell r="BE370">
            <v>-694726.81018685759</v>
          </cell>
          <cell r="BS370">
            <v>-377882.06622358249</v>
          </cell>
          <cell r="CE370">
            <v>-357896.53339656233</v>
          </cell>
        </row>
        <row r="371">
          <cell r="AL371">
            <v>-37272.289999999964</v>
          </cell>
          <cell r="BE371">
            <v>-10997.939999999999</v>
          </cell>
          <cell r="BS371">
            <v>-6495.5699999999924</v>
          </cell>
          <cell r="CE371">
            <v>-5754.630000000001</v>
          </cell>
        </row>
        <row r="372">
          <cell r="AL372">
            <v>122147.32999999999</v>
          </cell>
          <cell r="BE372">
            <v>157547.77000000002</v>
          </cell>
          <cell r="BS372">
            <v>106911.15</v>
          </cell>
          <cell r="CE372">
            <v>88328.729999999981</v>
          </cell>
        </row>
        <row r="373">
          <cell r="AL373">
            <v>169641.43999999994</v>
          </cell>
          <cell r="BE373">
            <v>94756.98</v>
          </cell>
          <cell r="BS373">
            <v>63360.95</v>
          </cell>
          <cell r="CE373">
            <v>53167.28</v>
          </cell>
        </row>
        <row r="374">
          <cell r="AL374">
            <v>34067.5</v>
          </cell>
          <cell r="BE374">
            <v>173391.59999999998</v>
          </cell>
          <cell r="BS374">
            <v>124450.89</v>
          </cell>
          <cell r="CE374">
            <v>99547.11</v>
          </cell>
        </row>
      </sheetData>
      <sheetData sheetId="3">
        <row r="384">
          <cell r="AL384">
            <v>537465.77340105746</v>
          </cell>
          <cell r="BE384">
            <v>-925832.85981314245</v>
          </cell>
          <cell r="BS384">
            <v>-646599.65377641749</v>
          </cell>
          <cell r="CE384">
            <v>-519862.80660343764</v>
          </cell>
        </row>
        <row r="385">
          <cell r="AL385">
            <v>101225.01999999997</v>
          </cell>
          <cell r="BE385">
            <v>-272534.92</v>
          </cell>
          <cell r="BS385">
            <v>-190733.81000000006</v>
          </cell>
          <cell r="CE385">
            <v>-154557.82</v>
          </cell>
        </row>
        <row r="386">
          <cell r="AL386">
            <v>340699.47000000009</v>
          </cell>
          <cell r="BE386">
            <v>-149567.88</v>
          </cell>
          <cell r="BS386">
            <v>-103379.37</v>
          </cell>
          <cell r="CE386">
            <v>-84410.84</v>
          </cell>
        </row>
        <row r="387">
          <cell r="AL387">
            <v>191871.41999999998</v>
          </cell>
          <cell r="BE387">
            <v>-169959.09999999995</v>
          </cell>
          <cell r="BS387">
            <v>-117395.95999999999</v>
          </cell>
          <cell r="CE387">
            <v>-96301.62</v>
          </cell>
        </row>
        <row r="388">
          <cell r="AL388">
            <v>28892.499999999996</v>
          </cell>
          <cell r="BE388">
            <v>-64266.69</v>
          </cell>
          <cell r="BS388">
            <v>-45473.929999999993</v>
          </cell>
          <cell r="CE388">
            <v>-36477.08</v>
          </cell>
        </row>
      </sheetData>
      <sheetData sheetId="4" refreshError="1"/>
      <sheetData sheetId="5" refreshError="1"/>
      <sheetData sheetId="6">
        <row r="63">
          <cell r="AL63">
            <v>11386.110000000004</v>
          </cell>
          <cell r="BE63">
            <v>-101739.62000000001</v>
          </cell>
          <cell r="BK63">
            <v>-63177.49</v>
          </cell>
        </row>
        <row r="64">
          <cell r="AL64">
            <v>4637.5600000000004</v>
          </cell>
          <cell r="BE64">
            <v>-6666.29</v>
          </cell>
          <cell r="BK64">
            <v>-8449.2099999999991</v>
          </cell>
        </row>
        <row r="65">
          <cell r="AL65">
            <v>19663.030000000002</v>
          </cell>
          <cell r="BE65">
            <v>34896.990000000005</v>
          </cell>
          <cell r="BK65">
            <v>9382.2099999999991</v>
          </cell>
        </row>
        <row r="66">
          <cell r="AL66">
            <v>15454.890000000001</v>
          </cell>
          <cell r="BE66">
            <v>23935.109999999997</v>
          </cell>
          <cell r="BK66">
            <v>4526.82</v>
          </cell>
        </row>
        <row r="67">
          <cell r="AL67">
            <v>1656.6799999999998</v>
          </cell>
          <cell r="BE67">
            <v>9086.5399999999991</v>
          </cell>
          <cell r="BK67">
            <v>5032.9799999999996</v>
          </cell>
        </row>
      </sheetData>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1266045.8400000001</v>
          </cell>
          <cell r="W18">
            <v>124816.68000000001</v>
          </cell>
          <cell r="X18">
            <v>390572.25</v>
          </cell>
          <cell r="Y18">
            <v>546171.26</v>
          </cell>
          <cell r="Z18">
            <v>84699.91</v>
          </cell>
        </row>
      </sheetData>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ow r="370">
          <cell r="BE370">
            <v>348248.03596538526</v>
          </cell>
          <cell r="BS370">
            <v>462675.89503260842</v>
          </cell>
          <cell r="CE370">
            <v>366790.76557343709</v>
          </cell>
        </row>
        <row r="371">
          <cell r="BE371">
            <v>-7814.8500000000076</v>
          </cell>
          <cell r="BS371">
            <v>-6382.320000000007</v>
          </cell>
          <cell r="CE371">
            <v>-5007.6300000000083</v>
          </cell>
        </row>
        <row r="372">
          <cell r="BE372">
            <v>-12243.369999999977</v>
          </cell>
          <cell r="BS372">
            <v>-8577.5399999999718</v>
          </cell>
          <cell r="CE372">
            <v>-6658.029999999977</v>
          </cell>
        </row>
        <row r="373">
          <cell r="BE373">
            <v>-30357.180000000015</v>
          </cell>
          <cell r="BS373">
            <v>-23144.730000000025</v>
          </cell>
          <cell r="CE373">
            <v>-18624.540000000015</v>
          </cell>
        </row>
        <row r="374">
          <cell r="BE374">
            <v>20419.699999999997</v>
          </cell>
          <cell r="BS374">
            <v>17504.579999999998</v>
          </cell>
          <cell r="CE374">
            <v>14064.82</v>
          </cell>
        </row>
      </sheetData>
      <sheetData sheetId="3">
        <row r="384">
          <cell r="BE384">
            <v>-11312.68596538523</v>
          </cell>
          <cell r="BS384">
            <v>-190551.9250326085</v>
          </cell>
          <cell r="CE384">
            <v>-148807.53557343711</v>
          </cell>
        </row>
        <row r="385">
          <cell r="BE385">
            <v>6418.280000000007</v>
          </cell>
          <cell r="BS385">
            <v>5749.5500000000102</v>
          </cell>
          <cell r="CE385">
            <v>4762.9900000000089</v>
          </cell>
        </row>
        <row r="386">
          <cell r="BE386">
            <v>27424.559999999965</v>
          </cell>
          <cell r="BS386">
            <v>24226.459999999955</v>
          </cell>
          <cell r="CE386">
            <v>19834.069999999963</v>
          </cell>
        </row>
        <row r="387">
          <cell r="BE387">
            <v>9142.860000000017</v>
          </cell>
          <cell r="BS387">
            <v>8020.1500000000269</v>
          </cell>
          <cell r="CE387">
            <v>6547.9200000000164</v>
          </cell>
        </row>
        <row r="388">
          <cell r="BE388">
            <v>-20846.180000000008</v>
          </cell>
          <cell r="BS388">
            <v>-17043.3</v>
          </cell>
          <cell r="CE388">
            <v>-13677.470000000001</v>
          </cell>
        </row>
      </sheetData>
      <sheetData sheetId="4" refreshError="1"/>
      <sheetData sheetId="5" refreshError="1"/>
      <sheetData sheetId="6">
        <row r="62">
          <cell r="BE62">
            <v>12227.150000000001</v>
          </cell>
          <cell r="BK62">
            <v>11762.71</v>
          </cell>
        </row>
        <row r="63">
          <cell r="BE63">
            <v>-81.699999999999989</v>
          </cell>
          <cell r="BK63">
            <v>-54.609999999999992</v>
          </cell>
        </row>
        <row r="64">
          <cell r="BE64">
            <v>435.66999999999996</v>
          </cell>
          <cell r="BK64">
            <v>529.9</v>
          </cell>
        </row>
        <row r="65">
          <cell r="BE65">
            <v>-858.83999999999992</v>
          </cell>
          <cell r="BK65">
            <v>-739.5200000000001</v>
          </cell>
        </row>
        <row r="66">
          <cell r="BE66">
            <v>-40.730000000000004</v>
          </cell>
          <cell r="BK66">
            <v>-12.379999999999999</v>
          </cell>
        </row>
      </sheetData>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efreshError="1"/>
      <sheetData sheetId="3" refreshError="1"/>
      <sheetData sheetId="4" refreshError="1"/>
      <sheetData sheetId="5" refreshError="1"/>
      <sheetData sheetId="6">
        <row r="55">
          <cell r="BL55">
            <v>-9662.27</v>
          </cell>
          <cell r="BM55">
            <v>-9772.3700000000008</v>
          </cell>
          <cell r="BN55">
            <v>-9930.64</v>
          </cell>
          <cell r="BO55">
            <v>-10346.64</v>
          </cell>
          <cell r="BP55">
            <v>-10074.42</v>
          </cell>
          <cell r="BQ55">
            <v>-9547.16</v>
          </cell>
          <cell r="BR55">
            <v>-8824.52</v>
          </cell>
          <cell r="BS55">
            <v>-8115.12</v>
          </cell>
          <cell r="BT55">
            <v>-7393.38</v>
          </cell>
          <cell r="BU55">
            <v>-6676.84</v>
          </cell>
          <cell r="BV55">
            <v>-5962.09</v>
          </cell>
          <cell r="BW55">
            <v>-5237.97</v>
          </cell>
          <cell r="BX55">
            <v>-4167.0200000000004</v>
          </cell>
          <cell r="BY55">
            <v>-3951.59</v>
          </cell>
          <cell r="BZ55">
            <v>-3802.67</v>
          </cell>
          <cell r="CA55">
            <v>-3747.3</v>
          </cell>
          <cell r="CB55">
            <v>-3485.6</v>
          </cell>
          <cell r="CC55">
            <v>0</v>
          </cell>
          <cell r="CD55">
            <v>0</v>
          </cell>
        </row>
        <row r="56">
          <cell r="BL56">
            <v>-1444.08</v>
          </cell>
          <cell r="BM56">
            <v>-1488.09</v>
          </cell>
          <cell r="BN56">
            <v>-1507.19</v>
          </cell>
          <cell r="BO56">
            <v>-1554.65</v>
          </cell>
          <cell r="BP56">
            <v>-1515.06</v>
          </cell>
          <cell r="BQ56">
            <v>-1468.28</v>
          </cell>
          <cell r="BR56">
            <v>-1404.69</v>
          </cell>
          <cell r="BS56">
            <v>-1336.99</v>
          </cell>
          <cell r="BT56">
            <v>-1264.82</v>
          </cell>
          <cell r="BU56">
            <v>-1194.3399999999999</v>
          </cell>
          <cell r="BV56">
            <v>-1125.6600000000001</v>
          </cell>
          <cell r="BW56">
            <v>-1057.6099999999999</v>
          </cell>
          <cell r="BX56">
            <v>-910.32</v>
          </cell>
          <cell r="BY56">
            <v>-915.31</v>
          </cell>
          <cell r="BZ56">
            <v>-882.81</v>
          </cell>
          <cell r="CA56">
            <v>-855.87</v>
          </cell>
          <cell r="CB56">
            <v>-818.29</v>
          </cell>
          <cell r="CC56">
            <v>0</v>
          </cell>
          <cell r="CD56">
            <v>0</v>
          </cell>
        </row>
        <row r="57">
          <cell r="BL57">
            <v>1192.05</v>
          </cell>
          <cell r="BM57">
            <v>1118.3800000000001</v>
          </cell>
          <cell r="BN57">
            <v>1016.3</v>
          </cell>
          <cell r="BO57">
            <v>928.33</v>
          </cell>
          <cell r="BP57">
            <v>806.28</v>
          </cell>
          <cell r="BQ57">
            <v>683.97</v>
          </cell>
          <cell r="BR57">
            <v>555.80999999999995</v>
          </cell>
          <cell r="BS57">
            <v>427.64</v>
          </cell>
          <cell r="BT57">
            <v>299.01</v>
          </cell>
          <cell r="BU57">
            <v>171.23</v>
          </cell>
          <cell r="BV57">
            <v>43.73</v>
          </cell>
          <cell r="BW57">
            <v>-83.15</v>
          </cell>
          <cell r="BX57">
            <v>-191.63</v>
          </cell>
          <cell r="BY57">
            <v>-321.62</v>
          </cell>
          <cell r="BZ57">
            <v>-439.78</v>
          </cell>
          <cell r="CA57">
            <v>-562.04999999999995</v>
          </cell>
          <cell r="CB57">
            <v>-682.77</v>
          </cell>
          <cell r="CC57">
            <v>0</v>
          </cell>
          <cell r="CD57">
            <v>0</v>
          </cell>
        </row>
        <row r="58">
          <cell r="BL58">
            <v>467.73</v>
          </cell>
          <cell r="BM58">
            <v>400.46</v>
          </cell>
          <cell r="BN58">
            <v>319.94</v>
          </cell>
          <cell r="BO58">
            <v>241.89</v>
          </cell>
          <cell r="BP58">
            <v>163.28</v>
          </cell>
          <cell r="BQ58">
            <v>86.33</v>
          </cell>
          <cell r="BR58">
            <v>9.25</v>
          </cell>
          <cell r="BS58">
            <v>-66.44</v>
          </cell>
          <cell r="BT58">
            <v>-140.94</v>
          </cell>
          <cell r="BU58">
            <v>-215.65</v>
          </cell>
          <cell r="BV58">
            <v>-290.82</v>
          </cell>
          <cell r="BW58">
            <v>-365.77</v>
          </cell>
          <cell r="BX58">
            <v>-404.08</v>
          </cell>
          <cell r="BY58">
            <v>-501.89</v>
          </cell>
          <cell r="BZ58">
            <v>-579.51</v>
          </cell>
          <cell r="CA58">
            <v>-661.61</v>
          </cell>
          <cell r="CB58">
            <v>-739.83</v>
          </cell>
          <cell r="CC58">
            <v>0</v>
          </cell>
          <cell r="CD58">
            <v>0</v>
          </cell>
        </row>
        <row r="59">
          <cell r="BL59">
            <v>792.04</v>
          </cell>
          <cell r="BM59">
            <v>795.84</v>
          </cell>
          <cell r="BN59">
            <v>778.41</v>
          </cell>
          <cell r="BO59">
            <v>773.68</v>
          </cell>
          <cell r="BP59">
            <v>731.03</v>
          </cell>
          <cell r="BQ59">
            <v>688.57</v>
          </cell>
          <cell r="BR59">
            <v>643.17999999999995</v>
          </cell>
          <cell r="BS59">
            <v>596.54</v>
          </cell>
          <cell r="BT59">
            <v>546.85</v>
          </cell>
          <cell r="BU59">
            <v>499.62</v>
          </cell>
          <cell r="BV59">
            <v>453.34</v>
          </cell>
          <cell r="BW59">
            <v>404.34</v>
          </cell>
          <cell r="BX59">
            <v>327.41000000000003</v>
          </cell>
          <cell r="BY59">
            <v>305.75</v>
          </cell>
          <cell r="BZ59">
            <v>265.19</v>
          </cell>
          <cell r="CA59">
            <v>225.22</v>
          </cell>
          <cell r="CB59">
            <v>183.67</v>
          </cell>
          <cell r="CC59">
            <v>0</v>
          </cell>
          <cell r="CD59">
            <v>0</v>
          </cell>
        </row>
        <row r="81">
          <cell r="BJ81">
            <v>457.79999999999927</v>
          </cell>
          <cell r="BK81">
            <v>747.74000000000069</v>
          </cell>
        </row>
        <row r="82">
          <cell r="BJ82">
            <v>81.229999999999791</v>
          </cell>
          <cell r="BK82">
            <v>132.69000000000005</v>
          </cell>
        </row>
        <row r="83">
          <cell r="BJ83">
            <v>-7.7300000000000182</v>
          </cell>
          <cell r="BK83">
            <v>-12.629999999999995</v>
          </cell>
        </row>
        <row r="84">
          <cell r="BJ84">
            <v>17.550000000000011</v>
          </cell>
          <cell r="BK84">
            <v>28.660000000000025</v>
          </cell>
        </row>
        <row r="85">
          <cell r="BJ85">
            <v>-32.849999999999909</v>
          </cell>
          <cell r="BK85">
            <v>-53.669999999999959</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etro Monthly Prog Costs Upload"/>
      <sheetName val="Metro Monthly - kWh-kW Upload"/>
      <sheetName val="Monthly Program Costs"/>
      <sheetName val="Monthly TD Calc"/>
      <sheetName val="Summary"/>
      <sheetName val="EO Ex Post TD Calc"/>
      <sheetName val="EO NTG TD Calc"/>
      <sheetName val="EMV Results"/>
      <sheetName val="Monthly kWh-kW"/>
      <sheetName val="ICF SOW Amdt 2"/>
      <sheetName val="TRC SOW Amdt 1"/>
      <sheetName val="Metro EO Matrix @Meter"/>
      <sheetName val="Metro EO Table"/>
      <sheetName val="Mktg Forecast"/>
      <sheetName val="PAYS"/>
      <sheetName val="PAYS Reg Asset"/>
      <sheetName val="MEEIA Labor Alloc"/>
      <sheetName val="Other Admin"/>
      <sheetName val="EMV Costs"/>
      <sheetName val="Implementer Contract Rates"/>
      <sheetName val="Billed kWh Sales"/>
      <sheetName val="DSIM Revenues"/>
    </sheetNames>
    <sheetDataSet>
      <sheetData sheetId="0"/>
      <sheetData sheetId="1"/>
      <sheetData sheetId="2"/>
      <sheetData sheetId="3"/>
      <sheetData sheetId="4">
        <row r="290">
          <cell r="AP290">
            <v>1302069.8899999999</v>
          </cell>
          <cell r="AQ290">
            <v>997696.63000000012</v>
          </cell>
          <cell r="AR290">
            <v>5519.9600000000009</v>
          </cell>
          <cell r="AS290">
            <v>5519.9400000000005</v>
          </cell>
          <cell r="AT290">
            <v>5519.9500000000007</v>
          </cell>
          <cell r="AU290">
            <v>5519.9400000000005</v>
          </cell>
          <cell r="AV290">
            <v>5519.9500000000007</v>
          </cell>
          <cell r="AW290">
            <v>5519.92</v>
          </cell>
          <cell r="AX290">
            <v>0</v>
          </cell>
          <cell r="AY290">
            <v>0</v>
          </cell>
          <cell r="AZ290">
            <v>0</v>
          </cell>
          <cell r="BA290">
            <v>0</v>
          </cell>
          <cell r="BB290">
            <v>0</v>
          </cell>
          <cell r="BC290">
            <v>0</v>
          </cell>
        </row>
        <row r="291">
          <cell r="AP291">
            <v>202192.52000000002</v>
          </cell>
          <cell r="AQ291">
            <v>194769.71</v>
          </cell>
          <cell r="AR291">
            <v>26926.02</v>
          </cell>
          <cell r="AS291">
            <v>6395.7299999999987</v>
          </cell>
          <cell r="AT291">
            <v>6395.7299999999987</v>
          </cell>
          <cell r="AU291">
            <v>6395.7199999999984</v>
          </cell>
          <cell r="AV291">
            <v>6395.7199999999984</v>
          </cell>
          <cell r="AW291">
            <v>6395.7299999999987</v>
          </cell>
          <cell r="AX291">
            <v>0</v>
          </cell>
          <cell r="AY291">
            <v>0</v>
          </cell>
          <cell r="AZ291">
            <v>0</v>
          </cell>
          <cell r="BA291">
            <v>0</v>
          </cell>
          <cell r="BB291">
            <v>0</v>
          </cell>
          <cell r="BC291">
            <v>0</v>
          </cell>
        </row>
        <row r="292">
          <cell r="AP292">
            <v>388860.68000000005</v>
          </cell>
          <cell r="AQ292">
            <v>388895.93999999994</v>
          </cell>
          <cell r="AR292">
            <v>51467.139999999992</v>
          </cell>
          <cell r="AS292">
            <v>8753.92</v>
          </cell>
          <cell r="AT292">
            <v>8753.91</v>
          </cell>
          <cell r="AU292">
            <v>8753.93</v>
          </cell>
          <cell r="AV292">
            <v>8753.91</v>
          </cell>
          <cell r="AW292">
            <v>8753.92</v>
          </cell>
          <cell r="AX292">
            <v>0</v>
          </cell>
          <cell r="AY292">
            <v>0</v>
          </cell>
          <cell r="AZ292">
            <v>0</v>
          </cell>
          <cell r="BA292">
            <v>0</v>
          </cell>
          <cell r="BB292">
            <v>0</v>
          </cell>
          <cell r="BC292">
            <v>0</v>
          </cell>
        </row>
        <row r="293">
          <cell r="AP293">
            <v>636650.44000000006</v>
          </cell>
          <cell r="AQ293">
            <v>637995.46999999986</v>
          </cell>
          <cell r="AR293">
            <v>85317.31</v>
          </cell>
          <cell r="AS293">
            <v>15213.03</v>
          </cell>
          <cell r="AT293">
            <v>15213.03</v>
          </cell>
          <cell r="AU293">
            <v>15213.04</v>
          </cell>
          <cell r="AV293">
            <v>15213.03</v>
          </cell>
          <cell r="AW293">
            <v>15213.020000000002</v>
          </cell>
          <cell r="AX293">
            <v>0</v>
          </cell>
          <cell r="AY293">
            <v>0</v>
          </cell>
          <cell r="AZ293">
            <v>0</v>
          </cell>
          <cell r="BA293">
            <v>0</v>
          </cell>
          <cell r="BB293">
            <v>0</v>
          </cell>
          <cell r="BC293">
            <v>0</v>
          </cell>
        </row>
        <row r="294">
          <cell r="AP294">
            <v>172672.02000000002</v>
          </cell>
          <cell r="AQ294">
            <v>173212.86000000002</v>
          </cell>
          <cell r="AR294">
            <v>23283.89</v>
          </cell>
          <cell r="AS294">
            <v>4246.53</v>
          </cell>
          <cell r="AT294">
            <v>4246.53</v>
          </cell>
          <cell r="AU294">
            <v>4246.53</v>
          </cell>
          <cell r="AV294">
            <v>4246.53</v>
          </cell>
          <cell r="AW294">
            <v>4246.5199999999995</v>
          </cell>
          <cell r="AX294">
            <v>0</v>
          </cell>
          <cell r="AY294">
            <v>0</v>
          </cell>
          <cell r="AZ294">
            <v>0</v>
          </cell>
          <cell r="BA294">
            <v>0</v>
          </cell>
          <cell r="BB294">
            <v>0</v>
          </cell>
          <cell r="BC294">
            <v>0</v>
          </cell>
        </row>
      </sheetData>
      <sheetData sheetId="5">
        <row r="461">
          <cell r="AM461">
            <v>6025008.0769796288</v>
          </cell>
          <cell r="AN461">
            <v>1942452.9150810349</v>
          </cell>
          <cell r="AO461">
            <v>2129400.4371398538</v>
          </cell>
          <cell r="AP461">
            <v>1920340.9855765535</v>
          </cell>
          <cell r="AQ461">
            <v>1871434.1776705687</v>
          </cell>
          <cell r="AR461">
            <v>1805751.8090331585</v>
          </cell>
          <cell r="AS461">
            <v>1890114.3625408069</v>
          </cell>
          <cell r="AT461">
            <v>1663410.4353392599</v>
          </cell>
          <cell r="AU461">
            <v>2052836.6499129944</v>
          </cell>
          <cell r="AV461">
            <v>1991400.285351851</v>
          </cell>
          <cell r="AW461">
            <v>1670922.4954579668</v>
          </cell>
          <cell r="AX461">
            <v>1816174.0440924743</v>
          </cell>
          <cell r="AY461">
            <v>1752086.0503271075</v>
          </cell>
          <cell r="AZ461">
            <v>2125919.6501473524</v>
          </cell>
        </row>
        <row r="462">
          <cell r="AM462">
            <v>632821.53450880526</v>
          </cell>
          <cell r="AN462">
            <v>277638.79111602617</v>
          </cell>
          <cell r="AO462">
            <v>329236.88895870955</v>
          </cell>
          <cell r="AP462">
            <v>297630.86260431848</v>
          </cell>
          <cell r="AQ462">
            <v>330217.83870514442</v>
          </cell>
          <cell r="AR462">
            <v>314935.84908410069</v>
          </cell>
          <cell r="AS462">
            <v>330567.12194150814</v>
          </cell>
          <cell r="AT462">
            <v>318052.19494719984</v>
          </cell>
          <cell r="AU462">
            <v>330850.7147867427</v>
          </cell>
          <cell r="AV462">
            <v>336328.31272596726</v>
          </cell>
          <cell r="AW462">
            <v>310237.03679886152</v>
          </cell>
          <cell r="AX462">
            <v>330750.78659087484</v>
          </cell>
          <cell r="AY462">
            <v>312968.74452363898</v>
          </cell>
          <cell r="AZ462">
            <v>313622.9070336743</v>
          </cell>
        </row>
        <row r="463">
          <cell r="AM463">
            <v>1859822.1688171355</v>
          </cell>
          <cell r="AN463">
            <v>562241.18389617046</v>
          </cell>
          <cell r="AO463">
            <v>669714.99537044275</v>
          </cell>
          <cell r="AP463">
            <v>605470.03307226882</v>
          </cell>
          <cell r="AQ463">
            <v>671782.76129511907</v>
          </cell>
          <cell r="AR463">
            <v>640362.96628465853</v>
          </cell>
          <cell r="AS463">
            <v>672460.28983865608</v>
          </cell>
          <cell r="AT463">
            <v>646739.82540179603</v>
          </cell>
          <cell r="AU463">
            <v>664346.27434644557</v>
          </cell>
          <cell r="AV463">
            <v>676593.45272527088</v>
          </cell>
          <cell r="AW463">
            <v>630617.43572056445</v>
          </cell>
          <cell r="AX463">
            <v>672454.8004479123</v>
          </cell>
          <cell r="AY463">
            <v>636164.31900390319</v>
          </cell>
          <cell r="AZ463">
            <v>637555.96771272284</v>
          </cell>
        </row>
        <row r="464">
          <cell r="AM464">
            <v>3020874.4956442537</v>
          </cell>
          <cell r="AN464">
            <v>913080.1035207056</v>
          </cell>
          <cell r="AO464">
            <v>1089720.6464102839</v>
          </cell>
          <cell r="AP464">
            <v>985201.10494619538</v>
          </cell>
          <cell r="AQ464">
            <v>1093062.7992192397</v>
          </cell>
          <cell r="AR464">
            <v>1041869.4737061412</v>
          </cell>
          <cell r="AS464">
            <v>1094154.7249086639</v>
          </cell>
          <cell r="AT464">
            <v>1052144.2006168547</v>
          </cell>
          <cell r="AU464">
            <v>1080774.5695796208</v>
          </cell>
          <cell r="AV464">
            <v>1100724.5459500328</v>
          </cell>
          <cell r="AW464">
            <v>1025876.4653571476</v>
          </cell>
          <cell r="AX464">
            <v>1094064.2012046331</v>
          </cell>
          <cell r="AY464">
            <v>1034987.4910583644</v>
          </cell>
          <cell r="AZ464">
            <v>1037303.8856671669</v>
          </cell>
        </row>
        <row r="465">
          <cell r="AM465">
            <v>300491.2855876743</v>
          </cell>
          <cell r="AN465">
            <v>175914.03032279713</v>
          </cell>
          <cell r="AO465">
            <v>220233.25735554154</v>
          </cell>
          <cell r="AP465">
            <v>199081.90700985544</v>
          </cell>
          <cell r="AQ465">
            <v>221009.75368650202</v>
          </cell>
          <cell r="AR465">
            <v>210721.42439222671</v>
          </cell>
          <cell r="AS465">
            <v>221247.43604578724</v>
          </cell>
          <cell r="AT465">
            <v>213123.48879219894</v>
          </cell>
          <cell r="AU465">
            <v>218939.61857326314</v>
          </cell>
          <cell r="AV465">
            <v>222930.72871193604</v>
          </cell>
          <cell r="AW465">
            <v>207816.90694722533</v>
          </cell>
          <cell r="AX465">
            <v>221305.19353891324</v>
          </cell>
          <cell r="AY465">
            <v>209393.6820008592</v>
          </cell>
          <cell r="AZ465">
            <v>209731.3216897918</v>
          </cell>
        </row>
        <row r="563">
          <cell r="AM563">
            <v>305023.32000000007</v>
          </cell>
          <cell r="AN563">
            <v>91307.599999999991</v>
          </cell>
          <cell r="AO563">
            <v>92333.62999999999</v>
          </cell>
          <cell r="AP563">
            <v>88022.91</v>
          </cell>
          <cell r="AQ563">
            <v>90642.89999999998</v>
          </cell>
          <cell r="AR563">
            <v>90110.290000000008</v>
          </cell>
          <cell r="AS563">
            <v>97143.51</v>
          </cell>
          <cell r="AT563">
            <v>130160.51</v>
          </cell>
          <cell r="AU563">
            <v>176703.67</v>
          </cell>
          <cell r="AV563">
            <v>169452.68000000002</v>
          </cell>
          <cell r="AW563">
            <v>128698.91</v>
          </cell>
          <cell r="AX563">
            <v>83264.27</v>
          </cell>
          <cell r="AY563">
            <v>89464.12999999999</v>
          </cell>
          <cell r="AZ563">
            <v>99737.760000000009</v>
          </cell>
        </row>
        <row r="564">
          <cell r="AM564">
            <v>47163.8</v>
          </cell>
          <cell r="AN564">
            <v>19014.78</v>
          </cell>
          <cell r="AO564">
            <v>21528.11</v>
          </cell>
          <cell r="AP564">
            <v>19936.759999999998</v>
          </cell>
          <cell r="AQ564">
            <v>22671.859999999997</v>
          </cell>
          <cell r="AR564">
            <v>22667.570000000003</v>
          </cell>
          <cell r="AS564">
            <v>25184.45</v>
          </cell>
          <cell r="AT564">
            <v>30793.360000000001</v>
          </cell>
          <cell r="AU564">
            <v>30520.949999999997</v>
          </cell>
          <cell r="AV564">
            <v>31012.050000000003</v>
          </cell>
          <cell r="AW564">
            <v>28970.800000000003</v>
          </cell>
          <cell r="AX564">
            <v>23778.240000000002</v>
          </cell>
          <cell r="AY564">
            <v>23212.210000000003</v>
          </cell>
          <cell r="AZ564">
            <v>21489.610000000004</v>
          </cell>
        </row>
        <row r="565">
          <cell r="AM565">
            <v>87824</v>
          </cell>
          <cell r="AN565">
            <v>24272.28</v>
          </cell>
          <cell r="AO565">
            <v>27252.760000000002</v>
          </cell>
          <cell r="AP565">
            <v>25158.91</v>
          </cell>
          <cell r="AQ565">
            <v>28463.68</v>
          </cell>
          <cell r="AR565">
            <v>29104.87</v>
          </cell>
          <cell r="AS565">
            <v>33225.79</v>
          </cell>
          <cell r="AT565">
            <v>42161.58</v>
          </cell>
          <cell r="AU565">
            <v>41503.390000000007</v>
          </cell>
          <cell r="AV565">
            <v>42454.170000000006</v>
          </cell>
          <cell r="AW565">
            <v>39545.56</v>
          </cell>
          <cell r="AX565">
            <v>30094.67</v>
          </cell>
          <cell r="AY565">
            <v>30466.26</v>
          </cell>
          <cell r="AZ565">
            <v>27437.510000000002</v>
          </cell>
        </row>
        <row r="566">
          <cell r="AM566">
            <v>85059.39</v>
          </cell>
          <cell r="AN566">
            <v>23931.520000000004</v>
          </cell>
          <cell r="AO566">
            <v>27481.54</v>
          </cell>
          <cell r="AP566">
            <v>25884.05</v>
          </cell>
          <cell r="AQ566">
            <v>29869.410000000003</v>
          </cell>
          <cell r="AR566">
            <v>30185.079999999998</v>
          </cell>
          <cell r="AS566">
            <v>33191.160000000003</v>
          </cell>
          <cell r="AT566">
            <v>43805.97</v>
          </cell>
          <cell r="AU566">
            <v>42338.520000000004</v>
          </cell>
          <cell r="AV566">
            <v>43841.420000000006</v>
          </cell>
          <cell r="AW566">
            <v>39364.21</v>
          </cell>
          <cell r="AX566">
            <v>30537.91</v>
          </cell>
          <cell r="AY566">
            <v>30489.170000000002</v>
          </cell>
          <cell r="AZ566">
            <v>27025.22</v>
          </cell>
        </row>
        <row r="567">
          <cell r="AM567">
            <v>4420.33</v>
          </cell>
          <cell r="AN567">
            <v>2039.9800000000002</v>
          </cell>
          <cell r="AO567">
            <v>2449.4299999999998</v>
          </cell>
          <cell r="AP567">
            <v>2456.9799999999996</v>
          </cell>
          <cell r="AQ567">
            <v>2684.58</v>
          </cell>
          <cell r="AR567">
            <v>2350.84</v>
          </cell>
          <cell r="AS567">
            <v>3002.85</v>
          </cell>
          <cell r="AT567">
            <v>3488.47</v>
          </cell>
          <cell r="AU567">
            <v>3166.24</v>
          </cell>
          <cell r="AV567">
            <v>3462.67</v>
          </cell>
          <cell r="AW567">
            <v>3163.5699999999997</v>
          </cell>
          <cell r="AX567">
            <v>2588.86</v>
          </cell>
          <cell r="AY567">
            <v>2845.47</v>
          </cell>
          <cell r="AZ567">
            <v>2369.84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efreshError="1"/>
      <sheetData sheetId="3" refreshError="1"/>
      <sheetData sheetId="4" refreshError="1"/>
      <sheetData sheetId="5" refreshError="1"/>
      <sheetData sheetId="6">
        <row r="55">
          <cell r="BL55">
            <v>1961.84</v>
          </cell>
          <cell r="BM55">
            <v>2003.83</v>
          </cell>
          <cell r="BN55">
            <v>2021.55</v>
          </cell>
          <cell r="BO55">
            <v>2083.92</v>
          </cell>
          <cell r="BP55">
            <v>2027.29</v>
          </cell>
          <cell r="BQ55">
            <v>1947.78</v>
          </cell>
          <cell r="BR55">
            <v>1836.59</v>
          </cell>
          <cell r="BS55">
            <v>1735.92</v>
          </cell>
          <cell r="BT55">
            <v>1636.25</v>
          </cell>
          <cell r="BU55">
            <v>1535.13</v>
          </cell>
          <cell r="BV55">
            <v>1431.12</v>
          </cell>
          <cell r="BW55">
            <v>1322.42</v>
          </cell>
          <cell r="BX55">
            <v>1115.69</v>
          </cell>
          <cell r="BY55">
            <v>1097.78</v>
          </cell>
          <cell r="BZ55">
            <v>1045.03</v>
          </cell>
          <cell r="CA55">
            <v>1005.59</v>
          </cell>
          <cell r="CB55">
            <v>951.49</v>
          </cell>
          <cell r="CC55">
            <v>0</v>
          </cell>
          <cell r="CD55">
            <v>0</v>
          </cell>
        </row>
        <row r="56">
          <cell r="BL56">
            <v>-10.220000000000001</v>
          </cell>
          <cell r="BM56">
            <v>-9.9499999999999993</v>
          </cell>
          <cell r="BN56">
            <v>-8.59</v>
          </cell>
          <cell r="BO56">
            <v>-7.22</v>
          </cell>
          <cell r="BP56">
            <v>-5.96</v>
          </cell>
          <cell r="BQ56">
            <v>-5.64</v>
          </cell>
          <cell r="BR56">
            <v>-5.95</v>
          </cell>
          <cell r="BS56">
            <v>-6.13</v>
          </cell>
          <cell r="BT56">
            <v>-6.29</v>
          </cell>
          <cell r="BU56">
            <v>-6.52</v>
          </cell>
          <cell r="BV56">
            <v>-6.68</v>
          </cell>
          <cell r="BW56">
            <v>-6.66</v>
          </cell>
          <cell r="BX56">
            <v>-5.98</v>
          </cell>
          <cell r="BY56">
            <v>-5.6</v>
          </cell>
          <cell r="BZ56">
            <v>-4.08</v>
          </cell>
          <cell r="CA56">
            <v>-2.4700000000000002</v>
          </cell>
          <cell r="CB56">
            <v>-1.23</v>
          </cell>
          <cell r="CC56">
            <v>0</v>
          </cell>
          <cell r="CD56">
            <v>0</v>
          </cell>
        </row>
        <row r="57">
          <cell r="BL57">
            <v>88.49</v>
          </cell>
          <cell r="BM57">
            <v>92.37</v>
          </cell>
          <cell r="BN57">
            <v>96.28</v>
          </cell>
          <cell r="BO57">
            <v>102.11</v>
          </cell>
          <cell r="BP57">
            <v>101.11</v>
          </cell>
          <cell r="BQ57">
            <v>97.78</v>
          </cell>
          <cell r="BR57">
            <v>91.94</v>
          </cell>
          <cell r="BS57">
            <v>86.08</v>
          </cell>
          <cell r="BT57">
            <v>79.849999999999994</v>
          </cell>
          <cell r="BU57">
            <v>73.53</v>
          </cell>
          <cell r="BV57">
            <v>67.56</v>
          </cell>
          <cell r="BW57">
            <v>62.16</v>
          </cell>
          <cell r="BX57">
            <v>52.5</v>
          </cell>
          <cell r="BY57">
            <v>53.05</v>
          </cell>
          <cell r="BZ57">
            <v>53.01</v>
          </cell>
          <cell r="CA57">
            <v>53.34</v>
          </cell>
          <cell r="CB57">
            <v>52.43</v>
          </cell>
          <cell r="CC57">
            <v>0</v>
          </cell>
          <cell r="CD57">
            <v>0</v>
          </cell>
        </row>
        <row r="58">
          <cell r="BL58">
            <v>-123.99</v>
          </cell>
          <cell r="BM58">
            <v>-126.33</v>
          </cell>
          <cell r="BN58">
            <v>-125.27</v>
          </cell>
          <cell r="BO58">
            <v>-126.37</v>
          </cell>
          <cell r="BP58">
            <v>-120.94</v>
          </cell>
          <cell r="BQ58">
            <v>-116.08</v>
          </cell>
          <cell r="BR58">
            <v>-110.99</v>
          </cell>
          <cell r="BS58">
            <v>-105.16</v>
          </cell>
          <cell r="BT58">
            <v>-98.82</v>
          </cell>
          <cell r="BU58">
            <v>-92.93</v>
          </cell>
          <cell r="BV58">
            <v>-87.14</v>
          </cell>
          <cell r="BW58">
            <v>-81.180000000000007</v>
          </cell>
          <cell r="BX58">
            <v>-69.09</v>
          </cell>
          <cell r="BY58">
            <v>-67.959999999999994</v>
          </cell>
          <cell r="BZ58">
            <v>-62.83</v>
          </cell>
          <cell r="CA58">
            <v>-57.98</v>
          </cell>
          <cell r="CB58">
            <v>-52.73</v>
          </cell>
          <cell r="CC58">
            <v>0</v>
          </cell>
          <cell r="CD58">
            <v>0</v>
          </cell>
        </row>
        <row r="59">
          <cell r="BL59">
            <v>-1.76</v>
          </cell>
          <cell r="BM59">
            <v>-1.64</v>
          </cell>
          <cell r="BN59">
            <v>-1.24</v>
          </cell>
          <cell r="BO59">
            <v>-0.82</v>
          </cell>
          <cell r="BP59">
            <v>-0.5</v>
          </cell>
          <cell r="BQ59">
            <v>-0.36</v>
          </cell>
          <cell r="BR59">
            <v>-0.42</v>
          </cell>
          <cell r="BS59">
            <v>-0.4</v>
          </cell>
          <cell r="BT59">
            <v>-0.34</v>
          </cell>
          <cell r="BU59">
            <v>-0.35</v>
          </cell>
          <cell r="BV59">
            <v>-0.38</v>
          </cell>
          <cell r="BW59">
            <v>-0.33</v>
          </cell>
          <cell r="BX59">
            <v>-0.27</v>
          </cell>
          <cell r="BY59">
            <v>-0.18</v>
          </cell>
          <cell r="BZ59">
            <v>0.14000000000000001</v>
          </cell>
          <cell r="CA59">
            <v>0.5</v>
          </cell>
          <cell r="CB59">
            <v>0.83</v>
          </cell>
          <cell r="CC59">
            <v>0</v>
          </cell>
          <cell r="CD59">
            <v>0</v>
          </cell>
        </row>
        <row r="82">
          <cell r="BJ82">
            <v>-103.54999999999995</v>
          </cell>
          <cell r="BK82">
            <v>-169.12999999999988</v>
          </cell>
        </row>
        <row r="83">
          <cell r="BJ83">
            <v>0.34999999999999964</v>
          </cell>
          <cell r="BK83">
            <v>0.57000000000000028</v>
          </cell>
        </row>
        <row r="84">
          <cell r="BJ84">
            <v>-5.210000000000008</v>
          </cell>
          <cell r="BK84">
            <v>-8.509999999999998</v>
          </cell>
        </row>
        <row r="85">
          <cell r="BJ85">
            <v>6.2000000000000028</v>
          </cell>
          <cell r="BK85">
            <v>10.11999999999999</v>
          </cell>
        </row>
        <row r="86">
          <cell r="BJ86">
            <v>0</v>
          </cell>
          <cell r="BK86">
            <v>0</v>
          </cell>
        </row>
      </sheetData>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refreshError="1"/>
      <sheetData sheetId="1" refreshError="1"/>
      <sheetData sheetId="2" refreshError="1"/>
      <sheetData sheetId="3" refreshError="1"/>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cell r="AA571">
            <v>24007.040000000023</v>
          </cell>
          <cell r="AB571">
            <v>28086.109999999986</v>
          </cell>
          <cell r="AC571">
            <v>17997.650000000009</v>
          </cell>
          <cell r="AD571">
            <v>17193.219999999987</v>
          </cell>
          <cell r="AE571">
            <v>16967.87000000001</v>
          </cell>
          <cell r="AF571">
            <v>16931.009999999995</v>
          </cell>
          <cell r="AG571">
            <v>17955.440000000002</v>
          </cell>
          <cell r="AH571">
            <v>20791.73000000001</v>
          </cell>
          <cell r="AI571">
            <v>22096.360000000015</v>
          </cell>
          <cell r="AJ571">
            <v>22222.5</v>
          </cell>
          <cell r="AK571">
            <v>22492.490000000005</v>
          </cell>
          <cell r="AL571">
            <v>15441.159999999989</v>
          </cell>
          <cell r="AM571">
            <v>16658.080000000002</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cell r="AA572">
            <v>1391.0800000000017</v>
          </cell>
          <cell r="AB572">
            <v>1290.2800000000025</v>
          </cell>
          <cell r="AC572">
            <v>1219.1800000000003</v>
          </cell>
          <cell r="AD572">
            <v>1128.6200000000008</v>
          </cell>
          <cell r="AE572">
            <v>1279.9000000000015</v>
          </cell>
          <cell r="AF572">
            <v>1280.2100000000028</v>
          </cell>
          <cell r="AG572">
            <v>1423.2100000000028</v>
          </cell>
          <cell r="AH572">
            <v>1722.369999999999</v>
          </cell>
          <cell r="AI572">
            <v>3257.0700000000033</v>
          </cell>
          <cell r="AJ572">
            <v>3091.3500000000022</v>
          </cell>
          <cell r="AK572">
            <v>1618.9700000000012</v>
          </cell>
          <cell r="AL572">
            <v>1345.5099999999984</v>
          </cell>
          <cell r="AM572">
            <v>1310.6800000000003</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cell r="AA573">
            <v>3360.7200000000084</v>
          </cell>
          <cell r="AB573">
            <v>3032.3099999999977</v>
          </cell>
          <cell r="AC573">
            <v>2856.739999999998</v>
          </cell>
          <cell r="AD573">
            <v>2635.3399999999965</v>
          </cell>
          <cell r="AE573">
            <v>2967.5699999999997</v>
          </cell>
          <cell r="AF573">
            <v>3039.3799999999974</v>
          </cell>
          <cell r="AG573">
            <v>3476.5800000000017</v>
          </cell>
          <cell r="AH573">
            <v>4351.0400000000009</v>
          </cell>
          <cell r="AI573">
            <v>4267.2299999999886</v>
          </cell>
          <cell r="AJ573">
            <v>4371.25</v>
          </cell>
          <cell r="AK573">
            <v>4075.179999999993</v>
          </cell>
          <cell r="AL573">
            <v>3150.6199999999953</v>
          </cell>
          <cell r="AM573">
            <v>3183.3800000000119</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cell r="AA574">
            <v>2189.1399999999994</v>
          </cell>
          <cell r="AB574">
            <v>1944.619999999999</v>
          </cell>
          <cell r="AC574">
            <v>1891.4300000000003</v>
          </cell>
          <cell r="AD574">
            <v>1781.6499999999978</v>
          </cell>
          <cell r="AE574">
            <v>2043.5299999999988</v>
          </cell>
          <cell r="AF574">
            <v>2067.7200000000012</v>
          </cell>
          <cell r="AG574">
            <v>2276.619999999999</v>
          </cell>
          <cell r="AH574">
            <v>2945.9799999999959</v>
          </cell>
          <cell r="AI574">
            <v>2825.6399999999921</v>
          </cell>
          <cell r="AJ574">
            <v>2936.2000000000044</v>
          </cell>
          <cell r="AK574">
            <v>2630.0899999999965</v>
          </cell>
          <cell r="AL574">
            <v>2097.1399999999994</v>
          </cell>
          <cell r="AM574">
            <v>2084.91</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cell r="AA575">
            <v>93.019999999999754</v>
          </cell>
          <cell r="AB575">
            <v>76.970000000000027</v>
          </cell>
          <cell r="AC575">
            <v>75.799999999999955</v>
          </cell>
          <cell r="AD575">
            <v>77.010000000000218</v>
          </cell>
          <cell r="AE575">
            <v>81.519999999999982</v>
          </cell>
          <cell r="AF575">
            <v>69.199999999999818</v>
          </cell>
          <cell r="AG575">
            <v>92.119999999999891</v>
          </cell>
          <cell r="AH575">
            <v>95.670000000000073</v>
          </cell>
          <cell r="AI575">
            <v>81.769999999999754</v>
          </cell>
          <cell r="AJ575">
            <v>92.980000000000473</v>
          </cell>
          <cell r="AK575">
            <v>84.5799999999997</v>
          </cell>
          <cell r="AL575">
            <v>78.569999999999936</v>
          </cell>
          <cell r="AM575">
            <v>86.939999999999827</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cell r="AA436">
            <v>-40199.440000000031</v>
          </cell>
          <cell r="AB436">
            <v>-46830.53</v>
          </cell>
          <cell r="AC436">
            <v>0</v>
          </cell>
          <cell r="AD436">
            <v>0</v>
          </cell>
          <cell r="AE436">
            <v>0</v>
          </cell>
          <cell r="AF436">
            <v>0</v>
          </cell>
          <cell r="AG436">
            <v>0</v>
          </cell>
          <cell r="AH436">
            <v>9.9999999802093953E-3</v>
          </cell>
          <cell r="AI436">
            <v>1.0000000009313226E-2</v>
          </cell>
          <cell r="AJ436">
            <v>0</v>
          </cell>
          <cell r="AK436">
            <v>0</v>
          </cell>
          <cell r="AL436">
            <v>9.9999999947613105E-3</v>
          </cell>
          <cell r="AM436">
            <v>0</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cell r="AA437">
            <v>-1216.5400000000009</v>
          </cell>
          <cell r="AB437">
            <v>-1127.8300000000017</v>
          </cell>
          <cell r="AC437">
            <v>-9.9999999983992893E-3</v>
          </cell>
          <cell r="AD437">
            <v>0</v>
          </cell>
          <cell r="AE437">
            <v>0</v>
          </cell>
          <cell r="AF437">
            <v>0</v>
          </cell>
          <cell r="AG437">
            <v>0</v>
          </cell>
          <cell r="AH437">
            <v>0</v>
          </cell>
          <cell r="AI437">
            <v>0</v>
          </cell>
          <cell r="AJ437">
            <v>0</v>
          </cell>
          <cell r="AK437">
            <v>0</v>
          </cell>
          <cell r="AL437">
            <v>9.9999999983992893E-3</v>
          </cell>
          <cell r="AM437">
            <v>1.0000000002037268E-2</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cell r="AA438">
            <v>-2683.2200000000012</v>
          </cell>
          <cell r="AB438">
            <v>-2419.739999999998</v>
          </cell>
          <cell r="AC438">
            <v>0</v>
          </cell>
          <cell r="AD438">
            <v>0</v>
          </cell>
          <cell r="AE438">
            <v>0</v>
          </cell>
          <cell r="AF438">
            <v>0</v>
          </cell>
          <cell r="AG438">
            <v>-9.9999999947613105E-3</v>
          </cell>
          <cell r="AH438">
            <v>0</v>
          </cell>
          <cell r="AI438">
            <v>0</v>
          </cell>
          <cell r="AJ438">
            <v>0</v>
          </cell>
          <cell r="AK438">
            <v>0</v>
          </cell>
          <cell r="AL438">
            <v>1.0000000009313226E-2</v>
          </cell>
          <cell r="AM438">
            <v>0</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cell r="AA439">
            <v>-1577.1100000000006</v>
          </cell>
          <cell r="AB439">
            <v>-1400.1399999999994</v>
          </cell>
          <cell r="AC439">
            <v>1.0000000002037268E-2</v>
          </cell>
          <cell r="AD439">
            <v>1.0000000002037268E-2</v>
          </cell>
          <cell r="AE439">
            <v>0</v>
          </cell>
          <cell r="AF439">
            <v>9.9999999983992893E-3</v>
          </cell>
          <cell r="AG439">
            <v>0</v>
          </cell>
          <cell r="AH439">
            <v>0</v>
          </cell>
          <cell r="AI439">
            <v>1.0000000002037268E-2</v>
          </cell>
          <cell r="AJ439">
            <v>0</v>
          </cell>
          <cell r="AK439">
            <v>-9.9999999947613105E-3</v>
          </cell>
          <cell r="AL439">
            <v>-2.0000000004074536E-2</v>
          </cell>
          <cell r="AM439">
            <v>0</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cell r="AA440">
            <v>-91.960000000000036</v>
          </cell>
          <cell r="AB440">
            <v>-76.089999999999918</v>
          </cell>
          <cell r="AC440">
            <v>0</v>
          </cell>
          <cell r="AD440">
            <v>0</v>
          </cell>
          <cell r="AE440">
            <v>1.0000000000218279E-2</v>
          </cell>
          <cell r="AF440">
            <v>0</v>
          </cell>
          <cell r="AG440">
            <v>0</v>
          </cell>
          <cell r="AH440">
            <v>0</v>
          </cell>
          <cell r="AI440">
            <v>0</v>
          </cell>
          <cell r="AJ440">
            <v>0</v>
          </cell>
          <cell r="AK440">
            <v>1.0000000000218279E-2</v>
          </cell>
          <cell r="AL440">
            <v>0</v>
          </cell>
          <cell r="AM440">
            <v>0</v>
          </cell>
        </row>
      </sheetData>
      <sheetData sheetId="6" refreshError="1"/>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cell r="Y55">
            <v>-2139.0500000000002</v>
          </cell>
          <cell r="Z55">
            <v>-2237.6</v>
          </cell>
          <cell r="AA55">
            <v>-2236.4</v>
          </cell>
          <cell r="AB55">
            <v>-2140.44</v>
          </cell>
          <cell r="AC55">
            <v>-2047.1</v>
          </cell>
          <cell r="AD55">
            <v>-2020.96</v>
          </cell>
          <cell r="AE55">
            <v>-1757.84</v>
          </cell>
          <cell r="AF55">
            <v>-1748.97</v>
          </cell>
          <cell r="AG55">
            <v>-1637.28</v>
          </cell>
          <cell r="AH55">
            <v>-1530.21</v>
          </cell>
          <cell r="AI55">
            <v>-1409.19</v>
          </cell>
          <cell r="AJ55">
            <v>0</v>
          </cell>
          <cell r="AK55">
            <v>0</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cell r="Y56">
            <v>32.32</v>
          </cell>
          <cell r="Z56">
            <v>33.28</v>
          </cell>
          <cell r="AA56">
            <v>37.119999999999997</v>
          </cell>
          <cell r="AB56">
            <v>43.8</v>
          </cell>
          <cell r="AC56">
            <v>50.66</v>
          </cell>
          <cell r="AD56">
            <v>59.1</v>
          </cell>
          <cell r="AE56">
            <v>61.01</v>
          </cell>
          <cell r="AF56">
            <v>72.92</v>
          </cell>
          <cell r="AG56">
            <v>86.73</v>
          </cell>
          <cell r="AH56">
            <v>105.01</v>
          </cell>
          <cell r="AI56">
            <v>118.16</v>
          </cell>
          <cell r="AJ56">
            <v>0</v>
          </cell>
          <cell r="AK56">
            <v>0</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cell r="Y57">
            <v>101.75</v>
          </cell>
          <cell r="Z57">
            <v>105.39</v>
          </cell>
          <cell r="AA57">
            <v>115.01</v>
          </cell>
          <cell r="AB57">
            <v>130.66999999999999</v>
          </cell>
          <cell r="AC57">
            <v>146.69</v>
          </cell>
          <cell r="AD57">
            <v>167.35</v>
          </cell>
          <cell r="AE57">
            <v>169.82</v>
          </cell>
          <cell r="AF57">
            <v>200.45</v>
          </cell>
          <cell r="AG57">
            <v>224.58</v>
          </cell>
          <cell r="AH57">
            <v>250.43</v>
          </cell>
          <cell r="AI57">
            <v>274.11</v>
          </cell>
          <cell r="AJ57">
            <v>0</v>
          </cell>
          <cell r="AK57">
            <v>0</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cell r="Y58">
            <v>128.57</v>
          </cell>
          <cell r="Z58">
            <v>131.84</v>
          </cell>
          <cell r="AA58">
            <v>138.5</v>
          </cell>
          <cell r="AB58">
            <v>149.07</v>
          </cell>
          <cell r="AC58">
            <v>160.09</v>
          </cell>
          <cell r="AD58">
            <v>176.16</v>
          </cell>
          <cell r="AE58">
            <v>172.27</v>
          </cell>
          <cell r="AF58">
            <v>195.94</v>
          </cell>
          <cell r="AG58">
            <v>212.29</v>
          </cell>
          <cell r="AH58">
            <v>230.11</v>
          </cell>
          <cell r="AI58">
            <v>245.81</v>
          </cell>
          <cell r="AJ58">
            <v>0</v>
          </cell>
          <cell r="AK58">
            <v>0</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cell r="Y59">
            <v>28.35</v>
          </cell>
          <cell r="Z59">
            <v>28.35</v>
          </cell>
          <cell r="AA59">
            <v>28.53</v>
          </cell>
          <cell r="AB59">
            <v>29</v>
          </cell>
          <cell r="AC59">
            <v>29.49</v>
          </cell>
          <cell r="AD59">
            <v>30.84</v>
          </cell>
          <cell r="AE59">
            <v>28.62</v>
          </cell>
          <cell r="AF59">
            <v>30.7</v>
          </cell>
          <cell r="AG59">
            <v>31.28</v>
          </cell>
          <cell r="AH59">
            <v>32.049999999999997</v>
          </cell>
          <cell r="AI59">
            <v>32.590000000000003</v>
          </cell>
          <cell r="AJ59">
            <v>0</v>
          </cell>
          <cell r="AK59">
            <v>0</v>
          </cell>
        </row>
      </sheetData>
      <sheetData sheetId="8" refreshError="1"/>
      <sheetData sheetId="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 Cycle 2"/>
    </sheetNames>
    <sheetDataSet>
      <sheetData sheetId="0">
        <row r="107">
          <cell r="E107">
            <v>108079.99999999999</v>
          </cell>
          <cell r="K107">
            <v>10141.41</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Program Cycle 3"/>
      <sheetName val="Metro TD Cycle 3"/>
    </sheetNames>
    <sheetDataSet>
      <sheetData sheetId="0">
        <row r="52">
          <cell r="E52">
            <v>-13040.43</v>
          </cell>
          <cell r="K52">
            <v>-338.5</v>
          </cell>
          <cell r="R52">
            <v>-7423.19</v>
          </cell>
          <cell r="X52">
            <v>-161.20000000000002</v>
          </cell>
        </row>
      </sheetData>
      <sheetData sheetId="1">
        <row r="52">
          <cell r="E52">
            <v>-459718.00000000006</v>
          </cell>
          <cell r="K52">
            <v>-6268.72</v>
          </cell>
          <cell r="R52">
            <v>0</v>
          </cell>
          <cell r="X5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lement Proposal Budget"/>
    </sheetNames>
    <sheetDataSet>
      <sheetData sheetId="0">
        <row r="44">
          <cell r="P44">
            <v>6923960.1299999999</v>
          </cell>
          <cell r="Q44">
            <v>605006.63</v>
          </cell>
          <cell r="R44">
            <v>1749153.4700000002</v>
          </cell>
          <cell r="S44">
            <v>2773263.34</v>
          </cell>
          <cell r="T44">
            <v>353706.73000000004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44">
          <cell r="CY44">
            <v>0.13576441564001979</v>
          </cell>
          <cell r="CZ44">
            <v>0.35611574316442379</v>
          </cell>
          <cell r="DA44">
            <v>0.4183185730547726</v>
          </cell>
          <cell r="DB44">
            <v>8.9801268140783777E-2</v>
          </cell>
        </row>
        <row r="285">
          <cell r="BX285">
            <v>3370413.5458254805</v>
          </cell>
          <cell r="BY285">
            <v>3266081.7171445102</v>
          </cell>
          <cell r="BZ285">
            <v>3680422.2557181921</v>
          </cell>
          <cell r="CA285">
            <v>3515394.0907785045</v>
          </cell>
          <cell r="CB285">
            <v>3065941.0702093444</v>
          </cell>
          <cell r="CC285">
            <v>3188466.8000968723</v>
          </cell>
          <cell r="CD285">
            <v>3066562.9817966414</v>
          </cell>
          <cell r="CE285">
            <v>0</v>
          </cell>
        </row>
        <row r="286">
          <cell r="BX286">
            <v>556499.47614329192</v>
          </cell>
          <cell r="BY286">
            <v>546992.58507852885</v>
          </cell>
          <cell r="BZ286">
            <v>563211.1824736062</v>
          </cell>
          <cell r="CA286">
            <v>575288.93952046824</v>
          </cell>
          <cell r="CB286">
            <v>521940.09533534345</v>
          </cell>
          <cell r="CC286">
            <v>550893.96566210699</v>
          </cell>
          <cell r="CD286">
            <v>519241.44169683417</v>
          </cell>
          <cell r="CE286">
            <v>0</v>
          </cell>
        </row>
        <row r="287">
          <cell r="BX287">
            <v>2051435.6097464242</v>
          </cell>
          <cell r="BY287">
            <v>2034680.2422364058</v>
          </cell>
          <cell r="BZ287">
            <v>2100193.7252263715</v>
          </cell>
          <cell r="CA287">
            <v>2134682.8023906159</v>
          </cell>
          <cell r="CB287">
            <v>1939903.2451075946</v>
          </cell>
          <cell r="CC287">
            <v>2014354.5312926706</v>
          </cell>
          <cell r="CD287">
            <v>1902188.3875856276</v>
          </cell>
          <cell r="CE287">
            <v>0</v>
          </cell>
        </row>
        <row r="288">
          <cell r="BX288">
            <v>2991661.3414560268</v>
          </cell>
          <cell r="BY288">
            <v>2941625.7665488054</v>
          </cell>
          <cell r="BZ288">
            <v>3026421.3147310298</v>
          </cell>
          <cell r="CA288">
            <v>3087695.406693608</v>
          </cell>
          <cell r="CB288">
            <v>2808644.072664205</v>
          </cell>
          <cell r="CC288">
            <v>2956303.3048945833</v>
          </cell>
          <cell r="CD288">
            <v>2788695.0613562055</v>
          </cell>
          <cell r="CE288">
            <v>0</v>
          </cell>
        </row>
        <row r="289">
          <cell r="BX289">
            <v>629016.14873591927</v>
          </cell>
          <cell r="BY289">
            <v>610341.14270159625</v>
          </cell>
          <cell r="BZ289">
            <v>625162.41647787194</v>
          </cell>
          <cell r="CA289">
            <v>640902.78208922653</v>
          </cell>
          <cell r="CB289">
            <v>585000.13350031408</v>
          </cell>
          <cell r="CC289">
            <v>627474.44586290943</v>
          </cell>
          <cell r="CD289">
            <v>591300.97023510153</v>
          </cell>
          <cell r="CE289">
            <v>0</v>
          </cell>
        </row>
        <row r="326">
          <cell r="BX326">
            <v>216990.47</v>
          </cell>
          <cell r="BY326">
            <v>310643.09000000003</v>
          </cell>
          <cell r="BZ326">
            <v>359810.86</v>
          </cell>
          <cell r="CA326">
            <v>342311.19</v>
          </cell>
          <cell r="CB326">
            <v>291163.2</v>
          </cell>
          <cell r="CC326">
            <v>182673.64</v>
          </cell>
          <cell r="CD326">
            <v>195698.16</v>
          </cell>
          <cell r="CE326">
            <v>0</v>
          </cell>
        </row>
        <row r="327">
          <cell r="BX327">
            <v>41945.8</v>
          </cell>
          <cell r="BY327">
            <v>52319</v>
          </cell>
          <cell r="BZ327">
            <v>51334.75</v>
          </cell>
          <cell r="CA327">
            <v>52372.19</v>
          </cell>
          <cell r="CB327">
            <v>48332.98</v>
          </cell>
          <cell r="CC327">
            <v>39120.79</v>
          </cell>
          <cell r="CD327">
            <v>38159.29</v>
          </cell>
          <cell r="CE327">
            <v>0</v>
          </cell>
        </row>
        <row r="328">
          <cell r="BX328">
            <v>98233.21</v>
          </cell>
          <cell r="BY328">
            <v>127653.97</v>
          </cell>
          <cell r="BZ328">
            <v>126334.1</v>
          </cell>
          <cell r="CA328">
            <v>128917.53</v>
          </cell>
          <cell r="CB328">
            <v>117550.52</v>
          </cell>
          <cell r="CC328">
            <v>87309.38</v>
          </cell>
          <cell r="CD328">
            <v>88423.72</v>
          </cell>
          <cell r="CE328">
            <v>0</v>
          </cell>
        </row>
        <row r="329">
          <cell r="BX329">
            <v>89527.57</v>
          </cell>
          <cell r="BY329">
            <v>119153.73</v>
          </cell>
          <cell r="BZ329">
            <v>115601.38</v>
          </cell>
          <cell r="CA329">
            <v>119766.95</v>
          </cell>
          <cell r="CB329">
            <v>105741.59</v>
          </cell>
          <cell r="CC329">
            <v>81169.53</v>
          </cell>
          <cell r="CD329">
            <v>81177.56</v>
          </cell>
          <cell r="CE329">
            <v>0</v>
          </cell>
        </row>
        <row r="330">
          <cell r="BX330">
            <v>9841.15</v>
          </cell>
          <cell r="BY330">
            <v>11275.11</v>
          </cell>
          <cell r="BZ330">
            <v>10469.42</v>
          </cell>
          <cell r="CA330">
            <v>11336.85</v>
          </cell>
          <cell r="CB330">
            <v>10391.39</v>
          </cell>
          <cell r="CC330">
            <v>8434.2900000000009</v>
          </cell>
          <cell r="CD330">
            <v>9240.15</v>
          </cell>
          <cell r="CE330">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Jul 2021"/>
      <sheetName val="Feb 2021"/>
      <sheetName val="Mar 2021"/>
      <sheetName val="Apr 2021"/>
      <sheetName val="May 2021"/>
      <sheetName val="Jun 2021"/>
      <sheetName val="Aug 2021"/>
      <sheetName val="Sep 2021"/>
      <sheetName val="Oct 2021"/>
      <sheetName val="Nov 2021"/>
      <sheetName val="Dec 2021"/>
      <sheetName val="Jan 2022"/>
      <sheetName val="Feb 2022"/>
      <sheetName val="Mar 2022"/>
      <sheetName val="Apr 2022"/>
      <sheetName val="May 2022"/>
      <sheetName val="Jun 2022"/>
      <sheetName val="Jul 2022"/>
      <sheetName val="Aug 2022"/>
      <sheetName val="Sep 2022"/>
      <sheetName val="Oct 2022"/>
      <sheetName val="KCP&amp;L MO DSIM Rate Table"/>
      <sheetName val="DSIM Rates - Initial RP"/>
      <sheetName val="DSIM Rates - 2nd RP"/>
      <sheetName val="DSIM Rates - 3rd RP"/>
      <sheetName val="DSIM Rates - 4th RP"/>
      <sheetName val="DSIM Rates - 4th RP Cycle 2"/>
      <sheetName val="DSIM Rates 5th RP"/>
      <sheetName val="DSIM Rates 6th RP"/>
      <sheetName val="DSIM Rates 7th RP"/>
      <sheetName val="DSIM Rates 8th RP"/>
      <sheetName val="DSIM Rates 9th RP"/>
      <sheetName val="DSIM Rates 10th RP"/>
      <sheetName val="DSIM Rates 11th 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8">
          <cell r="F38">
            <v>0</v>
          </cell>
        </row>
        <row r="39">
          <cell r="F39">
            <v>0</v>
          </cell>
        </row>
        <row r="43">
          <cell r="F43">
            <v>-0.42000000000000004</v>
          </cell>
        </row>
        <row r="44">
          <cell r="F44">
            <v>0</v>
          </cell>
        </row>
        <row r="45">
          <cell r="F45">
            <v>0</v>
          </cell>
        </row>
        <row r="46">
          <cell r="F46">
            <v>0</v>
          </cell>
        </row>
        <row r="47">
          <cell r="F47">
            <v>192.43</v>
          </cell>
        </row>
        <row r="52">
          <cell r="F52">
            <v>1654.34</v>
          </cell>
        </row>
        <row r="53">
          <cell r="F53">
            <v>-1275.96</v>
          </cell>
        </row>
        <row r="54">
          <cell r="F54">
            <v>-3223.0899999999997</v>
          </cell>
        </row>
        <row r="55">
          <cell r="F55">
            <v>-4139.62</v>
          </cell>
        </row>
        <row r="56">
          <cell r="F56">
            <v>-730.9899999999999</v>
          </cell>
        </row>
        <row r="61">
          <cell r="F61">
            <v>211849.95</v>
          </cell>
        </row>
        <row r="62">
          <cell r="F62">
            <v>44642.8</v>
          </cell>
        </row>
        <row r="63">
          <cell r="F63">
            <v>94343.12</v>
          </cell>
        </row>
        <row r="64">
          <cell r="F64">
            <v>99386.349999999991</v>
          </cell>
        </row>
        <row r="65">
          <cell r="F65">
            <v>11597.11</v>
          </cell>
        </row>
        <row r="70">
          <cell r="F70">
            <v>-21516.65</v>
          </cell>
        </row>
        <row r="71">
          <cell r="F71">
            <v>-11478.99</v>
          </cell>
        </row>
        <row r="72">
          <cell r="F72">
            <v>42730.95</v>
          </cell>
        </row>
        <row r="73">
          <cell r="F73">
            <v>45555.54</v>
          </cell>
        </row>
        <row r="74">
          <cell r="F74">
            <v>18055.61</v>
          </cell>
        </row>
        <row r="79">
          <cell r="F79">
            <v>494885.88</v>
          </cell>
        </row>
        <row r="80">
          <cell r="F80">
            <v>83351.759999999995</v>
          </cell>
        </row>
        <row r="81">
          <cell r="F81">
            <v>191104.7</v>
          </cell>
        </row>
        <row r="82">
          <cell r="F82">
            <v>334073.95</v>
          </cell>
        </row>
        <row r="83">
          <cell r="F83">
            <v>107972.56</v>
          </cell>
        </row>
        <row r="87">
          <cell r="F87">
            <v>-43034.27</v>
          </cell>
        </row>
        <row r="88">
          <cell r="F88">
            <v>-30618.17</v>
          </cell>
        </row>
        <row r="89">
          <cell r="F89">
            <v>25798.9</v>
          </cell>
        </row>
        <row r="90">
          <cell r="F90">
            <v>-20707.060000000001</v>
          </cell>
        </row>
        <row r="91">
          <cell r="F91">
            <v>-43694.590000000004</v>
          </cell>
        </row>
        <row r="95">
          <cell r="F95">
            <v>433639.28</v>
          </cell>
        </row>
        <row r="96">
          <cell r="F96">
            <v>25517.759999999998</v>
          </cell>
        </row>
        <row r="97">
          <cell r="F97">
            <v>68537.08</v>
          </cell>
        </row>
        <row r="98">
          <cell r="F98">
            <v>75925.899999999994</v>
          </cell>
        </row>
        <row r="99">
          <cell r="F99">
            <v>1444.45</v>
          </cell>
        </row>
        <row r="103">
          <cell r="F103">
            <v>46341.8</v>
          </cell>
        </row>
        <row r="104">
          <cell r="F104">
            <v>7227.34</v>
          </cell>
        </row>
        <row r="105">
          <cell r="F105">
            <v>21774.87</v>
          </cell>
        </row>
        <row r="106">
          <cell r="F106">
            <v>31750.83</v>
          </cell>
        </row>
        <row r="107">
          <cell r="F107">
            <v>4333.3500000000004</v>
          </cell>
        </row>
        <row r="123">
          <cell r="F123">
            <v>165512010.19760004</v>
          </cell>
        </row>
        <row r="124">
          <cell r="F124">
            <v>42527530.683999993</v>
          </cell>
        </row>
        <row r="125">
          <cell r="F125">
            <v>80633519.219099998</v>
          </cell>
        </row>
        <row r="126">
          <cell r="F126">
            <v>138047087.32999998</v>
          </cell>
        </row>
        <row r="127">
          <cell r="F127">
            <v>36111223.603</v>
          </cell>
        </row>
      </sheetData>
      <sheetData sheetId="29">
        <row r="43">
          <cell r="F43">
            <v>1.1100000000000001</v>
          </cell>
        </row>
        <row r="44">
          <cell r="F44">
            <v>132.70999999999998</v>
          </cell>
        </row>
        <row r="45">
          <cell r="F45">
            <v>0.69</v>
          </cell>
        </row>
        <row r="46">
          <cell r="F46">
            <v>0</v>
          </cell>
        </row>
        <row r="47">
          <cell r="F47">
            <v>168.6</v>
          </cell>
        </row>
        <row r="52">
          <cell r="F52">
            <v>2162.65</v>
          </cell>
        </row>
        <row r="53">
          <cell r="F53">
            <v>-1390.86</v>
          </cell>
        </row>
        <row r="54">
          <cell r="F54">
            <v>-3681.53</v>
          </cell>
        </row>
        <row r="55">
          <cell r="F55">
            <v>-4469.6499999999996</v>
          </cell>
        </row>
        <row r="56">
          <cell r="F56">
            <v>-742.15000000000009</v>
          </cell>
        </row>
        <row r="61">
          <cell r="F61">
            <v>277123.36</v>
          </cell>
        </row>
        <row r="62">
          <cell r="F62">
            <v>51052.200000000004</v>
          </cell>
        </row>
        <row r="63">
          <cell r="F63">
            <v>106673.43000000001</v>
          </cell>
        </row>
        <row r="64">
          <cell r="F64">
            <v>107401.75000000001</v>
          </cell>
        </row>
        <row r="65">
          <cell r="F65">
            <v>9657.41</v>
          </cell>
        </row>
        <row r="70">
          <cell r="F70">
            <v>-28153.14</v>
          </cell>
        </row>
        <row r="71">
          <cell r="F71">
            <v>-13073.5</v>
          </cell>
        </row>
        <row r="72">
          <cell r="F72">
            <v>48464.54</v>
          </cell>
        </row>
        <row r="73">
          <cell r="F73">
            <v>49163.29</v>
          </cell>
        </row>
        <row r="74">
          <cell r="F74">
            <v>15175.72</v>
          </cell>
        </row>
        <row r="79">
          <cell r="F79">
            <v>647305.22</v>
          </cell>
        </row>
        <row r="80">
          <cell r="F80">
            <v>95140.53</v>
          </cell>
        </row>
        <row r="81">
          <cell r="F81">
            <v>216406.87</v>
          </cell>
        </row>
        <row r="82">
          <cell r="F82">
            <v>360886.72</v>
          </cell>
        </row>
        <row r="83">
          <cell r="F83">
            <v>90792.26</v>
          </cell>
        </row>
        <row r="87">
          <cell r="F87">
            <v>-56292.31</v>
          </cell>
        </row>
        <row r="88">
          <cell r="F88">
            <v>-34922.54</v>
          </cell>
        </row>
        <row r="89">
          <cell r="F89">
            <v>29316.29</v>
          </cell>
        </row>
        <row r="90">
          <cell r="F90">
            <v>-22397.42</v>
          </cell>
        </row>
        <row r="91">
          <cell r="F91">
            <v>-36742.019999999997</v>
          </cell>
        </row>
        <row r="95">
          <cell r="F95">
            <v>567237.94999999995</v>
          </cell>
        </row>
        <row r="96">
          <cell r="F96">
            <v>29122.55</v>
          </cell>
        </row>
        <row r="97">
          <cell r="F97">
            <v>77678.240000000005</v>
          </cell>
        </row>
        <row r="98">
          <cell r="F98">
            <v>82016.14</v>
          </cell>
        </row>
        <row r="99">
          <cell r="F99">
            <v>1214.6099999999999</v>
          </cell>
        </row>
        <row r="103">
          <cell r="F103">
            <v>60625.9</v>
          </cell>
        </row>
        <row r="104">
          <cell r="F104">
            <v>8251.5</v>
          </cell>
        </row>
        <row r="105">
          <cell r="F105">
            <v>24590.77</v>
          </cell>
        </row>
        <row r="106">
          <cell r="F106">
            <v>34320.550000000003</v>
          </cell>
        </row>
        <row r="107">
          <cell r="F107">
            <v>3643.84</v>
          </cell>
        </row>
        <row r="123">
          <cell r="F123">
            <v>216492670.56410003</v>
          </cell>
        </row>
        <row r="124">
          <cell r="F124">
            <v>48540936.98969999</v>
          </cell>
        </row>
        <row r="125">
          <cell r="F125">
            <v>91322263.596500009</v>
          </cell>
        </row>
        <row r="126">
          <cell r="F126">
            <v>149116506.51659998</v>
          </cell>
        </row>
        <row r="127">
          <cell r="F127">
            <v>30365304.651900001</v>
          </cell>
        </row>
      </sheetData>
      <sheetData sheetId="30">
        <row r="43">
          <cell r="F43">
            <v>68.539999999999992</v>
          </cell>
        </row>
        <row r="44">
          <cell r="F44">
            <v>0</v>
          </cell>
        </row>
        <row r="45">
          <cell r="F45">
            <v>0</v>
          </cell>
        </row>
        <row r="46">
          <cell r="F46">
            <v>0</v>
          </cell>
        </row>
        <row r="47">
          <cell r="F47">
            <v>318.32</v>
          </cell>
        </row>
        <row r="52">
          <cell r="F52">
            <v>3200.26</v>
          </cell>
        </row>
        <row r="53">
          <cell r="F53">
            <v>-1783.16</v>
          </cell>
        </row>
        <row r="54">
          <cell r="F54">
            <v>-4339.87</v>
          </cell>
        </row>
        <row r="55">
          <cell r="F55">
            <v>-4810.8200000000006</v>
          </cell>
        </row>
        <row r="56">
          <cell r="F56">
            <v>-900.45</v>
          </cell>
        </row>
        <row r="61">
          <cell r="F61">
            <v>407509.43999999994</v>
          </cell>
        </row>
        <row r="62">
          <cell r="F62">
            <v>62390</v>
          </cell>
        </row>
        <row r="63">
          <cell r="F63">
            <v>126851.35</v>
          </cell>
        </row>
        <row r="64">
          <cell r="F64">
            <v>115489.17000000001</v>
          </cell>
        </row>
        <row r="65">
          <cell r="F65">
            <v>14275.35</v>
          </cell>
        </row>
        <row r="70">
          <cell r="F70">
            <v>-41381.730000000003</v>
          </cell>
        </row>
        <row r="71">
          <cell r="F71">
            <v>-16042.14</v>
          </cell>
        </row>
        <row r="72">
          <cell r="F72">
            <v>57497.25</v>
          </cell>
        </row>
        <row r="73">
          <cell r="F73">
            <v>52935.37</v>
          </cell>
        </row>
        <row r="74">
          <cell r="F74">
            <v>22219.21</v>
          </cell>
        </row>
        <row r="79">
          <cell r="F79">
            <v>-0.86</v>
          </cell>
        </row>
        <row r="84">
          <cell r="F84">
            <v>0</v>
          </cell>
        </row>
        <row r="88">
          <cell r="F88">
            <v>951852.67</v>
          </cell>
        </row>
        <row r="89">
          <cell r="F89">
            <v>116481.08</v>
          </cell>
        </row>
        <row r="90">
          <cell r="F90">
            <v>257019.28</v>
          </cell>
        </row>
        <row r="91">
          <cell r="F91">
            <v>388192.69</v>
          </cell>
        </row>
        <row r="92">
          <cell r="F92">
            <v>132870.88</v>
          </cell>
        </row>
        <row r="96">
          <cell r="F96">
            <v>-82774.039999999994</v>
          </cell>
        </row>
        <row r="97">
          <cell r="F97">
            <v>-42787.41</v>
          </cell>
        </row>
        <row r="98">
          <cell r="F98">
            <v>34718.42</v>
          </cell>
        </row>
        <row r="99">
          <cell r="F99">
            <v>-24061.53</v>
          </cell>
        </row>
        <row r="100">
          <cell r="F100">
            <v>-53770.49</v>
          </cell>
        </row>
        <row r="104">
          <cell r="F104">
            <v>834053.8</v>
          </cell>
        </row>
        <row r="105">
          <cell r="F105">
            <v>35659.550000000003</v>
          </cell>
        </row>
        <row r="106">
          <cell r="F106">
            <v>92188.66</v>
          </cell>
        </row>
        <row r="107">
          <cell r="F107">
            <v>88225.61</v>
          </cell>
        </row>
        <row r="108">
          <cell r="F108">
            <v>1777.54</v>
          </cell>
        </row>
        <row r="112">
          <cell r="F112">
            <v>89139.48</v>
          </cell>
        </row>
        <row r="113">
          <cell r="F113">
            <v>10100.530000000001</v>
          </cell>
        </row>
        <row r="114">
          <cell r="F114">
            <v>29268.560000000001</v>
          </cell>
        </row>
        <row r="115">
          <cell r="F115">
            <v>36894.35</v>
          </cell>
        </row>
        <row r="116">
          <cell r="F116">
            <v>5332.61</v>
          </cell>
        </row>
        <row r="132">
          <cell r="F132">
            <v>318347370.50349998</v>
          </cell>
        </row>
        <row r="133">
          <cell r="F133">
            <v>59430266.653200008</v>
          </cell>
        </row>
        <row r="134">
          <cell r="F134">
            <v>108452055.73090002</v>
          </cell>
        </row>
        <row r="135">
          <cell r="F135">
            <v>160410205.48300004</v>
          </cell>
        </row>
        <row r="136">
          <cell r="F136">
            <v>44438423.0101</v>
          </cell>
        </row>
      </sheetData>
      <sheetData sheetId="31">
        <row r="43">
          <cell r="F43">
            <v>8.93</v>
          </cell>
        </row>
        <row r="44">
          <cell r="F44">
            <v>-246.49</v>
          </cell>
        </row>
        <row r="45">
          <cell r="F45">
            <v>0</v>
          </cell>
        </row>
        <row r="46">
          <cell r="F46">
            <v>0</v>
          </cell>
        </row>
        <row r="47">
          <cell r="F47">
            <v>-7310.0999999999995</v>
          </cell>
        </row>
        <row r="52">
          <cell r="F52">
            <v>21208.969999999492</v>
          </cell>
        </row>
        <row r="53">
          <cell r="F53">
            <v>-1522.51</v>
          </cell>
        </row>
        <row r="54">
          <cell r="F54">
            <v>-3502.67</v>
          </cell>
        </row>
        <row r="55">
          <cell r="F55">
            <v>-4066.8699999999994</v>
          </cell>
        </row>
        <row r="56">
          <cell r="F56">
            <v>-879.42</v>
          </cell>
        </row>
        <row r="61">
          <cell r="F61">
            <v>330133.27999999997</v>
          </cell>
        </row>
        <row r="62">
          <cell r="F62">
            <v>50417.43</v>
          </cell>
        </row>
        <row r="63">
          <cell r="F63">
            <v>105848.44</v>
          </cell>
        </row>
        <row r="64">
          <cell r="F64">
            <v>94448.35</v>
          </cell>
        </row>
        <row r="65">
          <cell r="F65">
            <v>14830.490000000002</v>
          </cell>
        </row>
        <row r="70">
          <cell r="F70">
            <v>-43881.950000000004</v>
          </cell>
        </row>
        <row r="71">
          <cell r="F71">
            <v>-14904.35</v>
          </cell>
        </row>
        <row r="72">
          <cell r="F72">
            <v>48603.740000000005</v>
          </cell>
        </row>
        <row r="73">
          <cell r="F73">
            <v>42639.92</v>
          </cell>
        </row>
        <row r="74">
          <cell r="F74">
            <v>23779.52</v>
          </cell>
        </row>
        <row r="79">
          <cell r="F79">
            <v>-4609.54</v>
          </cell>
        </row>
        <row r="84">
          <cell r="F84">
            <v>0</v>
          </cell>
        </row>
        <row r="88">
          <cell r="F88">
            <v>950776.76</v>
          </cell>
        </row>
        <row r="89">
          <cell r="F89">
            <v>120145.37</v>
          </cell>
        </row>
        <row r="90">
          <cell r="F90">
            <v>252833.48</v>
          </cell>
        </row>
        <row r="91">
          <cell r="F91">
            <v>378194.16</v>
          </cell>
        </row>
        <row r="92">
          <cell r="F92">
            <v>139960.95999999999</v>
          </cell>
        </row>
        <row r="96">
          <cell r="F96">
            <v>-103571.03999999948</v>
          </cell>
        </row>
        <row r="97">
          <cell r="F97">
            <v>-24930.35</v>
          </cell>
        </row>
        <row r="98">
          <cell r="F98">
            <v>13261.13</v>
          </cell>
        </row>
        <row r="99">
          <cell r="F99">
            <v>-55219.75</v>
          </cell>
        </row>
        <row r="100">
          <cell r="F100">
            <v>-67151.22</v>
          </cell>
        </row>
        <row r="104">
          <cell r="F104">
            <v>655875.28</v>
          </cell>
        </row>
        <row r="105">
          <cell r="F105">
            <v>32879.69</v>
          </cell>
        </row>
        <row r="106">
          <cell r="F106">
            <v>78953.16</v>
          </cell>
        </row>
        <row r="107">
          <cell r="F107">
            <v>72678.880000000005</v>
          </cell>
        </row>
        <row r="108">
          <cell r="F108">
            <v>1777.01</v>
          </cell>
        </row>
        <row r="112">
          <cell r="F112">
            <v>74407.06</v>
          </cell>
        </row>
        <row r="113">
          <cell r="F113">
            <v>8542.67</v>
          </cell>
        </row>
        <row r="114">
          <cell r="F114">
            <v>26447.77</v>
          </cell>
        </row>
        <row r="115">
          <cell r="F115">
            <v>32228.87</v>
          </cell>
        </row>
        <row r="116">
          <cell r="F116">
            <v>5644.41</v>
          </cell>
        </row>
        <row r="132">
          <cell r="F132">
            <v>311045773.31400001</v>
          </cell>
        </row>
        <row r="133">
          <cell r="F133">
            <v>59176691.531500012</v>
          </cell>
        </row>
        <row r="134">
          <cell r="F134">
            <v>107799556.8374</v>
          </cell>
        </row>
        <row r="135">
          <cell r="F135">
            <v>158527195.25220001</v>
          </cell>
        </row>
        <row r="136">
          <cell r="F136">
            <v>52259586.685699999</v>
          </cell>
        </row>
      </sheetData>
      <sheetData sheetId="32">
        <row r="43">
          <cell r="F43">
            <v>-0.19</v>
          </cell>
        </row>
        <row r="44">
          <cell r="F44">
            <v>-7.09</v>
          </cell>
        </row>
        <row r="45">
          <cell r="F45">
            <v>1.9999999999999997E-2</v>
          </cell>
        </row>
        <row r="46">
          <cell r="F46">
            <v>0</v>
          </cell>
        </row>
        <row r="47">
          <cell r="F47">
            <v>641.77</v>
          </cell>
        </row>
        <row r="52">
          <cell r="F52">
            <v>0.19</v>
          </cell>
        </row>
        <row r="53">
          <cell r="F53">
            <v>-1117.6899999999998</v>
          </cell>
        </row>
        <row r="54">
          <cell r="F54">
            <v>-2057.9</v>
          </cell>
        </row>
        <row r="55">
          <cell r="F55">
            <v>-3120.64</v>
          </cell>
        </row>
        <row r="56">
          <cell r="F56">
            <v>-547.14</v>
          </cell>
        </row>
        <row r="61">
          <cell r="F61">
            <v>183779.16999999998</v>
          </cell>
        </row>
        <row r="62">
          <cell r="F62">
            <v>29020.720000000001</v>
          </cell>
        </row>
        <row r="63">
          <cell r="F63">
            <v>65808.53</v>
          </cell>
        </row>
        <row r="64">
          <cell r="F64">
            <v>62454.5</v>
          </cell>
        </row>
        <row r="65">
          <cell r="F65">
            <v>10605.6</v>
          </cell>
        </row>
        <row r="70">
          <cell r="F70">
            <v>-42584.49</v>
          </cell>
        </row>
        <row r="71">
          <cell r="F71">
            <v>-12350.87</v>
          </cell>
        </row>
        <row r="72">
          <cell r="F72">
            <v>30860.33</v>
          </cell>
        </row>
        <row r="73">
          <cell r="F73">
            <v>26547.34</v>
          </cell>
        </row>
        <row r="74">
          <cell r="F74">
            <v>18379.240000000002</v>
          </cell>
        </row>
        <row r="79">
          <cell r="F79">
            <v>-10639.31</v>
          </cell>
        </row>
        <row r="84">
          <cell r="F84">
            <v>0</v>
          </cell>
        </row>
        <row r="88">
          <cell r="F88">
            <v>843763.16</v>
          </cell>
        </row>
        <row r="89">
          <cell r="F89">
            <v>120105.19</v>
          </cell>
        </row>
        <row r="90">
          <cell r="F90">
            <v>236237.36</v>
          </cell>
        </row>
        <row r="91">
          <cell r="F91">
            <v>363854.74</v>
          </cell>
        </row>
        <row r="92">
          <cell r="F92">
            <v>102398.64</v>
          </cell>
        </row>
        <row r="96">
          <cell r="F96">
            <v>-77187.64</v>
          </cell>
        </row>
        <row r="97">
          <cell r="F97">
            <v>4976.17</v>
          </cell>
        </row>
        <row r="98">
          <cell r="F98">
            <v>-25577.26</v>
          </cell>
        </row>
        <row r="99">
          <cell r="F99">
            <v>-104627.76</v>
          </cell>
        </row>
        <row r="100">
          <cell r="F100">
            <v>-76667.7</v>
          </cell>
        </row>
        <row r="104">
          <cell r="F104">
            <v>330341.44</v>
          </cell>
        </row>
        <row r="105">
          <cell r="F105">
            <v>26806.91</v>
          </cell>
        </row>
        <row r="106">
          <cell r="F106">
            <v>52437.120000000003</v>
          </cell>
        </row>
        <row r="107">
          <cell r="F107">
            <v>48409.86</v>
          </cell>
        </row>
        <row r="108">
          <cell r="F108">
            <v>1050.24</v>
          </cell>
        </row>
        <row r="112">
          <cell r="F112">
            <v>45272.35</v>
          </cell>
        </row>
        <row r="113">
          <cell r="F113">
            <v>5595.06</v>
          </cell>
        </row>
        <row r="114">
          <cell r="F114">
            <v>20549.189999999999</v>
          </cell>
        </row>
        <row r="115">
          <cell r="F115">
            <v>24985.73</v>
          </cell>
        </row>
        <row r="116">
          <cell r="F116">
            <v>4200.97</v>
          </cell>
        </row>
        <row r="132">
          <cell r="F132">
            <v>266181378.43769994</v>
          </cell>
        </row>
        <row r="133">
          <cell r="F133">
            <v>55860181.713699989</v>
          </cell>
        </row>
        <row r="134">
          <cell r="F134">
            <v>102710114.22010002</v>
          </cell>
        </row>
        <row r="135">
          <cell r="F135">
            <v>156160833.43810001</v>
          </cell>
        </row>
        <row r="136">
          <cell r="F136">
            <v>52512125.425600007</v>
          </cell>
        </row>
      </sheetData>
      <sheetData sheetId="33">
        <row r="43">
          <cell r="F43">
            <v>-0.49</v>
          </cell>
        </row>
        <row r="44">
          <cell r="F44">
            <v>0</v>
          </cell>
        </row>
        <row r="45">
          <cell r="F45">
            <v>263.06</v>
          </cell>
        </row>
        <row r="46">
          <cell r="F46">
            <v>0</v>
          </cell>
        </row>
        <row r="47">
          <cell r="F47">
            <v>24.43</v>
          </cell>
        </row>
        <row r="52">
          <cell r="F52">
            <v>0.49</v>
          </cell>
        </row>
        <row r="53">
          <cell r="F53">
            <v>-977.02</v>
          </cell>
        </row>
        <row r="54">
          <cell r="F54">
            <v>-1816.3799999999999</v>
          </cell>
        </row>
        <row r="55">
          <cell r="F55">
            <v>-2884.86</v>
          </cell>
        </row>
        <row r="56">
          <cell r="F56">
            <v>-375.12</v>
          </cell>
        </row>
        <row r="61">
          <cell r="F61">
            <v>128808.72</v>
          </cell>
        </row>
        <row r="62">
          <cell r="F62">
            <v>25461.79</v>
          </cell>
        </row>
        <row r="63">
          <cell r="F63">
            <v>57716.78</v>
          </cell>
        </row>
        <row r="64">
          <cell r="F64">
            <v>57727.119999999995</v>
          </cell>
        </row>
        <row r="65">
          <cell r="F65">
            <v>7556.96</v>
          </cell>
        </row>
        <row r="70">
          <cell r="F70">
            <v>-29864.58</v>
          </cell>
        </row>
        <row r="71">
          <cell r="F71">
            <v>-10736.31</v>
          </cell>
        </row>
        <row r="72">
          <cell r="F72">
            <v>26999.41</v>
          </cell>
        </row>
        <row r="73">
          <cell r="F73">
            <v>24537.02</v>
          </cell>
        </row>
        <row r="74">
          <cell r="F74">
            <v>13353.15</v>
          </cell>
        </row>
        <row r="79">
          <cell r="F79">
            <v>-7465.6</v>
          </cell>
        </row>
        <row r="84">
          <cell r="F84">
            <v>0</v>
          </cell>
        </row>
        <row r="88">
          <cell r="F88">
            <v>591723.14</v>
          </cell>
        </row>
        <row r="89">
          <cell r="F89">
            <v>104792.6</v>
          </cell>
        </row>
        <row r="90">
          <cell r="F90">
            <v>206997.28</v>
          </cell>
        </row>
        <row r="91">
          <cell r="F91">
            <v>336301.8</v>
          </cell>
        </row>
        <row r="92">
          <cell r="F92">
            <v>74392.14</v>
          </cell>
        </row>
        <row r="96">
          <cell r="F96">
            <v>-54132.03</v>
          </cell>
        </row>
        <row r="97">
          <cell r="F97">
            <v>4216.17</v>
          </cell>
        </row>
        <row r="98">
          <cell r="F98">
            <v>-22499.759999999998</v>
          </cell>
        </row>
        <row r="99">
          <cell r="F99">
            <v>-96704.81</v>
          </cell>
        </row>
        <row r="100">
          <cell r="F100">
            <v>-55719</v>
          </cell>
        </row>
        <row r="104">
          <cell r="F104">
            <v>231492.62</v>
          </cell>
        </row>
        <row r="105">
          <cell r="F105">
            <v>23431.040000000001</v>
          </cell>
        </row>
        <row r="106">
          <cell r="F106">
            <v>45899.42</v>
          </cell>
        </row>
        <row r="107">
          <cell r="F107">
            <v>44744.02</v>
          </cell>
        </row>
        <row r="108">
          <cell r="F108">
            <v>762.81</v>
          </cell>
        </row>
        <row r="112">
          <cell r="F112">
            <v>31734.07</v>
          </cell>
        </row>
        <row r="113">
          <cell r="F113">
            <v>4889.8900000000003</v>
          </cell>
        </row>
        <row r="114">
          <cell r="F114">
            <v>17999.79</v>
          </cell>
        </row>
        <row r="115">
          <cell r="F115">
            <v>23093.69</v>
          </cell>
        </row>
        <row r="116">
          <cell r="F116">
            <v>3052.04</v>
          </cell>
        </row>
        <row r="132">
          <cell r="F132">
            <v>186663911.80759999</v>
          </cell>
        </row>
        <row r="133">
          <cell r="F133">
            <v>48760088.588600002</v>
          </cell>
        </row>
        <row r="134">
          <cell r="F134">
            <v>89998701.244900063</v>
          </cell>
        </row>
        <row r="135">
          <cell r="F135">
            <v>144335534.7376</v>
          </cell>
        </row>
        <row r="136">
          <cell r="F136">
            <v>38160324.707399994</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21"/>
      <sheetName val="Dec 2021"/>
      <sheetName val="Jan 2022"/>
      <sheetName val="Feb 2022"/>
      <sheetName val="Mar 2022"/>
      <sheetName val="Apr 2022"/>
      <sheetName val="May 2022"/>
      <sheetName val="Jun 2022"/>
      <sheetName val="Jul 2022"/>
      <sheetName val="Aug 2022"/>
      <sheetName val="Sep 2022"/>
      <sheetName val="Oct 2022"/>
    </sheetNames>
    <sheetDataSet>
      <sheetData sheetId="0" refreshError="1"/>
      <sheetData sheetId="1" refreshError="1"/>
      <sheetData sheetId="2" refreshError="1"/>
      <sheetData sheetId="3" refreshError="1"/>
      <sheetData sheetId="4" refreshError="1"/>
      <sheetData sheetId="5" refreshError="1"/>
      <sheetData sheetId="6">
        <row r="43">
          <cell r="E43">
            <v>1.61108E-3</v>
          </cell>
        </row>
      </sheetData>
      <sheetData sheetId="7">
        <row r="42">
          <cell r="E42">
            <v>2.0355199999999999E-3</v>
          </cell>
        </row>
      </sheetData>
      <sheetData sheetId="8">
        <row r="43">
          <cell r="E43">
            <v>2.5749000000000002E-3</v>
          </cell>
        </row>
      </sheetData>
      <sheetData sheetId="9">
        <row r="43">
          <cell r="E43">
            <v>2.84906E-3</v>
          </cell>
        </row>
      </sheetData>
      <sheetData sheetId="10">
        <row r="42">
          <cell r="E42">
            <v>3.2598100000000001E-3</v>
          </cell>
        </row>
      </sheetData>
      <sheetData sheetId="11">
        <row r="43">
          <cell r="E43">
            <v>3.7192499999999999E-3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52022 06062022"/>
      <sheetName val="Input"/>
      <sheetName val="Program Descriptions"/>
    </sheetNames>
    <sheetDataSet>
      <sheetData sheetId="0">
        <row r="30">
          <cell r="N30">
            <v>498429.83000000007</v>
          </cell>
          <cell r="O30">
            <v>125425.12999999999</v>
          </cell>
          <cell r="P30">
            <v>88168.31</v>
          </cell>
          <cell r="Q30">
            <v>87983.98000000001</v>
          </cell>
          <cell r="R30">
            <v>12558.300000000041</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62022 07072022"/>
      <sheetName val="Input"/>
      <sheetName val="Program Descriptions"/>
    </sheetNames>
    <sheetDataSet>
      <sheetData sheetId="0">
        <row r="30">
          <cell r="N30">
            <v>655306.66</v>
          </cell>
          <cell r="O30">
            <v>31290.6</v>
          </cell>
          <cell r="P30">
            <v>271192.13999999996</v>
          </cell>
          <cell r="Q30">
            <v>285691.01999999996</v>
          </cell>
          <cell r="R30">
            <v>19675.789999999859</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72022 08052022"/>
      <sheetName val="Input"/>
      <sheetName val="Program Descriptions"/>
    </sheetNames>
    <sheetDataSet>
      <sheetData sheetId="0">
        <row r="30">
          <cell r="N30">
            <v>569532.27</v>
          </cell>
          <cell r="O30">
            <v>77486.62999999999</v>
          </cell>
          <cell r="P30">
            <v>122770.4</v>
          </cell>
          <cell r="Q30">
            <v>251204.44999999998</v>
          </cell>
          <cell r="R30">
            <v>19708.570000000025</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7"/>
  <sheetViews>
    <sheetView tabSelected="1" workbookViewId="0">
      <pane xSplit="2" ySplit="3" topLeftCell="C4" activePane="bottomRight" state="frozen"/>
      <selection activeCell="J26" sqref="J26"/>
      <selection pane="topRight" activeCell="J26" sqref="J26"/>
      <selection pane="bottomLeft" activeCell="J26" sqref="J26"/>
      <selection pane="bottomRight" activeCell="K17" sqref="K17"/>
    </sheetView>
  </sheetViews>
  <sheetFormatPr defaultRowHeight="14.5" outlineLevelCol="1" x14ac:dyDescent="0.35"/>
  <cols>
    <col min="2" max="2" width="25.1796875" customWidth="1"/>
    <col min="3" max="3" width="16" bestFit="1" customWidth="1"/>
    <col min="4" max="4" width="15.54296875" customWidth="1"/>
    <col min="5" max="5" width="14.81640625" bestFit="1" customWidth="1"/>
    <col min="6" max="6" width="13.7265625" bestFit="1" customWidth="1"/>
    <col min="7" max="7" width="18.453125" bestFit="1" customWidth="1"/>
    <col min="8" max="8" width="13.453125" customWidth="1"/>
    <col min="9" max="9" width="3.54296875" customWidth="1"/>
    <col min="10" max="10" width="13.7265625" bestFit="1" customWidth="1"/>
    <col min="11" max="11" width="12.453125" bestFit="1" customWidth="1"/>
    <col min="12" max="13" width="13.7265625" bestFit="1" customWidth="1"/>
    <col min="14" max="14" width="10.7265625" bestFit="1" customWidth="1"/>
    <col min="15" max="15" width="16" hidden="1" customWidth="1" outlineLevel="1"/>
    <col min="16" max="16" width="19.26953125" hidden="1" customWidth="1" outlineLevel="1"/>
    <col min="17" max="17" width="16" style="46" hidden="1" customWidth="1" outlineLevel="1"/>
    <col min="18" max="18" width="9.1796875" hidden="1" customWidth="1" outlineLevel="1"/>
    <col min="19" max="20" width="16" hidden="1" customWidth="1" outlineLevel="1"/>
    <col min="21" max="21" width="16" style="46" hidden="1" customWidth="1" outlineLevel="1"/>
    <col min="22" max="22" width="16" hidden="1" customWidth="1" outlineLevel="1"/>
    <col min="23" max="23" width="9.1796875" hidden="1" customWidth="1" outlineLevel="1"/>
    <col min="24" max="27" width="16" hidden="1" customWidth="1" outlineLevel="1"/>
    <col min="28" max="28" width="12" hidden="1" customWidth="1" outlineLevel="1"/>
    <col min="29" max="29" width="8.7265625" collapsed="1"/>
  </cols>
  <sheetData>
    <row r="1" spans="1:28" x14ac:dyDescent="0.35">
      <c r="A1" s="3" t="str">
        <f>+'PPC Cycle 3'!A1</f>
        <v>Evergy Metro, Inc. - DSIM Rider Update Filed 12/02/2022</v>
      </c>
    </row>
    <row r="2" spans="1:28" ht="15" thickBot="1" x14ac:dyDescent="0.4">
      <c r="H2" s="46"/>
      <c r="I2" s="46"/>
      <c r="J2" s="48"/>
      <c r="K2" s="48"/>
    </row>
    <row r="3" spans="1:28" ht="27.5" thickBot="1" x14ac:dyDescent="0.4">
      <c r="B3" s="87" t="s">
        <v>7</v>
      </c>
      <c r="C3" s="130" t="s">
        <v>19</v>
      </c>
      <c r="D3" s="130" t="s">
        <v>20</v>
      </c>
      <c r="E3" s="130" t="s">
        <v>57</v>
      </c>
      <c r="F3" s="130" t="s">
        <v>21</v>
      </c>
      <c r="G3" s="130" t="s">
        <v>38</v>
      </c>
      <c r="H3" s="89" t="s">
        <v>28</v>
      </c>
      <c r="I3" s="39"/>
      <c r="J3" s="88" t="s">
        <v>13</v>
      </c>
      <c r="K3" s="89" t="s">
        <v>56</v>
      </c>
      <c r="L3" s="89" t="s">
        <v>72</v>
      </c>
      <c r="M3" s="89" t="s">
        <v>73</v>
      </c>
    </row>
    <row r="4" spans="1:28" ht="15" thickBot="1" x14ac:dyDescent="0.4">
      <c r="B4" s="90" t="s">
        <v>24</v>
      </c>
      <c r="C4" s="128">
        <f t="shared" ref="C4:F8" si="0">C13+C22</f>
        <v>6409066.8399999989</v>
      </c>
      <c r="D4" s="129">
        <f t="shared" si="0"/>
        <v>2556171.1045900001</v>
      </c>
      <c r="E4" s="129">
        <f t="shared" si="0"/>
        <v>68487.281629999867</v>
      </c>
      <c r="F4" s="129">
        <f t="shared" si="0"/>
        <v>-562056.51651999995</v>
      </c>
      <c r="G4" s="132">
        <f>+'PPC Cycle 3'!B5</f>
        <v>2686043394</v>
      </c>
      <c r="H4" s="133">
        <f>ROUND(SUM(C4:F4)/G4,5)</f>
        <v>3.15E-3</v>
      </c>
      <c r="I4" s="134"/>
      <c r="J4" s="298">
        <f>ROUND((C13+C22)/G4,5)-0.00001</f>
        <v>2.3800000000000002E-3</v>
      </c>
      <c r="K4" s="135">
        <f>ROUND((D13+D22)/G4,5)</f>
        <v>9.5E-4</v>
      </c>
      <c r="L4" s="263">
        <f>ROUND((E13+E22)/G4,5)</f>
        <v>3.0000000000000001E-5</v>
      </c>
      <c r="M4" s="135">
        <f>ROUND((F13+F22)/G4,5)</f>
        <v>-2.1000000000000001E-4</v>
      </c>
      <c r="N4" s="227">
        <f>+H4-SUM(J4:M4)</f>
        <v>0</v>
      </c>
    </row>
    <row r="5" spans="1:28" ht="15" thickBot="1" x14ac:dyDescent="0.4">
      <c r="B5" s="90" t="s">
        <v>107</v>
      </c>
      <c r="C5" s="128">
        <f t="shared" si="0"/>
        <v>908807.92999999993</v>
      </c>
      <c r="D5" s="129">
        <f t="shared" si="0"/>
        <v>412779.58735999995</v>
      </c>
      <c r="E5" s="129">
        <f t="shared" si="0"/>
        <v>7457.2956999999806</v>
      </c>
      <c r="F5" s="129">
        <f t="shared" si="0"/>
        <v>-1054.1300000000001</v>
      </c>
      <c r="G5" s="132">
        <f>+'PPC Cycle 3'!B6</f>
        <v>562392412</v>
      </c>
      <c r="H5" s="133">
        <f>ROUND(SUM(C5:F5)/G5,5)</f>
        <v>2.3600000000000001E-3</v>
      </c>
      <c r="I5" s="134"/>
      <c r="J5" s="194">
        <f>ROUND((C14+C23)/G5,5)</f>
        <v>1.6199999999999999E-3</v>
      </c>
      <c r="K5" s="135">
        <f>ROUND((D14+D23)/G5,5)</f>
        <v>7.2999999999999996E-4</v>
      </c>
      <c r="L5" s="263">
        <f>ROUND((E14+E23)/G5,5)</f>
        <v>1.0000000000000001E-5</v>
      </c>
      <c r="M5" s="135">
        <f>ROUND((F14+F23)/G5,5)</f>
        <v>0</v>
      </c>
      <c r="N5" s="227">
        <f t="shared" ref="N5:N8" si="1">+H5-SUM(J5:M5)</f>
        <v>0</v>
      </c>
      <c r="O5" s="262">
        <f>C5/SUM(C$5:C$8)</f>
        <v>0.22568655371345261</v>
      </c>
      <c r="P5" s="262">
        <f t="shared" ref="P5:S8" si="2">D5/SUM(D$5:D$8)</f>
        <v>0.17790680902505368</v>
      </c>
      <c r="Q5" s="262">
        <f t="shared" si="2"/>
        <v>1.0948743772628725E-2</v>
      </c>
      <c r="R5" s="262">
        <f t="shared" si="2"/>
        <v>0.1357650395331495</v>
      </c>
      <c r="S5" s="262">
        <f t="shared" si="2"/>
        <v>0.14181713050680506</v>
      </c>
      <c r="T5" s="262"/>
    </row>
    <row r="6" spans="1:28" s="46" customFormat="1" ht="15" thickBot="1" x14ac:dyDescent="0.4">
      <c r="B6" s="90" t="s">
        <v>108</v>
      </c>
      <c r="C6" s="128">
        <f t="shared" si="0"/>
        <v>1390761.5499999998</v>
      </c>
      <c r="D6" s="129">
        <f t="shared" si="0"/>
        <v>886262.77509000013</v>
      </c>
      <c r="E6" s="129">
        <f t="shared" si="0"/>
        <v>285533.67180000001</v>
      </c>
      <c r="F6" s="129">
        <f t="shared" si="0"/>
        <v>-2765.01</v>
      </c>
      <c r="G6" s="132">
        <f>+'PPC Cycle 3'!B7</f>
        <v>1128313262</v>
      </c>
      <c r="H6" s="133">
        <f>ROUND(SUM(C6:F6)/G6,5)</f>
        <v>2.2699999999999999E-3</v>
      </c>
      <c r="I6" s="134"/>
      <c r="J6" s="285">
        <f>ROUND((C15+C24)/G6,5)</f>
        <v>1.23E-3</v>
      </c>
      <c r="K6" s="263">
        <f>ROUND((D15+D24)/G6,5)</f>
        <v>7.9000000000000001E-4</v>
      </c>
      <c r="L6" s="263">
        <f>ROUND((E15+E24)/G6,5)</f>
        <v>2.5000000000000001E-4</v>
      </c>
      <c r="M6" s="135">
        <f>ROUND((F15+F24)/G6,5)</f>
        <v>0</v>
      </c>
      <c r="N6" s="227">
        <f t="shared" si="1"/>
        <v>0</v>
      </c>
      <c r="O6" s="262">
        <f t="shared" ref="O6:O8" si="3">C6/SUM(C$5:C$8)</f>
        <v>0.34537130552621781</v>
      </c>
      <c r="P6" s="262">
        <f t="shared" si="2"/>
        <v>0.3819766943476281</v>
      </c>
      <c r="Q6" s="262">
        <f t="shared" si="2"/>
        <v>0.41921832481392318</v>
      </c>
      <c r="R6" s="262">
        <f t="shared" si="2"/>
        <v>0.35611517740653781</v>
      </c>
      <c r="S6" s="262">
        <f t="shared" si="2"/>
        <v>0.28452401866619231</v>
      </c>
      <c r="T6" s="262"/>
    </row>
    <row r="7" spans="1:28" s="46" customFormat="1" ht="15" thickBot="1" x14ac:dyDescent="0.4">
      <c r="B7" s="90" t="s">
        <v>109</v>
      </c>
      <c r="C7" s="128">
        <f t="shared" si="0"/>
        <v>1713693.5599999998</v>
      </c>
      <c r="D7" s="129">
        <f t="shared" si="0"/>
        <v>929969.70232000016</v>
      </c>
      <c r="E7" s="129">
        <f t="shared" si="0"/>
        <v>298833.37152000004</v>
      </c>
      <c r="F7" s="129">
        <f t="shared" si="0"/>
        <v>-3247.9900000000002</v>
      </c>
      <c r="G7" s="132">
        <f>+'PPC Cycle 3'!B8</f>
        <v>1795158442</v>
      </c>
      <c r="H7" s="133">
        <f>ROUND(SUM(C7:F7)/G7,5)</f>
        <v>1.64E-3</v>
      </c>
      <c r="I7" s="134"/>
      <c r="J7" s="285">
        <f>ROUND((C16+C25)/G7,5)</f>
        <v>9.5E-4</v>
      </c>
      <c r="K7" s="263">
        <f>ROUND((D16+D25)/G7,5)</f>
        <v>5.1999999999999995E-4</v>
      </c>
      <c r="L7" s="263">
        <f>ROUND((E16+E25)/G7,5)</f>
        <v>1.7000000000000001E-4</v>
      </c>
      <c r="M7" s="135">
        <f>ROUND((F16+F25)/G7,5)</f>
        <v>0</v>
      </c>
      <c r="N7" s="227">
        <f t="shared" si="1"/>
        <v>0</v>
      </c>
      <c r="O7" s="262">
        <f t="shared" si="3"/>
        <v>0.42556582189741432</v>
      </c>
      <c r="P7" s="262">
        <f t="shared" si="2"/>
        <v>0.40081425365018641</v>
      </c>
      <c r="Q7" s="262">
        <f t="shared" si="2"/>
        <v>0.43874484090569926</v>
      </c>
      <c r="R7" s="262">
        <f t="shared" si="2"/>
        <v>0.41831983792632238</v>
      </c>
      <c r="S7" s="262">
        <f t="shared" si="2"/>
        <v>0.45268075033968774</v>
      </c>
      <c r="T7" s="262"/>
    </row>
    <row r="8" spans="1:28" s="46" customFormat="1" ht="15" thickBot="1" x14ac:dyDescent="0.4">
      <c r="B8" s="90" t="s">
        <v>110</v>
      </c>
      <c r="C8" s="128">
        <f t="shared" si="0"/>
        <v>13595.960000000487</v>
      </c>
      <c r="D8" s="129">
        <f t="shared" si="0"/>
        <v>91189.110339999999</v>
      </c>
      <c r="E8" s="129">
        <f t="shared" si="0"/>
        <v>89285.371360000005</v>
      </c>
      <c r="F8" s="129">
        <f t="shared" si="0"/>
        <v>-697.24</v>
      </c>
      <c r="G8" s="132">
        <f>+'PPC Cycle 3'!B9</f>
        <v>479752802</v>
      </c>
      <c r="H8" s="133">
        <f>ROUND(SUM(C8:F8)/G8,5)</f>
        <v>4.0000000000000002E-4</v>
      </c>
      <c r="I8" s="134"/>
      <c r="J8" s="285">
        <f>ROUND((C17+C26)/G8,5)</f>
        <v>3.0000000000000001E-5</v>
      </c>
      <c r="K8" s="299">
        <f>ROUND((D17+D26)/G8,5)-0.00001</f>
        <v>1.8000000000000001E-4</v>
      </c>
      <c r="L8" s="263">
        <f>ROUND((E17+E26)/G8,5)</f>
        <v>1.9000000000000001E-4</v>
      </c>
      <c r="M8" s="135">
        <f>ROUND((F17+F26)/G8,5)</f>
        <v>0</v>
      </c>
      <c r="N8" s="227">
        <f t="shared" si="1"/>
        <v>0</v>
      </c>
      <c r="O8" s="262">
        <f t="shared" si="3"/>
        <v>3.3763188629153612E-3</v>
      </c>
      <c r="P8" s="262">
        <f t="shared" si="2"/>
        <v>3.9302242977131821E-2</v>
      </c>
      <c r="Q8" s="262">
        <f t="shared" si="2"/>
        <v>0.13108809050774878</v>
      </c>
      <c r="R8" s="262">
        <f t="shared" si="2"/>
        <v>8.9799945133990255E-2</v>
      </c>
      <c r="S8" s="262">
        <f t="shared" si="2"/>
        <v>0.1209781004873149</v>
      </c>
      <c r="T8" s="262"/>
    </row>
    <row r="9" spans="1:28" x14ac:dyDescent="0.35">
      <c r="C9" s="127"/>
      <c r="D9" s="127"/>
      <c r="E9" s="127"/>
      <c r="F9" s="127"/>
      <c r="G9" s="126"/>
    </row>
    <row r="10" spans="1:28" x14ac:dyDescent="0.35">
      <c r="C10" s="127"/>
      <c r="D10" s="127"/>
      <c r="E10" s="127"/>
      <c r="F10" s="127"/>
      <c r="G10" s="126"/>
      <c r="H10" s="280"/>
      <c r="I10" s="151"/>
      <c r="J10" s="280"/>
      <c r="K10" s="280"/>
      <c r="L10" s="280"/>
      <c r="M10" s="280"/>
    </row>
    <row r="11" spans="1:28" ht="15" thickBot="1" x14ac:dyDescent="0.4">
      <c r="C11" s="127"/>
      <c r="D11" s="127"/>
      <c r="E11" s="127"/>
      <c r="F11" s="127"/>
      <c r="G11" s="126"/>
      <c r="H11" s="281"/>
      <c r="I11" s="282"/>
      <c r="J11" s="281"/>
      <c r="K11" s="281"/>
      <c r="L11" s="281"/>
      <c r="M11" s="281"/>
    </row>
    <row r="12" spans="1:28" ht="15" thickBot="1" x14ac:dyDescent="0.4">
      <c r="B12" s="87" t="s">
        <v>7</v>
      </c>
      <c r="C12" s="131" t="s">
        <v>6</v>
      </c>
      <c r="D12" s="131" t="s">
        <v>16</v>
      </c>
      <c r="E12" s="131" t="s">
        <v>58</v>
      </c>
      <c r="F12" s="131" t="s">
        <v>17</v>
      </c>
      <c r="G12" s="126"/>
      <c r="H12" s="281"/>
      <c r="I12" s="282"/>
      <c r="J12" s="281"/>
      <c r="K12" s="281"/>
      <c r="L12" s="281"/>
      <c r="M12" s="281"/>
      <c r="O12" s="131" t="s">
        <v>74</v>
      </c>
      <c r="P12" s="131" t="s">
        <v>75</v>
      </c>
      <c r="Q12" s="131" t="s">
        <v>82</v>
      </c>
      <c r="R12" s="46"/>
      <c r="S12" s="131" t="s">
        <v>76</v>
      </c>
      <c r="T12" s="131" t="s">
        <v>77</v>
      </c>
      <c r="U12" s="131" t="s">
        <v>103</v>
      </c>
      <c r="V12" s="131" t="s">
        <v>93</v>
      </c>
      <c r="X12" s="131" t="s">
        <v>115</v>
      </c>
      <c r="Y12" s="131" t="s">
        <v>116</v>
      </c>
      <c r="Z12" s="131" t="s">
        <v>117</v>
      </c>
      <c r="AA12" s="131" t="s">
        <v>118</v>
      </c>
    </row>
    <row r="13" spans="1:28" ht="15" thickBot="1" x14ac:dyDescent="0.4">
      <c r="B13" s="90" t="s">
        <v>24</v>
      </c>
      <c r="C13" s="129">
        <f>+'PPC Cycle 3'!C5</f>
        <v>6957079.79</v>
      </c>
      <c r="D13" s="129">
        <f>'PTD Cycle 2'!C6+'PTD Cycle 3'!C6</f>
        <v>2203492.37</v>
      </c>
      <c r="E13" s="129">
        <f>+'EO Cycle 2'!G7+'EO Cycle 3'!G7</f>
        <v>-92100.710000000021</v>
      </c>
      <c r="F13" s="128">
        <f>+'OA Cycle 3'!E9</f>
        <v>-479365.64999999997</v>
      </c>
      <c r="G13" s="126"/>
      <c r="H13" s="281"/>
      <c r="I13" s="282"/>
      <c r="J13" s="281"/>
      <c r="K13" s="281"/>
      <c r="L13" s="281"/>
      <c r="M13" s="281"/>
      <c r="O13" s="183">
        <v>0</v>
      </c>
      <c r="P13" s="183">
        <v>0</v>
      </c>
      <c r="Q13" s="226">
        <v>0</v>
      </c>
      <c r="R13" s="158"/>
      <c r="S13" s="190">
        <v>0</v>
      </c>
      <c r="T13" s="190">
        <f>ROUND(+'PTD Cycle 2'!C6/'tariff tables'!G4,5)</f>
        <v>0</v>
      </c>
      <c r="U13" s="190">
        <f>ROUND('EO Cycle 2'!G7/'tariff tables'!G4,5)</f>
        <v>-1.1E-4</v>
      </c>
      <c r="V13" s="190">
        <f>ROUND(0/'tariff tables'!G4,5)</f>
        <v>0</v>
      </c>
      <c r="W13" s="287"/>
      <c r="X13" s="300">
        <f>ROUND('PPC Cycle 3'!C5/'tariff tables'!$G4,5)-0.00001</f>
        <v>2.5799999999999998E-3</v>
      </c>
      <c r="Y13" s="190">
        <f>ROUND('PTD Cycle 3'!C6/'tariff tables'!G4,5)</f>
        <v>8.1999999999999998E-4</v>
      </c>
      <c r="Z13" s="300">
        <f>ROUND('EO Cycle 3'!G7/'tariff tables'!G4,5)+0.00001</f>
        <v>7.9999999999999993E-5</v>
      </c>
      <c r="AA13" s="190">
        <f>ROUND('OA Cycle 3'!E9/'tariff tables'!G4,5)</f>
        <v>-1.8000000000000001E-4</v>
      </c>
      <c r="AB13" s="158">
        <f>SUM(O13:AA13,O22:AA22)</f>
        <v>3.1499999999999996E-3</v>
      </c>
    </row>
    <row r="14" spans="1:28" ht="15" thickBot="1" x14ac:dyDescent="0.4">
      <c r="B14" s="90" t="s">
        <v>107</v>
      </c>
      <c r="C14" s="129">
        <f>+'PPC Cycle 3'!C6</f>
        <v>663911.28</v>
      </c>
      <c r="D14" s="129">
        <f>'PTD Cycle 2'!C10+'PTD Cycle 3'!C7</f>
        <v>384725.87</v>
      </c>
      <c r="E14" s="129">
        <f>+'EO Cycle 2'!G11+'EO Cycle 3'!G11</f>
        <v>-50441.12000000001</v>
      </c>
      <c r="F14" s="128">
        <f>+'OA Cycle 3'!B14</f>
        <v>-1029.69</v>
      </c>
      <c r="G14" s="126"/>
      <c r="H14" s="281"/>
      <c r="I14" s="282"/>
      <c r="J14" s="283"/>
      <c r="K14" s="281"/>
      <c r="L14" s="281"/>
      <c r="M14" s="281"/>
      <c r="O14" s="183">
        <v>0</v>
      </c>
      <c r="P14" s="183">
        <v>0</v>
      </c>
      <c r="Q14" s="226">
        <v>0</v>
      </c>
      <c r="R14" s="158"/>
      <c r="S14" s="190">
        <v>0</v>
      </c>
      <c r="T14" s="245">
        <f>ROUND(+'PTD Cycle 2'!C10/'tariff tables'!G5,5)</f>
        <v>0</v>
      </c>
      <c r="U14" s="243">
        <f>ROUND('EO Cycle 2'!G11/'tariff tables'!G5,5)</f>
        <v>-1.2999999999999999E-4</v>
      </c>
      <c r="V14" s="245">
        <f>ROUND('OA Cycle 2'!B13/'tariff tables'!G5,5)</f>
        <v>0</v>
      </c>
      <c r="W14" s="287"/>
      <c r="X14" s="300">
        <f>ROUND('PPC Cycle 3'!C6/'tariff tables'!$G5,5)+0.00001</f>
        <v>1.1900000000000001E-3</v>
      </c>
      <c r="Y14" s="190">
        <f>ROUND('PTD Cycle 3'!C7/'tariff tables'!G5,5)</f>
        <v>6.8000000000000005E-4</v>
      </c>
      <c r="Z14" s="190">
        <f>ROUND('EO Cycle 3'!G11/'tariff tables'!G5,5)</f>
        <v>4.0000000000000003E-5</v>
      </c>
      <c r="AA14" s="190">
        <f>ROUND('OA Cycle 3'!B14/'tariff tables'!G5,5)</f>
        <v>0</v>
      </c>
      <c r="AB14" s="158">
        <f t="shared" ref="AB14:AB17" si="4">SUM(O14:AA14,O23:AA23)</f>
        <v>2.3600000000000006E-3</v>
      </c>
    </row>
    <row r="15" spans="1:28" s="46" customFormat="1" ht="15" thickBot="1" x14ac:dyDescent="0.4">
      <c r="B15" s="90" t="s">
        <v>108</v>
      </c>
      <c r="C15" s="129">
        <f>+'PPC Cycle 3'!C7</f>
        <v>1844390.2</v>
      </c>
      <c r="D15" s="129">
        <f>'PTD Cycle 2'!C11+'PTD Cycle 3'!C8</f>
        <v>595105.31000000006</v>
      </c>
      <c r="E15" s="129">
        <f>+'EO Cycle 2'!G12+'EO Cycle 3'!G12</f>
        <v>93061.78</v>
      </c>
      <c r="F15" s="128">
        <f>+'OA Cycle 3'!B15</f>
        <v>-2700.92</v>
      </c>
      <c r="G15" s="126"/>
      <c r="H15" s="281"/>
      <c r="I15" s="282"/>
      <c r="J15" s="281"/>
      <c r="K15" s="281"/>
      <c r="L15" s="284"/>
      <c r="M15" s="281"/>
      <c r="O15" s="183">
        <v>0</v>
      </c>
      <c r="P15" s="183">
        <v>0</v>
      </c>
      <c r="Q15" s="226">
        <v>0</v>
      </c>
      <c r="R15" s="158"/>
      <c r="S15" s="190">
        <v>0</v>
      </c>
      <c r="T15" s="245">
        <f>ROUND(+'PTD Cycle 2'!C11/'tariff tables'!G6,5)</f>
        <v>0</v>
      </c>
      <c r="U15" s="243">
        <f>ROUND('EO Cycle 2'!G12/'tariff tables'!G6,5)</f>
        <v>3.0000000000000001E-5</v>
      </c>
      <c r="V15" s="245">
        <f>ROUND('OA Cycle 2'!B14/'tariff tables'!G6,5)</f>
        <v>0</v>
      </c>
      <c r="W15" s="287"/>
      <c r="X15" s="190">
        <f>ROUND('PPC Cycle 3'!C7/'tariff tables'!$G6,5)</f>
        <v>1.6299999999999999E-3</v>
      </c>
      <c r="Y15" s="190">
        <f>ROUND('PTD Cycle 3'!C8/'tariff tables'!G6,5)</f>
        <v>5.2999999999999998E-4</v>
      </c>
      <c r="Z15" s="300">
        <f>ROUND('EO Cycle 3'!G12/'tariff tables'!G6,5)-0.00001</f>
        <v>5.0000000000000002E-5</v>
      </c>
      <c r="AA15" s="190">
        <f>ROUND('OA Cycle 3'!B15/'tariff tables'!G6,5)</f>
        <v>0</v>
      </c>
      <c r="AB15" s="158">
        <f t="shared" si="4"/>
        <v>2.2699999999999999E-3</v>
      </c>
    </row>
    <row r="16" spans="1:28" s="46" customFormat="1" ht="15" thickBot="1" x14ac:dyDescent="0.4">
      <c r="B16" s="90" t="s">
        <v>109</v>
      </c>
      <c r="C16" s="129">
        <f>+'PPC Cycle 3'!C8</f>
        <v>2934645.8</v>
      </c>
      <c r="D16" s="129">
        <f>'PTD Cycle 2'!C12+'PTD Cycle 3'!C9</f>
        <v>606895.04</v>
      </c>
      <c r="E16" s="129">
        <f>+'EO Cycle 2'!G13+'EO Cycle 3'!G13</f>
        <v>61729.170000000006</v>
      </c>
      <c r="F16" s="128">
        <f>+'OA Cycle 3'!B16</f>
        <v>-3172.69</v>
      </c>
      <c r="G16" s="126"/>
      <c r="H16" s="17"/>
      <c r="I16" s="17"/>
      <c r="J16" s="156"/>
      <c r="K16" s="17"/>
      <c r="L16" s="17"/>
      <c r="M16" s="17"/>
      <c r="O16" s="183">
        <v>0</v>
      </c>
      <c r="P16" s="183">
        <v>0</v>
      </c>
      <c r="Q16" s="243">
        <v>0</v>
      </c>
      <c r="R16" s="244"/>
      <c r="S16" s="190">
        <v>0</v>
      </c>
      <c r="T16" s="245">
        <f>ROUND(+'PTD Cycle 2'!C12/'tariff tables'!G7,5)</f>
        <v>0</v>
      </c>
      <c r="U16" s="243">
        <f>ROUND('EO Cycle 2'!G13/'tariff tables'!G7,5)</f>
        <v>0</v>
      </c>
      <c r="V16" s="245">
        <f>ROUND('OA Cycle 2'!B15/'tariff tables'!G7,5)</f>
        <v>0</v>
      </c>
      <c r="W16" s="287"/>
      <c r="X16" s="190">
        <f>ROUND('PPC Cycle 3'!C8/'tariff tables'!$G7,5)</f>
        <v>1.6299999999999999E-3</v>
      </c>
      <c r="Y16" s="190">
        <f>ROUND('PTD Cycle 3'!C9/'tariff tables'!G7,5)</f>
        <v>3.4000000000000002E-4</v>
      </c>
      <c r="Z16" s="300">
        <f>ROUND('EO Cycle 3'!G13/'tariff tables'!G7,5)+0.00001</f>
        <v>4.0000000000000003E-5</v>
      </c>
      <c r="AA16" s="190">
        <f>ROUND('OA Cycle 3'!B16/'tariff tables'!G7,5)</f>
        <v>0</v>
      </c>
      <c r="AB16" s="158">
        <f t="shared" si="4"/>
        <v>1.6400000000000002E-3</v>
      </c>
    </row>
    <row r="17" spans="2:28" s="46" customFormat="1" ht="15" thickBot="1" x14ac:dyDescent="0.4">
      <c r="B17" s="90" t="s">
        <v>110</v>
      </c>
      <c r="C17" s="129">
        <f>+'PPC Cycle 3'!C9</f>
        <v>398223.26</v>
      </c>
      <c r="D17" s="129">
        <f>'PTD Cycle 2'!C13+'PTD Cycle 3'!C10</f>
        <v>42942.3</v>
      </c>
      <c r="E17" s="129">
        <f>+'EO Cycle 2'!G14+'EO Cycle 3'!G14</f>
        <v>42750.010000000009</v>
      </c>
      <c r="F17" s="128">
        <f>+'OA Cycle 3'!B17</f>
        <v>-681.09</v>
      </c>
      <c r="G17" s="126"/>
      <c r="J17" s="156"/>
      <c r="K17" s="17"/>
      <c r="O17" s="183">
        <v>0</v>
      </c>
      <c r="P17" s="183">
        <v>0</v>
      </c>
      <c r="Q17" s="243">
        <v>0</v>
      </c>
      <c r="R17" s="244"/>
      <c r="S17" s="190">
        <v>0</v>
      </c>
      <c r="T17" s="245">
        <f>ROUND(+'PTD Cycle 2'!C13/'tariff tables'!G8,5)</f>
        <v>0</v>
      </c>
      <c r="U17" s="245">
        <f>ROUND('EO Cycle 2'!G14/'tariff tables'!G8,5)</f>
        <v>8.0000000000000007E-5</v>
      </c>
      <c r="V17" s="245">
        <f>ROUND('OA Cycle 2'!B16/'tariff tables'!G8,5)</f>
        <v>0</v>
      </c>
      <c r="W17" s="287"/>
      <c r="X17" s="300">
        <f>ROUND('PPC Cycle 3'!C9/'tariff tables'!$G8,5)+0.00001</f>
        <v>8.4000000000000003E-4</v>
      </c>
      <c r="Y17" s="300">
        <f>ROUND('PTD Cycle 3'!C10/'tariff tables'!G8,5)-0.00001</f>
        <v>8.0000000000000007E-5</v>
      </c>
      <c r="Z17" s="190">
        <f>ROUND('EO Cycle 3'!G14/'tariff tables'!G8,5)</f>
        <v>1.0000000000000001E-5</v>
      </c>
      <c r="AA17" s="190">
        <f>ROUND('OA Cycle 3'!B17/'tariff tables'!G8,5)</f>
        <v>0</v>
      </c>
      <c r="AB17" s="158">
        <f t="shared" si="4"/>
        <v>3.9999999999999986E-4</v>
      </c>
    </row>
    <row r="18" spans="2:28" x14ac:dyDescent="0.35">
      <c r="C18" s="127"/>
      <c r="D18" s="127"/>
      <c r="E18" s="127"/>
      <c r="F18" s="127"/>
      <c r="G18" s="126"/>
      <c r="J18" s="17"/>
      <c r="K18" s="17"/>
      <c r="O18" s="184"/>
      <c r="P18" s="184"/>
      <c r="Q18" s="246"/>
      <c r="R18" s="244"/>
      <c r="S18" s="244"/>
      <c r="T18" s="244"/>
      <c r="U18" s="244"/>
      <c r="V18" s="244"/>
      <c r="W18" s="287"/>
      <c r="X18" s="244"/>
      <c r="Y18" s="244"/>
      <c r="Z18" s="244"/>
      <c r="AA18" s="244"/>
    </row>
    <row r="19" spans="2:28" x14ac:dyDescent="0.35">
      <c r="C19" s="127"/>
      <c r="D19" s="127"/>
      <c r="E19" s="127"/>
      <c r="F19" s="127"/>
      <c r="G19" s="126"/>
      <c r="J19" s="17"/>
      <c r="K19" s="17"/>
      <c r="O19" s="184"/>
      <c r="P19" s="184"/>
      <c r="Q19" s="246"/>
      <c r="R19" s="244"/>
      <c r="S19" s="244"/>
      <c r="T19" s="244"/>
      <c r="U19" s="244"/>
      <c r="V19" s="244"/>
      <c r="W19" s="287"/>
      <c r="X19" s="244"/>
      <c r="Y19" s="244"/>
      <c r="Z19" s="244"/>
      <c r="AA19" s="244"/>
    </row>
    <row r="20" spans="2:28" ht="15" thickBot="1" x14ac:dyDescent="0.4">
      <c r="C20" s="127"/>
      <c r="D20" s="127"/>
      <c r="E20" s="127"/>
      <c r="F20" s="127"/>
      <c r="G20" s="126"/>
      <c r="J20" s="17"/>
      <c r="K20" s="17"/>
      <c r="O20" s="184"/>
      <c r="P20" s="184"/>
      <c r="Q20" s="246"/>
      <c r="R20" s="244"/>
      <c r="S20" s="244"/>
      <c r="T20" s="244"/>
      <c r="U20" s="244"/>
      <c r="V20" s="244"/>
      <c r="W20" s="287"/>
      <c r="X20" s="244"/>
      <c r="Y20" s="244"/>
      <c r="Z20" s="244"/>
      <c r="AA20" s="244"/>
    </row>
    <row r="21" spans="2:28" ht="15" thickBot="1" x14ac:dyDescent="0.4">
      <c r="B21" s="87" t="s">
        <v>7</v>
      </c>
      <c r="C21" s="131" t="s">
        <v>4</v>
      </c>
      <c r="D21" s="131" t="s">
        <v>9</v>
      </c>
      <c r="E21" s="131" t="s">
        <v>59</v>
      </c>
      <c r="F21" s="131" t="s">
        <v>18</v>
      </c>
      <c r="G21" s="126"/>
      <c r="O21" s="185" t="s">
        <v>78</v>
      </c>
      <c r="P21" s="185" t="s">
        <v>79</v>
      </c>
      <c r="Q21" s="247" t="s">
        <v>83</v>
      </c>
      <c r="R21" s="244"/>
      <c r="S21" s="248" t="s">
        <v>80</v>
      </c>
      <c r="T21" s="248" t="s">
        <v>81</v>
      </c>
      <c r="U21" s="247" t="s">
        <v>106</v>
      </c>
      <c r="V21" s="248" t="s">
        <v>94</v>
      </c>
      <c r="W21" s="287"/>
      <c r="X21" s="248" t="s">
        <v>119</v>
      </c>
      <c r="Y21" s="248" t="s">
        <v>120</v>
      </c>
      <c r="Z21" s="247" t="s">
        <v>121</v>
      </c>
      <c r="AA21" s="248" t="s">
        <v>122</v>
      </c>
    </row>
    <row r="22" spans="2:28" ht="15" thickBot="1" x14ac:dyDescent="0.4">
      <c r="B22" s="90" t="s">
        <v>24</v>
      </c>
      <c r="C22" s="129">
        <f>+'PCR Cycle 3'!K4+'PCR Cycle 2'!K4</f>
        <v>-548012.95000000135</v>
      </c>
      <c r="D22" s="129">
        <f>'TDR Cycle 3'!K4+'TDR Cycle 2'!K4</f>
        <v>352678.73458999995</v>
      </c>
      <c r="E22" s="129">
        <f>+'EOR Cycle 2'!J4+'EOR Cycle 3'!J4</f>
        <v>160587.99162999989</v>
      </c>
      <c r="F22" s="128">
        <f>+'OAR Cycle 2'!I4+'OAR Cycle 3'!I4-'OAR Cycle 3'!G4</f>
        <v>-82690.866519999981</v>
      </c>
      <c r="G22" s="126"/>
      <c r="O22" s="183">
        <v>0</v>
      </c>
      <c r="P22" s="183">
        <v>0</v>
      </c>
      <c r="Q22" s="245">
        <v>0</v>
      </c>
      <c r="R22" s="244"/>
      <c r="S22" s="190">
        <f>ROUND(+'PCR Cycle 2'!K4/'tariff tables'!G4,5)</f>
        <v>0</v>
      </c>
      <c r="T22" s="190">
        <f>ROUND(+'TDR Cycle 2'!K4/'tariff tables'!G4,5)</f>
        <v>2.5999999999999998E-4</v>
      </c>
      <c r="U22" s="190">
        <f>ROUND('EOR Cycle 2'!J4/'tariff tables'!G4,5)</f>
        <v>1.0000000000000001E-5</v>
      </c>
      <c r="V22" s="190">
        <f>ROUND('OAR Cycle 2'!I4/'tariff tables'!G4,5)</f>
        <v>-3.0000000000000001E-5</v>
      </c>
      <c r="W22" s="287"/>
      <c r="X22" s="190">
        <f>ROUND('PCR Cycle 3'!K4/'tariff tables'!G4,5)</f>
        <v>-2.0000000000000001E-4</v>
      </c>
      <c r="Y22" s="190">
        <f>ROUND('TDR Cycle 3'!K4/'tariff tables'!G4,5)</f>
        <v>-1.2999999999999999E-4</v>
      </c>
      <c r="Z22" s="190">
        <f>ROUND(+'EOR Cycle 3'!J4/'tariff tables'!G4,5)</f>
        <v>5.0000000000000002E-5</v>
      </c>
      <c r="AA22" s="190">
        <f>ROUND(('OAR Cycle 3'!I4-'OAR Cycle 3'!G4)/'tariff tables'!G4,5)</f>
        <v>0</v>
      </c>
    </row>
    <row r="23" spans="2:28" ht="15" thickBot="1" x14ac:dyDescent="0.4">
      <c r="B23" s="90" t="s">
        <v>107</v>
      </c>
      <c r="C23" s="129">
        <f>'PCR Cycle 3'!K5+'PCR Cycle 2'!K8</f>
        <v>244896.64999999991</v>
      </c>
      <c r="D23" s="129">
        <f>'TDR Cycle 3'!K5+'TDR Cycle 2'!K8</f>
        <v>28053.717359999951</v>
      </c>
      <c r="E23" s="129">
        <f>+'EOR Cycle 2'!J8+'EOR Cycle 3'!J5</f>
        <v>57898.41569999999</v>
      </c>
      <c r="F23" s="128">
        <f>+'OAR Cycle 2'!I9+'OAR Cycle 3'!I5-'OAR Cycle 3'!G5</f>
        <v>-24.440000000000055</v>
      </c>
      <c r="G23" s="126"/>
      <c r="O23" s="183">
        <v>0</v>
      </c>
      <c r="P23" s="183">
        <v>0</v>
      </c>
      <c r="Q23" s="245">
        <v>0</v>
      </c>
      <c r="R23" s="244"/>
      <c r="S23" s="190">
        <f>ROUND(+'PCR Cycle 2'!K8/'tariff tables'!G5,5)</f>
        <v>-1.0000000000000001E-5</v>
      </c>
      <c r="T23" s="190">
        <f>ROUND(+'TDR Cycle 2'!K8/'tariff tables'!G5,5)</f>
        <v>2.0000000000000001E-4</v>
      </c>
      <c r="U23" s="190">
        <f>ROUND('EOR Cycle 2'!J8/'tariff tables'!G5,5)</f>
        <v>8.0000000000000007E-5</v>
      </c>
      <c r="V23" s="190">
        <f>ROUND('OAR Cycle 2'!I8/'tariff tables'!G5,5)</f>
        <v>0</v>
      </c>
      <c r="W23" s="287"/>
      <c r="X23" s="190">
        <f>ROUND('PCR Cycle 3'!K5/'tariff tables'!G5,5)</f>
        <v>4.4000000000000002E-4</v>
      </c>
      <c r="Y23" s="190">
        <f>ROUND('TDR Cycle 3'!K5/'tariff tables'!G5,5)</f>
        <v>-1.4999999999999999E-4</v>
      </c>
      <c r="Z23" s="190">
        <f>ROUND(+'EOR Cycle 3'!J5/'tariff tables'!G5,5)</f>
        <v>2.0000000000000002E-5</v>
      </c>
      <c r="AA23" s="190">
        <f>ROUND(('OAR Cycle 3'!I5-'OAR Cycle 3'!G5)/'tariff tables'!G5,5)</f>
        <v>0</v>
      </c>
    </row>
    <row r="24" spans="2:28" s="46" customFormat="1" ht="15" thickBot="1" x14ac:dyDescent="0.4">
      <c r="B24" s="90" t="s">
        <v>108</v>
      </c>
      <c r="C24" s="129">
        <f>'PCR Cycle 3'!K6+'PCR Cycle 2'!K9</f>
        <v>-453628.65000000014</v>
      </c>
      <c r="D24" s="129">
        <f>'TDR Cycle 3'!K6+'TDR Cycle 2'!K9</f>
        <v>291157.46509000007</v>
      </c>
      <c r="E24" s="129">
        <f>+'EOR Cycle 2'!J9+'EOR Cycle 3'!J6</f>
        <v>192471.89179999998</v>
      </c>
      <c r="F24" s="128">
        <f>+'OAR Cycle 2'!I10+'OAR Cycle 3'!I6-'OAR Cycle 3'!G6</f>
        <v>-64.090000000000146</v>
      </c>
      <c r="G24" s="126"/>
      <c r="O24" s="183">
        <v>0</v>
      </c>
      <c r="P24" s="183">
        <v>0</v>
      </c>
      <c r="Q24" s="245">
        <v>0</v>
      </c>
      <c r="R24" s="244"/>
      <c r="S24" s="190">
        <f>ROUND(+'PCR Cycle 2'!K9/'tariff tables'!G6,5)</f>
        <v>-1.0000000000000001E-5</v>
      </c>
      <c r="T24" s="190">
        <f>ROUND(+'TDR Cycle 2'!K9/'tariff tables'!G6,5)</f>
        <v>2.5999999999999998E-4</v>
      </c>
      <c r="U24" s="190">
        <f>ROUND('EOR Cycle 2'!J9/'tariff tables'!G6,5)</f>
        <v>1E-4</v>
      </c>
      <c r="V24" s="190">
        <f>ROUND('OAR Cycle 2'!I9/'tariff tables'!G6,5)</f>
        <v>0</v>
      </c>
      <c r="W24" s="287"/>
      <c r="X24" s="190">
        <f>ROUND('PCR Cycle 3'!K6/'tariff tables'!G6,5)</f>
        <v>-3.8999999999999999E-4</v>
      </c>
      <c r="Y24" s="190">
        <f>ROUND('TDR Cycle 3'!K6/'tariff tables'!G6,5)</f>
        <v>0</v>
      </c>
      <c r="Z24" s="190">
        <f>ROUND(+'EOR Cycle 3'!J6/'tariff tables'!G6,5)</f>
        <v>6.9999999999999994E-5</v>
      </c>
      <c r="AA24" s="190">
        <f>ROUND(('OAR Cycle 3'!I6-'OAR Cycle 3'!G6)/'tariff tables'!G6,5)</f>
        <v>0</v>
      </c>
    </row>
    <row r="25" spans="2:28" s="46" customFormat="1" ht="15" thickBot="1" x14ac:dyDescent="0.4">
      <c r="B25" s="90" t="s">
        <v>109</v>
      </c>
      <c r="C25" s="129">
        <f>'PCR Cycle 3'!K7+'PCR Cycle 2'!K10</f>
        <v>-1220952.24</v>
      </c>
      <c r="D25" s="129">
        <f>'TDR Cycle 3'!K7+'TDR Cycle 2'!K10</f>
        <v>323074.66232000006</v>
      </c>
      <c r="E25" s="129">
        <f>+'EOR Cycle 2'!J10+'EOR Cycle 3'!J7</f>
        <v>237104.20152000003</v>
      </c>
      <c r="F25" s="128">
        <f>+'OAR Cycle 2'!I11+'OAR Cycle 3'!I7-'OAR Cycle 3'!G7</f>
        <v>-75.300000000000182</v>
      </c>
      <c r="G25" s="126"/>
      <c r="O25" s="183">
        <v>0</v>
      </c>
      <c r="P25" s="183">
        <v>0</v>
      </c>
      <c r="Q25" s="245">
        <v>0</v>
      </c>
      <c r="R25" s="244"/>
      <c r="S25" s="190">
        <f>ROUND(+'PCR Cycle 2'!K10/'tariff tables'!G7,5)</f>
        <v>-1.0000000000000001E-5</v>
      </c>
      <c r="T25" s="190">
        <f>ROUND(+'TDR Cycle 2'!K10/'tariff tables'!G7,5)</f>
        <v>1.9000000000000001E-4</v>
      </c>
      <c r="U25" s="190">
        <f>ROUND('EOR Cycle 2'!J10/'tariff tables'!G7,5)</f>
        <v>8.0000000000000007E-5</v>
      </c>
      <c r="V25" s="190">
        <f>ROUND('OAR Cycle 2'!I10/'tariff tables'!G7,5)</f>
        <v>0</v>
      </c>
      <c r="W25" s="287"/>
      <c r="X25" s="190">
        <f>ROUND('PCR Cycle 3'!K7/'tariff tables'!G7,5)</f>
        <v>-6.7000000000000002E-4</v>
      </c>
      <c r="Y25" s="190">
        <f>ROUND('TDR Cycle 3'!K7/'tariff tables'!G7,5)</f>
        <v>-1.0000000000000001E-5</v>
      </c>
      <c r="Z25" s="190">
        <f>ROUND(+'EOR Cycle 3'!J7/'tariff tables'!G7,5)</f>
        <v>5.0000000000000002E-5</v>
      </c>
      <c r="AA25" s="190">
        <f>ROUND(('OAR Cycle 3'!I7-'OAR Cycle 3'!G7)/'tariff tables'!G7,5)</f>
        <v>0</v>
      </c>
    </row>
    <row r="26" spans="2:28" s="46" customFormat="1" ht="15" thickBot="1" x14ac:dyDescent="0.4">
      <c r="B26" s="90" t="s">
        <v>110</v>
      </c>
      <c r="C26" s="129">
        <f>'PCR Cycle 3'!K8+'PCR Cycle 2'!K11</f>
        <v>-384627.29999999952</v>
      </c>
      <c r="D26" s="129">
        <f>'TDR Cycle 3'!K8+'TDR Cycle 2'!K11</f>
        <v>48246.810339999996</v>
      </c>
      <c r="E26" s="129">
        <f>+'EOR Cycle 2'!J11+'EOR Cycle 3'!J8</f>
        <v>46535.361359999995</v>
      </c>
      <c r="F26" s="128">
        <f>+'OAR Cycle 2'!I12+'OAR Cycle 3'!I8-'OAR Cycle 3'!G8</f>
        <v>-16.149999999999977</v>
      </c>
      <c r="G26" s="126"/>
      <c r="O26" s="183">
        <v>0</v>
      </c>
      <c r="P26" s="183">
        <v>0</v>
      </c>
      <c r="Q26" s="245">
        <v>0</v>
      </c>
      <c r="R26" s="244"/>
      <c r="S26" s="190">
        <f>ROUND(+'PCR Cycle 2'!K11/'tariff tables'!G8,5)</f>
        <v>-1.0000000000000001E-5</v>
      </c>
      <c r="T26" s="190">
        <f>ROUND(+'TDR Cycle 2'!K11/'tariff tables'!G8,5)</f>
        <v>1.4999999999999999E-4</v>
      </c>
      <c r="U26" s="190">
        <f>ROUND('EOR Cycle 2'!J11/'tariff tables'!G8,5)</f>
        <v>6.0000000000000002E-5</v>
      </c>
      <c r="V26" s="190">
        <f>ROUND('OAR Cycle 2'!I11/'tariff tables'!G8,5)</f>
        <v>0</v>
      </c>
      <c r="W26" s="287"/>
      <c r="X26" s="190">
        <f>ROUND('PCR Cycle 3'!K8/'tariff tables'!G8,5)</f>
        <v>-8.0000000000000004E-4</v>
      </c>
      <c r="Y26" s="190">
        <f>ROUND('TDR Cycle 3'!K8/'tariff tables'!G8,5)</f>
        <v>-5.0000000000000002E-5</v>
      </c>
      <c r="Z26" s="190">
        <f>ROUND(+'EOR Cycle 3'!J8/'tariff tables'!G8,5)+0.00001</f>
        <v>4.0000000000000003E-5</v>
      </c>
      <c r="AA26" s="190">
        <f>ROUND(('OAR Cycle 3'!I8-'OAR Cycle 3'!G8)/'tariff tables'!G8,5)</f>
        <v>0</v>
      </c>
    </row>
    <row r="27" spans="2:28" x14ac:dyDescent="0.35">
      <c r="F27" s="126"/>
      <c r="O27" s="46"/>
      <c r="P27" s="46"/>
      <c r="R27" s="46"/>
      <c r="S27" s="46"/>
      <c r="T27" s="46"/>
    </row>
    <row r="28" spans="2:28" x14ac:dyDescent="0.35">
      <c r="B28" s="93" t="s">
        <v>39</v>
      </c>
      <c r="R28" t="s">
        <v>153</v>
      </c>
      <c r="S28" s="157">
        <f>+J4-O13-O22-S13-S22-X13-X22</f>
        <v>3.5236570605778894E-19</v>
      </c>
      <c r="T28" s="157">
        <f t="shared" ref="S28:V32" si="5">+K4-P13-P22-T13-T22-Y13-Y22</f>
        <v>0</v>
      </c>
      <c r="U28" s="157">
        <f t="shared" si="5"/>
        <v>0</v>
      </c>
      <c r="V28" s="157">
        <f t="shared" si="5"/>
        <v>0</v>
      </c>
    </row>
    <row r="29" spans="2:28" x14ac:dyDescent="0.35">
      <c r="B29" s="94" t="s">
        <v>40</v>
      </c>
      <c r="R29" t="s">
        <v>154</v>
      </c>
      <c r="S29" s="157">
        <f t="shared" si="5"/>
        <v>0</v>
      </c>
      <c r="T29" s="157">
        <f t="shared" si="5"/>
        <v>0</v>
      </c>
      <c r="U29" s="157">
        <f t="shared" si="5"/>
        <v>0</v>
      </c>
      <c r="V29" s="157">
        <f t="shared" si="5"/>
        <v>0</v>
      </c>
    </row>
    <row r="30" spans="2:28" x14ac:dyDescent="0.35">
      <c r="B30" s="94" t="s">
        <v>43</v>
      </c>
      <c r="R30" t="s">
        <v>155</v>
      </c>
      <c r="S30" s="157">
        <f t="shared" si="5"/>
        <v>0</v>
      </c>
      <c r="T30" s="157">
        <f t="shared" si="5"/>
        <v>1.0842021724855044E-19</v>
      </c>
      <c r="U30" s="157">
        <f t="shared" si="5"/>
        <v>0</v>
      </c>
      <c r="V30" s="157">
        <f t="shared" si="5"/>
        <v>0</v>
      </c>
    </row>
    <row r="31" spans="2:28" x14ac:dyDescent="0.35">
      <c r="B31" s="94" t="s">
        <v>144</v>
      </c>
      <c r="R31" t="s">
        <v>156</v>
      </c>
      <c r="S31" s="157">
        <f t="shared" si="5"/>
        <v>0</v>
      </c>
      <c r="T31" s="301">
        <f t="shared" si="5"/>
        <v>-7.9621097041904232E-20</v>
      </c>
      <c r="U31" s="157">
        <f t="shared" si="5"/>
        <v>0</v>
      </c>
      <c r="V31" s="157">
        <f t="shared" si="5"/>
        <v>0</v>
      </c>
    </row>
    <row r="32" spans="2:28" x14ac:dyDescent="0.35">
      <c r="B32" s="94" t="s">
        <v>41</v>
      </c>
      <c r="R32" t="s">
        <v>157</v>
      </c>
      <c r="S32" s="157">
        <f t="shared" si="5"/>
        <v>0</v>
      </c>
      <c r="T32" s="157">
        <f t="shared" si="5"/>
        <v>0</v>
      </c>
      <c r="U32" s="157">
        <f t="shared" si="5"/>
        <v>0</v>
      </c>
      <c r="V32" s="157">
        <f t="shared" si="5"/>
        <v>0</v>
      </c>
    </row>
    <row r="33" spans="2:20" x14ac:dyDescent="0.35">
      <c r="B33" s="94" t="s">
        <v>149</v>
      </c>
      <c r="O33" s="255"/>
      <c r="P33" s="255"/>
      <c r="Q33" s="255"/>
      <c r="R33" s="151"/>
      <c r="S33" s="46"/>
      <c r="T33" s="46"/>
    </row>
    <row r="34" spans="2:20" x14ac:dyDescent="0.35">
      <c r="B34" s="94" t="s">
        <v>143</v>
      </c>
      <c r="O34" s="151"/>
      <c r="P34" s="151"/>
      <c r="Q34" s="256"/>
      <c r="R34" s="151"/>
      <c r="S34" s="46"/>
      <c r="T34" s="46"/>
    </row>
    <row r="35" spans="2:20" x14ac:dyDescent="0.35">
      <c r="B35" s="94" t="s">
        <v>48</v>
      </c>
      <c r="O35" s="257"/>
      <c r="P35" s="151"/>
      <c r="Q35" s="256"/>
      <c r="R35" s="151"/>
      <c r="S35" s="46"/>
      <c r="T35" s="46"/>
    </row>
    <row r="36" spans="2:20" x14ac:dyDescent="0.35">
      <c r="B36" s="94" t="s">
        <v>148</v>
      </c>
      <c r="O36" s="258"/>
      <c r="P36" s="259"/>
      <c r="Q36" s="256"/>
      <c r="R36" s="256"/>
      <c r="S36" s="46"/>
      <c r="T36" s="46"/>
    </row>
    <row r="37" spans="2:20" x14ac:dyDescent="0.35">
      <c r="B37" s="94" t="s">
        <v>145</v>
      </c>
      <c r="O37" s="258"/>
      <c r="P37" s="259"/>
      <c r="Q37" s="256"/>
      <c r="R37" s="256"/>
      <c r="S37" s="46"/>
      <c r="T37" s="46"/>
    </row>
    <row r="38" spans="2:20" x14ac:dyDescent="0.35">
      <c r="B38" s="94" t="s">
        <v>146</v>
      </c>
      <c r="O38" s="258"/>
      <c r="P38" s="259"/>
      <c r="Q38" s="256"/>
      <c r="R38" s="256"/>
      <c r="S38" s="46"/>
      <c r="T38" s="46"/>
    </row>
    <row r="39" spans="2:20" x14ac:dyDescent="0.35">
      <c r="B39" s="94" t="s">
        <v>150</v>
      </c>
      <c r="O39" s="258"/>
      <c r="P39" s="259"/>
      <c r="Q39" s="256"/>
      <c r="R39" s="256"/>
      <c r="S39" s="46"/>
      <c r="T39" s="46"/>
    </row>
    <row r="40" spans="2:20" x14ac:dyDescent="0.35">
      <c r="B40" s="94" t="s">
        <v>42</v>
      </c>
      <c r="O40" s="258"/>
      <c r="P40" s="259"/>
      <c r="Q40" s="256"/>
      <c r="R40" s="256"/>
      <c r="S40" s="46"/>
      <c r="T40" s="46"/>
    </row>
    <row r="41" spans="2:20" x14ac:dyDescent="0.35">
      <c r="B41" s="94" t="s">
        <v>147</v>
      </c>
      <c r="O41" s="258"/>
      <c r="P41" s="259"/>
      <c r="Q41" s="256"/>
      <c r="R41" s="256"/>
      <c r="S41" s="46"/>
      <c r="T41" s="46"/>
    </row>
    <row r="42" spans="2:20" x14ac:dyDescent="0.35">
      <c r="B42" s="94" t="s">
        <v>151</v>
      </c>
      <c r="O42" s="260"/>
      <c r="P42" s="259"/>
      <c r="Q42" s="256"/>
      <c r="R42" s="256"/>
      <c r="S42" s="46"/>
      <c r="T42" s="46"/>
    </row>
    <row r="43" spans="2:20" x14ac:dyDescent="0.35">
      <c r="B43" s="94" t="s">
        <v>152</v>
      </c>
      <c r="O43" s="151"/>
      <c r="P43" s="261"/>
      <c r="Q43" s="256"/>
      <c r="R43" s="256"/>
      <c r="S43" s="46"/>
      <c r="T43" s="46"/>
    </row>
    <row r="44" spans="2:20" x14ac:dyDescent="0.35">
      <c r="O44" s="257"/>
      <c r="P44" s="151"/>
      <c r="Q44" s="256"/>
      <c r="R44" s="256"/>
      <c r="S44" s="46"/>
      <c r="T44" s="46"/>
    </row>
    <row r="45" spans="2:20" x14ac:dyDescent="0.35">
      <c r="O45" s="258"/>
      <c r="P45" s="259"/>
      <c r="Q45" s="256"/>
      <c r="R45" s="256"/>
      <c r="S45" s="46"/>
      <c r="T45" s="46"/>
    </row>
    <row r="46" spans="2:20" x14ac:dyDescent="0.35">
      <c r="O46" s="258"/>
      <c r="P46" s="259"/>
      <c r="Q46" s="256"/>
      <c r="R46" s="256"/>
      <c r="S46" s="46"/>
      <c r="T46" s="46"/>
    </row>
    <row r="47" spans="2:20" x14ac:dyDescent="0.35">
      <c r="O47" s="258"/>
      <c r="P47" s="259"/>
      <c r="Q47" s="256"/>
      <c r="R47" s="256"/>
      <c r="S47" s="46"/>
      <c r="T47" s="46"/>
    </row>
    <row r="48" spans="2:20" x14ac:dyDescent="0.35">
      <c r="O48" s="258"/>
      <c r="P48" s="259"/>
      <c r="Q48" s="256"/>
      <c r="R48" s="256"/>
      <c r="S48" s="46"/>
      <c r="T48" s="46"/>
    </row>
    <row r="49" spans="15:20" x14ac:dyDescent="0.35">
      <c r="O49" s="258"/>
      <c r="P49" s="259"/>
      <c r="Q49" s="256"/>
      <c r="R49" s="256"/>
      <c r="S49" s="46"/>
      <c r="T49" s="46"/>
    </row>
    <row r="50" spans="15:20" x14ac:dyDescent="0.35">
      <c r="O50" s="258"/>
      <c r="P50" s="259"/>
      <c r="Q50" s="256"/>
      <c r="R50" s="256"/>
      <c r="S50" s="46"/>
      <c r="T50" s="46"/>
    </row>
    <row r="51" spans="15:20" x14ac:dyDescent="0.35">
      <c r="O51" s="260"/>
      <c r="P51" s="259"/>
      <c r="Q51" s="256"/>
      <c r="R51" s="256"/>
    </row>
    <row r="52" spans="15:20" x14ac:dyDescent="0.35">
      <c r="O52" s="151"/>
      <c r="P52" s="261"/>
      <c r="Q52" s="256"/>
      <c r="R52" s="256"/>
    </row>
    <row r="53" spans="15:20" x14ac:dyDescent="0.35">
      <c r="O53" s="151"/>
      <c r="P53" s="151"/>
      <c r="Q53" s="256"/>
      <c r="R53" s="256"/>
    </row>
    <row r="54" spans="15:20" x14ac:dyDescent="0.35">
      <c r="O54" s="151"/>
      <c r="P54" s="151"/>
      <c r="Q54" s="151"/>
      <c r="R54" s="151"/>
    </row>
    <row r="55" spans="15:20" x14ac:dyDescent="0.35">
      <c r="O55" s="151"/>
      <c r="P55" s="151"/>
      <c r="Q55" s="151"/>
      <c r="R55" s="151"/>
    </row>
    <row r="56" spans="15:20" x14ac:dyDescent="0.35">
      <c r="O56" s="151"/>
      <c r="P56" s="151"/>
      <c r="Q56" s="151"/>
      <c r="R56" s="151"/>
    </row>
    <row r="57" spans="15:20" x14ac:dyDescent="0.35">
      <c r="O57" s="151"/>
      <c r="P57" s="151"/>
      <c r="Q57" s="151"/>
      <c r="R57" s="151"/>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93"/>
  <sheetViews>
    <sheetView workbookViewId="0">
      <pane xSplit="1" ySplit="4" topLeftCell="B58" activePane="bottomRight" state="frozen"/>
      <selection pane="topRight" activeCell="B1" sqref="B1"/>
      <selection pane="bottomLeft" activeCell="A5" sqref="A5"/>
      <selection pane="bottomRight" activeCell="K70" sqref="K70"/>
    </sheetView>
  </sheetViews>
  <sheetFormatPr defaultRowHeight="14.5" x14ac:dyDescent="0.35"/>
  <cols>
    <col min="1" max="1" width="22.453125" customWidth="1"/>
    <col min="2" max="2" width="15.26953125" bestFit="1" customWidth="1"/>
    <col min="3" max="3" width="14.26953125" style="46" customWidth="1"/>
    <col min="4" max="4" width="13.26953125" bestFit="1" customWidth="1"/>
    <col min="5" max="5" width="10.81640625" bestFit="1" customWidth="1"/>
    <col min="6" max="6" width="11.54296875" bestFit="1" customWidth="1"/>
    <col min="7" max="7" width="13.1796875" customWidth="1"/>
  </cols>
  <sheetData>
    <row r="1" spans="1:7" x14ac:dyDescent="0.35">
      <c r="A1" s="63" t="str">
        <f>+'PPC Cycle 3'!A1</f>
        <v>Evergy Metro, Inc. - DSIM Rider Update Filed 12/02/2022</v>
      </c>
      <c r="B1" s="46"/>
      <c r="D1" s="46"/>
      <c r="E1" s="46"/>
    </row>
    <row r="2" spans="1:7" x14ac:dyDescent="0.35">
      <c r="A2" s="9" t="str">
        <f>+'PPC Cycle 3'!A2</f>
        <v>Projections for Cycle 3 January 2023 - December 2023 DSIM</v>
      </c>
      <c r="B2" s="46"/>
      <c r="D2" s="46"/>
      <c r="E2" s="46"/>
    </row>
    <row r="3" spans="1:7" ht="45.75" customHeight="1" x14ac:dyDescent="0.35">
      <c r="A3" s="46"/>
      <c r="B3" s="303" t="s">
        <v>98</v>
      </c>
      <c r="C3" s="303"/>
      <c r="D3" s="303"/>
      <c r="E3" s="46"/>
    </row>
    <row r="4" spans="1:7" ht="87" x14ac:dyDescent="0.35">
      <c r="A4" s="46"/>
      <c r="B4" s="70" t="s">
        <v>100</v>
      </c>
      <c r="C4" s="70" t="s">
        <v>101</v>
      </c>
      <c r="D4" s="70" t="s">
        <v>104</v>
      </c>
      <c r="E4" s="70" t="s">
        <v>102</v>
      </c>
      <c r="F4" s="70" t="s">
        <v>99</v>
      </c>
      <c r="G4" s="70" t="s">
        <v>105</v>
      </c>
    </row>
    <row r="5" spans="1:7" s="46" customFormat="1" x14ac:dyDescent="0.35">
      <c r="B5" s="70"/>
      <c r="C5" s="70"/>
      <c r="D5" s="70"/>
      <c r="E5" s="70"/>
      <c r="F5" s="70"/>
      <c r="G5" s="70"/>
    </row>
    <row r="6" spans="1:7" s="46" customFormat="1" x14ac:dyDescent="0.35">
      <c r="A6" s="254" t="s">
        <v>160</v>
      </c>
      <c r="B6" s="70"/>
      <c r="C6" s="70"/>
      <c r="D6" s="155"/>
    </row>
    <row r="7" spans="1:7" s="46" customFormat="1" x14ac:dyDescent="0.35">
      <c r="A7" s="20" t="s">
        <v>24</v>
      </c>
      <c r="B7" s="225">
        <f t="shared" ref="B7:E7" si="0">+B19+B31+B43+B54+B65+B76</f>
        <v>4794235.91</v>
      </c>
      <c r="C7" s="225">
        <f t="shared" si="0"/>
        <v>-1294218.32</v>
      </c>
      <c r="D7" s="225">
        <f t="shared" si="0"/>
        <v>-1905501.69</v>
      </c>
      <c r="E7" s="225">
        <f t="shared" si="0"/>
        <v>-222546.66</v>
      </c>
      <c r="F7" s="225">
        <f>SUM(B7:E7)</f>
        <v>1371969.24</v>
      </c>
      <c r="G7" s="225">
        <f>+G19+G31+G43+G54+G65+G76</f>
        <v>-289163.04000000004</v>
      </c>
    </row>
    <row r="8" spans="1:7" s="46" customFormat="1" x14ac:dyDescent="0.35">
      <c r="A8" s="20" t="s">
        <v>25</v>
      </c>
      <c r="B8" s="225">
        <f t="shared" ref="B8:E8" si="1">+B20+B32+B44+B55+B66+B77</f>
        <v>5972530.4700000007</v>
      </c>
      <c r="C8" s="225">
        <f t="shared" si="1"/>
        <v>1159977.21</v>
      </c>
      <c r="D8" s="225">
        <f t="shared" si="1"/>
        <v>-761810.72</v>
      </c>
      <c r="E8" s="225">
        <f t="shared" si="1"/>
        <v>103007.67000000001</v>
      </c>
      <c r="F8" s="225">
        <f>SUM(B8:E8)</f>
        <v>6473704.6300000008</v>
      </c>
      <c r="G8" s="225">
        <f>+G20+G32+G44+G55+G66+G77</f>
        <v>-7901.2700000000013</v>
      </c>
    </row>
    <row r="9" spans="1:7" s="46" customFormat="1" x14ac:dyDescent="0.35">
      <c r="A9" s="20" t="s">
        <v>5</v>
      </c>
      <c r="B9" s="225">
        <f t="shared" ref="B9:E9" si="2">SUM(B7:B8)</f>
        <v>10766766.380000001</v>
      </c>
      <c r="C9" s="225">
        <f t="shared" si="2"/>
        <v>-134241.1100000001</v>
      </c>
      <c r="D9" s="225">
        <f t="shared" si="2"/>
        <v>-2667312.41</v>
      </c>
      <c r="E9" s="225">
        <f t="shared" si="2"/>
        <v>-119538.98999999999</v>
      </c>
      <c r="F9" s="225">
        <f t="shared" ref="F9:G9" si="3">SUM(F7:F8)</f>
        <v>7845673.870000001</v>
      </c>
      <c r="G9" s="225">
        <f t="shared" si="3"/>
        <v>-297064.31000000006</v>
      </c>
    </row>
    <row r="10" spans="1:7" s="46" customFormat="1" x14ac:dyDescent="0.35"/>
    <row r="11" spans="1:7" s="46" customFormat="1" x14ac:dyDescent="0.35">
      <c r="A11" s="20" t="s">
        <v>107</v>
      </c>
      <c r="B11" s="225">
        <f t="shared" ref="B11:E14" si="4">+B23+B35+B47+B58+B69+B80</f>
        <v>798822.8899999999</v>
      </c>
      <c r="C11" s="225">
        <f t="shared" si="4"/>
        <v>-79725.23</v>
      </c>
      <c r="D11" s="225">
        <f t="shared" si="4"/>
        <v>-499670.70999999996</v>
      </c>
      <c r="E11" s="225">
        <f t="shared" si="4"/>
        <v>-31248.639999999999</v>
      </c>
      <c r="F11" s="225">
        <f t="shared" ref="F11:F14" si="5">SUM(B11:E11)</f>
        <v>188178.30999999994</v>
      </c>
      <c r="G11" s="225">
        <f t="shared" ref="G11:G14" si="6">+G23+G35+G47+G58+G69+G80</f>
        <v>-74640.010000000009</v>
      </c>
    </row>
    <row r="12" spans="1:7" s="46" customFormat="1" x14ac:dyDescent="0.35">
      <c r="A12" s="20" t="s">
        <v>108</v>
      </c>
      <c r="B12" s="225">
        <f t="shared" si="4"/>
        <v>2103656.44</v>
      </c>
      <c r="C12" s="225">
        <f t="shared" si="4"/>
        <v>447456.04000000004</v>
      </c>
      <c r="D12" s="225">
        <f t="shared" si="4"/>
        <v>74826.469999999972</v>
      </c>
      <c r="E12" s="225">
        <f t="shared" si="4"/>
        <v>71139.039999999994</v>
      </c>
      <c r="F12" s="225">
        <f t="shared" si="5"/>
        <v>2697077.99</v>
      </c>
      <c r="G12" s="225">
        <f t="shared" si="6"/>
        <v>30583.23</v>
      </c>
    </row>
    <row r="13" spans="1:7" s="46" customFormat="1" x14ac:dyDescent="0.35">
      <c r="A13" s="20" t="s">
        <v>109</v>
      </c>
      <c r="B13" s="225">
        <f t="shared" si="4"/>
        <v>2570767.7999999998</v>
      </c>
      <c r="C13" s="225">
        <f t="shared" si="4"/>
        <v>308800.2</v>
      </c>
      <c r="D13" s="225">
        <f t="shared" si="4"/>
        <v>-168074.32999999996</v>
      </c>
      <c r="E13" s="225">
        <f t="shared" si="4"/>
        <v>38477.540000000008</v>
      </c>
      <c r="F13" s="225">
        <f t="shared" si="5"/>
        <v>2749971.21</v>
      </c>
      <c r="G13" s="225">
        <f t="shared" si="6"/>
        <v>33.840000000001965</v>
      </c>
    </row>
    <row r="14" spans="1:7" s="46" customFormat="1" x14ac:dyDescent="0.35">
      <c r="A14" s="20" t="s">
        <v>110</v>
      </c>
      <c r="B14" s="225">
        <f t="shared" si="4"/>
        <v>499283.36</v>
      </c>
      <c r="C14" s="225">
        <f t="shared" si="4"/>
        <v>483446.2</v>
      </c>
      <c r="D14" s="225">
        <f t="shared" si="4"/>
        <v>-168892.15000000002</v>
      </c>
      <c r="E14" s="225">
        <f t="shared" si="4"/>
        <v>24639.73</v>
      </c>
      <c r="F14" s="225">
        <f t="shared" si="5"/>
        <v>838477.14</v>
      </c>
      <c r="G14" s="225">
        <f t="shared" si="6"/>
        <v>36121.660000000011</v>
      </c>
    </row>
    <row r="15" spans="1:7" s="46" customFormat="1" x14ac:dyDescent="0.35">
      <c r="A15" s="30" t="s">
        <v>112</v>
      </c>
      <c r="B15" s="225">
        <f t="shared" ref="B15:E15" si="7">SUM(B11:B14)</f>
        <v>5972530.4900000002</v>
      </c>
      <c r="C15" s="225">
        <f t="shared" si="7"/>
        <v>1159977.21</v>
      </c>
      <c r="D15" s="225">
        <f t="shared" si="7"/>
        <v>-761810.72</v>
      </c>
      <c r="E15" s="225">
        <f t="shared" si="7"/>
        <v>103007.67</v>
      </c>
      <c r="F15" s="225">
        <f t="shared" ref="F15:G15" si="8">SUM(F11:F14)</f>
        <v>6473704.6499999994</v>
      </c>
      <c r="G15" s="225">
        <f t="shared" si="8"/>
        <v>-7901.2799999999988</v>
      </c>
    </row>
    <row r="16" spans="1:7" s="46" customFormat="1" x14ac:dyDescent="0.35">
      <c r="E16" s="4"/>
    </row>
    <row r="17" spans="1:7" s="46" customFormat="1" x14ac:dyDescent="0.35">
      <c r="A17" s="20"/>
      <c r="B17" s="70"/>
      <c r="C17" s="70"/>
      <c r="D17" s="154"/>
    </row>
    <row r="18" spans="1:7" s="46" customFormat="1" x14ac:dyDescent="0.35">
      <c r="A18" s="254" t="s">
        <v>175</v>
      </c>
      <c r="B18" s="70"/>
      <c r="C18" s="70"/>
      <c r="D18" s="154"/>
    </row>
    <row r="19" spans="1:7" s="46" customFormat="1" x14ac:dyDescent="0.35">
      <c r="A19" s="20" t="s">
        <v>24</v>
      </c>
      <c r="B19" s="25">
        <f>ROUND(+'[15]EO Matrix @Meter'!$S$18,2)</f>
        <v>3528190.07</v>
      </c>
      <c r="C19" s="25">
        <f>ROUND(+'[16]TD EO Ex Post Gross Adj'!$AL$370,2)</f>
        <v>-1041427.6</v>
      </c>
      <c r="D19" s="25">
        <f>ROUND('[16]TD EO NTG Adj'!$AL$384,2)</f>
        <v>537465.77</v>
      </c>
      <c r="E19" s="25">
        <f>ROUND(+'[16]EO TD Carrying Costs'!$AL$63,2)</f>
        <v>11386.11</v>
      </c>
      <c r="F19" s="225">
        <f>SUM(B19:E19)</f>
        <v>3035614.3499999996</v>
      </c>
      <c r="G19" s="225">
        <f>ROUND(F19/24*0,2)</f>
        <v>0</v>
      </c>
    </row>
    <row r="20" spans="1:7" s="46" customFormat="1" x14ac:dyDescent="0.35">
      <c r="A20" s="20" t="s">
        <v>25</v>
      </c>
      <c r="B20" s="224">
        <f>ROUND(+'[15]EO Matrix @Meter'!$T$18,2)</f>
        <v>4826270.37</v>
      </c>
      <c r="C20" s="224">
        <f>SUM(C23:C26)</f>
        <v>288583.98</v>
      </c>
      <c r="D20" s="224">
        <f t="shared" ref="D20:E20" si="9">SUM(D23:D26)</f>
        <v>662688.41</v>
      </c>
      <c r="E20" s="224">
        <f t="shared" si="9"/>
        <v>41412.159999999996</v>
      </c>
      <c r="F20" s="225">
        <f>SUM(B20:E20)</f>
        <v>5818954.9199999999</v>
      </c>
      <c r="G20" s="225">
        <f>ROUND(F20/24*0,2)</f>
        <v>0</v>
      </c>
    </row>
    <row r="21" spans="1:7" s="46" customFormat="1" x14ac:dyDescent="0.35">
      <c r="A21" s="20" t="s">
        <v>5</v>
      </c>
      <c r="B21" s="225">
        <f t="shared" ref="B21:G21" si="10">SUM(B19:B20)</f>
        <v>8354460.4399999995</v>
      </c>
      <c r="C21" s="225">
        <f t="shared" si="10"/>
        <v>-752843.62</v>
      </c>
      <c r="D21" s="225">
        <f t="shared" si="10"/>
        <v>1200154.1800000002</v>
      </c>
      <c r="E21" s="225">
        <f t="shared" si="10"/>
        <v>52798.27</v>
      </c>
      <c r="F21" s="225">
        <f t="shared" si="10"/>
        <v>8854569.2699999996</v>
      </c>
      <c r="G21" s="225">
        <f t="shared" si="10"/>
        <v>0</v>
      </c>
    </row>
    <row r="22" spans="1:7" s="46" customFormat="1" x14ac:dyDescent="0.35">
      <c r="B22" s="222"/>
      <c r="C22" s="222"/>
      <c r="D22" s="223"/>
    </row>
    <row r="23" spans="1:7" x14ac:dyDescent="0.35">
      <c r="A23" s="20" t="s">
        <v>107</v>
      </c>
      <c r="B23" s="25">
        <f>ROUND(+'[15]EO Matrix @Meter'!$W$18,2)</f>
        <v>674006.21</v>
      </c>
      <c r="C23" s="25">
        <f>ROUND(+'[16]TD EO Ex Post Gross Adj'!AL371,2)</f>
        <v>-37272.29</v>
      </c>
      <c r="D23" s="25">
        <f>ROUND(+'[16]TD EO NTG Adj'!AL385,2)</f>
        <v>101225.02</v>
      </c>
      <c r="E23" s="224">
        <f>ROUND(+'[16]EO TD Carrying Costs'!AL64,2)</f>
        <v>4637.5600000000004</v>
      </c>
      <c r="F23" s="225">
        <f t="shared" ref="F23:F26" si="11">SUM(B23:E23)</f>
        <v>742596.5</v>
      </c>
      <c r="G23" s="225">
        <f>ROUND(F23/24*0,2)</f>
        <v>0</v>
      </c>
    </row>
    <row r="24" spans="1:7" x14ac:dyDescent="0.35">
      <c r="A24" s="20" t="s">
        <v>108</v>
      </c>
      <c r="B24" s="224">
        <f>ROUND(+'[15]EO Matrix @Meter'!$X$18,2)</f>
        <v>1713084.19</v>
      </c>
      <c r="C24" s="224">
        <f>ROUND(+'[16]TD EO Ex Post Gross Adj'!AL372,2)</f>
        <v>122147.33</v>
      </c>
      <c r="D24" s="224">
        <f>ROUND(+'[16]TD EO NTG Adj'!AL386,2)</f>
        <v>340699.47</v>
      </c>
      <c r="E24" s="224">
        <f>ROUND(+'[16]EO TD Carrying Costs'!AL65,2)</f>
        <v>19663.03</v>
      </c>
      <c r="F24" s="225">
        <f t="shared" si="11"/>
        <v>2195594.02</v>
      </c>
      <c r="G24" s="225">
        <f>ROUND(F24/24*0,2)</f>
        <v>0</v>
      </c>
    </row>
    <row r="25" spans="1:7" x14ac:dyDescent="0.35">
      <c r="A25" s="20" t="s">
        <v>109</v>
      </c>
      <c r="B25" s="25">
        <f>ROUND(+'[15]EO Matrix @Meter'!$Y$18,2)</f>
        <v>2024596.54</v>
      </c>
      <c r="C25" s="25">
        <f>ROUND(+'[16]TD EO Ex Post Gross Adj'!AL373,2)</f>
        <v>169641.44</v>
      </c>
      <c r="D25" s="25">
        <f>ROUND(+'[16]TD EO NTG Adj'!AL387,2)</f>
        <v>191871.42</v>
      </c>
      <c r="E25" s="25">
        <f>ROUND(+'[16]EO TD Carrying Costs'!AL66,2)</f>
        <v>15454.89</v>
      </c>
      <c r="F25" s="225">
        <f t="shared" si="11"/>
        <v>2401564.29</v>
      </c>
      <c r="G25" s="225">
        <f>ROUND(F25/24*0,2)</f>
        <v>0</v>
      </c>
    </row>
    <row r="26" spans="1:7" x14ac:dyDescent="0.35">
      <c r="A26" s="20" t="s">
        <v>110</v>
      </c>
      <c r="B26" s="224">
        <f>ROUND(+'[15]EO Matrix @Meter'!$Z$18,2)</f>
        <v>414583.45</v>
      </c>
      <c r="C26" s="224">
        <f>ROUND(+'[16]TD EO Ex Post Gross Adj'!AL374,2)</f>
        <v>34067.5</v>
      </c>
      <c r="D26" s="224">
        <f>ROUND(+'[16]TD EO NTG Adj'!AL388,2)</f>
        <v>28892.5</v>
      </c>
      <c r="E26" s="224">
        <f>ROUND(+'[16]EO TD Carrying Costs'!AL67,2)</f>
        <v>1656.68</v>
      </c>
      <c r="F26" s="225">
        <f t="shared" si="11"/>
        <v>479200.13</v>
      </c>
      <c r="G26" s="225">
        <f>ROUND(F26/24*0,2)</f>
        <v>0</v>
      </c>
    </row>
    <row r="27" spans="1:7" x14ac:dyDescent="0.35">
      <c r="A27" s="30" t="s">
        <v>112</v>
      </c>
      <c r="B27" s="225">
        <f>SUM(B23:B26)</f>
        <v>4826270.3899999997</v>
      </c>
      <c r="C27" s="225">
        <f>SUM(C23:C26)</f>
        <v>288583.98</v>
      </c>
      <c r="D27" s="225">
        <f t="shared" ref="D27:G27" si="12">SUM(D23:D26)</f>
        <v>662688.41</v>
      </c>
      <c r="E27" s="225">
        <f t="shared" si="12"/>
        <v>41412.159999999996</v>
      </c>
      <c r="F27" s="225">
        <f t="shared" si="12"/>
        <v>5818954.9400000004</v>
      </c>
      <c r="G27" s="225">
        <f t="shared" si="12"/>
        <v>0</v>
      </c>
    </row>
    <row r="28" spans="1:7" x14ac:dyDescent="0.35">
      <c r="A28" s="46"/>
      <c r="B28" s="46"/>
      <c r="D28" s="46"/>
      <c r="E28" s="4"/>
    </row>
    <row r="29" spans="1:7" s="46" customFormat="1" x14ac:dyDescent="0.35">
      <c r="E29" s="4"/>
    </row>
    <row r="30" spans="1:7" x14ac:dyDescent="0.35">
      <c r="A30" s="254" t="s">
        <v>176</v>
      </c>
      <c r="B30" s="46"/>
      <c r="D30" s="46"/>
      <c r="E30" s="46"/>
    </row>
    <row r="31" spans="1:7" s="46" customFormat="1" x14ac:dyDescent="0.35">
      <c r="A31" s="20" t="s">
        <v>24</v>
      </c>
      <c r="B31" s="25">
        <f>ROUND(+'[17]EO Matrix @Meter'!$S$18,2)</f>
        <v>1266045.8400000001</v>
      </c>
      <c r="C31" s="25">
        <f>ROUND(+'[16]TD EO Ex Post Gross Adj'!BE370+'[16]TD EO Ex Post Gross Adj'!BS370+'[18]TD EO Ex Post Gross Adj'!BE370+'[18]TD EO Ex Post Gross Adj'!BS370,2)</f>
        <v>-261684.95</v>
      </c>
      <c r="D31" s="25">
        <f>ROUND(+'[16]TD EO NTG Adj'!$BE$384+'[16]TD EO NTG Adj'!$BS$384+'[18]TD EO NTG Adj'!$BE$384+'[18]TD EO NTG Adj'!$BS$384,2)</f>
        <v>-1774297.12</v>
      </c>
      <c r="E31" s="25">
        <f>ROUND(+'[16]EO TD Carrying Costs'!$BE$63+'[18]EO TD Carrying Costs'!$BE$62,2)</f>
        <v>-89512.47</v>
      </c>
      <c r="F31" s="225">
        <f>SUM(B31:E31)</f>
        <v>-859448.7</v>
      </c>
      <c r="G31" s="225">
        <f>ROUND(F31/24*1,2)</f>
        <v>-35810.36</v>
      </c>
    </row>
    <row r="32" spans="1:7" s="46" customFormat="1" x14ac:dyDescent="0.35">
      <c r="A32" s="20" t="s">
        <v>25</v>
      </c>
      <c r="B32" s="224">
        <f>ROUND(SUM('[17]EO Matrix @Meter'!$W$18:$Z$18),2)</f>
        <v>1146260.1000000001</v>
      </c>
      <c r="C32" s="224">
        <f>SUM(C35:C38)</f>
        <v>652330.12000000011</v>
      </c>
      <c r="D32" s="224">
        <f t="shared" ref="D32:E32" si="13">SUM(D35:D38)</f>
        <v>-1070219.28</v>
      </c>
      <c r="E32" s="224">
        <f t="shared" si="13"/>
        <v>60706.75</v>
      </c>
      <c r="F32" s="225">
        <f>SUM(B32:E32)</f>
        <v>789077.69000000018</v>
      </c>
      <c r="G32" s="225">
        <f>ROUND(F32/24*1,2)</f>
        <v>32878.239999999998</v>
      </c>
    </row>
    <row r="33" spans="1:7" s="46" customFormat="1" x14ac:dyDescent="0.35">
      <c r="A33" s="20" t="s">
        <v>5</v>
      </c>
      <c r="B33" s="225">
        <f t="shared" ref="B33:G33" si="14">SUM(B31:B32)</f>
        <v>2412305.9400000004</v>
      </c>
      <c r="C33" s="225">
        <f t="shared" si="14"/>
        <v>390645.1700000001</v>
      </c>
      <c r="D33" s="225">
        <f t="shared" si="14"/>
        <v>-2844516.4000000004</v>
      </c>
      <c r="E33" s="225">
        <f t="shared" si="14"/>
        <v>-28805.72</v>
      </c>
      <c r="F33" s="225">
        <f t="shared" si="14"/>
        <v>-70371.009999999776</v>
      </c>
      <c r="G33" s="225">
        <f t="shared" si="14"/>
        <v>-2932.1200000000026</v>
      </c>
    </row>
    <row r="34" spans="1:7" s="46" customFormat="1" x14ac:dyDescent="0.35">
      <c r="B34" s="222"/>
      <c r="C34" s="222"/>
      <c r="D34" s="223"/>
    </row>
    <row r="35" spans="1:7" s="46" customFormat="1" x14ac:dyDescent="0.35">
      <c r="A35" s="20" t="s">
        <v>107</v>
      </c>
      <c r="B35" s="25">
        <f>ROUND(+'[17]EO Matrix @Meter'!$W$18,2)</f>
        <v>124816.68</v>
      </c>
      <c r="C35" s="25">
        <f>ROUND(+'[16]TD EO Ex Post Gross Adj'!BE371+'[16]TD EO Ex Post Gross Adj'!BS371+'[18]TD EO Ex Post Gross Adj'!BE371+'[18]TD EO Ex Post Gross Adj'!BS371,2)</f>
        <v>-31690.68</v>
      </c>
      <c r="D35" s="25">
        <f>ROUND(+'[16]TD EO NTG Adj'!BE385+'[16]TD EO NTG Adj'!BS385+'[18]TD EO NTG Adj'!BE385+'[18]TD EO NTG Adj'!BS385,2)</f>
        <v>-451100.9</v>
      </c>
      <c r="E35" s="224">
        <f>ROUND(+'[16]EO TD Carrying Costs'!BE64+'[18]EO TD Carrying Costs'!BE63,2)</f>
        <v>-6747.99</v>
      </c>
      <c r="F35" s="225">
        <f t="shared" ref="F35:F38" si="15">SUM(B35:E35)</f>
        <v>-364722.89</v>
      </c>
      <c r="G35" s="225">
        <f>ROUND(F35/24*1,2)</f>
        <v>-15196.79</v>
      </c>
    </row>
    <row r="36" spans="1:7" s="46" customFormat="1" x14ac:dyDescent="0.35">
      <c r="A36" s="20" t="s">
        <v>108</v>
      </c>
      <c r="B36" s="224">
        <f>ROUND(+'[17]EO Matrix @Meter'!$X$18,2)</f>
        <v>390572.25</v>
      </c>
      <c r="C36" s="224">
        <f>ROUND(+'[16]TD EO Ex Post Gross Adj'!BE372+'[16]TD EO Ex Post Gross Adj'!BS372+'[18]TD EO Ex Post Gross Adj'!BE372+'[18]TD EO Ex Post Gross Adj'!BS372,2)</f>
        <v>243638.01</v>
      </c>
      <c r="D36" s="224">
        <f>ROUND(+'[16]TD EO NTG Adj'!BE386+'[16]TD EO NTG Adj'!BS386+'[18]TD EO NTG Adj'!BE386+'[18]TD EO NTG Adj'!BS386,2)</f>
        <v>-201296.23</v>
      </c>
      <c r="E36" s="224">
        <f>ROUND(+'[16]EO TD Carrying Costs'!BE65+'[18]EO TD Carrying Costs'!BE64,2)</f>
        <v>35332.660000000003</v>
      </c>
      <c r="F36" s="225">
        <f t="shared" si="15"/>
        <v>468246.69000000006</v>
      </c>
      <c r="G36" s="225">
        <f>ROUND(F36/24*1,2)</f>
        <v>19510.28</v>
      </c>
    </row>
    <row r="37" spans="1:7" s="46" customFormat="1" x14ac:dyDescent="0.35">
      <c r="A37" s="20" t="s">
        <v>109</v>
      </c>
      <c r="B37" s="25">
        <f>ROUND(+'[17]EO Matrix @Meter'!$Y$18,2)</f>
        <v>546171.26</v>
      </c>
      <c r="C37" s="25">
        <f>ROUND(+'[16]TD EO Ex Post Gross Adj'!BE373+'[16]TD EO Ex Post Gross Adj'!BS373+'[18]TD EO Ex Post Gross Adj'!BE373+'[18]TD EO Ex Post Gross Adj'!BS373,2)</f>
        <v>104616.02</v>
      </c>
      <c r="D37" s="25">
        <f>ROUND(+'[16]TD EO NTG Adj'!BE387+'[16]TD EO NTG Adj'!BS387+'[18]TD EO NTG Adj'!BE387+'[18]TD EO NTG Adj'!BS387,2)</f>
        <v>-270192.05</v>
      </c>
      <c r="E37" s="25">
        <f>ROUND(+'[16]EO TD Carrying Costs'!BE66+'[18]EO TD Carrying Costs'!BE65,2)</f>
        <v>23076.27</v>
      </c>
      <c r="F37" s="225">
        <f t="shared" si="15"/>
        <v>403671.50000000006</v>
      </c>
      <c r="G37" s="225">
        <f>ROUND(F37/24*1,2)</f>
        <v>16819.650000000001</v>
      </c>
    </row>
    <row r="38" spans="1:7" s="46" customFormat="1" x14ac:dyDescent="0.35">
      <c r="A38" s="20" t="s">
        <v>110</v>
      </c>
      <c r="B38" s="224">
        <f>ROUND(+'[17]EO Matrix @Meter'!$Z$18,2)</f>
        <v>84699.91</v>
      </c>
      <c r="C38" s="224">
        <f>ROUND(+'[16]TD EO Ex Post Gross Adj'!BE374+'[16]TD EO Ex Post Gross Adj'!BS374+'[18]TD EO Ex Post Gross Adj'!BE374+'[18]TD EO Ex Post Gross Adj'!BS374,2)</f>
        <v>335766.77</v>
      </c>
      <c r="D38" s="224">
        <f>ROUND(+'[16]TD EO NTG Adj'!BE388+'[16]TD EO NTG Adj'!BS388+'[18]TD EO NTG Adj'!BE388+'[18]TD EO NTG Adj'!BS388,2)</f>
        <v>-147630.1</v>
      </c>
      <c r="E38" s="224">
        <f>ROUND(+'[16]EO TD Carrying Costs'!BE67+'[18]EO TD Carrying Costs'!BE66,2)</f>
        <v>9045.81</v>
      </c>
      <c r="F38" s="225">
        <f t="shared" si="15"/>
        <v>281882.39000000007</v>
      </c>
      <c r="G38" s="225">
        <f>ROUND(F38/24*1,2)</f>
        <v>11745.1</v>
      </c>
    </row>
    <row r="39" spans="1:7" s="46" customFormat="1" x14ac:dyDescent="0.35">
      <c r="A39" s="30" t="s">
        <v>112</v>
      </c>
      <c r="B39" s="225">
        <f>SUM(B35:B38)</f>
        <v>1146260.0999999999</v>
      </c>
      <c r="C39" s="225">
        <f>SUM(C35:C38)</f>
        <v>652330.12000000011</v>
      </c>
      <c r="D39" s="225">
        <f t="shared" ref="D39:G39" si="16">SUM(D35:D38)</f>
        <v>-1070219.28</v>
      </c>
      <c r="E39" s="225">
        <f t="shared" si="16"/>
        <v>60706.75</v>
      </c>
      <c r="F39" s="225">
        <f t="shared" si="16"/>
        <v>789077.69000000018</v>
      </c>
      <c r="G39" s="225">
        <f t="shared" si="16"/>
        <v>32878.239999999998</v>
      </c>
    </row>
    <row r="40" spans="1:7" s="46" customFormat="1" x14ac:dyDescent="0.35">
      <c r="E40" s="4"/>
    </row>
    <row r="41" spans="1:7" x14ac:dyDescent="0.35">
      <c r="A41" s="46"/>
      <c r="B41" s="46"/>
      <c r="D41" s="46"/>
      <c r="E41" s="46"/>
    </row>
    <row r="42" spans="1:7" s="46" customFormat="1" x14ac:dyDescent="0.35">
      <c r="A42" s="254" t="s">
        <v>177</v>
      </c>
    </row>
    <row r="43" spans="1:7" s="46" customFormat="1" x14ac:dyDescent="0.35">
      <c r="A43" s="20" t="s">
        <v>24</v>
      </c>
      <c r="B43" s="25">
        <v>0</v>
      </c>
      <c r="C43" s="25">
        <f>ROUND('[16]TD EO Ex Post Gross Adj'!$CE$370+'[18]TD EO Ex Post Gross Adj'!$CE$370,2)</f>
        <v>8894.23</v>
      </c>
      <c r="D43" s="25">
        <f>ROUND('[16]TD EO NTG Adj'!$CE$384+'[18]TD EO NTG Adj'!$CE$384,2)</f>
        <v>-668670.34</v>
      </c>
      <c r="E43" s="25">
        <f>ROUND('[16]EO TD Carrying Costs'!$BK$63+'[18]EO TD Carrying Costs'!$BK$62,2)</f>
        <v>-51414.78</v>
      </c>
      <c r="F43" s="225">
        <f>SUM(B43:E43)</f>
        <v>-711190.89</v>
      </c>
      <c r="G43" s="225">
        <f>ROUND(F43/24*7,2)</f>
        <v>-207430.68</v>
      </c>
    </row>
    <row r="44" spans="1:7" s="46" customFormat="1" x14ac:dyDescent="0.35">
      <c r="A44" s="20" t="s">
        <v>25</v>
      </c>
      <c r="B44" s="224">
        <v>0</v>
      </c>
      <c r="C44" s="224">
        <f>SUM(C47:C50)</f>
        <v>219063.11</v>
      </c>
      <c r="D44" s="224">
        <f t="shared" ref="D44:E44" si="17">SUM(D47:D50)</f>
        <v>-354279.85</v>
      </c>
      <c r="E44" s="224">
        <f t="shared" si="17"/>
        <v>10216.190000000002</v>
      </c>
      <c r="F44" s="225">
        <f>SUM(B44:E44)</f>
        <v>-125000.54999999999</v>
      </c>
      <c r="G44" s="225">
        <f>ROUND(F44/24*7,2)</f>
        <v>-36458.49</v>
      </c>
    </row>
    <row r="45" spans="1:7" s="46" customFormat="1" x14ac:dyDescent="0.35">
      <c r="A45" s="20" t="s">
        <v>5</v>
      </c>
      <c r="B45" s="225">
        <f t="shared" ref="B45:G45" si="18">SUM(B43:B44)</f>
        <v>0</v>
      </c>
      <c r="C45" s="225">
        <f t="shared" si="18"/>
        <v>227957.34</v>
      </c>
      <c r="D45" s="225">
        <f t="shared" si="18"/>
        <v>-1022950.19</v>
      </c>
      <c r="E45" s="225">
        <f t="shared" si="18"/>
        <v>-41198.589999999997</v>
      </c>
      <c r="F45" s="225">
        <f t="shared" si="18"/>
        <v>-836191.44</v>
      </c>
      <c r="G45" s="225">
        <f t="shared" si="18"/>
        <v>-243889.16999999998</v>
      </c>
    </row>
    <row r="46" spans="1:7" s="46" customFormat="1" x14ac:dyDescent="0.35">
      <c r="B46" s="222"/>
      <c r="C46" s="222"/>
      <c r="D46" s="223"/>
    </row>
    <row r="47" spans="1:7" s="46" customFormat="1" x14ac:dyDescent="0.35">
      <c r="A47" s="20" t="s">
        <v>107</v>
      </c>
      <c r="B47" s="25">
        <v>0</v>
      </c>
      <c r="C47" s="25">
        <f>ROUND('[16]TD EO Ex Post Gross Adj'!$CE$371+'[18]TD EO Ex Post Gross Adj'!$CE$371,2)</f>
        <v>-10762.26</v>
      </c>
      <c r="D47" s="25">
        <f>ROUND('[16]TD EO NTG Adj'!$CE$385+'[18]TD EO NTG Adj'!$CE$385,2)</f>
        <v>-149794.82999999999</v>
      </c>
      <c r="E47" s="224">
        <f>ROUND('[16]EO TD Carrying Costs'!$BK$64+'[18]EO TD Carrying Costs'!$BK$63,2)</f>
        <v>-8503.82</v>
      </c>
      <c r="F47" s="225">
        <f t="shared" ref="F47:F50" si="19">SUM(B47:E47)</f>
        <v>-169060.91</v>
      </c>
      <c r="G47" s="225">
        <f>ROUND(F47/24*7,2)</f>
        <v>-49309.43</v>
      </c>
    </row>
    <row r="48" spans="1:7" s="46" customFormat="1" x14ac:dyDescent="0.35">
      <c r="A48" s="20" t="s">
        <v>108</v>
      </c>
      <c r="B48" s="224">
        <v>0</v>
      </c>
      <c r="C48" s="224">
        <f>ROUND('[16]TD EO Ex Post Gross Adj'!$CE$372+'[18]TD EO Ex Post Gross Adj'!$CE$372,2)</f>
        <v>81670.7</v>
      </c>
      <c r="D48" s="224">
        <f>ROUND('[16]TD EO NTG Adj'!$CE$386+'[18]TD EO NTG Adj'!$CE$386,2)</f>
        <v>-64576.77</v>
      </c>
      <c r="E48" s="224">
        <f>ROUND('[16]EO TD Carrying Costs'!$BK$65+'[18]EO TD Carrying Costs'!$BK$64,2)</f>
        <v>9912.11</v>
      </c>
      <c r="F48" s="225">
        <f t="shared" si="19"/>
        <v>27006.04</v>
      </c>
      <c r="G48" s="225">
        <f>ROUND(F48/24*7,2)</f>
        <v>7876.76</v>
      </c>
    </row>
    <row r="49" spans="1:7" s="46" customFormat="1" x14ac:dyDescent="0.35">
      <c r="A49" s="20" t="s">
        <v>109</v>
      </c>
      <c r="B49" s="25">
        <v>0</v>
      </c>
      <c r="C49" s="25">
        <f>ROUND('[16]TD EO Ex Post Gross Adj'!$CE$373+'[18]TD EO Ex Post Gross Adj'!$CE$373,2)</f>
        <v>34542.74</v>
      </c>
      <c r="D49" s="25">
        <f>ROUND('[16]TD EO NTG Adj'!$CE$387+'[18]TD EO NTG Adj'!$CE$387,2)</f>
        <v>-89753.7</v>
      </c>
      <c r="E49" s="25">
        <f>ROUND('[16]EO TD Carrying Costs'!$BK$66+'[18]EO TD Carrying Costs'!$BK$65,2)</f>
        <v>3787.3</v>
      </c>
      <c r="F49" s="225">
        <f t="shared" si="19"/>
        <v>-51423.659999999996</v>
      </c>
      <c r="G49" s="225">
        <f>ROUND(F49/24*7,2)</f>
        <v>-14998.57</v>
      </c>
    </row>
    <row r="50" spans="1:7" s="46" customFormat="1" x14ac:dyDescent="0.35">
      <c r="A50" s="20" t="s">
        <v>110</v>
      </c>
      <c r="B50" s="224">
        <v>0</v>
      </c>
      <c r="C50" s="224">
        <f>ROUND('[16]TD EO Ex Post Gross Adj'!$CE$374+'[18]TD EO Ex Post Gross Adj'!$CE$374,2)</f>
        <v>113611.93</v>
      </c>
      <c r="D50" s="224">
        <f>ROUND('[16]TD EO NTG Adj'!$CE$388+'[18]TD EO NTG Adj'!$CE$388,2)</f>
        <v>-50154.55</v>
      </c>
      <c r="E50" s="224">
        <f>ROUND('[16]EO TD Carrying Costs'!$BK$67+'[18]EO TD Carrying Costs'!$BK$66,2)</f>
        <v>5020.6000000000004</v>
      </c>
      <c r="F50" s="225">
        <f t="shared" si="19"/>
        <v>68477.98</v>
      </c>
      <c r="G50" s="225">
        <f>ROUND(F50/24*7,2)</f>
        <v>19972.740000000002</v>
      </c>
    </row>
    <row r="51" spans="1:7" s="46" customFormat="1" x14ac:dyDescent="0.35">
      <c r="A51" s="30" t="s">
        <v>112</v>
      </c>
      <c r="B51" s="225">
        <f>SUM(B47:B50)</f>
        <v>0</v>
      </c>
      <c r="C51" s="225">
        <f>SUM(C47:C50)</f>
        <v>219063.11</v>
      </c>
      <c r="D51" s="225">
        <f t="shared" ref="D51:G51" si="20">SUM(D47:D50)</f>
        <v>-354279.85</v>
      </c>
      <c r="E51" s="225">
        <f t="shared" si="20"/>
        <v>10216.190000000002</v>
      </c>
      <c r="F51" s="225">
        <f t="shared" si="20"/>
        <v>-125000.55</v>
      </c>
      <c r="G51" s="225">
        <f t="shared" si="20"/>
        <v>-36458.5</v>
      </c>
    </row>
    <row r="52" spans="1:7" s="46" customFormat="1" x14ac:dyDescent="0.35">
      <c r="E52" s="4"/>
    </row>
    <row r="53" spans="1:7" s="46" customFormat="1" x14ac:dyDescent="0.35">
      <c r="A53" s="254" t="s">
        <v>178</v>
      </c>
    </row>
    <row r="54" spans="1:7" s="46" customFormat="1" x14ac:dyDescent="0.35">
      <c r="A54" s="20" t="s">
        <v>24</v>
      </c>
      <c r="B54" s="25">
        <v>0</v>
      </c>
      <c r="C54" s="25">
        <v>0</v>
      </c>
      <c r="D54" s="25">
        <v>0</v>
      </c>
      <c r="E54" s="25">
        <f>ROUND(SUM('[19]EO TD Carrying Costs'!$BJ$81:$BK$81,'[19]EO TD Carrying Costs'!$BL$55:$BQ$55)+SUM('[20]EO TD Carrying Costs'!$BJ$82:$BK$82,'[20]EO TD Carrying Costs'!$BL$55:$BQ$55),2)</f>
        <v>-46354.43</v>
      </c>
      <c r="F54" s="225">
        <f>SUM(B54:E54)</f>
        <v>-46354.43</v>
      </c>
      <c r="G54" s="225">
        <f>ROUND(F54/24*12,2)</f>
        <v>-23177.22</v>
      </c>
    </row>
    <row r="55" spans="1:7" s="46" customFormat="1" x14ac:dyDescent="0.35">
      <c r="A55" s="20" t="s">
        <v>25</v>
      </c>
      <c r="B55" s="224">
        <v>0</v>
      </c>
      <c r="C55" s="224">
        <f>SUM(C58:C61)</f>
        <v>0</v>
      </c>
      <c r="D55" s="224">
        <f t="shared" ref="D55:G55" si="21">SUM(D58:D61)</f>
        <v>0</v>
      </c>
      <c r="E55" s="224">
        <f t="shared" si="21"/>
        <v>2949.1899999999991</v>
      </c>
      <c r="F55" s="225">
        <f>SUM(B55:E55)</f>
        <v>2949.1899999999991</v>
      </c>
      <c r="G55" s="225">
        <f t="shared" si="21"/>
        <v>1474.5999999999997</v>
      </c>
    </row>
    <row r="56" spans="1:7" s="46" customFormat="1" x14ac:dyDescent="0.35">
      <c r="A56" s="20" t="s">
        <v>5</v>
      </c>
      <c r="B56" s="225">
        <f t="shared" ref="B56:G56" si="22">SUM(B54:B55)</f>
        <v>0</v>
      </c>
      <c r="C56" s="225">
        <f t="shared" si="22"/>
        <v>0</v>
      </c>
      <c r="D56" s="225">
        <f t="shared" si="22"/>
        <v>0</v>
      </c>
      <c r="E56" s="225">
        <f t="shared" si="22"/>
        <v>-43405.24</v>
      </c>
      <c r="F56" s="225">
        <f t="shared" si="22"/>
        <v>-43405.24</v>
      </c>
      <c r="G56" s="225">
        <f t="shared" si="22"/>
        <v>-21702.620000000003</v>
      </c>
    </row>
    <row r="57" spans="1:7" s="46" customFormat="1" x14ac:dyDescent="0.35">
      <c r="B57" s="222"/>
      <c r="C57" s="222"/>
      <c r="D57" s="223"/>
    </row>
    <row r="58" spans="1:7" s="46" customFormat="1" x14ac:dyDescent="0.35">
      <c r="A58" s="20" t="s">
        <v>107</v>
      </c>
      <c r="B58" s="25">
        <v>0</v>
      </c>
      <c r="C58" s="25">
        <v>0</v>
      </c>
      <c r="D58" s="25">
        <v>0</v>
      </c>
      <c r="E58" s="224">
        <f>ROUND(SUM('[19]EO TD Carrying Costs'!$BJ82:$BK82,'[19]EO TD Carrying Costs'!$BL56:$BQ56)+SUM('[20]EO TD Carrying Costs'!$BJ83:$BK83,'[20]EO TD Carrying Costs'!$BL56:$BQ56),2)</f>
        <v>-8810.09</v>
      </c>
      <c r="F58" s="225">
        <f t="shared" ref="F58:F61" si="23">SUM(B58:E58)</f>
        <v>-8810.09</v>
      </c>
      <c r="G58" s="225">
        <f>ROUND(F58/24*12,2)</f>
        <v>-4405.05</v>
      </c>
    </row>
    <row r="59" spans="1:7" s="46" customFormat="1" x14ac:dyDescent="0.35">
      <c r="A59" s="20" t="s">
        <v>108</v>
      </c>
      <c r="B59" s="224">
        <v>0</v>
      </c>
      <c r="C59" s="224">
        <v>0</v>
      </c>
      <c r="D59" s="224">
        <v>0</v>
      </c>
      <c r="E59" s="224">
        <f>ROUND(SUM('[19]EO TD Carrying Costs'!$BJ83:$BK83,'[19]EO TD Carrying Costs'!$BL57:$BQ57)+SUM('[20]EO TD Carrying Costs'!$BJ84:$BK84,'[20]EO TD Carrying Costs'!$BL57:$BQ57),2)</f>
        <v>6289.37</v>
      </c>
      <c r="F59" s="225">
        <f t="shared" si="23"/>
        <v>6289.37</v>
      </c>
      <c r="G59" s="225">
        <f t="shared" ref="G59:G61" si="24">ROUND(F59/24*12,2)</f>
        <v>3144.69</v>
      </c>
    </row>
    <row r="60" spans="1:7" s="46" customFormat="1" x14ac:dyDescent="0.35">
      <c r="A60" s="20" t="s">
        <v>109</v>
      </c>
      <c r="B60" s="25">
        <v>0</v>
      </c>
      <c r="C60" s="25">
        <v>0</v>
      </c>
      <c r="D60" s="25">
        <v>0</v>
      </c>
      <c r="E60" s="25">
        <f>ROUND(SUM('[19]EO TD Carrying Costs'!$BJ84:$BK84,'[19]EO TD Carrying Costs'!$BL58:$BQ58)+SUM('[20]EO TD Carrying Costs'!$BJ85:$BK85,'[20]EO TD Carrying Costs'!$BL58:$BQ58),2)</f>
        <v>1003.18</v>
      </c>
      <c r="F60" s="225">
        <f t="shared" si="23"/>
        <v>1003.18</v>
      </c>
      <c r="G60" s="225">
        <f t="shared" si="24"/>
        <v>501.59</v>
      </c>
    </row>
    <row r="61" spans="1:7" s="46" customFormat="1" x14ac:dyDescent="0.35">
      <c r="A61" s="20" t="s">
        <v>110</v>
      </c>
      <c r="B61" s="224">
        <v>0</v>
      </c>
      <c r="C61" s="224">
        <v>0</v>
      </c>
      <c r="D61" s="224">
        <v>0</v>
      </c>
      <c r="E61" s="224">
        <f>ROUND(SUM('[19]EO TD Carrying Costs'!$BJ85:$BK85,'[19]EO TD Carrying Costs'!$BL59:$BQ59)+SUM('[20]EO TD Carrying Costs'!$BJ86:$BK86,'[20]EO TD Carrying Costs'!$BL59:$BQ59),2)</f>
        <v>4466.7299999999996</v>
      </c>
      <c r="F61" s="225">
        <f t="shared" si="23"/>
        <v>4466.7299999999996</v>
      </c>
      <c r="G61" s="225">
        <f t="shared" si="24"/>
        <v>2233.37</v>
      </c>
    </row>
    <row r="62" spans="1:7" s="46" customFormat="1" x14ac:dyDescent="0.35">
      <c r="A62" s="30" t="s">
        <v>112</v>
      </c>
      <c r="B62" s="225">
        <f>SUM(B58:B61)</f>
        <v>0</v>
      </c>
      <c r="C62" s="225">
        <f>SUM(C58:C61)</f>
        <v>0</v>
      </c>
      <c r="D62" s="225">
        <f t="shared" ref="D62:G62" si="25">SUM(D58:D61)</f>
        <v>0</v>
      </c>
      <c r="E62" s="225">
        <f t="shared" si="25"/>
        <v>2949.1899999999991</v>
      </c>
      <c r="F62" s="225">
        <f t="shared" si="25"/>
        <v>2949.1899999999991</v>
      </c>
      <c r="G62" s="225">
        <f t="shared" si="25"/>
        <v>1474.5999999999997</v>
      </c>
    </row>
    <row r="63" spans="1:7" s="46" customFormat="1" x14ac:dyDescent="0.35">
      <c r="E63" s="4"/>
    </row>
    <row r="64" spans="1:7" s="46" customFormat="1" x14ac:dyDescent="0.35">
      <c r="A64" s="254" t="s">
        <v>182</v>
      </c>
    </row>
    <row r="65" spans="1:7" s="46" customFormat="1" x14ac:dyDescent="0.35">
      <c r="A65" s="20" t="s">
        <v>24</v>
      </c>
      <c r="B65" s="25">
        <v>0</v>
      </c>
      <c r="C65" s="25">
        <v>0</v>
      </c>
      <c r="D65" s="25">
        <v>0</v>
      </c>
      <c r="E65" s="25">
        <f>ROUND(SUM('[19]EO TD Carrying Costs'!$BR$55:$BW$55)+SUM('[20]EO TD Carrying Costs'!$BR$55:$BW$55),2)</f>
        <v>-32712.49</v>
      </c>
      <c r="F65" s="225">
        <f>SUM(B65:E65)</f>
        <v>-32712.49</v>
      </c>
      <c r="G65" s="225">
        <f>ROUND(F65/24*12,2)</f>
        <v>-16356.25</v>
      </c>
    </row>
    <row r="66" spans="1:7" s="46" customFormat="1" x14ac:dyDescent="0.35">
      <c r="A66" s="20" t="s">
        <v>25</v>
      </c>
      <c r="B66" s="224">
        <v>0</v>
      </c>
      <c r="C66" s="224">
        <f>SUM(C69:C72)</f>
        <v>0</v>
      </c>
      <c r="D66" s="224">
        <f t="shared" ref="D66:E66" si="26">SUM(D69:D72)</f>
        <v>0</v>
      </c>
      <c r="E66" s="224">
        <f t="shared" si="26"/>
        <v>-4051.89</v>
      </c>
      <c r="F66" s="225">
        <f>SUM(B66:E66)</f>
        <v>-4051.89</v>
      </c>
      <c r="G66" s="225">
        <f t="shared" ref="G66" si="27">SUM(G69:G72)</f>
        <v>-2025.9400000000005</v>
      </c>
    </row>
    <row r="67" spans="1:7" s="46" customFormat="1" x14ac:dyDescent="0.35">
      <c r="A67" s="20" t="s">
        <v>5</v>
      </c>
      <c r="B67" s="225">
        <f t="shared" ref="B67:G67" si="28">SUM(B65:B66)</f>
        <v>0</v>
      </c>
      <c r="C67" s="225">
        <f t="shared" si="28"/>
        <v>0</v>
      </c>
      <c r="D67" s="225">
        <f t="shared" si="28"/>
        <v>0</v>
      </c>
      <c r="E67" s="225">
        <f t="shared" si="28"/>
        <v>-36764.380000000005</v>
      </c>
      <c r="F67" s="225">
        <f t="shared" si="28"/>
        <v>-36764.380000000005</v>
      </c>
      <c r="G67" s="225">
        <f t="shared" si="28"/>
        <v>-18382.190000000002</v>
      </c>
    </row>
    <row r="68" spans="1:7" s="46" customFormat="1" x14ac:dyDescent="0.35">
      <c r="B68" s="222"/>
      <c r="C68" s="222"/>
      <c r="D68" s="223"/>
    </row>
    <row r="69" spans="1:7" s="46" customFormat="1" x14ac:dyDescent="0.35">
      <c r="A69" s="20" t="s">
        <v>107</v>
      </c>
      <c r="B69" s="25">
        <v>0</v>
      </c>
      <c r="C69" s="25">
        <v>0</v>
      </c>
      <c r="D69" s="25">
        <v>0</v>
      </c>
      <c r="E69" s="224">
        <f>ROUND(SUM('[19]EO TD Carrying Costs'!$BR56:$BW56)+SUM('[20]EO TD Carrying Costs'!$BR56:$BW56),2)</f>
        <v>-7422.34</v>
      </c>
      <c r="F69" s="225">
        <f t="shared" ref="F69:F72" si="29">SUM(B69:E69)</f>
        <v>-7422.34</v>
      </c>
      <c r="G69" s="225">
        <f>ROUND(F69/24*12,2)</f>
        <v>-3711.17</v>
      </c>
    </row>
    <row r="70" spans="1:7" s="46" customFormat="1" x14ac:dyDescent="0.35">
      <c r="A70" s="20" t="s">
        <v>108</v>
      </c>
      <c r="B70" s="224">
        <v>0</v>
      </c>
      <c r="C70" s="224">
        <v>0</v>
      </c>
      <c r="D70" s="224">
        <v>0</v>
      </c>
      <c r="E70" s="224">
        <f>ROUND(SUM('[19]EO TD Carrying Costs'!$BR57:$BW57)+SUM('[20]EO TD Carrying Costs'!$BR57:$BW57),2)</f>
        <v>1875.39</v>
      </c>
      <c r="F70" s="225">
        <f t="shared" si="29"/>
        <v>1875.39</v>
      </c>
      <c r="G70" s="225">
        <f>ROUND(F70/24*12,2)</f>
        <v>937.7</v>
      </c>
    </row>
    <row r="71" spans="1:7" s="46" customFormat="1" x14ac:dyDescent="0.35">
      <c r="A71" s="20" t="s">
        <v>109</v>
      </c>
      <c r="B71" s="25">
        <v>0</v>
      </c>
      <c r="C71" s="25">
        <v>0</v>
      </c>
      <c r="D71" s="25">
        <v>0</v>
      </c>
      <c r="E71" s="25">
        <f>ROUND(SUM('[19]EO TD Carrying Costs'!$BR58:$BW58)+SUM('[20]EO TD Carrying Costs'!$BR58:$BW58),2)</f>
        <v>-1646.59</v>
      </c>
      <c r="F71" s="225">
        <f t="shared" si="29"/>
        <v>-1646.59</v>
      </c>
      <c r="G71" s="225">
        <f>ROUND(F71/24*12,2)</f>
        <v>-823.3</v>
      </c>
    </row>
    <row r="72" spans="1:7" s="46" customFormat="1" x14ac:dyDescent="0.35">
      <c r="A72" s="20" t="s">
        <v>110</v>
      </c>
      <c r="B72" s="224">
        <v>0</v>
      </c>
      <c r="C72" s="224">
        <v>0</v>
      </c>
      <c r="D72" s="224">
        <v>0</v>
      </c>
      <c r="E72" s="224">
        <f>ROUND(SUM('[19]EO TD Carrying Costs'!$BR59:$BW59)+SUM('[20]EO TD Carrying Costs'!$BR59:$BW59),2)</f>
        <v>3141.65</v>
      </c>
      <c r="F72" s="225">
        <f t="shared" si="29"/>
        <v>3141.65</v>
      </c>
      <c r="G72" s="225">
        <f>ROUND(F72/24*12,2)</f>
        <v>1570.83</v>
      </c>
    </row>
    <row r="73" spans="1:7" s="46" customFormat="1" x14ac:dyDescent="0.35">
      <c r="A73" s="30" t="s">
        <v>112</v>
      </c>
      <c r="B73" s="225">
        <f>SUM(B69:B72)</f>
        <v>0</v>
      </c>
      <c r="C73" s="225">
        <f>SUM(C69:C72)</f>
        <v>0</v>
      </c>
      <c r="D73" s="225">
        <f t="shared" ref="D73:G73" si="30">SUM(D69:D72)</f>
        <v>0</v>
      </c>
      <c r="E73" s="225">
        <f t="shared" si="30"/>
        <v>-4051.89</v>
      </c>
      <c r="F73" s="225">
        <f t="shared" si="30"/>
        <v>-4051.89</v>
      </c>
      <c r="G73" s="225">
        <f t="shared" si="30"/>
        <v>-2025.9400000000005</v>
      </c>
    </row>
    <row r="74" spans="1:7" s="46" customFormat="1" x14ac:dyDescent="0.35">
      <c r="E74" s="4"/>
    </row>
    <row r="75" spans="1:7" s="46" customFormat="1" x14ac:dyDescent="0.35">
      <c r="A75" s="254" t="s">
        <v>213</v>
      </c>
    </row>
    <row r="76" spans="1:7" s="46" customFormat="1" x14ac:dyDescent="0.35">
      <c r="A76" s="20" t="s">
        <v>24</v>
      </c>
      <c r="B76" s="25">
        <v>0</v>
      </c>
      <c r="C76" s="25">
        <v>0</v>
      </c>
      <c r="D76" s="25">
        <v>0</v>
      </c>
      <c r="E76" s="25">
        <f>ROUND(SUM('[19]EO TD Carrying Costs'!$BX$55:$CD$55)+SUM('[20]EO TD Carrying Costs'!$BX$55:$CD$55),2)</f>
        <v>-13938.6</v>
      </c>
      <c r="F76" s="225">
        <f>SUM(B76:E76)</f>
        <v>-13938.6</v>
      </c>
      <c r="G76" s="225">
        <f>ROUND(F76/24*11,2)</f>
        <v>-6388.53</v>
      </c>
    </row>
    <row r="77" spans="1:7" s="46" customFormat="1" x14ac:dyDescent="0.35">
      <c r="A77" s="20" t="s">
        <v>25</v>
      </c>
      <c r="B77" s="224">
        <v>0</v>
      </c>
      <c r="C77" s="224">
        <f>SUM(C80:C83)</f>
        <v>0</v>
      </c>
      <c r="D77" s="224">
        <f t="shared" ref="D77:E77" si="31">SUM(D80:D83)</f>
        <v>0</v>
      </c>
      <c r="E77" s="224">
        <f t="shared" si="31"/>
        <v>-8224.73</v>
      </c>
      <c r="F77" s="225">
        <f>SUM(B77:E77)</f>
        <v>-8224.73</v>
      </c>
      <c r="G77" s="225">
        <f t="shared" ref="G77" si="32">SUM(G80:G83)</f>
        <v>-3769.6800000000003</v>
      </c>
    </row>
    <row r="78" spans="1:7" s="46" customFormat="1" x14ac:dyDescent="0.35">
      <c r="A78" s="20" t="s">
        <v>5</v>
      </c>
      <c r="B78" s="225">
        <f t="shared" ref="B78:G78" si="33">SUM(B76:B77)</f>
        <v>0</v>
      </c>
      <c r="C78" s="225">
        <f t="shared" si="33"/>
        <v>0</v>
      </c>
      <c r="D78" s="225">
        <f t="shared" si="33"/>
        <v>0</v>
      </c>
      <c r="E78" s="225">
        <f t="shared" si="33"/>
        <v>-22163.33</v>
      </c>
      <c r="F78" s="225">
        <f t="shared" si="33"/>
        <v>-22163.33</v>
      </c>
      <c r="G78" s="225">
        <f t="shared" si="33"/>
        <v>-10158.209999999999</v>
      </c>
    </row>
    <row r="79" spans="1:7" s="46" customFormat="1" x14ac:dyDescent="0.35">
      <c r="B79" s="222"/>
      <c r="C79" s="222"/>
      <c r="D79" s="223"/>
    </row>
    <row r="80" spans="1:7" s="46" customFormat="1" x14ac:dyDescent="0.35">
      <c r="A80" s="20" t="s">
        <v>107</v>
      </c>
      <c r="B80" s="25">
        <v>0</v>
      </c>
      <c r="C80" s="25">
        <v>0</v>
      </c>
      <c r="D80" s="25">
        <v>0</v>
      </c>
      <c r="E80" s="224">
        <f>ROUND(SUM('[19]EO TD Carrying Costs'!$BX56:$CD56)+SUM('[20]EO TD Carrying Costs'!$BX56:$CD56),2)</f>
        <v>-4401.96</v>
      </c>
      <c r="F80" s="225">
        <f t="shared" ref="F80:F83" si="34">SUM(B80:E80)</f>
        <v>-4401.96</v>
      </c>
      <c r="G80" s="225">
        <f>ROUND(F80/24*11,2)</f>
        <v>-2017.57</v>
      </c>
    </row>
    <row r="81" spans="1:7" s="46" customFormat="1" x14ac:dyDescent="0.35">
      <c r="A81" s="20" t="s">
        <v>108</v>
      </c>
      <c r="B81" s="224">
        <v>0</v>
      </c>
      <c r="C81" s="224">
        <v>0</v>
      </c>
      <c r="D81" s="224">
        <v>0</v>
      </c>
      <c r="E81" s="224">
        <f>ROUND(SUM('[19]EO TD Carrying Costs'!$BX57:$CD57)+SUM('[20]EO TD Carrying Costs'!$BX57:$CD57),2)</f>
        <v>-1933.52</v>
      </c>
      <c r="F81" s="225">
        <f t="shared" si="34"/>
        <v>-1933.52</v>
      </c>
      <c r="G81" s="225">
        <f t="shared" ref="G81:G83" si="35">ROUND(F81/24*11,2)</f>
        <v>-886.2</v>
      </c>
    </row>
    <row r="82" spans="1:7" s="46" customFormat="1" x14ac:dyDescent="0.35">
      <c r="A82" s="20" t="s">
        <v>109</v>
      </c>
      <c r="B82" s="25">
        <v>0</v>
      </c>
      <c r="C82" s="25">
        <v>0</v>
      </c>
      <c r="D82" s="25">
        <v>0</v>
      </c>
      <c r="E82" s="25">
        <f>ROUND(SUM('[19]EO TD Carrying Costs'!$BX58:$CD58)+SUM('[20]EO TD Carrying Costs'!$BX58:$CD58),2)</f>
        <v>-3197.51</v>
      </c>
      <c r="F82" s="225">
        <f t="shared" si="34"/>
        <v>-3197.51</v>
      </c>
      <c r="G82" s="225">
        <f t="shared" si="35"/>
        <v>-1465.53</v>
      </c>
    </row>
    <row r="83" spans="1:7" s="46" customFormat="1" x14ac:dyDescent="0.35">
      <c r="A83" s="20" t="s">
        <v>110</v>
      </c>
      <c r="B83" s="224">
        <v>0</v>
      </c>
      <c r="C83" s="224">
        <v>0</v>
      </c>
      <c r="D83" s="224">
        <v>0</v>
      </c>
      <c r="E83" s="224">
        <f>ROUND(SUM('[19]EO TD Carrying Costs'!$BX59:$CD59)+SUM('[20]EO TD Carrying Costs'!$BX59:$CD59),2)</f>
        <v>1308.26</v>
      </c>
      <c r="F83" s="225">
        <f t="shared" si="34"/>
        <v>1308.26</v>
      </c>
      <c r="G83" s="225">
        <f t="shared" si="35"/>
        <v>599.62</v>
      </c>
    </row>
    <row r="84" spans="1:7" s="46" customFormat="1" x14ac:dyDescent="0.35">
      <c r="A84" s="30" t="s">
        <v>112</v>
      </c>
      <c r="B84" s="225">
        <f>SUM(B80:B83)</f>
        <v>0</v>
      </c>
      <c r="C84" s="225">
        <f>SUM(C80:C83)</f>
        <v>0</v>
      </c>
      <c r="D84" s="225">
        <f t="shared" ref="D84:G84" si="36">SUM(D80:D83)</f>
        <v>0</v>
      </c>
      <c r="E84" s="225">
        <f t="shared" si="36"/>
        <v>-8224.73</v>
      </c>
      <c r="F84" s="225">
        <f t="shared" si="36"/>
        <v>-8224.73</v>
      </c>
      <c r="G84" s="225">
        <f t="shared" si="36"/>
        <v>-3769.6800000000003</v>
      </c>
    </row>
    <row r="85" spans="1:7" s="46" customFormat="1" x14ac:dyDescent="0.35">
      <c r="E85" s="4"/>
    </row>
    <row r="86" spans="1:7" x14ac:dyDescent="0.35">
      <c r="A86" s="46"/>
      <c r="B86" s="46"/>
      <c r="D86" s="46"/>
      <c r="E86" s="46"/>
    </row>
    <row r="87" spans="1:7" x14ac:dyDescent="0.35">
      <c r="A87" s="53" t="s">
        <v>11</v>
      </c>
      <c r="B87" s="46"/>
      <c r="D87" s="46"/>
      <c r="E87" s="46"/>
    </row>
    <row r="88" spans="1:7" x14ac:dyDescent="0.35">
      <c r="A88" s="3" t="s">
        <v>161</v>
      </c>
      <c r="B88" s="46"/>
      <c r="D88" s="46"/>
      <c r="E88" s="46"/>
    </row>
    <row r="89" spans="1:7" s="46" customFormat="1" x14ac:dyDescent="0.35">
      <c r="A89" s="3" t="s">
        <v>228</v>
      </c>
    </row>
    <row r="90" spans="1:7" s="46" customFormat="1" x14ac:dyDescent="0.35">
      <c r="A90" s="3" t="s">
        <v>229</v>
      </c>
    </row>
    <row r="91" spans="1:7" x14ac:dyDescent="0.35">
      <c r="A91" s="3" t="s">
        <v>230</v>
      </c>
      <c r="B91" s="46"/>
      <c r="D91" s="46"/>
      <c r="E91" s="46"/>
    </row>
    <row r="92" spans="1:7" s="46" customFormat="1" x14ac:dyDescent="0.35">
      <c r="A92" s="3" t="s">
        <v>162</v>
      </c>
    </row>
    <row r="93" spans="1:7" ht="71.150000000000006" customHeight="1" x14ac:dyDescent="0.35">
      <c r="A93" s="302" t="s">
        <v>214</v>
      </c>
      <c r="B93" s="302"/>
      <c r="C93" s="302"/>
      <c r="D93" s="302"/>
      <c r="E93" s="302"/>
      <c r="F93" s="302"/>
      <c r="G93" s="302"/>
    </row>
  </sheetData>
  <mergeCells count="2">
    <mergeCell ref="B3:D3"/>
    <mergeCell ref="A93:G9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pageSetUpPr fitToPage="1"/>
  </sheetPr>
  <dimension ref="A1:G84"/>
  <sheetViews>
    <sheetView workbookViewId="0">
      <pane xSplit="1" ySplit="4" topLeftCell="B14" activePane="bottomRight" state="frozen"/>
      <selection pane="topRight" activeCell="B1" sqref="B1"/>
      <selection pane="bottomLeft" activeCell="A5" sqref="A5"/>
      <selection pane="bottomRight" activeCell="B20" sqref="B20"/>
    </sheetView>
  </sheetViews>
  <sheetFormatPr defaultColWidth="8.7265625" defaultRowHeight="14.5" outlineLevelRow="1" x14ac:dyDescent="0.35"/>
  <cols>
    <col min="1" max="1" width="22.453125" style="46" customWidth="1"/>
    <col min="2" max="2" width="15.26953125" style="46" bestFit="1" customWidth="1"/>
    <col min="3" max="3" width="14.26953125" style="46" customWidth="1"/>
    <col min="4" max="4" width="13.26953125" style="46" bestFit="1" customWidth="1"/>
    <col min="5" max="5" width="10.81640625" style="46" bestFit="1" customWidth="1"/>
    <col min="6" max="6" width="11.54296875" style="46" bestFit="1" customWidth="1"/>
    <col min="7" max="7" width="13.1796875" style="46" customWidth="1"/>
    <col min="8" max="16384" width="8.7265625" style="46"/>
  </cols>
  <sheetData>
    <row r="1" spans="1:7" x14ac:dyDescent="0.35">
      <c r="A1" s="63" t="str">
        <f>+'PPC Cycle 3'!A1</f>
        <v>Evergy Metro, Inc. - DSIM Rider Update Filed 12/02/2022</v>
      </c>
    </row>
    <row r="2" spans="1:7" x14ac:dyDescent="0.35">
      <c r="A2" s="9" t="str">
        <f>+'PPC Cycle 3'!A2</f>
        <v>Projections for Cycle 3 January 2023 - December 2023 DSIM</v>
      </c>
    </row>
    <row r="3" spans="1:7" ht="45.75" customHeight="1" x14ac:dyDescent="0.35">
      <c r="B3" s="303" t="s">
        <v>168</v>
      </c>
      <c r="C3" s="303"/>
      <c r="D3" s="303"/>
    </row>
    <row r="4" spans="1:7" ht="87" x14ac:dyDescent="0.35">
      <c r="B4" s="70" t="s">
        <v>100</v>
      </c>
      <c r="C4" s="70" t="s">
        <v>101</v>
      </c>
      <c r="D4" s="70" t="s">
        <v>104</v>
      </c>
      <c r="E4" s="70" t="s">
        <v>102</v>
      </c>
      <c r="F4" s="70" t="s">
        <v>99</v>
      </c>
      <c r="G4" s="70" t="s">
        <v>169</v>
      </c>
    </row>
    <row r="5" spans="1:7" x14ac:dyDescent="0.35">
      <c r="B5" s="70"/>
      <c r="C5" s="70"/>
      <c r="D5" s="70"/>
      <c r="E5" s="70"/>
      <c r="F5" s="70"/>
      <c r="G5" s="70"/>
    </row>
    <row r="6" spans="1:7" x14ac:dyDescent="0.35">
      <c r="A6" s="254" t="s">
        <v>166</v>
      </c>
      <c r="B6" s="70"/>
      <c r="C6" s="70"/>
      <c r="D6" s="155"/>
    </row>
    <row r="7" spans="1:7" x14ac:dyDescent="0.35">
      <c r="A7" s="20" t="s">
        <v>24</v>
      </c>
      <c r="B7" s="225">
        <f t="shared" ref="B7:E7" si="0">+B19+B31+B43+B55+B67</f>
        <v>1163217.68</v>
      </c>
      <c r="C7" s="225">
        <f t="shared" si="0"/>
        <v>589908.65</v>
      </c>
      <c r="D7" s="225">
        <f t="shared" si="0"/>
        <v>-773577.94</v>
      </c>
      <c r="E7" s="225">
        <f t="shared" si="0"/>
        <v>-38531.74</v>
      </c>
      <c r="F7" s="225">
        <f>SUM(B7:E7)</f>
        <v>941016.65000000014</v>
      </c>
      <c r="G7" s="225">
        <f>+G19+G31+G43+G55+G67</f>
        <v>197062.33000000002</v>
      </c>
    </row>
    <row r="8" spans="1:7" x14ac:dyDescent="0.35">
      <c r="A8" s="20" t="s">
        <v>25</v>
      </c>
      <c r="B8" s="225">
        <f t="shared" ref="B8:E8" si="1">+B20+B32+B44+B56+B68</f>
        <v>923233.23</v>
      </c>
      <c r="C8" s="225">
        <f t="shared" si="1"/>
        <v>234518.14</v>
      </c>
      <c r="D8" s="225">
        <f t="shared" si="1"/>
        <v>-99959.57</v>
      </c>
      <c r="E8" s="225">
        <f t="shared" si="1"/>
        <v>7762.64</v>
      </c>
      <c r="F8" s="225">
        <f>SUM(B8:E8)</f>
        <v>1065554.44</v>
      </c>
      <c r="G8" s="225">
        <f>+G20+G32+G44+G56+G68</f>
        <v>155001.12</v>
      </c>
    </row>
    <row r="9" spans="1:7" x14ac:dyDescent="0.35">
      <c r="A9" s="20" t="s">
        <v>5</v>
      </c>
      <c r="B9" s="225">
        <f t="shared" ref="B9:E9" si="2">SUM(B7:B8)</f>
        <v>2086450.91</v>
      </c>
      <c r="C9" s="225">
        <f t="shared" si="2"/>
        <v>824426.79</v>
      </c>
      <c r="D9" s="225">
        <f t="shared" si="2"/>
        <v>-873537.51</v>
      </c>
      <c r="E9" s="225">
        <f t="shared" si="2"/>
        <v>-30769.1</v>
      </c>
      <c r="F9" s="225">
        <f t="shared" ref="F9:G9" si="3">SUM(F7:F8)</f>
        <v>2006571.09</v>
      </c>
      <c r="G9" s="225">
        <f t="shared" si="3"/>
        <v>352063.45</v>
      </c>
    </row>
    <row r="11" spans="1:7" x14ac:dyDescent="0.35">
      <c r="A11" s="20" t="s">
        <v>107</v>
      </c>
      <c r="B11" s="225">
        <f t="shared" ref="B11:E14" si="4">+B23+B35+B47+B59+B71</f>
        <v>89861.64</v>
      </c>
      <c r="C11" s="225">
        <f t="shared" si="4"/>
        <v>51930.11</v>
      </c>
      <c r="D11" s="225">
        <f t="shared" si="4"/>
        <v>-27392.63</v>
      </c>
      <c r="E11" s="225">
        <f t="shared" si="4"/>
        <v>850.37999999999988</v>
      </c>
      <c r="F11" s="225">
        <f t="shared" ref="F11:F14" si="5">SUM(B11:E11)</f>
        <v>115249.5</v>
      </c>
      <c r="G11" s="225">
        <f t="shared" ref="G11:G14" si="6">+G23+G35+G47+G59+G71</f>
        <v>24198.89</v>
      </c>
    </row>
    <row r="12" spans="1:7" x14ac:dyDescent="0.35">
      <c r="A12" s="20" t="s">
        <v>108</v>
      </c>
      <c r="B12" s="225">
        <f t="shared" si="4"/>
        <v>329114.67</v>
      </c>
      <c r="C12" s="225">
        <f t="shared" si="4"/>
        <v>101293.96</v>
      </c>
      <c r="D12" s="225">
        <f t="shared" si="4"/>
        <v>-44798.86</v>
      </c>
      <c r="E12" s="225">
        <f t="shared" si="4"/>
        <v>2850.4400000000005</v>
      </c>
      <c r="F12" s="225">
        <f t="shared" si="5"/>
        <v>388460.21</v>
      </c>
      <c r="G12" s="225">
        <f t="shared" si="6"/>
        <v>62478.55</v>
      </c>
    </row>
    <row r="13" spans="1:7" x14ac:dyDescent="0.35">
      <c r="A13" s="20" t="s">
        <v>109</v>
      </c>
      <c r="B13" s="225">
        <f t="shared" si="4"/>
        <v>441576.37</v>
      </c>
      <c r="C13" s="225">
        <f t="shared" si="4"/>
        <v>74642.759999999995</v>
      </c>
      <c r="D13" s="225">
        <f t="shared" si="4"/>
        <v>-26685.460000000003</v>
      </c>
      <c r="E13" s="225">
        <f t="shared" si="4"/>
        <v>3329.84</v>
      </c>
      <c r="F13" s="225">
        <f t="shared" si="5"/>
        <v>492863.51</v>
      </c>
      <c r="G13" s="225">
        <f t="shared" si="6"/>
        <v>61695.33</v>
      </c>
    </row>
    <row r="14" spans="1:7" x14ac:dyDescent="0.35">
      <c r="A14" s="20" t="s">
        <v>110</v>
      </c>
      <c r="B14" s="225">
        <f t="shared" si="4"/>
        <v>62680.55</v>
      </c>
      <c r="C14" s="225">
        <f t="shared" si="4"/>
        <v>6651.31</v>
      </c>
      <c r="D14" s="225">
        <f t="shared" si="4"/>
        <v>-1082.6200000000001</v>
      </c>
      <c r="E14" s="225">
        <f t="shared" si="4"/>
        <v>731.98</v>
      </c>
      <c r="F14" s="225">
        <f t="shared" si="5"/>
        <v>68981.22</v>
      </c>
      <c r="G14" s="225">
        <f t="shared" si="6"/>
        <v>6628.3499999999995</v>
      </c>
    </row>
    <row r="15" spans="1:7" x14ac:dyDescent="0.35">
      <c r="A15" s="30" t="s">
        <v>112</v>
      </c>
      <c r="B15" s="225">
        <f t="shared" ref="B15:E15" si="7">SUM(B11:B14)</f>
        <v>923233.23</v>
      </c>
      <c r="C15" s="225">
        <f t="shared" si="7"/>
        <v>234518.14</v>
      </c>
      <c r="D15" s="225">
        <f t="shared" si="7"/>
        <v>-99959.57</v>
      </c>
      <c r="E15" s="225">
        <f t="shared" si="7"/>
        <v>7762.6400000000012</v>
      </c>
      <c r="F15" s="225">
        <f t="shared" ref="F15:G15" si="8">SUM(F11:F14)</f>
        <v>1065554.44</v>
      </c>
      <c r="G15" s="225">
        <f t="shared" si="8"/>
        <v>155001.12000000002</v>
      </c>
    </row>
    <row r="16" spans="1:7" x14ac:dyDescent="0.35">
      <c r="E16" s="4"/>
    </row>
    <row r="17" spans="1:7" x14ac:dyDescent="0.35">
      <c r="A17" s="20"/>
      <c r="B17" s="70"/>
      <c r="C17" s="70"/>
      <c r="D17" s="154"/>
    </row>
    <row r="18" spans="1:7" x14ac:dyDescent="0.35">
      <c r="A18" s="254" t="s">
        <v>179</v>
      </c>
      <c r="B18" s="70"/>
      <c r="C18" s="70"/>
      <c r="D18" s="154"/>
    </row>
    <row r="19" spans="1:7" x14ac:dyDescent="0.35">
      <c r="A19" s="20" t="s">
        <v>24</v>
      </c>
      <c r="B19" s="25">
        <f>ROUND('[21]EO Matrix @Meter'!$R$20,2)</f>
        <v>1163217.68</v>
      </c>
      <c r="C19" s="25">
        <f>ROUND(SUM('[22]Ex Post Gross TD Calc'!$E$571:$Z$571),2)</f>
        <v>331067.99</v>
      </c>
      <c r="D19" s="25">
        <f>ROUND(SUM('[22]NTG TD Calc'!$E$436:$Z$436),2)</f>
        <v>-686548</v>
      </c>
      <c r="E19" s="25">
        <f>ROUND(SUM('[22]EO TD Carrying Costs'!$C$55:$X$55),2)</f>
        <v>-17626.7</v>
      </c>
      <c r="F19" s="225">
        <f>SUM(B19:E19)</f>
        <v>790110.97</v>
      </c>
      <c r="G19" s="225">
        <f>ROUND(F19/12*1,2)</f>
        <v>65842.58</v>
      </c>
    </row>
    <row r="20" spans="1:7" x14ac:dyDescent="0.35">
      <c r="A20" s="20" t="s">
        <v>25</v>
      </c>
      <c r="B20" s="224">
        <f>ROUND(SUM(B23:B26),2)</f>
        <v>923233.23</v>
      </c>
      <c r="C20" s="224">
        <f>SUM(C23:C26)</f>
        <v>137591.55000000002</v>
      </c>
      <c r="D20" s="224">
        <f t="shared" ref="D20:G20" si="9">SUM(D23:D26)</f>
        <v>-89366.98</v>
      </c>
      <c r="E20" s="224">
        <f t="shared" si="9"/>
        <v>2905.83</v>
      </c>
      <c r="F20" s="225">
        <f>SUM(B20:E20)</f>
        <v>974363.63</v>
      </c>
      <c r="G20" s="225">
        <f t="shared" si="9"/>
        <v>81196.97</v>
      </c>
    </row>
    <row r="21" spans="1:7" x14ac:dyDescent="0.35">
      <c r="A21" s="20" t="s">
        <v>5</v>
      </c>
      <c r="B21" s="225">
        <f t="shared" ref="B21:G21" si="10">SUM(B19:B20)</f>
        <v>2086450.91</v>
      </c>
      <c r="C21" s="225">
        <f t="shared" si="10"/>
        <v>468659.54000000004</v>
      </c>
      <c r="D21" s="225">
        <f t="shared" si="10"/>
        <v>-775914.98</v>
      </c>
      <c r="E21" s="225">
        <f t="shared" si="10"/>
        <v>-14720.87</v>
      </c>
      <c r="F21" s="225">
        <f t="shared" si="10"/>
        <v>1764474.6</v>
      </c>
      <c r="G21" s="225">
        <f t="shared" si="10"/>
        <v>147039.54999999999</v>
      </c>
    </row>
    <row r="22" spans="1:7" x14ac:dyDescent="0.35">
      <c r="B22" s="222"/>
      <c r="C22" s="222"/>
      <c r="D22" s="223"/>
    </row>
    <row r="23" spans="1:7" x14ac:dyDescent="0.35">
      <c r="A23" s="20" t="s">
        <v>107</v>
      </c>
      <c r="B23" s="25">
        <f>ROUND('[21]EO Matrix @Meter'!$V$20,2)</f>
        <v>89861.64</v>
      </c>
      <c r="C23" s="25">
        <f>ROUND(SUM('[22]Ex Post Gross TD Calc'!$E$572:$Z$572),2)</f>
        <v>30571.68</v>
      </c>
      <c r="D23" s="25">
        <f>ROUND(SUM('[22]NTG TD Calc'!$E$437:$Z$437),2)</f>
        <v>-25048.27</v>
      </c>
      <c r="E23" s="224">
        <f>ROUND(SUM('[22]EO TD Carrying Costs'!$C$56:$X$56),2)</f>
        <v>150.27000000000001</v>
      </c>
      <c r="F23" s="225">
        <f t="shared" ref="F23:F26" si="11">SUM(B23:E23)</f>
        <v>95535.32</v>
      </c>
      <c r="G23" s="225">
        <f>ROUND(F23/12*1,2)</f>
        <v>7961.28</v>
      </c>
    </row>
    <row r="24" spans="1:7" x14ac:dyDescent="0.35">
      <c r="A24" s="20" t="s">
        <v>108</v>
      </c>
      <c r="B24" s="224">
        <f>ROUND('[21]EO Matrix @Meter'!$W$20,2)</f>
        <v>329114.67</v>
      </c>
      <c r="C24" s="224">
        <f>ROUND(SUM('[22]Ex Post Gross TD Calc'!$E$573:$Z$573),2)</f>
        <v>56526.62</v>
      </c>
      <c r="D24" s="224">
        <f>ROUND(SUM('[22]NTG TD Calc'!$E$438:$Z$438),2)</f>
        <v>-39695.9</v>
      </c>
      <c r="E24" s="224">
        <f>ROUND(SUM('[22]EO TD Carrying Costs'!$C$57:$X$57),2)</f>
        <v>964.19</v>
      </c>
      <c r="F24" s="225">
        <f t="shared" si="11"/>
        <v>346909.57999999996</v>
      </c>
      <c r="G24" s="225">
        <f t="shared" ref="G24:G26" si="12">ROUND(F24/12*1,2)</f>
        <v>28909.13</v>
      </c>
    </row>
    <row r="25" spans="1:7" x14ac:dyDescent="0.35">
      <c r="A25" s="20" t="s">
        <v>109</v>
      </c>
      <c r="B25" s="25">
        <f>ROUND('[21]EO Matrix @Meter'!$X$20,2)</f>
        <v>441576.37</v>
      </c>
      <c r="C25" s="25">
        <f>ROUND(SUM('[22]Ex Post Gross TD Calc'!$E$574:$Z$574),2)</f>
        <v>44928.09</v>
      </c>
      <c r="D25" s="25">
        <f>ROUND(SUM('[22]NTG TD Calc'!$E$439:$Z$439),2)</f>
        <v>-23708.22</v>
      </c>
      <c r="E25" s="25">
        <f>ROUND(SUM('[22]EO TD Carrying Costs'!$C$58:$X$58),2)</f>
        <v>1389.19</v>
      </c>
      <c r="F25" s="225">
        <f t="shared" si="11"/>
        <v>464185.43</v>
      </c>
      <c r="G25" s="225">
        <f t="shared" si="12"/>
        <v>38682.120000000003</v>
      </c>
    </row>
    <row r="26" spans="1:7" x14ac:dyDescent="0.35">
      <c r="A26" s="20" t="s">
        <v>110</v>
      </c>
      <c r="B26" s="224">
        <f>ROUND('[21]EO Matrix @Meter'!$Y$20,2)</f>
        <v>62680.55</v>
      </c>
      <c r="C26" s="224">
        <f>ROUND(SUM('[22]Ex Post Gross TD Calc'!$E$575:$Z$575),2)</f>
        <v>5565.16</v>
      </c>
      <c r="D26" s="224">
        <f>ROUND(SUM('[22]NTG TD Calc'!$E$440:$Z$440),2)</f>
        <v>-914.59</v>
      </c>
      <c r="E26" s="224">
        <f>ROUND(SUM('[22]EO TD Carrying Costs'!$C$59:$X$59),2)</f>
        <v>402.18</v>
      </c>
      <c r="F26" s="225">
        <f t="shared" si="11"/>
        <v>67733.3</v>
      </c>
      <c r="G26" s="225">
        <f t="shared" si="12"/>
        <v>5644.44</v>
      </c>
    </row>
    <row r="27" spans="1:7" x14ac:dyDescent="0.35">
      <c r="A27" s="30" t="s">
        <v>112</v>
      </c>
      <c r="B27" s="225">
        <f>SUM(B23:B26)</f>
        <v>923233.23</v>
      </c>
      <c r="C27" s="225">
        <f>SUM(C23:C26)</f>
        <v>137591.55000000002</v>
      </c>
      <c r="D27" s="225">
        <f t="shared" ref="D27:G27" si="13">SUM(D23:D26)</f>
        <v>-89366.98</v>
      </c>
      <c r="E27" s="225">
        <f t="shared" si="13"/>
        <v>2905.83</v>
      </c>
      <c r="F27" s="225">
        <f t="shared" si="13"/>
        <v>974363.63</v>
      </c>
      <c r="G27" s="225">
        <f t="shared" si="13"/>
        <v>81196.97</v>
      </c>
    </row>
    <row r="28" spans="1:7" x14ac:dyDescent="0.35">
      <c r="E28" s="4"/>
    </row>
    <row r="29" spans="1:7" x14ac:dyDescent="0.35">
      <c r="E29" s="4"/>
    </row>
    <row r="30" spans="1:7" x14ac:dyDescent="0.35">
      <c r="A30" s="254" t="s">
        <v>183</v>
      </c>
    </row>
    <row r="31" spans="1:7" x14ac:dyDescent="0.35">
      <c r="A31" s="20" t="s">
        <v>24</v>
      </c>
      <c r="B31" s="25">
        <f>ROUND(0,2)</f>
        <v>0</v>
      </c>
      <c r="C31" s="25">
        <f>ROUND(SUM('[22]Ex Post Gross TD Calc'!$AA$571:$AF$571),2)</f>
        <v>121182.9</v>
      </c>
      <c r="D31" s="25">
        <f>ROUND(SUM('[22]NTG TD Calc'!$AA$436:$AF$436),2)</f>
        <v>-87029.97</v>
      </c>
      <c r="E31" s="25">
        <f>ROUND(SUM('[22]EO TD Carrying Costs'!$Y$55:$AD$55),2)</f>
        <v>-12821.55</v>
      </c>
      <c r="F31" s="225">
        <f>SUM(B31:E31)</f>
        <v>21331.379999999994</v>
      </c>
      <c r="G31" s="225">
        <f>ROUND(F31/12*7,2)</f>
        <v>12443.31</v>
      </c>
    </row>
    <row r="32" spans="1:7" x14ac:dyDescent="0.35">
      <c r="A32" s="20" t="s">
        <v>25</v>
      </c>
      <c r="B32" s="224">
        <f>SUM(B35:B38)</f>
        <v>0</v>
      </c>
      <c r="C32" s="224">
        <f>SUM(C35:C38)</f>
        <v>37872.939999999995</v>
      </c>
      <c r="D32" s="224">
        <f t="shared" ref="D32:E32" si="14">SUM(D35:D38)</f>
        <v>-10592.6</v>
      </c>
      <c r="E32" s="224">
        <f t="shared" si="14"/>
        <v>2081.9299999999998</v>
      </c>
      <c r="F32" s="225">
        <f>SUM(B32:E32)</f>
        <v>29362.269999999997</v>
      </c>
      <c r="G32" s="225">
        <f>ROUND(F32/12*7,2)</f>
        <v>17127.990000000002</v>
      </c>
    </row>
    <row r="33" spans="1:7" x14ac:dyDescent="0.35">
      <c r="A33" s="20" t="s">
        <v>5</v>
      </c>
      <c r="B33" s="225">
        <f t="shared" ref="B33:G33" si="15">SUM(B31:B32)</f>
        <v>0</v>
      </c>
      <c r="C33" s="225">
        <f t="shared" si="15"/>
        <v>159055.84</v>
      </c>
      <c r="D33" s="225">
        <f t="shared" si="15"/>
        <v>-97622.57</v>
      </c>
      <c r="E33" s="225">
        <f t="shared" si="15"/>
        <v>-10739.619999999999</v>
      </c>
      <c r="F33" s="225">
        <f t="shared" si="15"/>
        <v>50693.649999999994</v>
      </c>
      <c r="G33" s="225">
        <f t="shared" si="15"/>
        <v>29571.300000000003</v>
      </c>
    </row>
    <row r="34" spans="1:7" x14ac:dyDescent="0.35">
      <c r="B34" s="222"/>
      <c r="C34" s="222"/>
      <c r="D34" s="223"/>
    </row>
    <row r="35" spans="1:7" x14ac:dyDescent="0.35">
      <c r="A35" s="20" t="s">
        <v>107</v>
      </c>
      <c r="B35" s="25">
        <f>ROUND(0,2)</f>
        <v>0</v>
      </c>
      <c r="C35" s="25">
        <f>ROUND(SUM('[22]Ex Post Gross TD Calc'!$AA572:$AF572),2)</f>
        <v>7589.27</v>
      </c>
      <c r="D35" s="25">
        <f>ROUND(SUM('[22]NTG TD Calc'!$AA437:$AF437),2)</f>
        <v>-2344.38</v>
      </c>
      <c r="E35" s="224">
        <f>ROUND(SUM('[22]EO TD Carrying Costs'!$Y56:$AD56),2)</f>
        <v>256.27999999999997</v>
      </c>
      <c r="F35" s="225">
        <f t="shared" ref="F35:F38" si="16">SUM(B35:E35)</f>
        <v>5501.17</v>
      </c>
      <c r="G35" s="225">
        <f t="shared" ref="G35:G38" si="17">ROUND(F35/12*7,2)</f>
        <v>3209.02</v>
      </c>
    </row>
    <row r="36" spans="1:7" x14ac:dyDescent="0.35">
      <c r="A36" s="20" t="s">
        <v>108</v>
      </c>
      <c r="B36" s="224">
        <f>ROUND(0,2)</f>
        <v>0</v>
      </c>
      <c r="C36" s="224">
        <f>ROUND(SUM('[22]Ex Post Gross TD Calc'!$AA573:$AF573),2)</f>
        <v>17892.060000000001</v>
      </c>
      <c r="D36" s="224">
        <f>ROUND(SUM('[22]NTG TD Calc'!$AA438:$AF438),2)</f>
        <v>-5102.96</v>
      </c>
      <c r="E36" s="224">
        <f>ROUND(SUM('[22]EO TD Carrying Costs'!$Y57:$AD57),2)</f>
        <v>766.86</v>
      </c>
      <c r="F36" s="225">
        <f t="shared" si="16"/>
        <v>13555.960000000003</v>
      </c>
      <c r="G36" s="225">
        <f t="shared" si="17"/>
        <v>7907.64</v>
      </c>
    </row>
    <row r="37" spans="1:7" x14ac:dyDescent="0.35">
      <c r="A37" s="20" t="s">
        <v>109</v>
      </c>
      <c r="B37" s="25">
        <f>ROUND(0,2)</f>
        <v>0</v>
      </c>
      <c r="C37" s="25">
        <f>ROUND(SUM('[22]Ex Post Gross TD Calc'!$AA574:$AF574),2)</f>
        <v>11918.09</v>
      </c>
      <c r="D37" s="25">
        <f>ROUND(SUM('[22]NTG TD Calc'!$AA439:$AF439),2)</f>
        <v>-2977.22</v>
      </c>
      <c r="E37" s="25">
        <f>ROUND(SUM('[22]EO TD Carrying Costs'!$Y58:$AD58),2)</f>
        <v>884.23</v>
      </c>
      <c r="F37" s="225">
        <f t="shared" si="16"/>
        <v>9825.1</v>
      </c>
      <c r="G37" s="225">
        <f t="shared" si="17"/>
        <v>5731.31</v>
      </c>
    </row>
    <row r="38" spans="1:7" x14ac:dyDescent="0.35">
      <c r="A38" s="20" t="s">
        <v>110</v>
      </c>
      <c r="B38" s="224">
        <f>ROUND(0,2)</f>
        <v>0</v>
      </c>
      <c r="C38" s="224">
        <f>ROUND(SUM('[22]Ex Post Gross TD Calc'!$AA575:$AF575),2)</f>
        <v>473.52</v>
      </c>
      <c r="D38" s="224">
        <f>ROUND(SUM('[22]NTG TD Calc'!$AA440:$AF440),2)</f>
        <v>-168.04</v>
      </c>
      <c r="E38" s="224">
        <f>ROUND(SUM('[22]EO TD Carrying Costs'!$Y59:$AD59),2)</f>
        <v>174.56</v>
      </c>
      <c r="F38" s="225">
        <f t="shared" si="16"/>
        <v>480.04</v>
      </c>
      <c r="G38" s="225">
        <f t="shared" si="17"/>
        <v>280.02</v>
      </c>
    </row>
    <row r="39" spans="1:7" x14ac:dyDescent="0.35">
      <c r="A39" s="30" t="s">
        <v>112</v>
      </c>
      <c r="B39" s="225">
        <f>SUM(B35:B38)</f>
        <v>0</v>
      </c>
      <c r="C39" s="225">
        <f>SUM(C35:C38)</f>
        <v>37872.939999999995</v>
      </c>
      <c r="D39" s="225">
        <f t="shared" ref="D39:G39" si="18">SUM(D35:D38)</f>
        <v>-10592.6</v>
      </c>
      <c r="E39" s="225">
        <f t="shared" si="18"/>
        <v>2081.9299999999998</v>
      </c>
      <c r="F39" s="225">
        <f t="shared" si="18"/>
        <v>29362.270000000004</v>
      </c>
      <c r="G39" s="225">
        <f t="shared" si="18"/>
        <v>17127.990000000002</v>
      </c>
    </row>
    <row r="40" spans="1:7" x14ac:dyDescent="0.35">
      <c r="E40" s="4"/>
    </row>
    <row r="42" spans="1:7" x14ac:dyDescent="0.35">
      <c r="A42" s="254" t="s">
        <v>216</v>
      </c>
    </row>
    <row r="43" spans="1:7" x14ac:dyDescent="0.35">
      <c r="A43" s="20" t="s">
        <v>24</v>
      </c>
      <c r="B43" s="25">
        <f>ROUND(0,2)</f>
        <v>0</v>
      </c>
      <c r="C43" s="25">
        <f>ROUND(SUM('[22]Ex Post Gross TD Calc'!$AG$571:$AM$571),2)</f>
        <v>137657.76</v>
      </c>
      <c r="D43" s="25">
        <f>ROUND(SUM('[22]NTG TD Calc'!$AG$436:$AM$436),2)</f>
        <v>0.03</v>
      </c>
      <c r="E43" s="25">
        <f>ROUND(SUM('[22]EO TD Carrying Costs'!$AE$55:$AK$55),2)</f>
        <v>-8083.49</v>
      </c>
      <c r="F43" s="225">
        <f>SUM(B43:E43)</f>
        <v>129574.3</v>
      </c>
      <c r="G43" s="225">
        <f>ROUND(F43/12*11,2)</f>
        <v>118776.44</v>
      </c>
    </row>
    <row r="44" spans="1:7" x14ac:dyDescent="0.35">
      <c r="A44" s="20" t="s">
        <v>25</v>
      </c>
      <c r="B44" s="224">
        <f>SUM(B47:B50)</f>
        <v>0</v>
      </c>
      <c r="C44" s="224">
        <f>SUM(C47:C50)</f>
        <v>59053.65</v>
      </c>
      <c r="D44" s="224">
        <f t="shared" ref="D44:E44" si="19">SUM(D47:D50)</f>
        <v>0.01</v>
      </c>
      <c r="E44" s="224">
        <f t="shared" si="19"/>
        <v>2774.88</v>
      </c>
      <c r="F44" s="225">
        <f>SUM(B44:E44)</f>
        <v>61828.54</v>
      </c>
      <c r="G44" s="225">
        <f>ROUND(F44/12*11,2)</f>
        <v>56676.160000000003</v>
      </c>
    </row>
    <row r="45" spans="1:7" x14ac:dyDescent="0.35">
      <c r="A45" s="20" t="s">
        <v>5</v>
      </c>
      <c r="B45" s="225">
        <f t="shared" ref="B45:G45" si="20">SUM(B43:B44)</f>
        <v>0</v>
      </c>
      <c r="C45" s="225">
        <f t="shared" si="20"/>
        <v>196711.41</v>
      </c>
      <c r="D45" s="225">
        <f t="shared" si="20"/>
        <v>0.04</v>
      </c>
      <c r="E45" s="225">
        <f t="shared" si="20"/>
        <v>-5308.61</v>
      </c>
      <c r="F45" s="225">
        <f t="shared" si="20"/>
        <v>191402.84</v>
      </c>
      <c r="G45" s="225">
        <f t="shared" si="20"/>
        <v>175452.6</v>
      </c>
    </row>
    <row r="46" spans="1:7" x14ac:dyDescent="0.35">
      <c r="B46" s="222"/>
      <c r="C46" s="222"/>
      <c r="D46" s="223"/>
    </row>
    <row r="47" spans="1:7" x14ac:dyDescent="0.35">
      <c r="A47" s="20" t="s">
        <v>107</v>
      </c>
      <c r="B47" s="25">
        <f>ROUND(0,2)</f>
        <v>0</v>
      </c>
      <c r="C47" s="25">
        <f>ROUND(SUM('[22]Ex Post Gross TD Calc'!$AG572:$AM572),2)</f>
        <v>13769.16</v>
      </c>
      <c r="D47" s="25">
        <f>ROUND(SUM('[22]NTG TD Calc'!$AG437:$AM437),2)</f>
        <v>0.02</v>
      </c>
      <c r="E47" s="224">
        <f>ROUND(SUM('[22]EO TD Carrying Costs'!$AE56:$AK56),2)</f>
        <v>443.83</v>
      </c>
      <c r="F47" s="225">
        <f t="shared" ref="F47:F50" si="21">SUM(B47:E47)</f>
        <v>14213.01</v>
      </c>
      <c r="G47" s="225">
        <f t="shared" ref="G47:G50" si="22">ROUND(F47/12*11,2)</f>
        <v>13028.59</v>
      </c>
    </row>
    <row r="48" spans="1:7" x14ac:dyDescent="0.35">
      <c r="A48" s="20" t="s">
        <v>108</v>
      </c>
      <c r="B48" s="224">
        <f>ROUND(0,2)</f>
        <v>0</v>
      </c>
      <c r="C48" s="224">
        <f>ROUND(SUM('[22]Ex Post Gross TD Calc'!$AG573:$AM573),2)</f>
        <v>26875.279999999999</v>
      </c>
      <c r="D48" s="224">
        <f>ROUND(SUM('[22]NTG TD Calc'!$AG438:$AM438),2)</f>
        <v>0</v>
      </c>
      <c r="E48" s="224">
        <f>ROUND(SUM('[22]EO TD Carrying Costs'!$AE57:$AK57),2)</f>
        <v>1119.3900000000001</v>
      </c>
      <c r="F48" s="225">
        <f t="shared" si="21"/>
        <v>27994.67</v>
      </c>
      <c r="G48" s="225">
        <f t="shared" si="22"/>
        <v>25661.78</v>
      </c>
    </row>
    <row r="49" spans="1:7" x14ac:dyDescent="0.35">
      <c r="A49" s="20" t="s">
        <v>109</v>
      </c>
      <c r="B49" s="25">
        <f>ROUND(0,2)</f>
        <v>0</v>
      </c>
      <c r="C49" s="25">
        <f>ROUND(SUM('[22]Ex Post Gross TD Calc'!$AG574:$AM574),2)</f>
        <v>17796.580000000002</v>
      </c>
      <c r="D49" s="25">
        <f>ROUND(SUM('[22]NTG TD Calc'!$AG439:$AM439),2)</f>
        <v>-0.02</v>
      </c>
      <c r="E49" s="25">
        <f>ROUND(SUM('[22]EO TD Carrying Costs'!$AE58:$AK58),2)</f>
        <v>1056.42</v>
      </c>
      <c r="F49" s="225">
        <f t="shared" si="21"/>
        <v>18852.980000000003</v>
      </c>
      <c r="G49" s="225">
        <f t="shared" si="22"/>
        <v>17281.900000000001</v>
      </c>
    </row>
    <row r="50" spans="1:7" x14ac:dyDescent="0.35">
      <c r="A50" s="20" t="s">
        <v>110</v>
      </c>
      <c r="B50" s="224">
        <f>ROUND(0,2)</f>
        <v>0</v>
      </c>
      <c r="C50" s="224">
        <f>ROUND(SUM('[22]Ex Post Gross TD Calc'!$AG575:$AM575),2)</f>
        <v>612.63</v>
      </c>
      <c r="D50" s="224">
        <f>ROUND(SUM('[22]NTG TD Calc'!$AG440:$AM440),2)</f>
        <v>0.01</v>
      </c>
      <c r="E50" s="224">
        <f>ROUND(SUM('[22]EO TD Carrying Costs'!$AE59:$AK59),2)</f>
        <v>155.24</v>
      </c>
      <c r="F50" s="225">
        <f t="shared" si="21"/>
        <v>767.88</v>
      </c>
      <c r="G50" s="225">
        <f t="shared" si="22"/>
        <v>703.89</v>
      </c>
    </row>
    <row r="51" spans="1:7" x14ac:dyDescent="0.35">
      <c r="A51" s="30" t="s">
        <v>112</v>
      </c>
      <c r="B51" s="225">
        <f>SUM(B47:B50)</f>
        <v>0</v>
      </c>
      <c r="C51" s="225">
        <f>SUM(C47:C50)</f>
        <v>59053.65</v>
      </c>
      <c r="D51" s="225">
        <f t="shared" ref="D51:G51" si="23">SUM(D47:D50)</f>
        <v>0.01</v>
      </c>
      <c r="E51" s="225">
        <f t="shared" si="23"/>
        <v>2774.88</v>
      </c>
      <c r="F51" s="225">
        <f t="shared" si="23"/>
        <v>61828.54</v>
      </c>
      <c r="G51" s="225">
        <f t="shared" si="23"/>
        <v>56676.159999999996</v>
      </c>
    </row>
    <row r="52" spans="1:7" x14ac:dyDescent="0.35">
      <c r="E52" s="4"/>
    </row>
    <row r="54" spans="1:7" hidden="1" outlineLevel="1" x14ac:dyDescent="0.35">
      <c r="A54" s="254" t="s">
        <v>215</v>
      </c>
    </row>
    <row r="55" spans="1:7" hidden="1" outlineLevel="1" x14ac:dyDescent="0.35">
      <c r="A55" s="20" t="s">
        <v>24</v>
      </c>
      <c r="B55" s="25">
        <v>0</v>
      </c>
      <c r="C55" s="25">
        <f>ROUND(0,2)</f>
        <v>0</v>
      </c>
      <c r="D55" s="25">
        <f>ROUND(0,2)</f>
        <v>0</v>
      </c>
      <c r="E55" s="25">
        <f>ROUND(0,2)</f>
        <v>0</v>
      </c>
      <c r="F55" s="225">
        <f>SUM(B55:E55)</f>
        <v>0</v>
      </c>
      <c r="G55" s="225">
        <f>ROUND(F55/12*11,2)</f>
        <v>0</v>
      </c>
    </row>
    <row r="56" spans="1:7" hidden="1" outlineLevel="1" x14ac:dyDescent="0.35">
      <c r="A56" s="20" t="s">
        <v>25</v>
      </c>
      <c r="B56" s="224">
        <f>SUM(B59:B62)</f>
        <v>0</v>
      </c>
      <c r="C56" s="224">
        <f>SUM(C59:C62)</f>
        <v>0</v>
      </c>
      <c r="D56" s="224">
        <f t="shared" ref="D56:E56" si="24">SUM(D59:D62)</f>
        <v>0</v>
      </c>
      <c r="E56" s="224">
        <f t="shared" si="24"/>
        <v>0</v>
      </c>
      <c r="F56" s="225">
        <f>SUM(B56:E56)</f>
        <v>0</v>
      </c>
      <c r="G56" s="225">
        <f>ROUND(F56/12*11,2)</f>
        <v>0</v>
      </c>
    </row>
    <row r="57" spans="1:7" hidden="1" outlineLevel="1" x14ac:dyDescent="0.35">
      <c r="A57" s="20" t="s">
        <v>5</v>
      </c>
      <c r="B57" s="225">
        <f t="shared" ref="B57:G57" si="25">SUM(B55:B56)</f>
        <v>0</v>
      </c>
      <c r="C57" s="225">
        <f t="shared" si="25"/>
        <v>0</v>
      </c>
      <c r="D57" s="225">
        <f t="shared" si="25"/>
        <v>0</v>
      </c>
      <c r="E57" s="225">
        <f t="shared" si="25"/>
        <v>0</v>
      </c>
      <c r="F57" s="225">
        <f t="shared" si="25"/>
        <v>0</v>
      </c>
      <c r="G57" s="225">
        <f t="shared" si="25"/>
        <v>0</v>
      </c>
    </row>
    <row r="58" spans="1:7" hidden="1" outlineLevel="1" x14ac:dyDescent="0.35">
      <c r="B58" s="222"/>
      <c r="C58" s="222"/>
      <c r="D58" s="223"/>
    </row>
    <row r="59" spans="1:7" hidden="1" outlineLevel="1" x14ac:dyDescent="0.35">
      <c r="A59" s="20" t="s">
        <v>107</v>
      </c>
      <c r="B59" s="25">
        <v>0</v>
      </c>
      <c r="C59" s="25">
        <f>ROUND(0,2)</f>
        <v>0</v>
      </c>
      <c r="D59" s="25">
        <f>ROUND(0,2)</f>
        <v>0</v>
      </c>
      <c r="E59" s="224">
        <f>ROUND(0,2)</f>
        <v>0</v>
      </c>
      <c r="F59" s="225">
        <f t="shared" ref="F59:F62" si="26">SUM(B59:E59)</f>
        <v>0</v>
      </c>
      <c r="G59" s="225">
        <f t="shared" ref="G59:G62" si="27">ROUND(F59/12*11,2)</f>
        <v>0</v>
      </c>
    </row>
    <row r="60" spans="1:7" hidden="1" outlineLevel="1" x14ac:dyDescent="0.35">
      <c r="A60" s="20" t="s">
        <v>108</v>
      </c>
      <c r="B60" s="224">
        <v>0</v>
      </c>
      <c r="C60" s="224">
        <f t="shared" ref="C60:E62" si="28">ROUND(0,2)</f>
        <v>0</v>
      </c>
      <c r="D60" s="224">
        <f t="shared" si="28"/>
        <v>0</v>
      </c>
      <c r="E60" s="224">
        <f t="shared" si="28"/>
        <v>0</v>
      </c>
      <c r="F60" s="225">
        <f t="shared" si="26"/>
        <v>0</v>
      </c>
      <c r="G60" s="225">
        <f t="shared" si="27"/>
        <v>0</v>
      </c>
    </row>
    <row r="61" spans="1:7" hidden="1" outlineLevel="1" x14ac:dyDescent="0.35">
      <c r="A61" s="20" t="s">
        <v>109</v>
      </c>
      <c r="B61" s="25">
        <v>0</v>
      </c>
      <c r="C61" s="25">
        <f t="shared" si="28"/>
        <v>0</v>
      </c>
      <c r="D61" s="25">
        <f t="shared" si="28"/>
        <v>0</v>
      </c>
      <c r="E61" s="25">
        <f t="shared" si="28"/>
        <v>0</v>
      </c>
      <c r="F61" s="225">
        <f t="shared" si="26"/>
        <v>0</v>
      </c>
      <c r="G61" s="225">
        <f t="shared" si="27"/>
        <v>0</v>
      </c>
    </row>
    <row r="62" spans="1:7" hidden="1" outlineLevel="1" x14ac:dyDescent="0.35">
      <c r="A62" s="20" t="s">
        <v>110</v>
      </c>
      <c r="B62" s="224">
        <v>0</v>
      </c>
      <c r="C62" s="224">
        <f t="shared" si="28"/>
        <v>0</v>
      </c>
      <c r="D62" s="224">
        <f t="shared" si="28"/>
        <v>0</v>
      </c>
      <c r="E62" s="224">
        <f t="shared" si="28"/>
        <v>0</v>
      </c>
      <c r="F62" s="225">
        <f t="shared" si="26"/>
        <v>0</v>
      </c>
      <c r="G62" s="225">
        <f t="shared" si="27"/>
        <v>0</v>
      </c>
    </row>
    <row r="63" spans="1:7" hidden="1" outlineLevel="1" x14ac:dyDescent="0.35">
      <c r="A63" s="30" t="s">
        <v>112</v>
      </c>
      <c r="B63" s="225">
        <f>SUM(B59:B62)</f>
        <v>0</v>
      </c>
      <c r="C63" s="225">
        <f>SUM(C59:C62)</f>
        <v>0</v>
      </c>
      <c r="D63" s="225">
        <f t="shared" ref="D63:G63" si="29">SUM(D59:D62)</f>
        <v>0</v>
      </c>
      <c r="E63" s="225">
        <f t="shared" si="29"/>
        <v>0</v>
      </c>
      <c r="F63" s="225">
        <f t="shared" si="29"/>
        <v>0</v>
      </c>
      <c r="G63" s="225">
        <f t="shared" si="29"/>
        <v>0</v>
      </c>
    </row>
    <row r="64" spans="1:7" hidden="1" outlineLevel="1" x14ac:dyDescent="0.35">
      <c r="E64" s="4"/>
    </row>
    <row r="65" spans="1:7" hidden="1" outlineLevel="1" x14ac:dyDescent="0.35"/>
    <row r="66" spans="1:7" hidden="1" outlineLevel="1" x14ac:dyDescent="0.35">
      <c r="A66" s="254" t="s">
        <v>167</v>
      </c>
    </row>
    <row r="67" spans="1:7" hidden="1" outlineLevel="1" x14ac:dyDescent="0.35">
      <c r="A67" s="20" t="s">
        <v>24</v>
      </c>
      <c r="B67" s="25">
        <v>0</v>
      </c>
      <c r="C67" s="25">
        <f>ROUND(0,2)</f>
        <v>0</v>
      </c>
      <c r="D67" s="25">
        <f>ROUND(0,2)</f>
        <v>0</v>
      </c>
      <c r="E67" s="25">
        <f>ROUND(0,2)</f>
        <v>0</v>
      </c>
      <c r="F67" s="225">
        <f>SUM(B67:E67)</f>
        <v>0</v>
      </c>
      <c r="G67" s="225">
        <f>ROUND(F67/12*12,2)</f>
        <v>0</v>
      </c>
    </row>
    <row r="68" spans="1:7" hidden="1" outlineLevel="1" x14ac:dyDescent="0.35">
      <c r="A68" s="20" t="s">
        <v>25</v>
      </c>
      <c r="B68" s="224">
        <f>SUM(B71:B74)</f>
        <v>0</v>
      </c>
      <c r="C68" s="224">
        <f>SUM(C71:C74)</f>
        <v>0</v>
      </c>
      <c r="D68" s="224">
        <f t="shared" ref="D68:E68" si="30">SUM(D71:D74)</f>
        <v>0</v>
      </c>
      <c r="E68" s="224">
        <f t="shared" si="30"/>
        <v>0</v>
      </c>
      <c r="F68" s="225">
        <f>SUM(B68:E68)</f>
        <v>0</v>
      </c>
      <c r="G68" s="225">
        <f>ROUND(F68/12*12,2)</f>
        <v>0</v>
      </c>
    </row>
    <row r="69" spans="1:7" hidden="1" outlineLevel="1" x14ac:dyDescent="0.35">
      <c r="A69" s="20" t="s">
        <v>5</v>
      </c>
      <c r="B69" s="225">
        <f t="shared" ref="B69:G69" si="31">SUM(B67:B68)</f>
        <v>0</v>
      </c>
      <c r="C69" s="225">
        <f t="shared" si="31"/>
        <v>0</v>
      </c>
      <c r="D69" s="225">
        <f t="shared" si="31"/>
        <v>0</v>
      </c>
      <c r="E69" s="225">
        <f t="shared" si="31"/>
        <v>0</v>
      </c>
      <c r="F69" s="225">
        <f t="shared" si="31"/>
        <v>0</v>
      </c>
      <c r="G69" s="225">
        <f t="shared" si="31"/>
        <v>0</v>
      </c>
    </row>
    <row r="70" spans="1:7" hidden="1" outlineLevel="1" x14ac:dyDescent="0.35">
      <c r="B70" s="222"/>
      <c r="C70" s="222"/>
      <c r="D70" s="223"/>
    </row>
    <row r="71" spans="1:7" hidden="1" outlineLevel="1" x14ac:dyDescent="0.35">
      <c r="A71" s="20" t="s">
        <v>107</v>
      </c>
      <c r="B71" s="25">
        <v>0</v>
      </c>
      <c r="C71" s="25">
        <f>ROUND(0,2)</f>
        <v>0</v>
      </c>
      <c r="D71" s="25">
        <f>ROUND(0,2)</f>
        <v>0</v>
      </c>
      <c r="E71" s="224">
        <f>ROUND(0,2)</f>
        <v>0</v>
      </c>
      <c r="F71" s="225">
        <f t="shared" ref="F71:F74" si="32">SUM(B71:E71)</f>
        <v>0</v>
      </c>
      <c r="G71" s="225">
        <f>ROUND(F71/12*12,2)</f>
        <v>0</v>
      </c>
    </row>
    <row r="72" spans="1:7" hidden="1" outlineLevel="1" x14ac:dyDescent="0.35">
      <c r="A72" s="20" t="s">
        <v>108</v>
      </c>
      <c r="B72" s="224">
        <v>0</v>
      </c>
      <c r="C72" s="224">
        <f t="shared" ref="C72:E74" si="33">ROUND(0,2)</f>
        <v>0</v>
      </c>
      <c r="D72" s="224">
        <f t="shared" si="33"/>
        <v>0</v>
      </c>
      <c r="E72" s="224">
        <f t="shared" si="33"/>
        <v>0</v>
      </c>
      <c r="F72" s="225">
        <f t="shared" si="32"/>
        <v>0</v>
      </c>
      <c r="G72" s="225">
        <f>ROUND(F72/12*12,2)</f>
        <v>0</v>
      </c>
    </row>
    <row r="73" spans="1:7" hidden="1" outlineLevel="1" x14ac:dyDescent="0.35">
      <c r="A73" s="20" t="s">
        <v>109</v>
      </c>
      <c r="B73" s="25">
        <v>0</v>
      </c>
      <c r="C73" s="25">
        <f t="shared" si="33"/>
        <v>0</v>
      </c>
      <c r="D73" s="25">
        <f t="shared" si="33"/>
        <v>0</v>
      </c>
      <c r="E73" s="25">
        <f t="shared" si="33"/>
        <v>0</v>
      </c>
      <c r="F73" s="225">
        <f t="shared" si="32"/>
        <v>0</v>
      </c>
      <c r="G73" s="225">
        <f>ROUND(F73/12*12,2)</f>
        <v>0</v>
      </c>
    </row>
    <row r="74" spans="1:7" hidden="1" outlineLevel="1" x14ac:dyDescent="0.35">
      <c r="A74" s="20" t="s">
        <v>110</v>
      </c>
      <c r="B74" s="224">
        <v>0</v>
      </c>
      <c r="C74" s="224">
        <f t="shared" si="33"/>
        <v>0</v>
      </c>
      <c r="D74" s="224">
        <f t="shared" si="33"/>
        <v>0</v>
      </c>
      <c r="E74" s="224">
        <f t="shared" si="33"/>
        <v>0</v>
      </c>
      <c r="F74" s="225">
        <f t="shared" si="32"/>
        <v>0</v>
      </c>
      <c r="G74" s="225">
        <f>ROUND(F74/12*12,2)</f>
        <v>0</v>
      </c>
    </row>
    <row r="75" spans="1:7" hidden="1" outlineLevel="1" x14ac:dyDescent="0.35">
      <c r="A75" s="30" t="s">
        <v>112</v>
      </c>
      <c r="B75" s="225">
        <f>SUM(B71:B74)</f>
        <v>0</v>
      </c>
      <c r="C75" s="225">
        <f>SUM(C71:C74)</f>
        <v>0</v>
      </c>
      <c r="D75" s="225">
        <f t="shared" ref="D75:G75" si="34">SUM(D71:D74)</f>
        <v>0</v>
      </c>
      <c r="E75" s="225">
        <f t="shared" si="34"/>
        <v>0</v>
      </c>
      <c r="F75" s="225">
        <f t="shared" si="34"/>
        <v>0</v>
      </c>
      <c r="G75" s="225">
        <f t="shared" si="34"/>
        <v>0</v>
      </c>
    </row>
    <row r="76" spans="1:7" hidden="1" outlineLevel="1" x14ac:dyDescent="0.35">
      <c r="E76" s="4"/>
    </row>
    <row r="77" spans="1:7" collapsed="1" x14ac:dyDescent="0.35"/>
    <row r="78" spans="1:7" x14ac:dyDescent="0.35">
      <c r="A78" s="53" t="s">
        <v>11</v>
      </c>
    </row>
    <row r="79" spans="1:7" x14ac:dyDescent="0.35">
      <c r="A79" s="3" t="s">
        <v>170</v>
      </c>
    </row>
    <row r="80" spans="1:7" x14ac:dyDescent="0.35">
      <c r="A80" s="3" t="s">
        <v>171</v>
      </c>
    </row>
    <row r="81" spans="1:7" x14ac:dyDescent="0.35">
      <c r="A81" s="3" t="s">
        <v>172</v>
      </c>
    </row>
    <row r="82" spans="1:7" x14ac:dyDescent="0.35">
      <c r="A82" s="3" t="s">
        <v>173</v>
      </c>
    </row>
    <row r="83" spans="1:7" x14ac:dyDescent="0.35">
      <c r="A83" s="3" t="s">
        <v>162</v>
      </c>
    </row>
    <row r="84" spans="1:7" ht="44" customHeight="1" x14ac:dyDescent="0.35">
      <c r="A84" s="302" t="s">
        <v>231</v>
      </c>
      <c r="B84" s="302"/>
      <c r="C84" s="302"/>
      <c r="D84" s="302"/>
      <c r="E84" s="302"/>
      <c r="F84" s="302"/>
      <c r="G84" s="302"/>
    </row>
  </sheetData>
  <mergeCells count="2">
    <mergeCell ref="B3:D3"/>
    <mergeCell ref="A84:G84"/>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71"/>
  <sheetViews>
    <sheetView topLeftCell="A35" zoomScale="80" zoomScaleNormal="80" workbookViewId="0">
      <selection activeCell="P12" sqref="P1:P1048576"/>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2.453125" style="46" customWidth="1"/>
    <col min="5" max="5" width="15.453125" style="46" customWidth="1"/>
    <col min="6" max="6" width="15.81640625" style="46" bestFit="1" customWidth="1"/>
    <col min="7" max="7" width="12.26953125" style="46" bestFit="1" customWidth="1"/>
    <col min="8" max="9" width="13.26953125" style="46" bestFit="1" customWidth="1"/>
    <col min="10" max="10" width="12.26953125" style="46" bestFit="1" customWidth="1"/>
    <col min="11" max="11" width="12.54296875" style="46" customWidth="1"/>
    <col min="12" max="12" width="12.81640625" style="46" customWidth="1"/>
    <col min="13" max="13" width="16" style="46"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12/02/2022</v>
      </c>
      <c r="B1" s="3"/>
      <c r="C1" s="3"/>
      <c r="D1" s="3"/>
    </row>
    <row r="2" spans="1:35" x14ac:dyDescent="0.35">
      <c r="E2" s="3" t="s">
        <v>142</v>
      </c>
    </row>
    <row r="3" spans="1:35" ht="29" x14ac:dyDescent="0.35">
      <c r="E3" s="48" t="s">
        <v>46</v>
      </c>
      <c r="F3" s="70" t="s">
        <v>58</v>
      </c>
      <c r="G3" s="48" t="s">
        <v>3</v>
      </c>
      <c r="H3" s="70" t="s">
        <v>55</v>
      </c>
      <c r="I3" s="48" t="s">
        <v>10</v>
      </c>
      <c r="J3" s="48" t="s">
        <v>59</v>
      </c>
      <c r="S3" s="48"/>
    </row>
    <row r="4" spans="1:35" x14ac:dyDescent="0.35">
      <c r="A4" s="20" t="s">
        <v>24</v>
      </c>
      <c r="B4" s="20"/>
      <c r="C4" s="20"/>
      <c r="D4" s="20"/>
      <c r="E4" s="22">
        <f>SUM(C19:M19)</f>
        <v>-228149.19024999996</v>
      </c>
      <c r="F4" s="22">
        <f>SUM(C26:L26)</f>
        <v>-411063.60000000009</v>
      </c>
      <c r="G4" s="22">
        <f>F4-E4</f>
        <v>-182914.40975000014</v>
      </c>
      <c r="H4" s="22">
        <f>+B42</f>
        <v>200709.85366999998</v>
      </c>
      <c r="I4" s="22">
        <f>SUM(C50:L50)</f>
        <v>1610.0499999999997</v>
      </c>
      <c r="J4" s="25">
        <f>SUM(G4:I4)</f>
        <v>19405.493919999844</v>
      </c>
      <c r="K4" s="47">
        <f>+J4-M42</f>
        <v>-1.3824319466948509E-10</v>
      </c>
      <c r="N4" s="47"/>
    </row>
    <row r="5" spans="1:35" ht="15" thickBot="1" x14ac:dyDescent="0.4">
      <c r="A5" s="20" t="s">
        <v>25</v>
      </c>
      <c r="B5" s="20"/>
      <c r="C5" s="20"/>
      <c r="D5" s="20"/>
      <c r="E5" s="22">
        <f>SUM(C20:M23)</f>
        <v>383324.5352300001</v>
      </c>
      <c r="F5" s="22">
        <f>SUM(C27:L30)</f>
        <v>165912.40999999997</v>
      </c>
      <c r="G5" s="22">
        <f>F5-E5</f>
        <v>-217412.12523000012</v>
      </c>
      <c r="H5" s="22">
        <f>SUM(B43:B46)</f>
        <v>538822.18858000007</v>
      </c>
      <c r="I5" s="22">
        <f>SUM(C51:L54)</f>
        <v>10218.569999999998</v>
      </c>
      <c r="J5" s="25">
        <f>SUM(G5:I5)</f>
        <v>331628.63334999996</v>
      </c>
      <c r="K5" s="47">
        <f>+J5-SUM(M43:M46)</f>
        <v>0</v>
      </c>
      <c r="N5" s="47"/>
    </row>
    <row r="6" spans="1:35" ht="15.5" thickTop="1" thickBot="1" x14ac:dyDescent="0.4">
      <c r="E6" s="27">
        <f t="shared" ref="E6:J6" si="0">SUM(E4:E5)</f>
        <v>155175.34498000014</v>
      </c>
      <c r="F6" s="27">
        <f t="shared" si="0"/>
        <v>-245151.19000000012</v>
      </c>
      <c r="G6" s="27">
        <f t="shared" si="0"/>
        <v>-400326.53498000023</v>
      </c>
      <c r="H6" s="27">
        <f t="shared" si="0"/>
        <v>739532.04225000006</v>
      </c>
      <c r="I6" s="27">
        <f t="shared" si="0"/>
        <v>11828.619999999997</v>
      </c>
      <c r="J6" s="27">
        <f t="shared" si="0"/>
        <v>351034.12726999982</v>
      </c>
      <c r="T6" s="5"/>
    </row>
    <row r="7" spans="1:35" ht="44" thickTop="1" x14ac:dyDescent="0.35">
      <c r="J7" s="231"/>
      <c r="K7" s="230" t="s">
        <v>123</v>
      </c>
    </row>
    <row r="8" spans="1:35" ht="17.25" customHeight="1" x14ac:dyDescent="0.35">
      <c r="A8" s="20" t="s">
        <v>107</v>
      </c>
      <c r="J8" s="25">
        <f>ROUND($J$5*K8,2)</f>
        <v>45023.37</v>
      </c>
      <c r="K8" s="228">
        <f>+'PCR Cycle 2'!L8</f>
        <v>0.13576441564001979</v>
      </c>
    </row>
    <row r="9" spans="1:35" ht="17.25" customHeight="1" x14ac:dyDescent="0.35">
      <c r="A9" s="20" t="s">
        <v>108</v>
      </c>
      <c r="J9" s="25">
        <f t="shared" ref="J9:J11" si="1">ROUND($J$5*K9,2)</f>
        <v>118098.18</v>
      </c>
      <c r="K9" s="228">
        <f>+'PCR Cycle 2'!L9</f>
        <v>0.35611574316442379</v>
      </c>
    </row>
    <row r="10" spans="1:35" ht="17.25" customHeight="1" x14ac:dyDescent="0.35">
      <c r="A10" s="20" t="s">
        <v>109</v>
      </c>
      <c r="J10" s="25">
        <f t="shared" si="1"/>
        <v>138726.42000000001</v>
      </c>
      <c r="K10" s="228">
        <f>+'PCR Cycle 2'!L10</f>
        <v>0.4183185730547726</v>
      </c>
    </row>
    <row r="11" spans="1:35" ht="17.25" customHeight="1" thickBot="1" x14ac:dyDescent="0.4">
      <c r="A11" s="20" t="s">
        <v>110</v>
      </c>
      <c r="J11" s="25">
        <f t="shared" si="1"/>
        <v>29780.67</v>
      </c>
      <c r="K11" s="228">
        <f>+'PCR Cycle 2'!L11</f>
        <v>8.9801268140783777E-2</v>
      </c>
    </row>
    <row r="12" spans="1:35" ht="17.25" customHeight="1" thickTop="1" thickBot="1" x14ac:dyDescent="0.4">
      <c r="A12" s="20" t="s">
        <v>112</v>
      </c>
      <c r="J12" s="27">
        <f>SUM(J8:J11)</f>
        <v>331628.63999999996</v>
      </c>
      <c r="K12" s="229">
        <f>SUM(K8:K11)</f>
        <v>1</v>
      </c>
    </row>
    <row r="13" spans="1:35" ht="15.5" thickTop="1" thickBot="1" x14ac:dyDescent="0.4">
      <c r="V13" s="4"/>
      <c r="W13" s="5"/>
    </row>
    <row r="14" spans="1:35" ht="102" thickBot="1" x14ac:dyDescent="0.4">
      <c r="B14" s="118" t="str">
        <f>+'PCR Cycle 2'!B14</f>
        <v>Cumulative Over/Under Carryover From 06/01/2022 Filing</v>
      </c>
      <c r="C14" s="275" t="str">
        <f>+'PCR Cycle 2'!C14</f>
        <v>Reverse May 2022 - October 2022 Forecast From 06/01/2022 Filing</v>
      </c>
      <c r="D14" s="275"/>
      <c r="E14" s="310" t="s">
        <v>33</v>
      </c>
      <c r="F14" s="310"/>
      <c r="G14" s="311"/>
      <c r="H14" s="316" t="s">
        <v>33</v>
      </c>
      <c r="I14" s="317"/>
      <c r="J14" s="318"/>
      <c r="K14" s="306" t="s">
        <v>8</v>
      </c>
      <c r="L14" s="307"/>
      <c r="M14" s="308"/>
    </row>
    <row r="15" spans="1:35" x14ac:dyDescent="0.35">
      <c r="A15" s="46" t="s">
        <v>86</v>
      </c>
      <c r="C15" s="105"/>
      <c r="D15" s="273"/>
      <c r="E15" s="19">
        <f>+'PCR Cycle 2'!E15</f>
        <v>44712</v>
      </c>
      <c r="F15" s="19">
        <f t="shared" ref="F15:M15" si="2">EOMONTH(E15,1)</f>
        <v>44742</v>
      </c>
      <c r="G15" s="19">
        <f t="shared" si="2"/>
        <v>44773</v>
      </c>
      <c r="H15" s="14">
        <f t="shared" si="2"/>
        <v>44804</v>
      </c>
      <c r="I15" s="19">
        <f t="shared" si="2"/>
        <v>44834</v>
      </c>
      <c r="J15" s="15">
        <f t="shared" si="2"/>
        <v>44865</v>
      </c>
      <c r="K15" s="19">
        <f t="shared" si="2"/>
        <v>44895</v>
      </c>
      <c r="L15" s="19">
        <f t="shared" si="2"/>
        <v>44926</v>
      </c>
      <c r="M15" s="15">
        <f t="shared" si="2"/>
        <v>44957</v>
      </c>
      <c r="Z15" s="1"/>
      <c r="AA15" s="1"/>
      <c r="AB15" s="1"/>
      <c r="AC15" s="1"/>
      <c r="AD15" s="1"/>
      <c r="AE15" s="1"/>
      <c r="AF15" s="1"/>
      <c r="AG15" s="1"/>
      <c r="AH15" s="1"/>
      <c r="AI15" s="1"/>
    </row>
    <row r="16" spans="1:35" x14ac:dyDescent="0.35">
      <c r="A16" s="46" t="s">
        <v>5</v>
      </c>
      <c r="C16" s="97">
        <v>79163.98000000001</v>
      </c>
      <c r="D16" s="97"/>
      <c r="E16" s="109">
        <f t="shared" ref="E16:L16" si="3">SUM(E26:E30)</f>
        <v>-39581.990000000005</v>
      </c>
      <c r="F16" s="109">
        <f t="shared" si="3"/>
        <v>-39581.990000000005</v>
      </c>
      <c r="G16" s="110">
        <f t="shared" si="3"/>
        <v>-39581.990000000005</v>
      </c>
      <c r="H16" s="16">
        <f t="shared" si="3"/>
        <v>-41113.840000000004</v>
      </c>
      <c r="I16" s="55">
        <f t="shared" si="3"/>
        <v>-41113.840000000004</v>
      </c>
      <c r="J16" s="166">
        <f t="shared" si="3"/>
        <v>-41113.840000000004</v>
      </c>
      <c r="K16" s="159">
        <f t="shared" si="3"/>
        <v>-41113.840000000004</v>
      </c>
      <c r="L16" s="78">
        <f t="shared" si="3"/>
        <v>-41113.840000000004</v>
      </c>
      <c r="M16" s="79"/>
    </row>
    <row r="17" spans="1:15" x14ac:dyDescent="0.35">
      <c r="C17" s="99"/>
      <c r="D17" s="99"/>
      <c r="E17" s="17"/>
      <c r="F17" s="17"/>
      <c r="G17" s="17"/>
      <c r="H17" s="10"/>
      <c r="I17" s="17"/>
      <c r="J17" s="11"/>
      <c r="K17" s="31"/>
      <c r="L17" s="31"/>
      <c r="M17" s="29"/>
    </row>
    <row r="18" spans="1:15" x14ac:dyDescent="0.35">
      <c r="A18" s="46" t="s">
        <v>87</v>
      </c>
      <c r="C18" s="99"/>
      <c r="D18" s="99"/>
      <c r="E18" s="18"/>
      <c r="F18" s="18"/>
      <c r="G18" s="18"/>
      <c r="H18" s="91"/>
      <c r="I18" s="18"/>
      <c r="J18" s="167"/>
      <c r="K18" s="31"/>
      <c r="L18" s="31"/>
      <c r="M18" s="29"/>
      <c r="N18" s="3" t="s">
        <v>50</v>
      </c>
      <c r="O18" s="39"/>
    </row>
    <row r="19" spans="1:15" x14ac:dyDescent="0.35">
      <c r="A19" s="46" t="s">
        <v>24</v>
      </c>
      <c r="C19" s="97">
        <v>85879.723670000007</v>
      </c>
      <c r="D19" s="97"/>
      <c r="E19" s="136">
        <f>ROUND('[5]May 2022'!$F70,2)</f>
        <v>-21516.65</v>
      </c>
      <c r="F19" s="136">
        <f>ROUND('[5]Jun 2022'!$F70,2)</f>
        <v>-28153.14</v>
      </c>
      <c r="G19" s="136">
        <f>ROUND('[5]Jul 2022'!$F70,2)</f>
        <v>-41381.730000000003</v>
      </c>
      <c r="H19" s="187">
        <f>ROUND('[5]Aug 2022'!$F70,2)</f>
        <v>-43881.95</v>
      </c>
      <c r="I19" s="121">
        <f>ROUND('[5]Sep 2022'!$F70,2)</f>
        <v>-42584.49</v>
      </c>
      <c r="J19" s="168">
        <f>ROUND('[5]Oct 2022'!$F70,2)</f>
        <v>-29864.58</v>
      </c>
      <c r="K19" s="123">
        <f>'PCR Cycle 2'!K27*$N19</f>
        <v>-25993.272959999998</v>
      </c>
      <c r="L19" s="41">
        <f>'PCR Cycle 2'!L27*$N19</f>
        <v>-37421.619999999995</v>
      </c>
      <c r="M19" s="61">
        <f>'PCR Cycle 2'!M27*$N19</f>
        <v>-43231.480959999994</v>
      </c>
      <c r="N19" s="72">
        <v>-1.5999999999999999E-4</v>
      </c>
      <c r="O19" s="4"/>
    </row>
    <row r="20" spans="1:15" x14ac:dyDescent="0.35">
      <c r="A20" s="46" t="s">
        <v>135</v>
      </c>
      <c r="C20" s="97">
        <v>37542.033090000012</v>
      </c>
      <c r="D20" s="97"/>
      <c r="E20" s="136">
        <f>ROUND('[5]May 2022'!$F71,2)</f>
        <v>-11478.99</v>
      </c>
      <c r="F20" s="136">
        <f>ROUND('[5]Jun 2022'!$F71,2)</f>
        <v>-13073.5</v>
      </c>
      <c r="G20" s="136">
        <f>ROUND('[5]Jul 2022'!$F71,2)</f>
        <v>-16042.14</v>
      </c>
      <c r="H20" s="187">
        <f>ROUND('[5]Aug 2022'!$F71,2)</f>
        <v>-14904.35</v>
      </c>
      <c r="I20" s="121">
        <f>ROUND('[5]Sep 2022'!$F71,2)</f>
        <v>-12350.87</v>
      </c>
      <c r="J20" s="168">
        <f>ROUND('[5]Oct 2022'!$F71,2)</f>
        <v>-10736.31</v>
      </c>
      <c r="K20" s="123">
        <f>'PCR Cycle 2'!K28*$N20</f>
        <v>-9613.0689600000005</v>
      </c>
      <c r="L20" s="41">
        <f>'PCR Cycle 2'!L28*$N20</f>
        <v>-10497.73934</v>
      </c>
      <c r="M20" s="61">
        <f>'PCR Cycle 2'!M28*$N20</f>
        <v>-10555.85916</v>
      </c>
      <c r="N20" s="72">
        <v>-2.2000000000000001E-4</v>
      </c>
      <c r="O20" s="4"/>
    </row>
    <row r="21" spans="1:15" x14ac:dyDescent="0.35">
      <c r="A21" s="46" t="s">
        <v>136</v>
      </c>
      <c r="C21" s="97">
        <v>-147849.59341</v>
      </c>
      <c r="D21" s="97"/>
      <c r="E21" s="136">
        <f>ROUND('[5]May 2022'!$F72,2)</f>
        <v>42730.95</v>
      </c>
      <c r="F21" s="136">
        <f>ROUND('[5]Jun 2022'!$F72,2)</f>
        <v>48464.54</v>
      </c>
      <c r="G21" s="136">
        <f>ROUND('[5]Jul 2022'!$F72,2)</f>
        <v>57497.25</v>
      </c>
      <c r="H21" s="187">
        <f>ROUND('[5]Aug 2022'!$F72,2)</f>
        <v>48603.74</v>
      </c>
      <c r="I21" s="121">
        <f>ROUND('[5]Sep 2022'!$F72,2)</f>
        <v>30860.33</v>
      </c>
      <c r="J21" s="168">
        <f>ROUND('[5]Oct 2022'!$F72,2)</f>
        <v>26999.41</v>
      </c>
      <c r="K21" s="123">
        <f>'PCR Cycle 2'!K29*$N21</f>
        <v>26299.704900000001</v>
      </c>
      <c r="L21" s="41">
        <f>'PCR Cycle 2'!L29*$N21</f>
        <v>28720.010700000003</v>
      </c>
      <c r="M21" s="61">
        <f>'PCR Cycle 2'!M29*$N21</f>
        <v>28879.016700000004</v>
      </c>
      <c r="N21" s="72">
        <v>3.0000000000000003E-4</v>
      </c>
      <c r="O21" s="4"/>
    </row>
    <row r="22" spans="1:15" x14ac:dyDescent="0.35">
      <c r="A22" s="46" t="s">
        <v>137</v>
      </c>
      <c r="C22" s="97">
        <v>-146464.13760000002</v>
      </c>
      <c r="D22" s="97"/>
      <c r="E22" s="136">
        <f>ROUND('[5]May 2022'!$F73,2)</f>
        <v>45555.54</v>
      </c>
      <c r="F22" s="136">
        <f>ROUND('[5]Jun 2022'!$F73,2)</f>
        <v>49163.29</v>
      </c>
      <c r="G22" s="136">
        <f>ROUND('[5]Jul 2022'!$F73,2)</f>
        <v>52935.37</v>
      </c>
      <c r="H22" s="187">
        <f>ROUND('[5]Aug 2022'!$F73,2)</f>
        <v>42639.92</v>
      </c>
      <c r="I22" s="121">
        <f>ROUND('[5]Sep 2022'!$F73,2)</f>
        <v>26547.34</v>
      </c>
      <c r="J22" s="168">
        <f>ROUND('[5]Oct 2022'!$F73,2)</f>
        <v>24537.02</v>
      </c>
      <c r="K22" s="123">
        <f>'PCR Cycle 2'!K30*$N22</f>
        <v>23711.096290000001</v>
      </c>
      <c r="L22" s="41">
        <f>'PCR Cycle 2'!L30*$N22</f>
        <v>25893.178040000003</v>
      </c>
      <c r="M22" s="61">
        <f>'PCR Cycle 2'!M30*$N22</f>
        <v>26036.533430000003</v>
      </c>
      <c r="N22" s="72">
        <v>1.7000000000000001E-4</v>
      </c>
      <c r="O22" s="4"/>
    </row>
    <row r="23" spans="1:15" x14ac:dyDescent="0.35">
      <c r="A23" s="46" t="s">
        <v>138</v>
      </c>
      <c r="C23" s="97">
        <v>-59306.4735</v>
      </c>
      <c r="D23" s="97"/>
      <c r="E23" s="136">
        <f>ROUND('[5]May 2022'!$F74,2)</f>
        <v>18055.61</v>
      </c>
      <c r="F23" s="136">
        <f>ROUND('[5]Jun 2022'!$F74,2)</f>
        <v>15175.72</v>
      </c>
      <c r="G23" s="136">
        <f>ROUND('[5]Jul 2022'!$F74,2)</f>
        <v>22219.21</v>
      </c>
      <c r="H23" s="187">
        <f>ROUND('[5]Aug 2022'!$F74,2)</f>
        <v>23779.52</v>
      </c>
      <c r="I23" s="121">
        <f>ROUND('[5]Sep 2022'!$F74,2)</f>
        <v>18379.240000000002</v>
      </c>
      <c r="J23" s="168">
        <f>ROUND('[5]Oct 2022'!$F74,2)</f>
        <v>13353.15</v>
      </c>
      <c r="K23" s="123">
        <f>'PCR Cycle 2'!K31*$N23</f>
        <v>13046.243699999999</v>
      </c>
      <c r="L23" s="41">
        <f>'PCR Cycle 2'!L31*$N23</f>
        <v>14246.861999999999</v>
      </c>
      <c r="M23" s="61">
        <f>'PCR Cycle 2'!M31*$N23</f>
        <v>14325.73835</v>
      </c>
      <c r="N23" s="72">
        <v>3.5E-4</v>
      </c>
      <c r="O23" s="4"/>
    </row>
    <row r="24" spans="1:15" x14ac:dyDescent="0.35">
      <c r="C24" s="67"/>
      <c r="D24" s="67"/>
      <c r="E24" s="68"/>
      <c r="F24" s="68"/>
      <c r="G24" s="68"/>
      <c r="H24" s="67"/>
      <c r="I24" s="68"/>
      <c r="J24" s="169"/>
      <c r="K24" s="56"/>
      <c r="L24" s="56"/>
      <c r="M24" s="13"/>
      <c r="O24" s="4"/>
    </row>
    <row r="25" spans="1:15" x14ac:dyDescent="0.35">
      <c r="A25" s="46" t="s">
        <v>89</v>
      </c>
      <c r="C25" s="36"/>
      <c r="D25" s="36"/>
      <c r="E25" s="37"/>
      <c r="F25" s="37"/>
      <c r="G25" s="37"/>
      <c r="H25" s="36"/>
      <c r="I25" s="37"/>
      <c r="J25" s="172"/>
      <c r="K25" s="52"/>
      <c r="L25" s="52"/>
      <c r="M25" s="38"/>
    </row>
    <row r="26" spans="1:15" x14ac:dyDescent="0.35">
      <c r="A26" s="46" t="s">
        <v>24</v>
      </c>
      <c r="C26" s="97">
        <v>134749.5</v>
      </c>
      <c r="D26" s="97"/>
      <c r="E26" s="109">
        <f>ROUND(+'EO Cycle 2'!$F$31/24+'EO Cycle 2'!$F$43/24+'EO Cycle 2'!$F$54/24,2)</f>
        <v>-67374.75</v>
      </c>
      <c r="F26" s="109">
        <f>ROUND(+'EO Cycle 2'!$F$31/24+'EO Cycle 2'!$F$43/24+'EO Cycle 2'!$F$54/24,2)</f>
        <v>-67374.75</v>
      </c>
      <c r="G26" s="110">
        <f>ROUND(+'EO Cycle 2'!$F$31/24+'EO Cycle 2'!$F$43/24+'EO Cycle 2'!$F$54/24,2)</f>
        <v>-67374.75</v>
      </c>
      <c r="H26" s="16">
        <f>ROUND(+'EO Cycle 2'!$F$31/24+'EO Cycle 2'!$F$43/24+'EO Cycle 2'!$F$54/24+'EO Cycle 2'!$F$65/24,2)</f>
        <v>-68737.77</v>
      </c>
      <c r="I26" s="55">
        <f>ROUND(+'EO Cycle 2'!$F$31/24+'EO Cycle 2'!$F$43/24+'EO Cycle 2'!$F$54/24+'EO Cycle 2'!$F$65/24,2)</f>
        <v>-68737.77</v>
      </c>
      <c r="J26" s="166">
        <f>ROUND(+'EO Cycle 2'!$F$31/24+'EO Cycle 2'!$F$43/24+'EO Cycle 2'!$F$54/24+'EO Cycle 2'!$F$65/24,2)</f>
        <v>-68737.77</v>
      </c>
      <c r="K26" s="161">
        <f>ROUND(+'EO Cycle 2'!$F$31/24+'EO Cycle 2'!$F$43/24+'EO Cycle 2'!$F$54/24+'EO Cycle 2'!$F$65/24,2)</f>
        <v>-68737.77</v>
      </c>
      <c r="L26" s="143">
        <f>ROUND(+'EO Cycle 2'!$F$31/24+'EO Cycle 2'!$F$43/24+'EO Cycle 2'!$F$54/24+'EO Cycle 2'!$F$65/24,2)</f>
        <v>-68737.77</v>
      </c>
      <c r="M26" s="79"/>
    </row>
    <row r="27" spans="1:15" x14ac:dyDescent="0.35">
      <c r="A27" s="46" t="s">
        <v>135</v>
      </c>
      <c r="C27" s="97">
        <v>45216.160000000003</v>
      </c>
      <c r="D27" s="97"/>
      <c r="E27" s="109">
        <f>ROUND(+'EO Cycle 2'!$F35/24+'EO Cycle 2'!$F47/24+'EO Cycle 2'!$F58/24,2)</f>
        <v>-22608.080000000002</v>
      </c>
      <c r="F27" s="109">
        <f>ROUND(+'EO Cycle 2'!$F35/24+'EO Cycle 2'!$F47/24+'EO Cycle 2'!$F58/24,2)</f>
        <v>-22608.080000000002</v>
      </c>
      <c r="G27" s="110">
        <f>ROUND(+'EO Cycle 2'!$F35/24+'EO Cycle 2'!$F47/24+'EO Cycle 2'!$F58/24,2)</f>
        <v>-22608.080000000002</v>
      </c>
      <c r="H27" s="16">
        <f>ROUND(+'EO Cycle 2'!$F35/24+'EO Cycle 2'!$F47/24+'EO Cycle 2'!$F58/24+'EO Cycle 2'!$F69/24,2)</f>
        <v>-22917.34</v>
      </c>
      <c r="I27" s="55">
        <f>ROUND(+'EO Cycle 2'!$F35/24+'EO Cycle 2'!$F47/24+'EO Cycle 2'!$F58/24+'EO Cycle 2'!$F69/24,2)</f>
        <v>-22917.34</v>
      </c>
      <c r="J27" s="166">
        <f>ROUND(+'EO Cycle 2'!$F35/24+'EO Cycle 2'!$F47/24+'EO Cycle 2'!$F58/24+'EO Cycle 2'!$F69/24,2)</f>
        <v>-22917.34</v>
      </c>
      <c r="K27" s="161">
        <f>ROUND(+'EO Cycle 2'!$F35/24+'EO Cycle 2'!$F47/24+'EO Cycle 2'!$F58/24+'EO Cycle 2'!$F69/24,2)</f>
        <v>-22917.34</v>
      </c>
      <c r="L27" s="143">
        <f>ROUND(+'EO Cycle 2'!$F35/24+'EO Cycle 2'!$F47/24+'EO Cycle 2'!$F58/24+'EO Cycle 2'!$F69/24,2)</f>
        <v>-22917.34</v>
      </c>
      <c r="M27" s="79"/>
    </row>
    <row r="28" spans="1:15" x14ac:dyDescent="0.35">
      <c r="A28" s="46" t="s">
        <v>136</v>
      </c>
      <c r="C28" s="97">
        <v>-41795.18</v>
      </c>
      <c r="D28" s="97"/>
      <c r="E28" s="109">
        <f>ROUND(+'EO Cycle 2'!$F36/24+'EO Cycle 2'!$F48/24+'EO Cycle 2'!$F59/24,2)</f>
        <v>20897.59</v>
      </c>
      <c r="F28" s="109">
        <f>ROUND(+'EO Cycle 2'!$F36/24+'EO Cycle 2'!$F48/24+'EO Cycle 2'!$F59/24,2)</f>
        <v>20897.59</v>
      </c>
      <c r="G28" s="110">
        <f>ROUND(+'EO Cycle 2'!$F36/24+'EO Cycle 2'!$F48/24+'EO Cycle 2'!$F59/24,2)</f>
        <v>20897.59</v>
      </c>
      <c r="H28" s="16">
        <f>ROUND(+'EO Cycle 2'!$F36/24+'EO Cycle 2'!$F48/24+'EO Cycle 2'!$F59/24+'EO Cycle 2'!$F70/24,2)</f>
        <v>20975.73</v>
      </c>
      <c r="I28" s="55">
        <f>ROUND(+'EO Cycle 2'!$F36/24+'EO Cycle 2'!$F48/24+'EO Cycle 2'!$F59/24+'EO Cycle 2'!$F70/24,2)</f>
        <v>20975.73</v>
      </c>
      <c r="J28" s="166">
        <f>ROUND(+'EO Cycle 2'!$F36/24+'EO Cycle 2'!$F48/24+'EO Cycle 2'!$F59/24+'EO Cycle 2'!$F70/24,2)</f>
        <v>20975.73</v>
      </c>
      <c r="K28" s="161">
        <f>ROUND(+'EO Cycle 2'!$F36/24+'EO Cycle 2'!$F48/24+'EO Cycle 2'!$F59/24+'EO Cycle 2'!$F70/24,2)</f>
        <v>20975.73</v>
      </c>
      <c r="L28" s="143">
        <f>ROUND(+'EO Cycle 2'!$F36/24+'EO Cycle 2'!$F48/24+'EO Cycle 2'!$F59/24+'EO Cycle 2'!$F70/24,2)</f>
        <v>20975.73</v>
      </c>
      <c r="M28" s="79"/>
    </row>
    <row r="29" spans="1:15" x14ac:dyDescent="0.35">
      <c r="A29" s="46" t="s">
        <v>137</v>
      </c>
      <c r="C29" s="97">
        <v>-29437.58</v>
      </c>
      <c r="D29" s="97"/>
      <c r="E29" s="109">
        <f>ROUND(+'EO Cycle 2'!$F37/24+'EO Cycle 2'!$F49/24+'EO Cycle 2'!$F60/24,2)</f>
        <v>14718.79</v>
      </c>
      <c r="F29" s="109">
        <f>ROUND(+'EO Cycle 2'!$F37/24+'EO Cycle 2'!$F49/24+'EO Cycle 2'!$F60/24,2)</f>
        <v>14718.79</v>
      </c>
      <c r="G29" s="110">
        <f>ROUND(+'EO Cycle 2'!$F37/24+'EO Cycle 2'!$F49/24+'EO Cycle 2'!$F60/24,2)</f>
        <v>14718.79</v>
      </c>
      <c r="H29" s="16">
        <f>ROUND(+'EO Cycle 2'!$F37/24+'EO Cycle 2'!$F49/24+'EO Cycle 2'!$F60/24+'EO Cycle 2'!$F71/24,2)</f>
        <v>14650.18</v>
      </c>
      <c r="I29" s="55">
        <f>ROUND(+'EO Cycle 2'!$F37/24+'EO Cycle 2'!$F49/24+'EO Cycle 2'!$F60/24+'EO Cycle 2'!$F71/24,2)</f>
        <v>14650.18</v>
      </c>
      <c r="J29" s="166">
        <f>ROUND(+'EO Cycle 2'!$F37/24+'EO Cycle 2'!$F49/24+'EO Cycle 2'!$F60/24+'EO Cycle 2'!$F71/24,2)</f>
        <v>14650.18</v>
      </c>
      <c r="K29" s="161">
        <f>ROUND(+'EO Cycle 2'!$F37/24+'EO Cycle 2'!$F49/24+'EO Cycle 2'!$F60/24+'EO Cycle 2'!$F71/24,2)</f>
        <v>14650.18</v>
      </c>
      <c r="L29" s="143">
        <f>ROUND(+'EO Cycle 2'!$F37/24+'EO Cycle 2'!$F49/24+'EO Cycle 2'!$F60/24+'EO Cycle 2'!$F71/24,2)</f>
        <v>14650.18</v>
      </c>
      <c r="M29" s="79"/>
    </row>
    <row r="30" spans="1:15" x14ac:dyDescent="0.35">
      <c r="A30" s="46" t="s">
        <v>138</v>
      </c>
      <c r="C30" s="97">
        <v>-29568.92</v>
      </c>
      <c r="D30" s="97"/>
      <c r="E30" s="109">
        <f>ROUND(+'EO Cycle 2'!$F38/24+'EO Cycle 2'!$F50/24+'EO Cycle 2'!$F61/24,2)</f>
        <v>14784.46</v>
      </c>
      <c r="F30" s="109">
        <f>ROUND(+'EO Cycle 2'!$F38/24+'EO Cycle 2'!$F50/24+'EO Cycle 2'!$F61/24,2)</f>
        <v>14784.46</v>
      </c>
      <c r="G30" s="110">
        <f>ROUND(+'EO Cycle 2'!$F38/24+'EO Cycle 2'!$F50/24+'EO Cycle 2'!$F61/24,2)</f>
        <v>14784.46</v>
      </c>
      <c r="H30" s="16">
        <f>ROUND(+'EO Cycle 2'!$F38/24+'EO Cycle 2'!$F50/24+'EO Cycle 2'!$F61/24+'EO Cycle 2'!$F72/24,2)</f>
        <v>14915.36</v>
      </c>
      <c r="I30" s="55">
        <f>ROUND(+'EO Cycle 2'!$F38/24+'EO Cycle 2'!$F50/24+'EO Cycle 2'!$F61/24+'EO Cycle 2'!$F72/24,2)</f>
        <v>14915.36</v>
      </c>
      <c r="J30" s="166">
        <f>ROUND(+'EO Cycle 2'!$F38/24+'EO Cycle 2'!$F50/24+'EO Cycle 2'!$F61/24+'EO Cycle 2'!$F72/24,2)</f>
        <v>14915.36</v>
      </c>
      <c r="K30" s="161">
        <f>ROUND(+'EO Cycle 2'!$F38/24+'EO Cycle 2'!$F50/24+'EO Cycle 2'!$F61/24+'EO Cycle 2'!$F72/24,2)</f>
        <v>14915.36</v>
      </c>
      <c r="L30" s="143">
        <f>ROUND(+'EO Cycle 2'!$F38/24+'EO Cycle 2'!$F50/24+'EO Cycle 2'!$F61/24+'EO Cycle 2'!$F72/24,2)</f>
        <v>14915.36</v>
      </c>
      <c r="M30" s="79"/>
      <c r="O30" s="47"/>
    </row>
    <row r="31" spans="1:15" x14ac:dyDescent="0.35">
      <c r="C31" s="99"/>
      <c r="D31" s="99"/>
      <c r="E31" s="18"/>
      <c r="F31" s="18"/>
      <c r="G31" s="18"/>
      <c r="H31" s="91"/>
      <c r="I31" s="18"/>
      <c r="J31" s="167"/>
      <c r="K31" s="56"/>
      <c r="L31" s="56"/>
      <c r="M31" s="13"/>
    </row>
    <row r="32" spans="1:15" ht="15" thickBot="1" x14ac:dyDescent="0.4">
      <c r="A32" s="3" t="s">
        <v>14</v>
      </c>
      <c r="B32" s="3"/>
      <c r="C32" s="103">
        <v>-2472.83</v>
      </c>
      <c r="D32" s="103"/>
      <c r="E32" s="136">
        <v>1594.9</v>
      </c>
      <c r="F32" s="136">
        <v>1790.2599999999998</v>
      </c>
      <c r="G32" s="137">
        <v>1978.3400000000001</v>
      </c>
      <c r="H32" s="26">
        <v>1892.38</v>
      </c>
      <c r="I32" s="122">
        <v>1911.7</v>
      </c>
      <c r="J32" s="173">
        <v>1951.4</v>
      </c>
      <c r="K32" s="162">
        <v>1709.53</v>
      </c>
      <c r="L32" s="145">
        <v>1472.98</v>
      </c>
      <c r="M32" s="82"/>
    </row>
    <row r="33" spans="1:13" x14ac:dyDescent="0.35">
      <c r="C33" s="64"/>
      <c r="D33" s="64"/>
      <c r="E33" s="149"/>
      <c r="F33" s="149"/>
      <c r="G33" s="150"/>
      <c r="H33" s="64"/>
      <c r="I33" s="33"/>
      <c r="J33" s="174"/>
      <c r="K33" s="34"/>
      <c r="L33" s="34"/>
      <c r="M33" s="60"/>
    </row>
    <row r="34" spans="1:13" x14ac:dyDescent="0.35">
      <c r="A34" s="46" t="s">
        <v>52</v>
      </c>
      <c r="C34" s="65"/>
      <c r="D34" s="65"/>
      <c r="E34" s="150"/>
      <c r="F34" s="150"/>
      <c r="G34" s="150"/>
      <c r="H34" s="65"/>
      <c r="I34" s="35"/>
      <c r="J34" s="175"/>
      <c r="K34" s="34"/>
      <c r="L34" s="34"/>
      <c r="M34" s="60"/>
    </row>
    <row r="35" spans="1:13" x14ac:dyDescent="0.35">
      <c r="A35" s="46" t="s">
        <v>24</v>
      </c>
      <c r="C35" s="100">
        <f t="shared" ref="C35:M35" si="4">C26-C19</f>
        <v>48869.776329999993</v>
      </c>
      <c r="D35" s="100"/>
      <c r="E35" s="41">
        <f t="shared" si="4"/>
        <v>-45858.1</v>
      </c>
      <c r="F35" s="41">
        <f t="shared" si="4"/>
        <v>-39221.61</v>
      </c>
      <c r="G35" s="108">
        <f t="shared" si="4"/>
        <v>-25993.019999999997</v>
      </c>
      <c r="H35" s="40">
        <f t="shared" si="4"/>
        <v>-24855.820000000007</v>
      </c>
      <c r="I35" s="41">
        <f t="shared" si="4"/>
        <v>-26153.280000000006</v>
      </c>
      <c r="J35" s="61">
        <f t="shared" si="4"/>
        <v>-38873.19</v>
      </c>
      <c r="K35" s="123">
        <f t="shared" si="4"/>
        <v>-42744.497040000002</v>
      </c>
      <c r="L35" s="41">
        <f t="shared" si="4"/>
        <v>-31316.150000000009</v>
      </c>
      <c r="M35" s="61">
        <f t="shared" si="4"/>
        <v>43231.480959999994</v>
      </c>
    </row>
    <row r="36" spans="1:13" x14ac:dyDescent="0.35">
      <c r="A36" s="46" t="s">
        <v>135</v>
      </c>
      <c r="C36" s="100">
        <f t="shared" ref="C36:M36" si="5">C27-C20</f>
        <v>7674.1269099999918</v>
      </c>
      <c r="D36" s="100"/>
      <c r="E36" s="41">
        <f t="shared" si="5"/>
        <v>-11129.090000000002</v>
      </c>
      <c r="F36" s="41">
        <f t="shared" si="5"/>
        <v>-9534.5800000000017</v>
      </c>
      <c r="G36" s="108">
        <f t="shared" si="5"/>
        <v>-6565.9400000000023</v>
      </c>
      <c r="H36" s="40">
        <f t="shared" si="5"/>
        <v>-8012.99</v>
      </c>
      <c r="I36" s="41">
        <f t="shared" si="5"/>
        <v>-10566.47</v>
      </c>
      <c r="J36" s="61">
        <f t="shared" si="5"/>
        <v>-12181.03</v>
      </c>
      <c r="K36" s="123">
        <f t="shared" si="5"/>
        <v>-13304.27104</v>
      </c>
      <c r="L36" s="41">
        <f t="shared" si="5"/>
        <v>-12419.60066</v>
      </c>
      <c r="M36" s="61">
        <f t="shared" si="5"/>
        <v>10555.85916</v>
      </c>
    </row>
    <row r="37" spans="1:13" x14ac:dyDescent="0.35">
      <c r="A37" s="46" t="s">
        <v>136</v>
      </c>
      <c r="C37" s="100">
        <f t="shared" ref="C37:M37" si="6">C28-C21</f>
        <v>106054.41341000001</v>
      </c>
      <c r="D37" s="100"/>
      <c r="E37" s="41">
        <f t="shared" si="6"/>
        <v>-21833.359999999997</v>
      </c>
      <c r="F37" s="41">
        <f t="shared" si="6"/>
        <v>-27566.95</v>
      </c>
      <c r="G37" s="108">
        <f t="shared" si="6"/>
        <v>-36599.660000000003</v>
      </c>
      <c r="H37" s="40">
        <f t="shared" si="6"/>
        <v>-27628.01</v>
      </c>
      <c r="I37" s="41">
        <f t="shared" si="6"/>
        <v>-9884.6000000000022</v>
      </c>
      <c r="J37" s="61">
        <f t="shared" si="6"/>
        <v>-6023.68</v>
      </c>
      <c r="K37" s="123">
        <f t="shared" si="6"/>
        <v>-5323.9749000000011</v>
      </c>
      <c r="L37" s="41">
        <f t="shared" si="6"/>
        <v>-7744.280700000003</v>
      </c>
      <c r="M37" s="61">
        <f t="shared" si="6"/>
        <v>-28879.016700000004</v>
      </c>
    </row>
    <row r="38" spans="1:13" x14ac:dyDescent="0.35">
      <c r="A38" s="46" t="s">
        <v>137</v>
      </c>
      <c r="C38" s="100">
        <f t="shared" ref="C38:M38" si="7">C29-C22</f>
        <v>117026.55760000001</v>
      </c>
      <c r="D38" s="100"/>
      <c r="E38" s="41">
        <f t="shared" si="7"/>
        <v>-30836.75</v>
      </c>
      <c r="F38" s="41">
        <f t="shared" si="7"/>
        <v>-34444.5</v>
      </c>
      <c r="G38" s="108">
        <f t="shared" si="7"/>
        <v>-38216.58</v>
      </c>
      <c r="H38" s="40">
        <f t="shared" si="7"/>
        <v>-27989.739999999998</v>
      </c>
      <c r="I38" s="41">
        <f t="shared" si="7"/>
        <v>-11897.16</v>
      </c>
      <c r="J38" s="61">
        <f t="shared" si="7"/>
        <v>-9886.84</v>
      </c>
      <c r="K38" s="123">
        <f t="shared" si="7"/>
        <v>-9060.916290000001</v>
      </c>
      <c r="L38" s="41">
        <f t="shared" si="7"/>
        <v>-11242.998040000002</v>
      </c>
      <c r="M38" s="61">
        <f t="shared" si="7"/>
        <v>-26036.533430000003</v>
      </c>
    </row>
    <row r="39" spans="1:13" x14ac:dyDescent="0.35">
      <c r="A39" s="46" t="s">
        <v>138</v>
      </c>
      <c r="C39" s="100">
        <f t="shared" ref="C39:M39" si="8">C30-C23</f>
        <v>29737.553500000002</v>
      </c>
      <c r="D39" s="100"/>
      <c r="E39" s="41">
        <f t="shared" si="8"/>
        <v>-3271.1500000000015</v>
      </c>
      <c r="F39" s="41">
        <f t="shared" si="8"/>
        <v>-391.26000000000022</v>
      </c>
      <c r="G39" s="108">
        <f t="shared" si="8"/>
        <v>-7434.75</v>
      </c>
      <c r="H39" s="40">
        <f t="shared" si="8"/>
        <v>-8864.16</v>
      </c>
      <c r="I39" s="41">
        <f t="shared" si="8"/>
        <v>-3463.880000000001</v>
      </c>
      <c r="J39" s="61">
        <f t="shared" si="8"/>
        <v>1562.2100000000009</v>
      </c>
      <c r="K39" s="123">
        <f t="shared" si="8"/>
        <v>1869.1163000000015</v>
      </c>
      <c r="L39" s="41">
        <f t="shared" si="8"/>
        <v>668.49800000000141</v>
      </c>
      <c r="M39" s="61">
        <f t="shared" si="8"/>
        <v>-14325.73835</v>
      </c>
    </row>
    <row r="40" spans="1:13" x14ac:dyDescent="0.35">
      <c r="C40" s="99"/>
      <c r="D40" s="99"/>
      <c r="E40" s="17"/>
      <c r="F40" s="17"/>
      <c r="G40" s="17"/>
      <c r="H40" s="10"/>
      <c r="I40" s="17"/>
      <c r="J40" s="11"/>
      <c r="K40" s="17"/>
      <c r="L40" s="17"/>
      <c r="M40" s="11"/>
    </row>
    <row r="41" spans="1:13" x14ac:dyDescent="0.35">
      <c r="A41" s="46" t="s">
        <v>53</v>
      </c>
      <c r="C41" s="99"/>
      <c r="D41" s="99"/>
      <c r="E41" s="17"/>
      <c r="F41" s="17"/>
      <c r="G41" s="17"/>
      <c r="H41" s="10"/>
      <c r="I41" s="17"/>
      <c r="J41" s="11"/>
      <c r="K41" s="17"/>
      <c r="L41" s="17"/>
      <c r="M41" s="11"/>
    </row>
    <row r="42" spans="1:13" x14ac:dyDescent="0.35">
      <c r="A42" s="46" t="s">
        <v>24</v>
      </c>
      <c r="B42" s="61">
        <v>200709.85366999998</v>
      </c>
      <c r="C42" s="100">
        <f t="shared" ref="C42:M42" si="9">B42+C35+B50</f>
        <v>249579.62999999998</v>
      </c>
      <c r="D42" s="100"/>
      <c r="E42" s="41">
        <f>C42+E35+C50+D50</f>
        <v>203175.84999999998</v>
      </c>
      <c r="F42" s="41">
        <f t="shared" si="9"/>
        <v>164318.50999999998</v>
      </c>
      <c r="G42" s="108">
        <f t="shared" si="9"/>
        <v>138699.88</v>
      </c>
      <c r="H42" s="40">
        <f t="shared" si="9"/>
        <v>114234.66</v>
      </c>
      <c r="I42" s="41">
        <f t="shared" si="9"/>
        <v>88442.25</v>
      </c>
      <c r="J42" s="61">
        <f t="shared" si="9"/>
        <v>49899.99</v>
      </c>
      <c r="K42" s="123">
        <f t="shared" si="9"/>
        <v>7413.3729599999961</v>
      </c>
      <c r="L42" s="41">
        <f t="shared" si="9"/>
        <v>-23795.71704000001</v>
      </c>
      <c r="M42" s="61">
        <f t="shared" si="9"/>
        <v>19405.493919999983</v>
      </c>
    </row>
    <row r="43" spans="1:13" x14ac:dyDescent="0.35">
      <c r="A43" s="46" t="s">
        <v>135</v>
      </c>
      <c r="B43" s="61">
        <v>-58194.066910000001</v>
      </c>
      <c r="C43" s="100">
        <f t="shared" ref="C43:M43" si="10">B43+C36+B51</f>
        <v>-50519.94000000001</v>
      </c>
      <c r="D43" s="100"/>
      <c r="E43" s="41">
        <f t="shared" ref="E43:E46" si="11">C43+E36+C51+D51</f>
        <v>-61486.880000000012</v>
      </c>
      <c r="F43" s="41">
        <f t="shared" si="10"/>
        <v>-71111.560000000027</v>
      </c>
      <c r="G43" s="108">
        <f t="shared" si="10"/>
        <v>-77812.550000000032</v>
      </c>
      <c r="H43" s="40">
        <f t="shared" si="10"/>
        <v>-86017.450000000041</v>
      </c>
      <c r="I43" s="41">
        <f t="shared" si="10"/>
        <v>-96817.570000000036</v>
      </c>
      <c r="J43" s="61">
        <f t="shared" si="10"/>
        <v>-109296.98000000004</v>
      </c>
      <c r="K43" s="123">
        <f t="shared" si="10"/>
        <v>-122985.10104000004</v>
      </c>
      <c r="L43" s="41">
        <f t="shared" si="10"/>
        <v>-135837.37170000005</v>
      </c>
      <c r="M43" s="61">
        <f t="shared" si="10"/>
        <v>-125763.63254000005</v>
      </c>
    </row>
    <row r="44" spans="1:13" x14ac:dyDescent="0.35">
      <c r="A44" s="46" t="s">
        <v>136</v>
      </c>
      <c r="B44" s="61">
        <v>263261.48659000004</v>
      </c>
      <c r="C44" s="100">
        <f t="shared" ref="C44:M44" si="12">B44+C37+B52</f>
        <v>369315.9</v>
      </c>
      <c r="D44" s="100"/>
      <c r="E44" s="41">
        <f t="shared" si="11"/>
        <v>346572.27</v>
      </c>
      <c r="F44" s="41">
        <f t="shared" si="12"/>
        <v>319581.26</v>
      </c>
      <c r="G44" s="108">
        <f t="shared" si="12"/>
        <v>283660.17</v>
      </c>
      <c r="H44" s="40">
        <f t="shared" si="12"/>
        <v>256809.67999999996</v>
      </c>
      <c r="I44" s="41">
        <f t="shared" si="12"/>
        <v>247696.09999999995</v>
      </c>
      <c r="J44" s="61">
        <f t="shared" si="12"/>
        <v>242495.96999999994</v>
      </c>
      <c r="K44" s="123">
        <f t="shared" si="12"/>
        <v>238085.09509999995</v>
      </c>
      <c r="L44" s="41">
        <f t="shared" si="12"/>
        <v>231236.21439999994</v>
      </c>
      <c r="M44" s="61">
        <f t="shared" si="12"/>
        <v>203231.62769999992</v>
      </c>
    </row>
    <row r="45" spans="1:13" x14ac:dyDescent="0.35">
      <c r="A45" s="46" t="s">
        <v>137</v>
      </c>
      <c r="B45" s="61">
        <v>218202.18240000002</v>
      </c>
      <c r="C45" s="100">
        <f t="shared" ref="C45:M45" si="13">B45+C38+B53</f>
        <v>335228.74000000005</v>
      </c>
      <c r="D45" s="100"/>
      <c r="E45" s="41">
        <f t="shared" si="11"/>
        <v>303587.52000000008</v>
      </c>
      <c r="F45" s="41">
        <f t="shared" si="13"/>
        <v>269656.96000000008</v>
      </c>
      <c r="G45" s="108">
        <f t="shared" si="13"/>
        <v>232024.33000000007</v>
      </c>
      <c r="H45" s="40">
        <f t="shared" si="13"/>
        <v>204681.2300000001</v>
      </c>
      <c r="I45" s="41">
        <f t="shared" si="13"/>
        <v>193407.09000000008</v>
      </c>
      <c r="J45" s="61">
        <f t="shared" si="13"/>
        <v>184170.11000000007</v>
      </c>
      <c r="K45" s="123">
        <f t="shared" si="13"/>
        <v>175812.55371000007</v>
      </c>
      <c r="L45" s="41">
        <f t="shared" si="13"/>
        <v>165240.29567000005</v>
      </c>
      <c r="M45" s="61">
        <f t="shared" si="13"/>
        <v>139839.24224000005</v>
      </c>
    </row>
    <row r="46" spans="1:13" x14ac:dyDescent="0.35">
      <c r="A46" s="46" t="s">
        <v>138</v>
      </c>
      <c r="B46" s="61">
        <v>115552.58649999999</v>
      </c>
      <c r="C46" s="100">
        <f>B46+C39+B54</f>
        <v>145290.13999999998</v>
      </c>
      <c r="D46" s="100"/>
      <c r="E46" s="41">
        <f t="shared" si="11"/>
        <v>141644.43</v>
      </c>
      <c r="F46" s="41">
        <f t="shared" ref="F46:M46" si="14">E46+F39+E54</f>
        <v>141484.00999999998</v>
      </c>
      <c r="G46" s="108">
        <f t="shared" si="14"/>
        <v>134337.65</v>
      </c>
      <c r="H46" s="40">
        <f t="shared" si="14"/>
        <v>125828.96999999999</v>
      </c>
      <c r="I46" s="41">
        <f t="shared" si="14"/>
        <v>122736.20999999998</v>
      </c>
      <c r="J46" s="61">
        <f t="shared" si="14"/>
        <v>124704.15999999999</v>
      </c>
      <c r="K46" s="123">
        <f t="shared" si="14"/>
        <v>127034.17629999999</v>
      </c>
      <c r="L46" s="41">
        <f t="shared" si="14"/>
        <v>128171.6743</v>
      </c>
      <c r="M46" s="61">
        <f t="shared" si="14"/>
        <v>114321.39595000001</v>
      </c>
    </row>
    <row r="47" spans="1:13" x14ac:dyDescent="0.35">
      <c r="C47" s="99"/>
      <c r="D47" s="99"/>
      <c r="E47" s="17"/>
      <c r="F47" s="17"/>
      <c r="G47" s="17"/>
      <c r="H47" s="10"/>
      <c r="I47" s="17"/>
      <c r="J47" s="11"/>
      <c r="K47" s="17"/>
      <c r="L47" s="17"/>
      <c r="M47" s="11"/>
    </row>
    <row r="48" spans="1:13" x14ac:dyDescent="0.35">
      <c r="A48" s="39" t="s">
        <v>88</v>
      </c>
      <c r="B48" s="39"/>
      <c r="C48" s="104"/>
      <c r="D48" s="104"/>
      <c r="E48" s="83">
        <f>+'PCR Cycle 2'!E50</f>
        <v>1.61108E-3</v>
      </c>
      <c r="F48" s="83">
        <f>+'PCR Cycle 2'!F50</f>
        <v>2.0355199999999999E-3</v>
      </c>
      <c r="G48" s="83">
        <f>+'PCR Cycle 2'!G50</f>
        <v>2.5749000000000002E-3</v>
      </c>
      <c r="H48" s="84">
        <f>+'PCR Cycle 2'!H50</f>
        <v>2.84906E-3</v>
      </c>
      <c r="I48" s="83">
        <f>+'PCR Cycle 2'!I50</f>
        <v>3.2598100000000001E-3</v>
      </c>
      <c r="J48" s="92">
        <f>+'PCR Cycle 2'!J50</f>
        <v>3.7192499999999999E-3</v>
      </c>
      <c r="K48" s="83">
        <f>+'PCR Cycle 2'!K50</f>
        <v>3.7192499999999999E-3</v>
      </c>
      <c r="L48" s="83">
        <f>+'PCR Cycle 2'!L50</f>
        <v>3.7192499999999999E-3</v>
      </c>
      <c r="M48" s="85"/>
    </row>
    <row r="49" spans="1:13" x14ac:dyDescent="0.35">
      <c r="A49" s="39" t="s">
        <v>37</v>
      </c>
      <c r="B49" s="39"/>
      <c r="C49" s="106"/>
      <c r="D49" s="106"/>
      <c r="E49" s="83"/>
      <c r="F49" s="83"/>
      <c r="G49" s="83"/>
      <c r="H49" s="84"/>
      <c r="I49" s="83"/>
      <c r="J49" s="85"/>
      <c r="K49" s="83"/>
      <c r="L49" s="83"/>
      <c r="M49" s="85"/>
    </row>
    <row r="50" spans="1:13" x14ac:dyDescent="0.35">
      <c r="A50" s="46" t="s">
        <v>24</v>
      </c>
      <c r="C50" s="100">
        <v>-545.68000000000006</v>
      </c>
      <c r="D50" s="100"/>
      <c r="E50" s="41">
        <f>ROUND((C42+C50+D50+E35/2)*E$48,2)</f>
        <v>364.27</v>
      </c>
      <c r="F50" s="41">
        <f t="shared" ref="F50:M50" si="15">ROUND((E42+E50+F35/2)*F$48,2)</f>
        <v>374.39</v>
      </c>
      <c r="G50" s="108">
        <f t="shared" si="15"/>
        <v>390.6</v>
      </c>
      <c r="H50" s="40">
        <f t="shared" si="15"/>
        <v>360.87</v>
      </c>
      <c r="I50" s="123">
        <f t="shared" si="15"/>
        <v>330.93</v>
      </c>
      <c r="J50" s="49">
        <f t="shared" si="15"/>
        <v>257.88</v>
      </c>
      <c r="K50" s="163">
        <f t="shared" si="15"/>
        <v>107.06</v>
      </c>
      <c r="L50" s="108">
        <f t="shared" si="15"/>
        <v>-30.27</v>
      </c>
      <c r="M50" s="61">
        <f t="shared" si="15"/>
        <v>0</v>
      </c>
    </row>
    <row r="51" spans="1:13" x14ac:dyDescent="0.35">
      <c r="A51" s="46" t="s">
        <v>135</v>
      </c>
      <c r="C51" s="100">
        <v>162.14999999999998</v>
      </c>
      <c r="D51" s="100"/>
      <c r="E51" s="41">
        <f t="shared" ref="E51:E54" si="16">ROUND((C43+C51+D51+E36/2)*E$48,2)</f>
        <v>-90.1</v>
      </c>
      <c r="F51" s="41">
        <f t="shared" ref="F51:M51" si="17">ROUND((E43+E51+F36/2)*F$48,2)</f>
        <v>-135.05000000000001</v>
      </c>
      <c r="G51" s="108">
        <f t="shared" si="17"/>
        <v>-191.91</v>
      </c>
      <c r="H51" s="40">
        <f t="shared" si="17"/>
        <v>-233.65</v>
      </c>
      <c r="I51" s="123">
        <f t="shared" si="17"/>
        <v>-298.38</v>
      </c>
      <c r="J51" s="49">
        <f t="shared" si="17"/>
        <v>-383.85</v>
      </c>
      <c r="K51" s="163">
        <f t="shared" si="17"/>
        <v>-432.67</v>
      </c>
      <c r="L51" s="108">
        <f t="shared" si="17"/>
        <v>-482.12</v>
      </c>
      <c r="M51" s="61">
        <f t="shared" si="17"/>
        <v>0</v>
      </c>
    </row>
    <row r="52" spans="1:13" x14ac:dyDescent="0.35">
      <c r="A52" s="46" t="s">
        <v>136</v>
      </c>
      <c r="C52" s="100">
        <v>-910.27</v>
      </c>
      <c r="D52" s="100"/>
      <c r="E52" s="41">
        <f t="shared" si="16"/>
        <v>575.94000000000005</v>
      </c>
      <c r="F52" s="41">
        <f>ROUND((E44+E52+F37/2)*F$48,2)</f>
        <v>678.57</v>
      </c>
      <c r="G52" s="108">
        <f t="shared" ref="G52:M52" si="18">ROUND((F44+F52+G37/2)*G$48,2)</f>
        <v>777.52</v>
      </c>
      <c r="H52" s="40">
        <f t="shared" si="18"/>
        <v>771.02</v>
      </c>
      <c r="I52" s="123">
        <f t="shared" si="18"/>
        <v>823.55</v>
      </c>
      <c r="J52" s="49">
        <f t="shared" si="18"/>
        <v>913.1</v>
      </c>
      <c r="K52" s="163">
        <f t="shared" si="18"/>
        <v>895.4</v>
      </c>
      <c r="L52" s="108">
        <f t="shared" si="18"/>
        <v>874.43</v>
      </c>
      <c r="M52" s="61">
        <f t="shared" si="18"/>
        <v>0</v>
      </c>
    </row>
    <row r="53" spans="1:13" x14ac:dyDescent="0.35">
      <c r="A53" s="46" t="s">
        <v>137</v>
      </c>
      <c r="C53" s="100">
        <v>-804.47</v>
      </c>
      <c r="D53" s="100"/>
      <c r="E53" s="41">
        <f t="shared" si="16"/>
        <v>513.94000000000005</v>
      </c>
      <c r="F53" s="41">
        <f t="shared" ref="F53:M53" si="19">ROUND((E45+E53+F38/2)*F$48,2)</f>
        <v>583.95000000000005</v>
      </c>
      <c r="G53" s="108">
        <f t="shared" si="19"/>
        <v>646.64</v>
      </c>
      <c r="H53" s="40">
        <f t="shared" si="19"/>
        <v>623.02</v>
      </c>
      <c r="I53" s="123">
        <f t="shared" si="19"/>
        <v>649.86</v>
      </c>
      <c r="J53" s="49">
        <f t="shared" si="19"/>
        <v>703.36</v>
      </c>
      <c r="K53" s="163">
        <f t="shared" si="19"/>
        <v>670.74</v>
      </c>
      <c r="L53" s="108">
        <f t="shared" si="19"/>
        <v>635.48</v>
      </c>
      <c r="M53" s="61">
        <f t="shared" si="19"/>
        <v>0</v>
      </c>
    </row>
    <row r="54" spans="1:13" ht="15" thickBot="1" x14ac:dyDescent="0.4">
      <c r="A54" s="46" t="s">
        <v>138</v>
      </c>
      <c r="C54" s="100">
        <v>-374.56</v>
      </c>
      <c r="D54" s="100"/>
      <c r="E54" s="41">
        <f t="shared" si="16"/>
        <v>230.84</v>
      </c>
      <c r="F54" s="41">
        <f t="shared" ref="F54:M54" si="20">ROUND((E46+E54+F39/2)*F$48,2)</f>
        <v>288.39</v>
      </c>
      <c r="G54" s="108">
        <f t="shared" si="20"/>
        <v>355.48</v>
      </c>
      <c r="H54" s="40">
        <f t="shared" si="20"/>
        <v>371.12</v>
      </c>
      <c r="I54" s="123">
        <f t="shared" si="20"/>
        <v>405.74</v>
      </c>
      <c r="J54" s="49">
        <f t="shared" si="20"/>
        <v>460.9</v>
      </c>
      <c r="K54" s="163">
        <f t="shared" si="20"/>
        <v>469</v>
      </c>
      <c r="L54" s="108">
        <f t="shared" si="20"/>
        <v>475.46</v>
      </c>
      <c r="M54" s="61">
        <f t="shared" si="20"/>
        <v>0</v>
      </c>
    </row>
    <row r="55" spans="1:13" ht="15.5" thickTop="1" thickBot="1" x14ac:dyDescent="0.4">
      <c r="A55" s="54" t="s">
        <v>22</v>
      </c>
      <c r="B55" s="54"/>
      <c r="C55" s="107">
        <v>0</v>
      </c>
      <c r="D55" s="107"/>
      <c r="E55" s="42">
        <f t="shared" ref="E55:J55" si="21">SUM(E50:E54)+SUM(E42:E46)-E58</f>
        <v>0</v>
      </c>
      <c r="F55" s="42">
        <f t="shared" si="21"/>
        <v>0</v>
      </c>
      <c r="G55" s="50">
        <f t="shared" ref="G55:I55" si="22">SUM(G50:G54)+SUM(G42:G46)-G58</f>
        <v>0</v>
      </c>
      <c r="H55" s="147">
        <f t="shared" si="22"/>
        <v>0</v>
      </c>
      <c r="I55" s="50">
        <f t="shared" si="22"/>
        <v>0</v>
      </c>
      <c r="J55" s="62">
        <f t="shared" si="21"/>
        <v>0</v>
      </c>
      <c r="K55" s="164">
        <f t="shared" ref="K55:M55" si="23">SUM(K50:K54)+SUM(K42:K46)-K58</f>
        <v>0</v>
      </c>
      <c r="L55" s="50">
        <f t="shared" si="23"/>
        <v>0</v>
      </c>
      <c r="M55" s="62">
        <f t="shared" si="23"/>
        <v>0</v>
      </c>
    </row>
    <row r="56" spans="1:13" ht="15.5" thickTop="1" thickBot="1" x14ac:dyDescent="0.4">
      <c r="A56" s="54" t="s">
        <v>23</v>
      </c>
      <c r="B56" s="54"/>
      <c r="C56" s="107">
        <v>0</v>
      </c>
      <c r="D56" s="107"/>
      <c r="E56" s="42">
        <f t="shared" ref="E56:J56" si="24">SUM(E50:E54)-E32</f>
        <v>-9.9999999999909051E-3</v>
      </c>
      <c r="F56" s="42">
        <f t="shared" si="24"/>
        <v>-9.9999999997635314E-3</v>
      </c>
      <c r="G56" s="50">
        <f t="shared" ref="G56:I56" si="25">SUM(G50:G54)-G32</f>
        <v>-1.0000000000218279E-2</v>
      </c>
      <c r="H56" s="147">
        <f t="shared" si="25"/>
        <v>0</v>
      </c>
      <c r="I56" s="50">
        <f t="shared" si="25"/>
        <v>0</v>
      </c>
      <c r="J56" s="62">
        <f t="shared" si="24"/>
        <v>-1.0000000000218279E-2</v>
      </c>
      <c r="K56" s="165">
        <f t="shared" ref="K56:M56" si="26">SUM(K50:K54)-K32</f>
        <v>0</v>
      </c>
      <c r="L56" s="42">
        <f t="shared" si="26"/>
        <v>0</v>
      </c>
      <c r="M56" s="42">
        <f t="shared" si="26"/>
        <v>0</v>
      </c>
    </row>
    <row r="57" spans="1:13" ht="15.5" thickTop="1" thickBot="1" x14ac:dyDescent="0.4">
      <c r="C57" s="99"/>
      <c r="D57" s="99"/>
      <c r="E57" s="17"/>
      <c r="F57" s="17"/>
      <c r="G57" s="17"/>
      <c r="H57" s="10"/>
      <c r="I57" s="17"/>
      <c r="J57" s="11"/>
      <c r="K57" s="17"/>
      <c r="L57" s="17"/>
      <c r="M57" s="11"/>
    </row>
    <row r="58" spans="1:13" ht="15" thickBot="1" x14ac:dyDescent="0.4">
      <c r="A58" s="46" t="s">
        <v>36</v>
      </c>
      <c r="B58" s="119">
        <f>SUM(B42:B46)</f>
        <v>739532.04225000006</v>
      </c>
      <c r="C58" s="100">
        <f t="shared" ref="C58:M58" si="27">(C16-SUM(C19:C23))+SUM(C50:C54)+B58</f>
        <v>1046421.6400000001</v>
      </c>
      <c r="D58" s="100"/>
      <c r="E58" s="41">
        <f>(E16-SUM(E19:E23))+SUM(D50:E54)+C58</f>
        <v>935088.08000000007</v>
      </c>
      <c r="F58" s="41">
        <f t="shared" si="27"/>
        <v>825719.43</v>
      </c>
      <c r="G58" s="108">
        <f t="shared" si="27"/>
        <v>712887.81</v>
      </c>
      <c r="H58" s="40">
        <f t="shared" si="27"/>
        <v>617429.47000000009</v>
      </c>
      <c r="I58" s="41">
        <f t="shared" si="27"/>
        <v>557375.78</v>
      </c>
      <c r="J58" s="61">
        <f t="shared" si="27"/>
        <v>493924.64</v>
      </c>
      <c r="K58" s="163">
        <f t="shared" si="27"/>
        <v>427069.62702999997</v>
      </c>
      <c r="L58" s="108">
        <f t="shared" si="27"/>
        <v>366488.07562999998</v>
      </c>
      <c r="M58" s="61">
        <f t="shared" si="27"/>
        <v>351034.12726999994</v>
      </c>
    </row>
    <row r="59" spans="1:13" x14ac:dyDescent="0.35">
      <c r="A59" s="46" t="s">
        <v>12</v>
      </c>
      <c r="C59" s="120"/>
      <c r="D59" s="17"/>
      <c r="E59" s="17"/>
      <c r="F59" s="17"/>
      <c r="G59" s="17"/>
      <c r="H59" s="10"/>
      <c r="I59" s="17"/>
      <c r="J59" s="11"/>
      <c r="K59" s="17"/>
      <c r="L59" s="17"/>
      <c r="M59" s="11"/>
    </row>
    <row r="60" spans="1:13" ht="15" thickBot="1" x14ac:dyDescent="0.4">
      <c r="A60" s="37"/>
      <c r="B60" s="37"/>
      <c r="C60" s="148"/>
      <c r="D60" s="274"/>
      <c r="E60" s="44"/>
      <c r="F60" s="44"/>
      <c r="G60" s="44"/>
      <c r="H60" s="43"/>
      <c r="I60" s="44"/>
      <c r="J60" s="45"/>
      <c r="K60" s="44"/>
      <c r="L60" s="44"/>
      <c r="M60" s="45"/>
    </row>
    <row r="62" spans="1:13" x14ac:dyDescent="0.35">
      <c r="A62" s="69" t="s">
        <v>11</v>
      </c>
      <c r="B62" s="69"/>
      <c r="C62" s="69"/>
      <c r="D62" s="69"/>
    </row>
    <row r="63" spans="1:13" ht="31.5" customHeight="1" x14ac:dyDescent="0.35">
      <c r="A63" s="309" t="s">
        <v>163</v>
      </c>
      <c r="B63" s="309"/>
      <c r="C63" s="309"/>
      <c r="D63" s="309"/>
      <c r="E63" s="309"/>
      <c r="F63" s="309"/>
      <c r="G63" s="309"/>
      <c r="H63" s="309"/>
      <c r="I63" s="309"/>
      <c r="J63" s="309"/>
      <c r="K63" s="238"/>
      <c r="L63" s="238"/>
      <c r="M63" s="238"/>
    </row>
    <row r="64" spans="1:13" ht="33.65" customHeight="1" x14ac:dyDescent="0.35">
      <c r="A64" s="309" t="s">
        <v>192</v>
      </c>
      <c r="B64" s="309"/>
      <c r="C64" s="309"/>
      <c r="D64" s="309"/>
      <c r="E64" s="309"/>
      <c r="F64" s="309"/>
      <c r="G64" s="309"/>
      <c r="H64" s="309"/>
      <c r="I64" s="309"/>
      <c r="J64" s="309"/>
      <c r="K64" s="238"/>
      <c r="L64" s="238"/>
    </row>
    <row r="65" spans="1:13" ht="18.75" customHeight="1" x14ac:dyDescent="0.35">
      <c r="A65" s="309" t="s">
        <v>164</v>
      </c>
      <c r="B65" s="309"/>
      <c r="C65" s="309"/>
      <c r="D65" s="309"/>
      <c r="E65" s="309"/>
      <c r="F65" s="309"/>
      <c r="G65" s="309"/>
      <c r="H65" s="309"/>
      <c r="I65" s="309"/>
      <c r="J65" s="309"/>
      <c r="K65" s="238"/>
      <c r="L65" s="238"/>
      <c r="M65" s="238"/>
    </row>
    <row r="66" spans="1:13" x14ac:dyDescent="0.35">
      <c r="A66" s="63" t="s">
        <v>31</v>
      </c>
      <c r="B66" s="63"/>
      <c r="C66" s="63"/>
      <c r="D66" s="63"/>
      <c r="E66" s="39"/>
      <c r="F66" s="39"/>
      <c r="G66" s="39"/>
      <c r="H66" s="39"/>
      <c r="I66" s="39"/>
      <c r="J66" s="39"/>
    </row>
    <row r="67" spans="1:13" x14ac:dyDescent="0.35">
      <c r="A67" s="63" t="s">
        <v>203</v>
      </c>
      <c r="B67" s="63"/>
      <c r="C67" s="63"/>
      <c r="D67" s="63"/>
      <c r="E67" s="39"/>
      <c r="F67" s="39"/>
      <c r="G67" s="39"/>
      <c r="H67" s="39"/>
      <c r="I67" s="39"/>
      <c r="J67" s="39"/>
    </row>
    <row r="68" spans="1:13" x14ac:dyDescent="0.35">
      <c r="A68" s="63" t="s">
        <v>95</v>
      </c>
      <c r="B68" s="63"/>
      <c r="C68" s="63"/>
      <c r="D68" s="63"/>
      <c r="E68" s="39"/>
      <c r="F68" s="39"/>
      <c r="G68" s="39"/>
      <c r="H68" s="39"/>
      <c r="I68" s="39"/>
      <c r="J68" s="39"/>
    </row>
    <row r="69" spans="1:13" x14ac:dyDescent="0.35">
      <c r="A69" s="3" t="s">
        <v>204</v>
      </c>
      <c r="B69" s="3"/>
      <c r="C69" s="3"/>
      <c r="D69" s="3"/>
    </row>
    <row r="71" spans="1:13" ht="36" customHeight="1" x14ac:dyDescent="0.35">
      <c r="A71" s="305"/>
      <c r="B71" s="305"/>
      <c r="C71" s="305"/>
      <c r="D71" s="305"/>
      <c r="E71" s="305"/>
      <c r="F71" s="305"/>
      <c r="G71" s="305"/>
    </row>
  </sheetData>
  <mergeCells count="7">
    <mergeCell ref="A71:G71"/>
    <mergeCell ref="A65:J65"/>
    <mergeCell ref="E14:G14"/>
    <mergeCell ref="H14:J14"/>
    <mergeCell ref="K14:M14"/>
    <mergeCell ref="A63:J63"/>
    <mergeCell ref="A64:J64"/>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3BF-DCCF-4090-B203-675F09BD870F}">
  <sheetPr>
    <pageSetUpPr fitToPage="1"/>
  </sheetPr>
  <dimension ref="A1:AI68"/>
  <sheetViews>
    <sheetView topLeftCell="B10" zoomScale="80" zoomScaleNormal="80" workbookViewId="0"/>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2.453125" style="46" customWidth="1"/>
    <col min="5" max="5" width="15.453125" style="46" customWidth="1"/>
    <col min="6" max="6" width="15.81640625" style="46" bestFit="1" customWidth="1"/>
    <col min="7" max="7" width="12.26953125" style="46" bestFit="1" customWidth="1"/>
    <col min="8" max="9" width="13.26953125" style="46" bestFit="1" customWidth="1"/>
    <col min="10" max="10" width="12.26953125" style="46" bestFit="1" customWidth="1"/>
    <col min="11" max="11" width="12.54296875" style="46" customWidth="1"/>
    <col min="12" max="12" width="12.81640625" style="46" customWidth="1"/>
    <col min="13" max="13" width="16" style="46"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12/02/2022</v>
      </c>
      <c r="B1" s="3"/>
      <c r="C1" s="3"/>
      <c r="D1" s="3"/>
    </row>
    <row r="2" spans="1:35" x14ac:dyDescent="0.35">
      <c r="E2" s="3" t="s">
        <v>181</v>
      </c>
    </row>
    <row r="3" spans="1:35" ht="29" x14ac:dyDescent="0.35">
      <c r="E3" s="48" t="s">
        <v>46</v>
      </c>
      <c r="F3" s="70" t="s">
        <v>58</v>
      </c>
      <c r="G3" s="48" t="s">
        <v>3</v>
      </c>
      <c r="H3" s="70" t="s">
        <v>55</v>
      </c>
      <c r="I3" s="48" t="s">
        <v>10</v>
      </c>
      <c r="J3" s="48" t="s">
        <v>59</v>
      </c>
      <c r="S3" s="48"/>
    </row>
    <row r="4" spans="1:35" x14ac:dyDescent="0.35">
      <c r="A4" s="20" t="s">
        <v>24</v>
      </c>
      <c r="B4" s="20"/>
      <c r="C4" s="20"/>
      <c r="D4" s="20"/>
      <c r="E4" s="22">
        <f>SUM(C16:M16)</f>
        <v>275860.71976999997</v>
      </c>
      <c r="F4" s="22">
        <f>SUM(C23:L23)</f>
        <v>403943.58</v>
      </c>
      <c r="G4" s="22">
        <f>F4-E4</f>
        <v>128082.86023000005</v>
      </c>
      <c r="H4" s="22">
        <f>+B39</f>
        <v>10885.197480000003</v>
      </c>
      <c r="I4" s="22">
        <f>SUM(C47:L47)</f>
        <v>2214.4400000000005</v>
      </c>
      <c r="J4" s="25">
        <f>SUM(G4:I4)</f>
        <v>141182.49771000005</v>
      </c>
      <c r="K4" s="47">
        <f>+J4-M39</f>
        <v>0</v>
      </c>
      <c r="N4" s="47"/>
    </row>
    <row r="5" spans="1:35" x14ac:dyDescent="0.35">
      <c r="A5" s="20" t="s">
        <v>107</v>
      </c>
      <c r="B5" s="20"/>
      <c r="C5" s="20"/>
      <c r="D5" s="20"/>
      <c r="E5" s="22">
        <f t="shared" ref="E5:E8" si="0">SUM(C17:M17)</f>
        <v>34908.807910000003</v>
      </c>
      <c r="F5" s="22">
        <f t="shared" ref="F5:F8" si="1">SUM(C24:L24)</f>
        <v>50059.829999999994</v>
      </c>
      <c r="G5" s="22">
        <f t="shared" ref="G5:G8" si="2">F5-E5</f>
        <v>15151.022089999991</v>
      </c>
      <c r="H5" s="22">
        <f t="shared" ref="H5:H8" si="3">+B40</f>
        <v>-2452.9463900000037</v>
      </c>
      <c r="I5" s="22">
        <f t="shared" ref="I5:I8" si="4">SUM(C48:L48)</f>
        <v>176.97</v>
      </c>
      <c r="J5" s="25">
        <f t="shared" ref="J5:J8" si="5">SUM(G5:I5)</f>
        <v>12875.045699999986</v>
      </c>
      <c r="K5" s="47">
        <f>+J5-M40</f>
        <v>0</v>
      </c>
      <c r="N5" s="47"/>
    </row>
    <row r="6" spans="1:35" x14ac:dyDescent="0.35">
      <c r="A6" s="20" t="s">
        <v>108</v>
      </c>
      <c r="B6" s="20"/>
      <c r="C6" s="20"/>
      <c r="D6" s="20"/>
      <c r="E6" s="22">
        <f t="shared" si="0"/>
        <v>121243.83401000002</v>
      </c>
      <c r="F6" s="22">
        <f t="shared" si="1"/>
        <v>179103.12999999998</v>
      </c>
      <c r="G6" s="22">
        <f t="shared" si="2"/>
        <v>57859.295989999955</v>
      </c>
      <c r="H6" s="22">
        <f t="shared" si="3"/>
        <v>15210.695810000014</v>
      </c>
      <c r="I6" s="22">
        <f t="shared" si="4"/>
        <v>1303.72</v>
      </c>
      <c r="J6" s="25">
        <f t="shared" si="5"/>
        <v>74373.711799999975</v>
      </c>
      <c r="K6" s="47">
        <f>+J6-M41</f>
        <v>0</v>
      </c>
      <c r="N6" s="47"/>
    </row>
    <row r="7" spans="1:35" x14ac:dyDescent="0.35">
      <c r="A7" s="20" t="s">
        <v>109</v>
      </c>
      <c r="B7" s="20"/>
      <c r="C7" s="20"/>
      <c r="D7" s="20"/>
      <c r="E7" s="22">
        <f t="shared" si="0"/>
        <v>152384.30288</v>
      </c>
      <c r="F7" s="22">
        <f t="shared" si="1"/>
        <v>236186.52000000002</v>
      </c>
      <c r="G7" s="22">
        <f t="shared" si="2"/>
        <v>83802.217120000016</v>
      </c>
      <c r="H7" s="22">
        <f t="shared" si="3"/>
        <v>12936.774400000004</v>
      </c>
      <c r="I7" s="22">
        <f t="shared" si="4"/>
        <v>1638.79</v>
      </c>
      <c r="J7" s="25">
        <f t="shared" si="5"/>
        <v>98377.781520000019</v>
      </c>
      <c r="K7" s="47">
        <f>+J7-M42</f>
        <v>0</v>
      </c>
      <c r="N7" s="47"/>
    </row>
    <row r="8" spans="1:35" ht="15" thickBot="1" x14ac:dyDescent="0.4">
      <c r="A8" s="20" t="s">
        <v>110</v>
      </c>
      <c r="B8" s="20"/>
      <c r="C8" s="20"/>
      <c r="D8" s="20"/>
      <c r="E8" s="22">
        <f t="shared" si="0"/>
        <v>21486.544999999998</v>
      </c>
      <c r="F8" s="22">
        <f t="shared" si="1"/>
        <v>34066.69</v>
      </c>
      <c r="G8" s="22">
        <f t="shared" si="2"/>
        <v>12580.145000000004</v>
      </c>
      <c r="H8" s="22">
        <f t="shared" si="3"/>
        <v>3891.9763599999983</v>
      </c>
      <c r="I8" s="22">
        <f t="shared" si="4"/>
        <v>282.57000000000005</v>
      </c>
      <c r="J8" s="25">
        <f t="shared" si="5"/>
        <v>16754.691360000001</v>
      </c>
      <c r="K8" s="47">
        <f>+J8-M43</f>
        <v>0</v>
      </c>
      <c r="N8" s="47"/>
    </row>
    <row r="9" spans="1:35" ht="15.5" thickTop="1" thickBot="1" x14ac:dyDescent="0.4">
      <c r="E9" s="27">
        <f t="shared" ref="E9:J9" si="6">SUM(E4:E8)</f>
        <v>605884.20956999995</v>
      </c>
      <c r="F9" s="27">
        <f t="shared" si="6"/>
        <v>903359.75</v>
      </c>
      <c r="G9" s="27">
        <f t="shared" si="6"/>
        <v>297475.54043000005</v>
      </c>
      <c r="H9" s="27">
        <f t="shared" si="6"/>
        <v>40471.697660000013</v>
      </c>
      <c r="I9" s="27">
        <f t="shared" si="6"/>
        <v>5616.49</v>
      </c>
      <c r="J9" s="27">
        <f t="shared" si="6"/>
        <v>343563.72809000005</v>
      </c>
      <c r="T9" s="5"/>
    </row>
    <row r="10" spans="1:35" ht="15.5" thickTop="1" thickBot="1" x14ac:dyDescent="0.4">
      <c r="V10" s="4"/>
      <c r="W10" s="5"/>
    </row>
    <row r="11" spans="1:35" ht="102" thickBot="1" x14ac:dyDescent="0.4">
      <c r="B11" s="118" t="str">
        <f>+'PCR Cycle 2'!B14</f>
        <v>Cumulative Over/Under Carryover From 06/01/2022 Filing</v>
      </c>
      <c r="C11" s="275" t="str">
        <f>+'PCR Cycle 2'!C14</f>
        <v>Reverse May 2022 - October 2022 Forecast From 06/01/2022 Filing</v>
      </c>
      <c r="D11" s="275"/>
      <c r="E11" s="310" t="s">
        <v>33</v>
      </c>
      <c r="F11" s="310"/>
      <c r="G11" s="311"/>
      <c r="H11" s="316" t="s">
        <v>33</v>
      </c>
      <c r="I11" s="317"/>
      <c r="J11" s="318"/>
      <c r="K11" s="306" t="s">
        <v>8</v>
      </c>
      <c r="L11" s="307"/>
      <c r="M11" s="308"/>
    </row>
    <row r="12" spans="1:35" x14ac:dyDescent="0.35">
      <c r="A12" s="46" t="s">
        <v>86</v>
      </c>
      <c r="C12" s="105"/>
      <c r="D12" s="273"/>
      <c r="E12" s="19">
        <f>+'PCR Cycle 2'!E15</f>
        <v>44712</v>
      </c>
      <c r="F12" s="19">
        <f t="shared" ref="F12:M12" si="7">EOMONTH(E12,1)</f>
        <v>44742</v>
      </c>
      <c r="G12" s="19">
        <f t="shared" si="7"/>
        <v>44773</v>
      </c>
      <c r="H12" s="14">
        <f t="shared" si="7"/>
        <v>44804</v>
      </c>
      <c r="I12" s="19">
        <f t="shared" si="7"/>
        <v>44834</v>
      </c>
      <c r="J12" s="15">
        <f t="shared" si="7"/>
        <v>44865</v>
      </c>
      <c r="K12" s="19">
        <f t="shared" si="7"/>
        <v>44895</v>
      </c>
      <c r="L12" s="19">
        <f t="shared" si="7"/>
        <v>44926</v>
      </c>
      <c r="M12" s="15">
        <f t="shared" si="7"/>
        <v>44957</v>
      </c>
      <c r="Z12" s="1"/>
      <c r="AA12" s="1"/>
      <c r="AB12" s="1"/>
      <c r="AC12" s="1"/>
      <c r="AD12" s="1"/>
      <c r="AE12" s="1"/>
      <c r="AF12" s="1"/>
      <c r="AG12" s="1"/>
      <c r="AH12" s="1"/>
      <c r="AI12" s="1"/>
    </row>
    <row r="13" spans="1:35" x14ac:dyDescent="0.35">
      <c r="A13" s="46" t="s">
        <v>5</v>
      </c>
      <c r="C13" s="97">
        <v>-294079.10000000003</v>
      </c>
      <c r="D13" s="97"/>
      <c r="E13" s="109">
        <f t="shared" ref="E13:L13" si="8">SUM(E23:E27)</f>
        <v>147039.55000000002</v>
      </c>
      <c r="F13" s="109">
        <f t="shared" si="8"/>
        <v>147039.55000000002</v>
      </c>
      <c r="G13" s="110">
        <f t="shared" si="8"/>
        <v>147039.55000000002</v>
      </c>
      <c r="H13" s="16">
        <f t="shared" si="8"/>
        <v>151264.04</v>
      </c>
      <c r="I13" s="55">
        <f t="shared" si="8"/>
        <v>151264.04</v>
      </c>
      <c r="J13" s="166">
        <f t="shared" si="8"/>
        <v>151264.04</v>
      </c>
      <c r="K13" s="159">
        <f t="shared" si="8"/>
        <v>151264.04</v>
      </c>
      <c r="L13" s="78">
        <f t="shared" si="8"/>
        <v>151264.04</v>
      </c>
      <c r="M13" s="79"/>
    </row>
    <row r="14" spans="1:35" x14ac:dyDescent="0.35">
      <c r="C14" s="99"/>
      <c r="D14" s="99"/>
      <c r="E14" s="17"/>
      <c r="F14" s="17"/>
      <c r="G14" s="17"/>
      <c r="H14" s="10"/>
      <c r="I14" s="17"/>
      <c r="J14" s="11"/>
      <c r="K14" s="31"/>
      <c r="L14" s="31"/>
      <c r="M14" s="29"/>
    </row>
    <row r="15" spans="1:35" x14ac:dyDescent="0.35">
      <c r="A15" s="46" t="s">
        <v>87</v>
      </c>
      <c r="C15" s="99"/>
      <c r="D15" s="99"/>
      <c r="E15" s="18"/>
      <c r="F15" s="18"/>
      <c r="G15" s="18"/>
      <c r="H15" s="91"/>
      <c r="I15" s="18"/>
      <c r="J15" s="167"/>
      <c r="K15" s="31"/>
      <c r="L15" s="31"/>
      <c r="M15" s="29"/>
      <c r="N15" s="3" t="s">
        <v>50</v>
      </c>
      <c r="O15" s="39"/>
    </row>
    <row r="16" spans="1:35" x14ac:dyDescent="0.35">
      <c r="A16" s="46" t="s">
        <v>24</v>
      </c>
      <c r="C16" s="97">
        <v>-184971.71252</v>
      </c>
      <c r="D16" s="97"/>
      <c r="E16" s="136">
        <f>ROUND('[5]May 2022'!$F103,2)</f>
        <v>46341.8</v>
      </c>
      <c r="F16" s="136">
        <f>ROUND('[5]Jun 2022'!$F103,2)</f>
        <v>60625.9</v>
      </c>
      <c r="G16" s="136">
        <f>ROUND('[5]Jul 2022'!$F112,2)</f>
        <v>89139.48</v>
      </c>
      <c r="H16" s="187">
        <f>ROUND('[5]Aug 2022'!$F112,2)</f>
        <v>74407.06</v>
      </c>
      <c r="I16" s="121">
        <f>ROUND('[5]Sep 2022'!$F112,2)</f>
        <v>45272.35</v>
      </c>
      <c r="J16" s="168">
        <f>ROUND('[5]Oct 2022'!$F112,2)</f>
        <v>31734.07</v>
      </c>
      <c r="K16" s="123">
        <f>'PCR Cycle 2'!K27*$N16</f>
        <v>27617.85252</v>
      </c>
      <c r="L16" s="41">
        <f>'PCR Cycle 2'!L27*$N16</f>
        <v>39760.471250000002</v>
      </c>
      <c r="M16" s="61">
        <f>'PCR Cycle 2'!M27*$N16</f>
        <v>45933.448520000005</v>
      </c>
      <c r="N16" s="72">
        <v>1.7000000000000001E-4</v>
      </c>
      <c r="O16" s="4"/>
    </row>
    <row r="17" spans="1:15" x14ac:dyDescent="0.35">
      <c r="A17" s="46" t="s">
        <v>135</v>
      </c>
      <c r="C17" s="97">
        <v>-23637.576390000002</v>
      </c>
      <c r="D17" s="97"/>
      <c r="E17" s="136">
        <f>ROUND('[5]May 2022'!$F104,2)</f>
        <v>7227.34</v>
      </c>
      <c r="F17" s="136">
        <f>ROUND('[5]Jun 2022'!$F104,2)</f>
        <v>8251.5</v>
      </c>
      <c r="G17" s="136">
        <f>ROUND('[5]Jul 2022'!$F113,2)</f>
        <v>10100.530000000001</v>
      </c>
      <c r="H17" s="187">
        <f>ROUND('[5]Aug 2022'!$F113,2)</f>
        <v>8542.67</v>
      </c>
      <c r="I17" s="121">
        <f>ROUND('[5]Sep 2022'!$F113,2)</f>
        <v>5595.06</v>
      </c>
      <c r="J17" s="168">
        <f>ROUND('[5]Oct 2022'!$F113,2)</f>
        <v>4889.8900000000003</v>
      </c>
      <c r="K17" s="123">
        <f>'PCR Cycle 2'!K28*$N17</f>
        <v>4369.5767999999998</v>
      </c>
      <c r="L17" s="41">
        <f>'PCR Cycle 2'!L28*$N17</f>
        <v>4771.6997000000001</v>
      </c>
      <c r="M17" s="61">
        <f>'PCR Cycle 2'!M28*$N17</f>
        <v>4798.1178</v>
      </c>
      <c r="N17" s="72">
        <v>1E-4</v>
      </c>
      <c r="O17" s="4"/>
    </row>
    <row r="18" spans="1:15" x14ac:dyDescent="0.35">
      <c r="A18" s="46" t="s">
        <v>136</v>
      </c>
      <c r="C18" s="97">
        <v>-75319.604189999984</v>
      </c>
      <c r="D18" s="97"/>
      <c r="E18" s="136">
        <f>ROUND('[5]May 2022'!$F105,2)</f>
        <v>21774.87</v>
      </c>
      <c r="F18" s="136">
        <f>ROUND('[5]Jun 2022'!$F105,2)</f>
        <v>24590.77</v>
      </c>
      <c r="G18" s="136">
        <f>ROUND('[5]Jul 2022'!$F114,2)</f>
        <v>29268.560000000001</v>
      </c>
      <c r="H18" s="187">
        <f>ROUND('[5]Aug 2022'!$F114,2)</f>
        <v>26447.77</v>
      </c>
      <c r="I18" s="121">
        <f>ROUND('[5]Sep 2022'!$F114,2)</f>
        <v>20549.189999999999</v>
      </c>
      <c r="J18" s="168">
        <f>ROUND('[5]Oct 2022'!$F114,2)</f>
        <v>17999.79</v>
      </c>
      <c r="K18" s="123">
        <f>'PCR Cycle 2'!K29*$N18</f>
        <v>17533.136600000002</v>
      </c>
      <c r="L18" s="41">
        <f>'PCR Cycle 2'!L29*$N18</f>
        <v>19146.6738</v>
      </c>
      <c r="M18" s="61">
        <f>'PCR Cycle 2'!M29*$N18</f>
        <v>19252.677800000001</v>
      </c>
      <c r="N18" s="72">
        <v>2.0000000000000001E-4</v>
      </c>
      <c r="O18" s="4"/>
    </row>
    <row r="19" spans="1:15" x14ac:dyDescent="0.35">
      <c r="A19" s="46" t="s">
        <v>137</v>
      </c>
      <c r="C19" s="97">
        <v>-102081.0656</v>
      </c>
      <c r="D19" s="97"/>
      <c r="E19" s="136">
        <f>ROUND('[5]May 2022'!$F106,2)</f>
        <v>31750.83</v>
      </c>
      <c r="F19" s="136">
        <f>ROUND('[5]Jun 2022'!$F106,2)</f>
        <v>34320.550000000003</v>
      </c>
      <c r="G19" s="136">
        <f>ROUND('[5]Jul 2022'!$F115,2)</f>
        <v>36894.35</v>
      </c>
      <c r="H19" s="187">
        <f>ROUND('[5]Aug 2022'!$F115,2)</f>
        <v>32228.87</v>
      </c>
      <c r="I19" s="121">
        <f>ROUND('[5]Sep 2022'!$F115,2)</f>
        <v>24985.73</v>
      </c>
      <c r="J19" s="168">
        <f>ROUND('[5]Oct 2022'!$F115,2)</f>
        <v>23093.69</v>
      </c>
      <c r="K19" s="123">
        <f>'PCR Cycle 2'!K30*$N19</f>
        <v>22316.325919999999</v>
      </c>
      <c r="L19" s="41">
        <f>'PCR Cycle 2'!L30*$N19</f>
        <v>24370.049919999998</v>
      </c>
      <c r="M19" s="61">
        <f>'PCR Cycle 2'!M30*$N19</f>
        <v>24504.972639999996</v>
      </c>
      <c r="N19" s="72">
        <v>1.5999999999999999E-4</v>
      </c>
      <c r="O19" s="4"/>
    </row>
    <row r="20" spans="1:15" x14ac:dyDescent="0.35">
      <c r="A20" s="46" t="s">
        <v>138</v>
      </c>
      <c r="C20" s="97">
        <v>-14233.553640000002</v>
      </c>
      <c r="D20" s="97"/>
      <c r="E20" s="136">
        <f>ROUND('[5]May 2022'!$F107,2)</f>
        <v>4333.3500000000004</v>
      </c>
      <c r="F20" s="136">
        <f>ROUND('[5]Jun 2022'!$F107,2)</f>
        <v>3643.84</v>
      </c>
      <c r="G20" s="136">
        <f>ROUND('[5]Jul 2022'!$F116,2)</f>
        <v>5332.61</v>
      </c>
      <c r="H20" s="187">
        <f>ROUND('[5]Aug 2022'!$F116,2)</f>
        <v>5644.41</v>
      </c>
      <c r="I20" s="121">
        <f>ROUND('[5]Sep 2022'!$F116,2)</f>
        <v>4200.97</v>
      </c>
      <c r="J20" s="168">
        <f>ROUND('[5]Oct 2022'!$F116,2)</f>
        <v>3052.04</v>
      </c>
      <c r="K20" s="123">
        <f>'PCR Cycle 2'!K31*$N20</f>
        <v>2981.9985600000005</v>
      </c>
      <c r="L20" s="41">
        <f>'PCR Cycle 2'!L31*$N20</f>
        <v>3256.4256000000005</v>
      </c>
      <c r="M20" s="61">
        <f>'PCR Cycle 2'!M31*$N20</f>
        <v>3274.4544800000003</v>
      </c>
      <c r="N20" s="72">
        <v>8.0000000000000007E-5</v>
      </c>
      <c r="O20" s="4"/>
    </row>
    <row r="21" spans="1:15" x14ac:dyDescent="0.35">
      <c r="C21" s="67"/>
      <c r="D21" s="67"/>
      <c r="E21" s="68"/>
      <c r="F21" s="68"/>
      <c r="G21" s="68"/>
      <c r="H21" s="67"/>
      <c r="I21" s="68"/>
      <c r="J21" s="169"/>
      <c r="K21" s="56"/>
      <c r="L21" s="56"/>
      <c r="M21" s="13"/>
      <c r="O21" s="4"/>
    </row>
    <row r="22" spans="1:15" x14ac:dyDescent="0.35">
      <c r="A22" s="46" t="s">
        <v>89</v>
      </c>
      <c r="C22" s="36"/>
      <c r="D22" s="36"/>
      <c r="E22" s="37"/>
      <c r="F22" s="37"/>
      <c r="G22" s="37"/>
      <c r="H22" s="36"/>
      <c r="I22" s="37"/>
      <c r="J22" s="172"/>
      <c r="K22" s="52"/>
      <c r="L22" s="52"/>
      <c r="M22" s="38"/>
    </row>
    <row r="23" spans="1:15" x14ac:dyDescent="0.35">
      <c r="A23" s="46" t="s">
        <v>24</v>
      </c>
      <c r="C23" s="97">
        <v>-131685.16</v>
      </c>
      <c r="D23" s="97"/>
      <c r="E23" s="109">
        <f>ROUND('EO Cycle 3'!$F19/12,2)</f>
        <v>65842.58</v>
      </c>
      <c r="F23" s="109">
        <f>ROUND('EO Cycle 3'!$F19/12,2)</f>
        <v>65842.58</v>
      </c>
      <c r="G23" s="110">
        <f>ROUND('EO Cycle 3'!$F19/12,2)</f>
        <v>65842.58</v>
      </c>
      <c r="H23" s="16">
        <f>ROUND('EO Cycle 3'!$F19/12+'EO Cycle 3'!$F31/12,2)</f>
        <v>67620.2</v>
      </c>
      <c r="I23" s="55">
        <f>ROUND('EO Cycle 3'!$F19/12+'EO Cycle 3'!$F31/12,2)</f>
        <v>67620.2</v>
      </c>
      <c r="J23" s="166">
        <f>ROUND('EO Cycle 3'!$F19/12+'EO Cycle 3'!$F31/12,2)</f>
        <v>67620.2</v>
      </c>
      <c r="K23" s="161">
        <f>ROUND('EO Cycle 3'!$F19/12+'EO Cycle 3'!$F31/12,2)</f>
        <v>67620.2</v>
      </c>
      <c r="L23" s="143">
        <f>ROUND('EO Cycle 3'!$F19/12+'EO Cycle 3'!$F31/12,2)</f>
        <v>67620.2</v>
      </c>
      <c r="M23" s="79"/>
    </row>
    <row r="24" spans="1:15" x14ac:dyDescent="0.35">
      <c r="A24" s="46" t="s">
        <v>135</v>
      </c>
      <c r="C24" s="97">
        <v>-15922.56</v>
      </c>
      <c r="D24" s="97"/>
      <c r="E24" s="109">
        <f>ROUND('EO Cycle 3'!$F23/12,2)</f>
        <v>7961.28</v>
      </c>
      <c r="F24" s="109">
        <f>ROUND('EO Cycle 3'!$F23/12,2)</f>
        <v>7961.28</v>
      </c>
      <c r="G24" s="110">
        <f>ROUND('EO Cycle 3'!$F23/12,2)</f>
        <v>7961.28</v>
      </c>
      <c r="H24" s="16">
        <f>ROUND('EO Cycle 3'!$F23/12+'EO Cycle 3'!$F35/12,2)</f>
        <v>8419.7099999999991</v>
      </c>
      <c r="I24" s="55">
        <f>ROUND('EO Cycle 3'!$F23/12+'EO Cycle 3'!$F35/12,2)</f>
        <v>8419.7099999999991</v>
      </c>
      <c r="J24" s="166">
        <f>ROUND('EO Cycle 3'!$F23/12+'EO Cycle 3'!$F35/12,2)</f>
        <v>8419.7099999999991</v>
      </c>
      <c r="K24" s="161">
        <f>ROUND('EO Cycle 3'!$F23/12+'EO Cycle 3'!$F35/12,2)</f>
        <v>8419.7099999999991</v>
      </c>
      <c r="L24" s="143">
        <f>ROUND('EO Cycle 3'!$F23/12+'EO Cycle 3'!$F35/12,2)</f>
        <v>8419.7099999999991</v>
      </c>
      <c r="M24" s="79"/>
    </row>
    <row r="25" spans="1:15" x14ac:dyDescent="0.35">
      <c r="A25" s="46" t="s">
        <v>136</v>
      </c>
      <c r="C25" s="97">
        <v>-57818.26</v>
      </c>
      <c r="D25" s="97"/>
      <c r="E25" s="109">
        <f>ROUND('EO Cycle 3'!$F24/12,2)</f>
        <v>28909.13</v>
      </c>
      <c r="F25" s="109">
        <f>ROUND('EO Cycle 3'!$F24/12,2)</f>
        <v>28909.13</v>
      </c>
      <c r="G25" s="110">
        <f>ROUND('EO Cycle 3'!$F24/12,2)</f>
        <v>28909.13</v>
      </c>
      <c r="H25" s="16">
        <f>ROUND('EO Cycle 3'!$F24/12+'EO Cycle 3'!$F36/12,2)</f>
        <v>30038.799999999999</v>
      </c>
      <c r="I25" s="55">
        <f>ROUND('EO Cycle 3'!$F24/12+'EO Cycle 3'!$F36/12,2)</f>
        <v>30038.799999999999</v>
      </c>
      <c r="J25" s="166">
        <f>ROUND('EO Cycle 3'!$F24/12+'EO Cycle 3'!$F36/12,2)</f>
        <v>30038.799999999999</v>
      </c>
      <c r="K25" s="161">
        <f>ROUND('EO Cycle 3'!$F24/12+'EO Cycle 3'!$F36/12,2)</f>
        <v>30038.799999999999</v>
      </c>
      <c r="L25" s="143">
        <f>ROUND('EO Cycle 3'!$F24/12+'EO Cycle 3'!$F36/12,2)</f>
        <v>30038.799999999999</v>
      </c>
      <c r="M25" s="79"/>
    </row>
    <row r="26" spans="1:15" x14ac:dyDescent="0.35">
      <c r="A26" s="46" t="s">
        <v>137</v>
      </c>
      <c r="C26" s="97">
        <v>-77364.240000000005</v>
      </c>
      <c r="D26" s="97"/>
      <c r="E26" s="109">
        <f>ROUND('EO Cycle 3'!$F25/12,2)</f>
        <v>38682.120000000003</v>
      </c>
      <c r="F26" s="109">
        <f>ROUND('EO Cycle 3'!$F25/12,2)</f>
        <v>38682.120000000003</v>
      </c>
      <c r="G26" s="110">
        <f>ROUND('EO Cycle 3'!$F25/12,2)</f>
        <v>38682.120000000003</v>
      </c>
      <c r="H26" s="16">
        <f>ROUND('EO Cycle 3'!$F25/12+'EO Cycle 3'!$F37/12,2)</f>
        <v>39500.879999999997</v>
      </c>
      <c r="I26" s="55">
        <f>ROUND('EO Cycle 3'!$F25/12+'EO Cycle 3'!$F37/12,2)</f>
        <v>39500.879999999997</v>
      </c>
      <c r="J26" s="166">
        <f>ROUND('EO Cycle 3'!$F25/12+'EO Cycle 3'!$F37/12,2)</f>
        <v>39500.879999999997</v>
      </c>
      <c r="K26" s="161">
        <f>ROUND('EO Cycle 3'!$F25/12+'EO Cycle 3'!$F37/12,2)</f>
        <v>39500.879999999997</v>
      </c>
      <c r="L26" s="143">
        <f>ROUND('EO Cycle 3'!$F25/12+'EO Cycle 3'!$F37/12,2)</f>
        <v>39500.879999999997</v>
      </c>
      <c r="M26" s="79"/>
    </row>
    <row r="27" spans="1:15" x14ac:dyDescent="0.35">
      <c r="A27" s="46" t="s">
        <v>138</v>
      </c>
      <c r="C27" s="97">
        <v>-11288.88</v>
      </c>
      <c r="D27" s="97"/>
      <c r="E27" s="109">
        <f>ROUND('EO Cycle 3'!$F26/12,2)</f>
        <v>5644.44</v>
      </c>
      <c r="F27" s="109">
        <f>ROUND('EO Cycle 3'!$F26/12,2)</f>
        <v>5644.44</v>
      </c>
      <c r="G27" s="110">
        <f>ROUND('EO Cycle 3'!$F26/12,2)</f>
        <v>5644.44</v>
      </c>
      <c r="H27" s="16">
        <f>ROUND('EO Cycle 3'!$F26/12+'EO Cycle 3'!$F38/12,2)</f>
        <v>5684.45</v>
      </c>
      <c r="I27" s="55">
        <f>ROUND('EO Cycle 3'!$F26/12+'EO Cycle 3'!$F38/12,2)</f>
        <v>5684.45</v>
      </c>
      <c r="J27" s="166">
        <f>ROUND('EO Cycle 3'!$F26/12+'EO Cycle 3'!$F38/12,2)</f>
        <v>5684.45</v>
      </c>
      <c r="K27" s="161">
        <f>ROUND('EO Cycle 3'!$F26/12+'EO Cycle 3'!$F38/12,2)</f>
        <v>5684.45</v>
      </c>
      <c r="L27" s="143">
        <f>ROUND('EO Cycle 3'!$F26/12+'EO Cycle 3'!$F38/12,2)</f>
        <v>5684.45</v>
      </c>
      <c r="M27" s="79"/>
      <c r="O27" s="47"/>
    </row>
    <row r="28" spans="1:15" x14ac:dyDescent="0.35">
      <c r="C28" s="99"/>
      <c r="D28" s="99"/>
      <c r="E28" s="18"/>
      <c r="F28" s="18"/>
      <c r="G28" s="18"/>
      <c r="H28" s="91"/>
      <c r="I28" s="18"/>
      <c r="J28" s="167"/>
      <c r="K28" s="56"/>
      <c r="L28" s="56"/>
      <c r="M28" s="13"/>
    </row>
    <row r="29" spans="1:15" ht="15" thickBot="1" x14ac:dyDescent="0.4">
      <c r="A29" s="3" t="s">
        <v>14</v>
      </c>
      <c r="B29" s="3"/>
      <c r="C29" s="103">
        <v>-463.52</v>
      </c>
      <c r="D29" s="103"/>
      <c r="E29" s="136">
        <v>264.18</v>
      </c>
      <c r="F29" s="136">
        <v>386.44000000000005</v>
      </c>
      <c r="G29" s="137">
        <v>479.42999999999995</v>
      </c>
      <c r="H29" s="26">
        <v>503.77999999999992</v>
      </c>
      <c r="I29" s="122">
        <v>667.12</v>
      </c>
      <c r="J29" s="173">
        <v>988.94</v>
      </c>
      <c r="K29" s="162">
        <v>1265.8800000000001</v>
      </c>
      <c r="L29" s="145">
        <v>1524.24</v>
      </c>
      <c r="M29" s="82"/>
    </row>
    <row r="30" spans="1:15" x14ac:dyDescent="0.35">
      <c r="C30" s="64"/>
      <c r="D30" s="64"/>
      <c r="E30" s="149"/>
      <c r="F30" s="149"/>
      <c r="G30" s="150"/>
      <c r="H30" s="64"/>
      <c r="I30" s="33"/>
      <c r="J30" s="174"/>
      <c r="K30" s="34"/>
      <c r="L30" s="34"/>
      <c r="M30" s="60"/>
    </row>
    <row r="31" spans="1:15" x14ac:dyDescent="0.35">
      <c r="A31" s="46" t="s">
        <v>52</v>
      </c>
      <c r="C31" s="65"/>
      <c r="D31" s="65"/>
      <c r="E31" s="150"/>
      <c r="F31" s="150"/>
      <c r="G31" s="150"/>
      <c r="H31" s="65"/>
      <c r="I31" s="35"/>
      <c r="J31" s="175"/>
      <c r="K31" s="34"/>
      <c r="L31" s="34"/>
      <c r="M31" s="60"/>
    </row>
    <row r="32" spans="1:15" x14ac:dyDescent="0.35">
      <c r="A32" s="46" t="s">
        <v>24</v>
      </c>
      <c r="C32" s="100">
        <f t="shared" ref="C32:M36" si="9">C23-C16</f>
        <v>53286.552519999997</v>
      </c>
      <c r="D32" s="100"/>
      <c r="E32" s="41">
        <f t="shared" si="9"/>
        <v>19500.78</v>
      </c>
      <c r="F32" s="41">
        <f t="shared" si="9"/>
        <v>5216.68</v>
      </c>
      <c r="G32" s="108">
        <f t="shared" si="9"/>
        <v>-23296.899999999994</v>
      </c>
      <c r="H32" s="40">
        <f t="shared" si="9"/>
        <v>-6786.8600000000006</v>
      </c>
      <c r="I32" s="41">
        <f t="shared" si="9"/>
        <v>22347.85</v>
      </c>
      <c r="J32" s="61">
        <f t="shared" si="9"/>
        <v>35886.129999999997</v>
      </c>
      <c r="K32" s="123">
        <f t="shared" si="9"/>
        <v>40002.347479999997</v>
      </c>
      <c r="L32" s="41">
        <f t="shared" si="9"/>
        <v>27859.728749999995</v>
      </c>
      <c r="M32" s="61">
        <f t="shared" si="9"/>
        <v>-45933.448520000005</v>
      </c>
    </row>
    <row r="33" spans="1:13" x14ac:dyDescent="0.35">
      <c r="A33" s="46" t="s">
        <v>135</v>
      </c>
      <c r="C33" s="100">
        <f t="shared" si="9"/>
        <v>7715.0163900000025</v>
      </c>
      <c r="D33" s="100"/>
      <c r="E33" s="41">
        <f t="shared" si="9"/>
        <v>733.9399999999996</v>
      </c>
      <c r="F33" s="41">
        <f t="shared" si="9"/>
        <v>-290.22000000000025</v>
      </c>
      <c r="G33" s="108">
        <f t="shared" si="9"/>
        <v>-2139.2500000000009</v>
      </c>
      <c r="H33" s="40">
        <f t="shared" si="9"/>
        <v>-122.96000000000095</v>
      </c>
      <c r="I33" s="41">
        <f t="shared" si="9"/>
        <v>2824.6499999999987</v>
      </c>
      <c r="J33" s="61">
        <f t="shared" si="9"/>
        <v>3529.8199999999988</v>
      </c>
      <c r="K33" s="123">
        <f t="shared" si="9"/>
        <v>4050.1331999999993</v>
      </c>
      <c r="L33" s="41">
        <f t="shared" si="9"/>
        <v>3648.010299999999</v>
      </c>
      <c r="M33" s="61">
        <f t="shared" si="9"/>
        <v>-4798.1178</v>
      </c>
    </row>
    <row r="34" spans="1:13" x14ac:dyDescent="0.35">
      <c r="A34" s="46" t="s">
        <v>136</v>
      </c>
      <c r="C34" s="100">
        <f t="shared" si="9"/>
        <v>17501.344189999982</v>
      </c>
      <c r="D34" s="100"/>
      <c r="E34" s="41">
        <f t="shared" si="9"/>
        <v>7134.260000000002</v>
      </c>
      <c r="F34" s="41">
        <f t="shared" si="9"/>
        <v>4318.3600000000006</v>
      </c>
      <c r="G34" s="108">
        <f t="shared" si="9"/>
        <v>-359.43000000000029</v>
      </c>
      <c r="H34" s="40">
        <f t="shared" si="9"/>
        <v>3591.0299999999988</v>
      </c>
      <c r="I34" s="41">
        <f t="shared" si="9"/>
        <v>9489.61</v>
      </c>
      <c r="J34" s="61">
        <f t="shared" si="9"/>
        <v>12039.009999999998</v>
      </c>
      <c r="K34" s="123">
        <f t="shared" si="9"/>
        <v>12505.663399999998</v>
      </c>
      <c r="L34" s="41">
        <f t="shared" si="9"/>
        <v>10892.126199999999</v>
      </c>
      <c r="M34" s="61">
        <f t="shared" si="9"/>
        <v>-19252.677800000001</v>
      </c>
    </row>
    <row r="35" spans="1:13" x14ac:dyDescent="0.35">
      <c r="A35" s="46" t="s">
        <v>137</v>
      </c>
      <c r="C35" s="100">
        <f t="shared" si="9"/>
        <v>24716.825599999996</v>
      </c>
      <c r="D35" s="100"/>
      <c r="E35" s="41">
        <f t="shared" si="9"/>
        <v>6931.2900000000009</v>
      </c>
      <c r="F35" s="41">
        <f t="shared" si="9"/>
        <v>4361.57</v>
      </c>
      <c r="G35" s="108">
        <f t="shared" si="9"/>
        <v>1787.7700000000041</v>
      </c>
      <c r="H35" s="40">
        <f t="shared" si="9"/>
        <v>7272.0099999999984</v>
      </c>
      <c r="I35" s="41">
        <f t="shared" si="9"/>
        <v>14515.149999999998</v>
      </c>
      <c r="J35" s="61">
        <f t="shared" si="9"/>
        <v>16407.189999999999</v>
      </c>
      <c r="K35" s="123">
        <f t="shared" si="9"/>
        <v>17184.554079999998</v>
      </c>
      <c r="L35" s="41">
        <f t="shared" si="9"/>
        <v>15130.83008</v>
      </c>
      <c r="M35" s="61">
        <f t="shared" si="9"/>
        <v>-24504.972639999996</v>
      </c>
    </row>
    <row r="36" spans="1:13" x14ac:dyDescent="0.35">
      <c r="A36" s="46" t="s">
        <v>138</v>
      </c>
      <c r="C36" s="100">
        <f t="shared" si="9"/>
        <v>2944.6736400000027</v>
      </c>
      <c r="D36" s="100"/>
      <c r="E36" s="41">
        <f t="shared" si="9"/>
        <v>1311.0899999999992</v>
      </c>
      <c r="F36" s="41">
        <f t="shared" si="9"/>
        <v>2000.5999999999995</v>
      </c>
      <c r="G36" s="108">
        <f t="shared" si="9"/>
        <v>311.82999999999993</v>
      </c>
      <c r="H36" s="40">
        <f t="shared" si="9"/>
        <v>40.039999999999964</v>
      </c>
      <c r="I36" s="41">
        <f t="shared" si="9"/>
        <v>1483.4799999999996</v>
      </c>
      <c r="J36" s="61">
        <f t="shared" si="9"/>
        <v>2632.41</v>
      </c>
      <c r="K36" s="123">
        <f t="shared" si="9"/>
        <v>2702.4514399999994</v>
      </c>
      <c r="L36" s="41">
        <f t="shared" si="9"/>
        <v>2428.0243999999993</v>
      </c>
      <c r="M36" s="61">
        <f t="shared" si="9"/>
        <v>-3274.4544800000003</v>
      </c>
    </row>
    <row r="37" spans="1:13" x14ac:dyDescent="0.35">
      <c r="C37" s="99"/>
      <c r="D37" s="99"/>
      <c r="E37" s="17"/>
      <c r="F37" s="17"/>
      <c r="G37" s="17"/>
      <c r="H37" s="10"/>
      <c r="I37" s="17"/>
      <c r="J37" s="11"/>
      <c r="K37" s="17"/>
      <c r="L37" s="17"/>
      <c r="M37" s="11"/>
    </row>
    <row r="38" spans="1:13" x14ac:dyDescent="0.35">
      <c r="A38" s="46" t="s">
        <v>53</v>
      </c>
      <c r="C38" s="99"/>
      <c r="D38" s="99"/>
      <c r="E38" s="17"/>
      <c r="F38" s="17"/>
      <c r="G38" s="17"/>
      <c r="H38" s="10"/>
      <c r="I38" s="17"/>
      <c r="J38" s="11"/>
      <c r="K38" s="17"/>
      <c r="L38" s="17"/>
      <c r="M38" s="11"/>
    </row>
    <row r="39" spans="1:13" x14ac:dyDescent="0.35">
      <c r="A39" s="46" t="s">
        <v>24</v>
      </c>
      <c r="B39" s="61">
        <v>10885.197480000003</v>
      </c>
      <c r="C39" s="100">
        <f t="shared" ref="C39:M43" si="10">B39+C32+B47</f>
        <v>64171.75</v>
      </c>
      <c r="D39" s="100"/>
      <c r="E39" s="41">
        <f>C39+E32+C47+D47</f>
        <v>83459.58</v>
      </c>
      <c r="F39" s="41">
        <f t="shared" si="10"/>
        <v>88795.010000000009</v>
      </c>
      <c r="G39" s="108">
        <f t="shared" si="10"/>
        <v>65673.540000000008</v>
      </c>
      <c r="H39" s="40">
        <f t="shared" si="10"/>
        <v>59085.780000000006</v>
      </c>
      <c r="I39" s="41">
        <f t="shared" si="10"/>
        <v>81611.64</v>
      </c>
      <c r="J39" s="61">
        <f t="shared" si="10"/>
        <v>117727.37999999999</v>
      </c>
      <c r="K39" s="123">
        <f t="shared" si="10"/>
        <v>158100.84748</v>
      </c>
      <c r="L39" s="41">
        <f t="shared" si="10"/>
        <v>186474.20623000001</v>
      </c>
      <c r="M39" s="61">
        <f t="shared" si="10"/>
        <v>141182.49771</v>
      </c>
    </row>
    <row r="40" spans="1:13" x14ac:dyDescent="0.35">
      <c r="A40" s="46" t="s">
        <v>135</v>
      </c>
      <c r="B40" s="61">
        <v>-2452.9463900000037</v>
      </c>
      <c r="C40" s="100">
        <f t="shared" si="10"/>
        <v>5262.0699999999988</v>
      </c>
      <c r="D40" s="100"/>
      <c r="E40" s="41">
        <f t="shared" ref="E40:E43" si="11">C40+E33+C48+D48</f>
        <v>5981.1099999999988</v>
      </c>
      <c r="F40" s="41">
        <f t="shared" si="10"/>
        <v>5699.9299999999985</v>
      </c>
      <c r="G40" s="108">
        <f t="shared" si="10"/>
        <v>3572.5799999999977</v>
      </c>
      <c r="H40" s="40">
        <f t="shared" si="10"/>
        <v>3461.5699999999965</v>
      </c>
      <c r="I40" s="41">
        <f t="shared" si="10"/>
        <v>6296.2599999999957</v>
      </c>
      <c r="J40" s="61">
        <f t="shared" si="10"/>
        <v>9841.9999999999945</v>
      </c>
      <c r="K40" s="123">
        <f t="shared" si="10"/>
        <v>13922.173199999994</v>
      </c>
      <c r="L40" s="41">
        <f t="shared" si="10"/>
        <v>17614.433499999992</v>
      </c>
      <c r="M40" s="61">
        <f t="shared" si="10"/>
        <v>12875.045699999991</v>
      </c>
    </row>
    <row r="41" spans="1:13" x14ac:dyDescent="0.35">
      <c r="A41" s="46" t="s">
        <v>136</v>
      </c>
      <c r="B41" s="61">
        <v>15210.695810000014</v>
      </c>
      <c r="C41" s="100">
        <f t="shared" si="10"/>
        <v>32712.039999999994</v>
      </c>
      <c r="D41" s="100"/>
      <c r="E41" s="41">
        <f t="shared" si="11"/>
        <v>39747.049999999996</v>
      </c>
      <c r="F41" s="41">
        <f t="shared" si="10"/>
        <v>44123.7</v>
      </c>
      <c r="G41" s="108">
        <f t="shared" si="10"/>
        <v>43849.689999999995</v>
      </c>
      <c r="H41" s="40">
        <f t="shared" si="10"/>
        <v>47554.09</v>
      </c>
      <c r="I41" s="41">
        <f t="shared" si="10"/>
        <v>57174.07</v>
      </c>
      <c r="J41" s="61">
        <f t="shared" si="10"/>
        <v>69383.990000000005</v>
      </c>
      <c r="K41" s="123">
        <f t="shared" si="10"/>
        <v>82125.323400000008</v>
      </c>
      <c r="L41" s="41">
        <f t="shared" si="10"/>
        <v>93299.63960000001</v>
      </c>
      <c r="M41" s="61">
        <f t="shared" si="10"/>
        <v>74373.711800000005</v>
      </c>
    </row>
    <row r="42" spans="1:13" x14ac:dyDescent="0.35">
      <c r="A42" s="46" t="s">
        <v>137</v>
      </c>
      <c r="B42" s="61">
        <v>12936.774400000004</v>
      </c>
      <c r="C42" s="100">
        <f t="shared" si="10"/>
        <v>37653.599999999999</v>
      </c>
      <c r="D42" s="100"/>
      <c r="E42" s="41">
        <f t="shared" si="11"/>
        <v>44469.45</v>
      </c>
      <c r="F42" s="41">
        <f t="shared" si="10"/>
        <v>48897.079999999994</v>
      </c>
      <c r="G42" s="108">
        <f t="shared" si="10"/>
        <v>50779.939999999995</v>
      </c>
      <c r="H42" s="40">
        <f t="shared" si="10"/>
        <v>58180.399999999994</v>
      </c>
      <c r="I42" s="41">
        <f t="shared" si="10"/>
        <v>72850.949999999983</v>
      </c>
      <c r="J42" s="61">
        <f t="shared" si="10"/>
        <v>89471.959999999992</v>
      </c>
      <c r="K42" s="123">
        <f t="shared" si="10"/>
        <v>106958.77407999999</v>
      </c>
      <c r="L42" s="41">
        <f t="shared" si="10"/>
        <v>122455.45415999999</v>
      </c>
      <c r="M42" s="61">
        <f t="shared" si="10"/>
        <v>98377.781520000004</v>
      </c>
    </row>
    <row r="43" spans="1:13" x14ac:dyDescent="0.35">
      <c r="A43" s="46" t="s">
        <v>138</v>
      </c>
      <c r="B43" s="61">
        <v>3891.9763599999983</v>
      </c>
      <c r="C43" s="100">
        <f>B43+C36+B51</f>
        <v>6836.6500000000015</v>
      </c>
      <c r="D43" s="100"/>
      <c r="E43" s="41">
        <f t="shared" si="11"/>
        <v>8126.7600000000011</v>
      </c>
      <c r="F43" s="41">
        <f t="shared" si="10"/>
        <v>10139.400000000001</v>
      </c>
      <c r="G43" s="108">
        <f t="shared" si="10"/>
        <v>10469.830000000002</v>
      </c>
      <c r="H43" s="40">
        <f t="shared" si="10"/>
        <v>10536.430000000002</v>
      </c>
      <c r="I43" s="41">
        <f t="shared" si="10"/>
        <v>12049.87</v>
      </c>
      <c r="J43" s="61">
        <f t="shared" si="10"/>
        <v>14719.140000000001</v>
      </c>
      <c r="K43" s="123">
        <f t="shared" si="10"/>
        <v>17471.441439999999</v>
      </c>
      <c r="L43" s="41">
        <f t="shared" si="10"/>
        <v>19959.425839999996</v>
      </c>
      <c r="M43" s="61">
        <f t="shared" si="10"/>
        <v>16754.691359999997</v>
      </c>
    </row>
    <row r="44" spans="1:13" x14ac:dyDescent="0.35">
      <c r="C44" s="99"/>
      <c r="D44" s="99"/>
      <c r="E44" s="17"/>
      <c r="F44" s="17"/>
      <c r="G44" s="17"/>
      <c r="H44" s="10"/>
      <c r="I44" s="17"/>
      <c r="J44" s="11"/>
      <c r="K44" s="17"/>
      <c r="L44" s="17"/>
      <c r="M44" s="11"/>
    </row>
    <row r="45" spans="1:13" x14ac:dyDescent="0.35">
      <c r="A45" s="39" t="s">
        <v>88</v>
      </c>
      <c r="B45" s="39"/>
      <c r="C45" s="104"/>
      <c r="D45" s="104"/>
      <c r="E45" s="83">
        <f>+'PCR Cycle 2'!E50</f>
        <v>1.61108E-3</v>
      </c>
      <c r="F45" s="83">
        <f>+'PCR Cycle 2'!F50</f>
        <v>2.0355199999999999E-3</v>
      </c>
      <c r="G45" s="83">
        <f>+'PCR Cycle 2'!G50</f>
        <v>2.5749000000000002E-3</v>
      </c>
      <c r="H45" s="84">
        <f>+'PCR Cycle 2'!H50</f>
        <v>2.84906E-3</v>
      </c>
      <c r="I45" s="83">
        <f>+'PCR Cycle 2'!I50</f>
        <v>3.2598100000000001E-3</v>
      </c>
      <c r="J45" s="92">
        <f>+'PCR Cycle 2'!J50</f>
        <v>3.7192499999999999E-3</v>
      </c>
      <c r="K45" s="83">
        <f>+'PCR Cycle 2'!K50</f>
        <v>3.7192499999999999E-3</v>
      </c>
      <c r="L45" s="83">
        <f>+'PCR Cycle 2'!L50</f>
        <v>3.7192499999999999E-3</v>
      </c>
      <c r="M45" s="85"/>
    </row>
    <row r="46" spans="1:13" x14ac:dyDescent="0.35">
      <c r="A46" s="39" t="s">
        <v>37</v>
      </c>
      <c r="B46" s="39"/>
      <c r="C46" s="106"/>
      <c r="D46" s="106"/>
      <c r="E46" s="83"/>
      <c r="F46" s="83"/>
      <c r="G46" s="83"/>
      <c r="H46" s="84"/>
      <c r="I46" s="83"/>
      <c r="J46" s="85"/>
      <c r="K46" s="83"/>
      <c r="L46" s="83"/>
      <c r="M46" s="85"/>
    </row>
    <row r="47" spans="1:13" x14ac:dyDescent="0.35">
      <c r="A47" s="46" t="s">
        <v>24</v>
      </c>
      <c r="C47" s="100">
        <v>-212.95</v>
      </c>
      <c r="D47" s="100"/>
      <c r="E47" s="41">
        <f>ROUND((C39+C47+D47+E32/2)*E$45,2)</f>
        <v>118.75</v>
      </c>
      <c r="F47" s="41">
        <f t="shared" ref="F47:M51" si="12">ROUND((E39+E47+F32/2)*F$45,2)</f>
        <v>175.43</v>
      </c>
      <c r="G47" s="108">
        <f t="shared" si="12"/>
        <v>199.1</v>
      </c>
      <c r="H47" s="40">
        <f t="shared" si="12"/>
        <v>178.01</v>
      </c>
      <c r="I47" s="123">
        <f t="shared" si="12"/>
        <v>229.61</v>
      </c>
      <c r="J47" s="49">
        <f t="shared" si="12"/>
        <v>371.12</v>
      </c>
      <c r="K47" s="163">
        <f t="shared" si="12"/>
        <v>513.63</v>
      </c>
      <c r="L47" s="108">
        <f t="shared" si="12"/>
        <v>641.74</v>
      </c>
      <c r="M47" s="61">
        <f t="shared" si="12"/>
        <v>0</v>
      </c>
    </row>
    <row r="48" spans="1:13" x14ac:dyDescent="0.35">
      <c r="A48" s="46" t="s">
        <v>135</v>
      </c>
      <c r="C48" s="100">
        <v>-14.9</v>
      </c>
      <c r="D48" s="100"/>
      <c r="E48" s="41">
        <f t="shared" ref="E48:E51" si="13">ROUND((C40+C48+D48+E33/2)*E$45,2)</f>
        <v>9.0399999999999991</v>
      </c>
      <c r="F48" s="41">
        <f t="shared" si="12"/>
        <v>11.9</v>
      </c>
      <c r="G48" s="108">
        <f t="shared" si="12"/>
        <v>11.95</v>
      </c>
      <c r="H48" s="40">
        <f t="shared" si="12"/>
        <v>10.039999999999999</v>
      </c>
      <c r="I48" s="123">
        <f t="shared" si="12"/>
        <v>15.92</v>
      </c>
      <c r="J48" s="49">
        <f t="shared" si="12"/>
        <v>30.04</v>
      </c>
      <c r="K48" s="163">
        <f t="shared" si="12"/>
        <v>44.25</v>
      </c>
      <c r="L48" s="108">
        <f t="shared" si="12"/>
        <v>58.73</v>
      </c>
      <c r="M48" s="61">
        <f t="shared" si="12"/>
        <v>0</v>
      </c>
    </row>
    <row r="49" spans="1:13" x14ac:dyDescent="0.35">
      <c r="A49" s="46" t="s">
        <v>136</v>
      </c>
      <c r="C49" s="100">
        <v>-99.25</v>
      </c>
      <c r="D49" s="100"/>
      <c r="E49" s="41">
        <f t="shared" si="13"/>
        <v>58.29</v>
      </c>
      <c r="F49" s="41">
        <f t="shared" si="12"/>
        <v>85.42</v>
      </c>
      <c r="G49" s="108">
        <f t="shared" si="12"/>
        <v>113.37</v>
      </c>
      <c r="H49" s="40">
        <f t="shared" si="12"/>
        <v>130.37</v>
      </c>
      <c r="I49" s="123">
        <f t="shared" si="12"/>
        <v>170.91</v>
      </c>
      <c r="J49" s="49">
        <f t="shared" si="12"/>
        <v>235.67</v>
      </c>
      <c r="K49" s="163">
        <f t="shared" si="12"/>
        <v>282.19</v>
      </c>
      <c r="L49" s="108">
        <f t="shared" si="12"/>
        <v>326.75</v>
      </c>
      <c r="M49" s="61">
        <f t="shared" si="12"/>
        <v>0</v>
      </c>
    </row>
    <row r="50" spans="1:13" x14ac:dyDescent="0.35">
      <c r="A50" s="46" t="s">
        <v>137</v>
      </c>
      <c r="C50" s="100">
        <v>-115.44</v>
      </c>
      <c r="D50" s="100"/>
      <c r="E50" s="41">
        <f t="shared" si="13"/>
        <v>66.06</v>
      </c>
      <c r="F50" s="41">
        <f t="shared" si="12"/>
        <v>95.09</v>
      </c>
      <c r="G50" s="108">
        <f t="shared" si="12"/>
        <v>128.44999999999999</v>
      </c>
      <c r="H50" s="40">
        <f t="shared" si="12"/>
        <v>155.4</v>
      </c>
      <c r="I50" s="123">
        <f t="shared" si="12"/>
        <v>213.82</v>
      </c>
      <c r="J50" s="49">
        <f t="shared" si="12"/>
        <v>302.26</v>
      </c>
      <c r="K50" s="163">
        <f t="shared" si="12"/>
        <v>365.85</v>
      </c>
      <c r="L50" s="108">
        <f t="shared" si="12"/>
        <v>427.3</v>
      </c>
      <c r="M50" s="61">
        <f t="shared" si="12"/>
        <v>0</v>
      </c>
    </row>
    <row r="51" spans="1:13" ht="15" thickBot="1" x14ac:dyDescent="0.4">
      <c r="A51" s="46" t="s">
        <v>138</v>
      </c>
      <c r="C51" s="100">
        <v>-20.98</v>
      </c>
      <c r="D51" s="100"/>
      <c r="E51" s="41">
        <f t="shared" si="13"/>
        <v>12.04</v>
      </c>
      <c r="F51" s="41">
        <f t="shared" si="12"/>
        <v>18.600000000000001</v>
      </c>
      <c r="G51" s="108">
        <f t="shared" si="12"/>
        <v>26.56</v>
      </c>
      <c r="H51" s="40">
        <f t="shared" si="12"/>
        <v>29.96</v>
      </c>
      <c r="I51" s="123">
        <f t="shared" si="12"/>
        <v>36.86</v>
      </c>
      <c r="J51" s="49">
        <f t="shared" si="12"/>
        <v>49.85</v>
      </c>
      <c r="K51" s="163">
        <f t="shared" si="12"/>
        <v>59.96</v>
      </c>
      <c r="L51" s="108">
        <f t="shared" si="12"/>
        <v>69.72</v>
      </c>
      <c r="M51" s="61">
        <f t="shared" si="12"/>
        <v>0</v>
      </c>
    </row>
    <row r="52" spans="1:13" ht="15.5" thickTop="1" thickBot="1" x14ac:dyDescent="0.4">
      <c r="A52" s="54" t="s">
        <v>22</v>
      </c>
      <c r="B52" s="54"/>
      <c r="C52" s="107">
        <v>0</v>
      </c>
      <c r="D52" s="107"/>
      <c r="E52" s="42">
        <f t="shared" ref="E52:J52" si="14">SUM(E47:E51)+SUM(E39:E43)-E55</f>
        <v>0</v>
      </c>
      <c r="F52" s="42">
        <f t="shared" si="14"/>
        <v>0</v>
      </c>
      <c r="G52" s="50">
        <f t="shared" ref="G52:I52" si="15">SUM(G47:G51)+SUM(G39:G43)-G55</f>
        <v>0</v>
      </c>
      <c r="H52" s="147">
        <f t="shared" si="15"/>
        <v>0</v>
      </c>
      <c r="I52" s="50">
        <f t="shared" si="15"/>
        <v>0</v>
      </c>
      <c r="J52" s="62">
        <f t="shared" si="14"/>
        <v>0</v>
      </c>
      <c r="K52" s="164">
        <f t="shared" ref="K52:M52" si="16">SUM(K47:K51)+SUM(K39:K43)-K55</f>
        <v>0</v>
      </c>
      <c r="L52" s="50">
        <f t="shared" si="16"/>
        <v>0</v>
      </c>
      <c r="M52" s="62">
        <f t="shared" si="16"/>
        <v>0</v>
      </c>
    </row>
    <row r="53" spans="1:13" ht="15.5" thickTop="1" thickBot="1" x14ac:dyDescent="0.4">
      <c r="A53" s="54" t="s">
        <v>23</v>
      </c>
      <c r="B53" s="54"/>
      <c r="C53" s="107">
        <v>0</v>
      </c>
      <c r="D53" s="107"/>
      <c r="E53" s="42">
        <f t="shared" ref="E53:J53" si="17">SUM(E47:E51)-E29</f>
        <v>0</v>
      </c>
      <c r="F53" s="42">
        <f t="shared" si="17"/>
        <v>0</v>
      </c>
      <c r="G53" s="50">
        <f t="shared" ref="G53:I53" si="18">SUM(G47:G51)-G29</f>
        <v>0</v>
      </c>
      <c r="H53" s="147">
        <f t="shared" si="18"/>
        <v>0</v>
      </c>
      <c r="I53" s="50">
        <f t="shared" si="18"/>
        <v>0</v>
      </c>
      <c r="J53" s="62">
        <f t="shared" si="17"/>
        <v>0</v>
      </c>
      <c r="K53" s="165">
        <f t="shared" ref="K53:M53" si="19">SUM(K47:K51)-K29</f>
        <v>0</v>
      </c>
      <c r="L53" s="42">
        <f t="shared" si="19"/>
        <v>0</v>
      </c>
      <c r="M53" s="42">
        <f t="shared" si="19"/>
        <v>0</v>
      </c>
    </row>
    <row r="54" spans="1:13" ht="15.5" thickTop="1" thickBot="1" x14ac:dyDescent="0.4">
      <c r="C54" s="99"/>
      <c r="D54" s="99"/>
      <c r="E54" s="17"/>
      <c r="F54" s="17"/>
      <c r="G54" s="17"/>
      <c r="H54" s="10"/>
      <c r="I54" s="17"/>
      <c r="J54" s="11"/>
      <c r="K54" s="17"/>
      <c r="L54" s="17"/>
      <c r="M54" s="11"/>
    </row>
    <row r="55" spans="1:13" ht="15" thickBot="1" x14ac:dyDescent="0.4">
      <c r="A55" s="46" t="s">
        <v>36</v>
      </c>
      <c r="B55" s="119">
        <f>SUM(B39:B43)</f>
        <v>40471.697660000013</v>
      </c>
      <c r="C55" s="100">
        <f t="shared" ref="C55:M55" si="20">(C13-SUM(C16:C20))+SUM(C47:C51)+B55</f>
        <v>146172.58999999994</v>
      </c>
      <c r="D55" s="100"/>
      <c r="E55" s="41">
        <f>(E13-SUM(E16:E20))+SUM(D47:E51)+C55</f>
        <v>182048.12999999995</v>
      </c>
      <c r="F55" s="41">
        <f t="shared" si="20"/>
        <v>198041.55999999997</v>
      </c>
      <c r="G55" s="108">
        <f t="shared" si="20"/>
        <v>174825.01</v>
      </c>
      <c r="H55" s="40">
        <f t="shared" si="20"/>
        <v>179322.05000000002</v>
      </c>
      <c r="I55" s="41">
        <f t="shared" si="20"/>
        <v>230649.91000000003</v>
      </c>
      <c r="J55" s="61">
        <f t="shared" si="20"/>
        <v>302133.41000000003</v>
      </c>
      <c r="K55" s="163">
        <f t="shared" si="20"/>
        <v>379844.43960000004</v>
      </c>
      <c r="L55" s="108">
        <f t="shared" si="20"/>
        <v>441327.39933000004</v>
      </c>
      <c r="M55" s="61">
        <f t="shared" si="20"/>
        <v>343563.72809000005</v>
      </c>
    </row>
    <row r="56" spans="1:13" x14ac:dyDescent="0.35">
      <c r="A56" s="46" t="s">
        <v>12</v>
      </c>
      <c r="C56" s="120"/>
      <c r="D56" s="17"/>
      <c r="E56" s="17"/>
      <c r="F56" s="17"/>
      <c r="G56" s="17"/>
      <c r="H56" s="10"/>
      <c r="I56" s="17"/>
      <c r="J56" s="11"/>
      <c r="K56" s="17"/>
      <c r="L56" s="17"/>
      <c r="M56" s="11"/>
    </row>
    <row r="57" spans="1:13" ht="15" thickBot="1" x14ac:dyDescent="0.4">
      <c r="A57" s="37"/>
      <c r="B57" s="37"/>
      <c r="C57" s="148"/>
      <c r="D57" s="274"/>
      <c r="E57" s="44"/>
      <c r="F57" s="44"/>
      <c r="G57" s="44"/>
      <c r="H57" s="43"/>
      <c r="I57" s="44"/>
      <c r="J57" s="45"/>
      <c r="K57" s="44"/>
      <c r="L57" s="44"/>
      <c r="M57" s="45"/>
    </row>
    <row r="59" spans="1:13" x14ac:dyDescent="0.35">
      <c r="A59" s="69" t="s">
        <v>11</v>
      </c>
      <c r="B59" s="69"/>
      <c r="C59" s="69"/>
      <c r="D59" s="69"/>
    </row>
    <row r="60" spans="1:13" ht="31.5" customHeight="1" x14ac:dyDescent="0.35">
      <c r="A60" s="309" t="s">
        <v>163</v>
      </c>
      <c r="B60" s="309"/>
      <c r="C60" s="309"/>
      <c r="D60" s="309"/>
      <c r="E60" s="309"/>
      <c r="F60" s="309"/>
      <c r="G60" s="309"/>
      <c r="H60" s="309"/>
      <c r="I60" s="309"/>
      <c r="J60" s="309"/>
      <c r="K60" s="286"/>
      <c r="L60" s="286"/>
      <c r="M60" s="286"/>
    </row>
    <row r="61" spans="1:13" ht="45" customHeight="1" x14ac:dyDescent="0.35">
      <c r="A61" s="309" t="s">
        <v>192</v>
      </c>
      <c r="B61" s="309"/>
      <c r="C61" s="309"/>
      <c r="D61" s="309"/>
      <c r="E61" s="309"/>
      <c r="F61" s="309"/>
      <c r="G61" s="309"/>
      <c r="H61" s="309"/>
      <c r="I61" s="309"/>
      <c r="J61" s="309"/>
      <c r="K61" s="286"/>
      <c r="L61" s="286"/>
    </row>
    <row r="62" spans="1:13" ht="18.75" customHeight="1" x14ac:dyDescent="0.35">
      <c r="A62" s="309" t="s">
        <v>164</v>
      </c>
      <c r="B62" s="309"/>
      <c r="C62" s="309"/>
      <c r="D62" s="309"/>
      <c r="E62" s="309"/>
      <c r="F62" s="309"/>
      <c r="G62" s="309"/>
      <c r="H62" s="309"/>
      <c r="I62" s="309"/>
      <c r="J62" s="309"/>
      <c r="K62" s="286"/>
      <c r="L62" s="286"/>
      <c r="M62" s="286"/>
    </row>
    <row r="63" spans="1:13" x14ac:dyDescent="0.35">
      <c r="A63" s="63" t="s">
        <v>31</v>
      </c>
      <c r="B63" s="63"/>
      <c r="C63" s="63"/>
      <c r="D63" s="63"/>
      <c r="E63" s="39"/>
      <c r="F63" s="39"/>
      <c r="G63" s="39"/>
      <c r="H63" s="39"/>
      <c r="I63" s="39"/>
      <c r="J63" s="39"/>
    </row>
    <row r="64" spans="1:13" x14ac:dyDescent="0.35">
      <c r="A64" s="63" t="s">
        <v>203</v>
      </c>
      <c r="B64" s="63"/>
      <c r="C64" s="63"/>
      <c r="D64" s="63"/>
      <c r="E64" s="39"/>
      <c r="F64" s="39"/>
      <c r="G64" s="39"/>
      <c r="H64" s="39"/>
      <c r="I64" s="39"/>
      <c r="J64" s="39"/>
    </row>
    <row r="65" spans="1:10" x14ac:dyDescent="0.35">
      <c r="A65" s="63" t="s">
        <v>95</v>
      </c>
      <c r="B65" s="63"/>
      <c r="C65" s="63"/>
      <c r="D65" s="63"/>
      <c r="E65" s="39"/>
      <c r="F65" s="39"/>
      <c r="G65" s="39"/>
      <c r="H65" s="39"/>
      <c r="I65" s="39"/>
      <c r="J65" s="39"/>
    </row>
    <row r="66" spans="1:10" x14ac:dyDescent="0.35">
      <c r="A66" s="3"/>
      <c r="B66" s="3"/>
      <c r="C66" s="3"/>
      <c r="D66" s="3"/>
    </row>
    <row r="68" spans="1:10" ht="36" customHeight="1" x14ac:dyDescent="0.35">
      <c r="A68" s="305"/>
      <c r="B68" s="305"/>
      <c r="C68" s="305"/>
      <c r="D68" s="305"/>
      <c r="E68" s="305"/>
      <c r="F68" s="305"/>
      <c r="G68" s="305"/>
    </row>
  </sheetData>
  <mergeCells count="7">
    <mergeCell ref="A68:G68"/>
    <mergeCell ref="E11:G11"/>
    <mergeCell ref="H11:J11"/>
    <mergeCell ref="K11:M11"/>
    <mergeCell ref="A60:J60"/>
    <mergeCell ref="A61:J61"/>
    <mergeCell ref="A62:J62"/>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4"/>
  <sheetViews>
    <sheetView workbookViewId="0">
      <selection activeCell="D10" sqref="D10"/>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54296875" style="46" bestFit="1" customWidth="1"/>
    <col min="5" max="5" width="12.453125" style="46" bestFit="1" customWidth="1"/>
    <col min="6" max="6" width="13.54296875" style="46" bestFit="1" customWidth="1"/>
    <col min="7" max="16384" width="9.1796875" style="46"/>
  </cols>
  <sheetData>
    <row r="1" spans="1:5" x14ac:dyDescent="0.35">
      <c r="A1" s="63" t="str">
        <f>+'PPC Cycle 3'!A1</f>
        <v>Evergy Metro, Inc. - DSIM Rider Update Filed 12/02/2022</v>
      </c>
    </row>
    <row r="2" spans="1:5" x14ac:dyDescent="0.35">
      <c r="A2" s="9" t="str">
        <f>+'PPC Cycle 3'!A2</f>
        <v>Projections for Cycle 3 January 2023 - December 2023 DSIM</v>
      </c>
    </row>
    <row r="3" spans="1:5" ht="45.75" customHeight="1" x14ac:dyDescent="0.35">
      <c r="B3" s="303" t="s">
        <v>97</v>
      </c>
      <c r="C3" s="303"/>
      <c r="D3" s="303"/>
    </row>
    <row r="4" spans="1:5" x14ac:dyDescent="0.35">
      <c r="B4" s="48" t="s">
        <v>17</v>
      </c>
    </row>
    <row r="5" spans="1:5" x14ac:dyDescent="0.35">
      <c r="A5" s="20" t="s">
        <v>84</v>
      </c>
      <c r="B5" s="289">
        <f>+B8</f>
        <v>-108079.99999999999</v>
      </c>
    </row>
    <row r="6" spans="1:5" x14ac:dyDescent="0.35">
      <c r="A6" s="20" t="s">
        <v>85</v>
      </c>
      <c r="B6" s="289">
        <f>+C8</f>
        <v>-10141.41</v>
      </c>
    </row>
    <row r="7" spans="1:5" ht="72.5" x14ac:dyDescent="0.35">
      <c r="A7" s="20"/>
      <c r="B7" s="277" t="s">
        <v>84</v>
      </c>
      <c r="C7" s="278" t="s">
        <v>85</v>
      </c>
      <c r="D7" s="3" t="s">
        <v>5</v>
      </c>
      <c r="E7" s="70" t="s">
        <v>207</v>
      </c>
    </row>
    <row r="8" spans="1:5" x14ac:dyDescent="0.35">
      <c r="A8" s="20" t="s">
        <v>24</v>
      </c>
      <c r="B8" s="219">
        <f>-'[23]OA Cycle 2'!$E$107</f>
        <v>-108079.99999999999</v>
      </c>
      <c r="C8" s="219">
        <f>-'[23]OA Cycle 2'!$K$107</f>
        <v>-10141.41</v>
      </c>
      <c r="D8" s="219">
        <f>SUM(B8:C8)</f>
        <v>-118221.40999999999</v>
      </c>
      <c r="E8" s="219">
        <f>ROUND(D8/12*7,2)</f>
        <v>-68962.490000000005</v>
      </c>
    </row>
    <row r="9" spans="1:5" x14ac:dyDescent="0.35">
      <c r="A9" s="20" t="s">
        <v>25</v>
      </c>
      <c r="B9" s="219">
        <v>0</v>
      </c>
      <c r="C9" s="219">
        <v>0</v>
      </c>
      <c r="D9" s="219">
        <f>SUM(B9:C9)</f>
        <v>0</v>
      </c>
      <c r="E9" s="219">
        <f>ROUND(D9/12*7,2)</f>
        <v>0</v>
      </c>
    </row>
    <row r="10" spans="1:5" ht="15" thickBot="1" x14ac:dyDescent="0.4">
      <c r="A10" s="20" t="s">
        <v>5</v>
      </c>
      <c r="B10" s="220">
        <f>SUM(B8:B9)</f>
        <v>-108079.99999999999</v>
      </c>
      <c r="C10" s="220">
        <f>SUM(C8:C9)</f>
        <v>-10141.41</v>
      </c>
      <c r="D10" s="220">
        <f>SUM(D8:D9)</f>
        <v>-118221.40999999999</v>
      </c>
      <c r="E10" s="220">
        <f>SUM(E8:E9)</f>
        <v>-68962.490000000005</v>
      </c>
    </row>
    <row r="11" spans="1:5" ht="15.5" thickTop="1" thickBot="1" x14ac:dyDescent="0.4">
      <c r="B11" s="221">
        <f>+B10-B5</f>
        <v>0</v>
      </c>
      <c r="C11" s="221">
        <f>+C10-B6</f>
        <v>0</v>
      </c>
      <c r="D11" s="221">
        <f>ROUND(B5+B6,2)-D10</f>
        <v>0</v>
      </c>
      <c r="E11" s="221"/>
    </row>
    <row r="12" spans="1:5" ht="29.5" thickTop="1" x14ac:dyDescent="0.35">
      <c r="B12" s="231"/>
      <c r="C12" s="230" t="s">
        <v>111</v>
      </c>
    </row>
    <row r="13" spans="1:5" x14ac:dyDescent="0.35">
      <c r="A13" s="20" t="s">
        <v>107</v>
      </c>
      <c r="B13" s="219">
        <v>0</v>
      </c>
      <c r="C13" s="228">
        <f>+'PCR Cycle 2'!L8</f>
        <v>0.13576441564001979</v>
      </c>
    </row>
    <row r="14" spans="1:5" x14ac:dyDescent="0.35">
      <c r="A14" s="20" t="s">
        <v>108</v>
      </c>
      <c r="B14" s="219">
        <v>0</v>
      </c>
      <c r="C14" s="228">
        <f>+'PCR Cycle 2'!L9</f>
        <v>0.35611574316442379</v>
      </c>
    </row>
    <row r="15" spans="1:5" x14ac:dyDescent="0.35">
      <c r="A15" s="20" t="s">
        <v>109</v>
      </c>
      <c r="B15" s="279">
        <v>0</v>
      </c>
      <c r="C15" s="228">
        <f>+'PCR Cycle 2'!L10</f>
        <v>0.4183185730547726</v>
      </c>
    </row>
    <row r="16" spans="1:5" ht="15" thickBot="1" x14ac:dyDescent="0.4">
      <c r="A16" s="20" t="s">
        <v>110</v>
      </c>
      <c r="B16" s="219">
        <v>0</v>
      </c>
      <c r="C16" s="228">
        <f>+'PCR Cycle 2'!L11</f>
        <v>8.9801268140783777E-2</v>
      </c>
    </row>
    <row r="17" spans="1:4" ht="15.5" thickTop="1" thickBot="1" x14ac:dyDescent="0.4">
      <c r="A17" s="20" t="s">
        <v>112</v>
      </c>
      <c r="B17" s="32">
        <f>SUM(B13:B16)</f>
        <v>0</v>
      </c>
      <c r="C17" s="229">
        <f>SUM(C13:C16)</f>
        <v>1</v>
      </c>
    </row>
    <row r="18" spans="1:4" ht="15" thickTop="1" x14ac:dyDescent="0.35"/>
    <row r="19" spans="1:4" x14ac:dyDescent="0.35">
      <c r="A19" s="53" t="s">
        <v>11</v>
      </c>
    </row>
    <row r="20" spans="1:4" s="39" customFormat="1" x14ac:dyDescent="0.35">
      <c r="A20" s="3" t="s">
        <v>194</v>
      </c>
      <c r="B20" s="46"/>
      <c r="C20" s="46"/>
      <c r="D20" s="46"/>
    </row>
    <row r="21" spans="1:4" s="39" customFormat="1" x14ac:dyDescent="0.35">
      <c r="A21" s="3" t="s">
        <v>195</v>
      </c>
      <c r="B21" s="46"/>
      <c r="C21" s="46"/>
      <c r="D21" s="46"/>
    </row>
    <row r="22" spans="1:4" s="39" customFormat="1" x14ac:dyDescent="0.35">
      <c r="A22" s="3"/>
      <c r="B22" s="46"/>
      <c r="C22" s="46"/>
      <c r="D22" s="46"/>
    </row>
    <row r="24" spans="1:4" x14ac:dyDescent="0.35">
      <c r="A24" s="3"/>
      <c r="D24" s="191"/>
    </row>
    <row r="25" spans="1:4" x14ac:dyDescent="0.35">
      <c r="D25" s="191"/>
    </row>
    <row r="26" spans="1:4" x14ac:dyDescent="0.35">
      <c r="B26" s="70"/>
      <c r="D26" s="191"/>
    </row>
    <row r="27" spans="1:4" x14ac:dyDescent="0.35">
      <c r="A27" s="216"/>
      <c r="B27" s="217"/>
      <c r="D27" s="191"/>
    </row>
    <row r="28" spans="1:4" x14ac:dyDescent="0.35">
      <c r="A28" s="216"/>
      <c r="B28" s="217"/>
      <c r="D28" s="191"/>
    </row>
    <row r="29" spans="1:4" x14ac:dyDescent="0.35">
      <c r="A29" s="216"/>
      <c r="B29" s="217"/>
      <c r="D29" s="191"/>
    </row>
    <row r="30" spans="1:4" x14ac:dyDescent="0.35">
      <c r="A30" s="216"/>
      <c r="B30" s="217"/>
      <c r="D30" s="191"/>
    </row>
    <row r="31" spans="1:4" x14ac:dyDescent="0.35">
      <c r="A31" s="216"/>
      <c r="B31" s="192"/>
      <c r="D31" s="191"/>
    </row>
    <row r="32" spans="1:4" x14ac:dyDescent="0.35">
      <c r="A32" s="216"/>
      <c r="B32" s="192"/>
      <c r="D32" s="191"/>
    </row>
    <row r="33" spans="1:4" ht="16" x14ac:dyDescent="0.5">
      <c r="A33" s="216"/>
      <c r="B33" s="192"/>
      <c r="D33" s="218"/>
    </row>
    <row r="34" spans="1:4" x14ac:dyDescent="0.35">
      <c r="A34" s="216"/>
      <c r="D34" s="191"/>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4"/>
  <sheetViews>
    <sheetView topLeftCell="A24" zoomScale="80" zoomScaleNormal="80" workbookViewId="0">
      <selection activeCell="J33" sqref="J33"/>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7.81640625" style="46"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12/02/2022</v>
      </c>
      <c r="B1" s="3"/>
      <c r="C1" s="3"/>
    </row>
    <row r="2" spans="1:35" x14ac:dyDescent="0.35">
      <c r="D2" s="3" t="s">
        <v>96</v>
      </c>
    </row>
    <row r="3" spans="1:35" ht="29" x14ac:dyDescent="0.35">
      <c r="D3" s="48" t="s">
        <v>46</v>
      </c>
      <c r="E3" s="70" t="s">
        <v>17</v>
      </c>
      <c r="F3" s="48" t="s">
        <v>3</v>
      </c>
      <c r="G3" s="70" t="s">
        <v>55</v>
      </c>
      <c r="H3" s="48" t="s">
        <v>10</v>
      </c>
      <c r="I3" s="48" t="s">
        <v>18</v>
      </c>
      <c r="S3" s="48"/>
    </row>
    <row r="4" spans="1:35" x14ac:dyDescent="0.35">
      <c r="A4" s="20" t="s">
        <v>24</v>
      </c>
      <c r="B4" s="20"/>
      <c r="C4" s="20"/>
      <c r="D4" s="22">
        <f>SUM(C19:L19)</f>
        <v>-49376.903479999994</v>
      </c>
      <c r="E4" s="22">
        <f>SUM(C23:K23)</f>
        <v>0</v>
      </c>
      <c r="F4" s="22">
        <f>E4-D4</f>
        <v>49376.903479999994</v>
      </c>
      <c r="G4" s="22">
        <f>+B33</f>
        <v>-118221.40999999999</v>
      </c>
      <c r="H4" s="22">
        <f>SUM(C38:K38)</f>
        <v>-2471.7200000000003</v>
      </c>
      <c r="I4" s="25">
        <f>SUM(F4:H4)</f>
        <v>-71316.226519999997</v>
      </c>
      <c r="J4" s="47">
        <f>+I4-L33</f>
        <v>0</v>
      </c>
      <c r="M4" s="47"/>
    </row>
    <row r="5" spans="1:35" ht="15" thickBot="1" x14ac:dyDescent="0.4">
      <c r="A5" s="20" t="s">
        <v>25</v>
      </c>
      <c r="B5" s="20"/>
      <c r="C5" s="20"/>
      <c r="D5" s="22">
        <f>SUM(C20:L20)</f>
        <v>0</v>
      </c>
      <c r="E5" s="22">
        <f>SUM(C24:K24)</f>
        <v>0</v>
      </c>
      <c r="F5" s="22">
        <f>E5-D5</f>
        <v>0</v>
      </c>
      <c r="G5" s="22">
        <f>+B34</f>
        <v>0</v>
      </c>
      <c r="H5" s="22">
        <f>SUM(C39:K39)</f>
        <v>0</v>
      </c>
      <c r="I5" s="25">
        <f>SUM(F5:H5)</f>
        <v>0</v>
      </c>
      <c r="J5" s="47">
        <f>+I5-L34</f>
        <v>0</v>
      </c>
      <c r="M5" s="47"/>
    </row>
    <row r="6" spans="1:35" ht="15.5" thickTop="1" thickBot="1" x14ac:dyDescent="0.4">
      <c r="D6" s="27">
        <f t="shared" ref="D6" si="0">SUM(D4:D5)</f>
        <v>-49376.903479999994</v>
      </c>
      <c r="E6" s="27">
        <f>SUM(E4:E5)</f>
        <v>0</v>
      </c>
      <c r="F6" s="27">
        <f>SUM(F4:F5)</f>
        <v>49376.903479999994</v>
      </c>
      <c r="G6" s="27">
        <f>SUM(G4:G5)</f>
        <v>-118221.40999999999</v>
      </c>
      <c r="H6" s="27">
        <f>SUM(H4:H5)</f>
        <v>-2471.7200000000003</v>
      </c>
      <c r="I6" s="27">
        <f>SUM(I4:I5)</f>
        <v>-71316.226519999997</v>
      </c>
      <c r="T6" s="5"/>
    </row>
    <row r="7" spans="1:35" ht="44" thickTop="1" x14ac:dyDescent="0.35">
      <c r="I7" s="231"/>
      <c r="J7" s="230" t="s">
        <v>123</v>
      </c>
    </row>
    <row r="8" spans="1:35" x14ac:dyDescent="0.35">
      <c r="A8" s="20" t="s">
        <v>107</v>
      </c>
      <c r="I8" s="25">
        <f>ROUND($I$5*J8,2)</f>
        <v>0</v>
      </c>
      <c r="J8" s="228">
        <f>+'PCR Cycle 2'!L8</f>
        <v>0.13576441564001979</v>
      </c>
    </row>
    <row r="9" spans="1:35" x14ac:dyDescent="0.35">
      <c r="A9" s="20" t="s">
        <v>108</v>
      </c>
      <c r="I9" s="25">
        <f t="shared" ref="I9:I11" si="1">ROUND($I$5*J9,2)</f>
        <v>0</v>
      </c>
      <c r="J9" s="228">
        <f>+'PCR Cycle 2'!L9</f>
        <v>0.35611574316442379</v>
      </c>
    </row>
    <row r="10" spans="1:35" x14ac:dyDescent="0.35">
      <c r="A10" s="20" t="s">
        <v>109</v>
      </c>
      <c r="I10" s="25">
        <f t="shared" si="1"/>
        <v>0</v>
      </c>
      <c r="J10" s="228">
        <f>+'PCR Cycle 2'!L10</f>
        <v>0.4183185730547726</v>
      </c>
    </row>
    <row r="11" spans="1:35" ht="15" thickBot="1" x14ac:dyDescent="0.4">
      <c r="A11" s="20" t="s">
        <v>110</v>
      </c>
      <c r="I11" s="25">
        <f t="shared" si="1"/>
        <v>0</v>
      </c>
      <c r="J11" s="228">
        <f>+'PCR Cycle 2'!L11</f>
        <v>8.9801268140783777E-2</v>
      </c>
    </row>
    <row r="12" spans="1:35" ht="15.5" thickTop="1" thickBot="1" x14ac:dyDescent="0.4">
      <c r="A12" s="20" t="s">
        <v>112</v>
      </c>
      <c r="I12" s="27">
        <f>SUM(I8:I11)</f>
        <v>0</v>
      </c>
      <c r="J12" s="229">
        <f>SUM(J8:J11)</f>
        <v>1</v>
      </c>
      <c r="V12" s="4"/>
    </row>
    <row r="13" spans="1:35" ht="15.5" thickTop="1" thickBot="1" x14ac:dyDescent="0.4">
      <c r="V13" s="4"/>
      <c r="W13" s="5"/>
    </row>
    <row r="14" spans="1:35" ht="102" thickBot="1" x14ac:dyDescent="0.4">
      <c r="B14" s="118" t="str">
        <f>+'PCR Cycle 2'!B14</f>
        <v>Cumulative Over/Under Carryover From 06/01/2022 Filing</v>
      </c>
      <c r="C14" s="153" t="str">
        <f>+'PCR Cycle 2'!C14</f>
        <v>Reverse May 2022 - October 2022 Forecast From 06/01/2022 Filing</v>
      </c>
      <c r="D14" s="310" t="s">
        <v>33</v>
      </c>
      <c r="E14" s="310"/>
      <c r="F14" s="311"/>
      <c r="G14" s="316" t="s">
        <v>33</v>
      </c>
      <c r="H14" s="317"/>
      <c r="I14" s="318"/>
      <c r="J14" s="306" t="s">
        <v>8</v>
      </c>
      <c r="K14" s="307"/>
      <c r="L14" s="308"/>
    </row>
    <row r="15" spans="1:35" x14ac:dyDescent="0.35">
      <c r="A15" s="46" t="s">
        <v>91</v>
      </c>
      <c r="C15" s="105"/>
      <c r="D15" s="19">
        <f>+'PCR Cycle 2'!E15</f>
        <v>44712</v>
      </c>
      <c r="E15" s="19">
        <f t="shared" ref="E15:L15" si="2">EOMONTH(D15,1)</f>
        <v>44742</v>
      </c>
      <c r="F15" s="19">
        <f t="shared" si="2"/>
        <v>44773</v>
      </c>
      <c r="G15" s="14">
        <f t="shared" si="2"/>
        <v>44804</v>
      </c>
      <c r="H15" s="19">
        <f t="shared" si="2"/>
        <v>44834</v>
      </c>
      <c r="I15" s="15">
        <f t="shared" si="2"/>
        <v>44865</v>
      </c>
      <c r="J15" s="19">
        <f t="shared" si="2"/>
        <v>44895</v>
      </c>
      <c r="K15" s="19">
        <f t="shared" si="2"/>
        <v>44926</v>
      </c>
      <c r="L15" s="15">
        <f t="shared" si="2"/>
        <v>44957</v>
      </c>
      <c r="Z15" s="1"/>
      <c r="AA15" s="1"/>
      <c r="AB15" s="1"/>
      <c r="AC15" s="1"/>
      <c r="AD15" s="1"/>
      <c r="AE15" s="1"/>
      <c r="AF15" s="1"/>
      <c r="AG15" s="1"/>
      <c r="AH15" s="1"/>
      <c r="AI15" s="1"/>
    </row>
    <row r="16" spans="1:35" x14ac:dyDescent="0.35">
      <c r="A16" s="46" t="s">
        <v>5</v>
      </c>
      <c r="C16" s="97">
        <v>0</v>
      </c>
      <c r="D16" s="109">
        <f>SUM(D23:D24)</f>
        <v>0</v>
      </c>
      <c r="E16" s="109">
        <f t="shared" ref="E16:H16" si="3">SUM(E23:E24)</f>
        <v>0</v>
      </c>
      <c r="F16" s="110">
        <f t="shared" si="3"/>
        <v>0</v>
      </c>
      <c r="G16" s="16">
        <f t="shared" si="3"/>
        <v>0</v>
      </c>
      <c r="H16" s="55">
        <f t="shared" si="3"/>
        <v>0</v>
      </c>
      <c r="I16" s="166">
        <f>+I23+I24</f>
        <v>0</v>
      </c>
      <c r="J16" s="159">
        <f t="shared" ref="J16:K16" si="4">+J23+J24</f>
        <v>0</v>
      </c>
      <c r="K16" s="78">
        <f t="shared" si="4"/>
        <v>0</v>
      </c>
      <c r="L16" s="79"/>
    </row>
    <row r="17" spans="1:14" x14ac:dyDescent="0.35">
      <c r="C17" s="99"/>
      <c r="D17" s="17"/>
      <c r="E17" s="17"/>
      <c r="F17" s="17"/>
      <c r="G17" s="10"/>
      <c r="H17" s="17"/>
      <c r="I17" s="11"/>
      <c r="J17" s="31"/>
      <c r="K17" s="31"/>
      <c r="L17" s="29"/>
    </row>
    <row r="18" spans="1:14" x14ac:dyDescent="0.35">
      <c r="A18" s="46" t="s">
        <v>90</v>
      </c>
      <c r="C18" s="99"/>
      <c r="D18" s="18"/>
      <c r="E18" s="18"/>
      <c r="F18" s="18"/>
      <c r="G18" s="91"/>
      <c r="H18" s="18"/>
      <c r="I18" s="167"/>
      <c r="J18" s="31"/>
      <c r="K18" s="31"/>
      <c r="L18" s="29"/>
      <c r="M18" s="3" t="s">
        <v>50</v>
      </c>
      <c r="N18" s="39"/>
    </row>
    <row r="19" spans="1:14" x14ac:dyDescent="0.35">
      <c r="A19" s="46" t="s">
        <v>24</v>
      </c>
      <c r="C19" s="97">
        <v>0</v>
      </c>
      <c r="D19" s="136">
        <f>ROUND('[5]May 2022'!$F38,2)</f>
        <v>0</v>
      </c>
      <c r="E19" s="136">
        <f>ROUND('[5]May 2022'!$F38,2)</f>
        <v>0</v>
      </c>
      <c r="F19" s="188">
        <f>ROUND('[5]Jul 2022'!$F79,2)</f>
        <v>-0.86</v>
      </c>
      <c r="G19" s="16">
        <f>ROUND('[5]Aug 2022'!$F79,2)</f>
        <v>-4609.54</v>
      </c>
      <c r="H19" s="121">
        <f>ROUND('[5]Sep 2022'!$F79,2)</f>
        <v>-10639.31</v>
      </c>
      <c r="I19" s="168">
        <f>ROUND('[5]Oct 2022'!$F79,2)</f>
        <v>-7465.6</v>
      </c>
      <c r="J19" s="123">
        <f>'PCR Cycle 2'!K27*$M19</f>
        <v>-6498.3182400000005</v>
      </c>
      <c r="K19" s="41">
        <f>'PCR Cycle 2'!L27*$M19</f>
        <v>-9355.4050000000007</v>
      </c>
      <c r="L19" s="61">
        <f>'PCR Cycle 2'!M27*$M19</f>
        <v>-10807.87024</v>
      </c>
      <c r="M19" s="72">
        <v>-4.0000000000000003E-5</v>
      </c>
      <c r="N19" s="4"/>
    </row>
    <row r="20" spans="1:14" x14ac:dyDescent="0.35">
      <c r="A20" s="46" t="s">
        <v>25</v>
      </c>
      <c r="C20" s="97">
        <v>0</v>
      </c>
      <c r="D20" s="136">
        <f>ROUND('[5]May 2022'!$F39,2)</f>
        <v>0</v>
      </c>
      <c r="E20" s="136">
        <f>ROUND('[5]May 2022'!$F39,2)</f>
        <v>0</v>
      </c>
      <c r="F20" s="188">
        <f>ROUND('[5]Jul 2022'!$F84,2)</f>
        <v>0</v>
      </c>
      <c r="G20" s="16">
        <f>ROUND('[5]Aug 2022'!$F84,2)</f>
        <v>0</v>
      </c>
      <c r="H20" s="121">
        <f>ROUND('[5]Sep 2022'!$F84,2)</f>
        <v>0</v>
      </c>
      <c r="I20" s="168">
        <f>ROUND('[5]Oct 2022'!$F84,2)</f>
        <v>0</v>
      </c>
      <c r="J20" s="123">
        <f>SUM('PCR Cycle 2'!K28:K31)*$M20</f>
        <v>0</v>
      </c>
      <c r="K20" s="41">
        <f>SUM('PCR Cycle 2'!L28:L31)*$M20</f>
        <v>0</v>
      </c>
      <c r="L20" s="61">
        <f>SUM('PCR Cycle 2'!M28:M31)*$M20</f>
        <v>0</v>
      </c>
      <c r="M20" s="72">
        <v>0</v>
      </c>
      <c r="N20" s="4"/>
    </row>
    <row r="21" spans="1:14" x14ac:dyDescent="0.35">
      <c r="C21" s="67"/>
      <c r="D21" s="68"/>
      <c r="E21" s="68"/>
      <c r="F21" s="68"/>
      <c r="G21" s="98"/>
      <c r="H21" s="68"/>
      <c r="I21" s="169"/>
      <c r="J21" s="56"/>
      <c r="K21" s="56"/>
      <c r="L21" s="13"/>
      <c r="N21" s="4"/>
    </row>
    <row r="22" spans="1:14" x14ac:dyDescent="0.35">
      <c r="A22" s="46" t="s">
        <v>92</v>
      </c>
      <c r="C22" s="36"/>
      <c r="D22" s="37"/>
      <c r="E22" s="37"/>
      <c r="F22" s="37"/>
      <c r="G22" s="36"/>
      <c r="H22" s="37"/>
      <c r="I22" s="172"/>
      <c r="J22" s="52"/>
      <c r="K22" s="52"/>
      <c r="L22" s="38"/>
    </row>
    <row r="23" spans="1:14" x14ac:dyDescent="0.35">
      <c r="A23" s="46" t="s">
        <v>24</v>
      </c>
      <c r="C23" s="97">
        <v>0</v>
      </c>
      <c r="D23" s="109">
        <v>0</v>
      </c>
      <c r="E23" s="109">
        <v>0</v>
      </c>
      <c r="F23" s="110">
        <v>0</v>
      </c>
      <c r="G23" s="16">
        <v>0</v>
      </c>
      <c r="H23" s="55">
        <v>0</v>
      </c>
      <c r="I23" s="166">
        <v>0</v>
      </c>
      <c r="J23" s="161">
        <v>0</v>
      </c>
      <c r="K23" s="143">
        <v>0</v>
      </c>
      <c r="L23" s="79"/>
    </row>
    <row r="24" spans="1:14" x14ac:dyDescent="0.35">
      <c r="A24" s="46" t="s">
        <v>25</v>
      </c>
      <c r="C24" s="97">
        <v>0</v>
      </c>
      <c r="D24" s="109">
        <v>0</v>
      </c>
      <c r="E24" s="109">
        <v>0</v>
      </c>
      <c r="F24" s="110">
        <v>0</v>
      </c>
      <c r="G24" s="16">
        <v>0</v>
      </c>
      <c r="H24" s="55">
        <v>0</v>
      </c>
      <c r="I24" s="166">
        <v>0</v>
      </c>
      <c r="J24" s="161">
        <v>0</v>
      </c>
      <c r="K24" s="143">
        <v>0</v>
      </c>
      <c r="L24" s="79"/>
      <c r="N24" s="47"/>
    </row>
    <row r="25" spans="1:14" x14ac:dyDescent="0.35">
      <c r="C25" s="99"/>
      <c r="D25" s="18"/>
      <c r="E25" s="18"/>
      <c r="F25" s="18"/>
      <c r="G25" s="91"/>
      <c r="H25" s="18"/>
      <c r="I25" s="167"/>
      <c r="J25" s="56"/>
      <c r="K25" s="56"/>
      <c r="L25" s="13"/>
    </row>
    <row r="26" spans="1:14" ht="15" thickBot="1" x14ac:dyDescent="0.4">
      <c r="A26" s="3" t="s">
        <v>14</v>
      </c>
      <c r="B26" s="3"/>
      <c r="C26" s="103">
        <v>0</v>
      </c>
      <c r="D26" s="136">
        <v>-190.46</v>
      </c>
      <c r="E26" s="136">
        <v>-241.03</v>
      </c>
      <c r="F26" s="137">
        <v>-305.52</v>
      </c>
      <c r="G26" s="26">
        <v>-332.35</v>
      </c>
      <c r="H26" s="122">
        <v>-356.5</v>
      </c>
      <c r="I26" s="173">
        <v>-374.4</v>
      </c>
      <c r="J26" s="162">
        <v>-349.82</v>
      </c>
      <c r="K26" s="145">
        <v>-321.64</v>
      </c>
      <c r="L26" s="82"/>
    </row>
    <row r="27" spans="1:14" x14ac:dyDescent="0.35">
      <c r="C27" s="64"/>
      <c r="D27" s="149"/>
      <c r="E27" s="149"/>
      <c r="F27" s="150"/>
      <c r="G27" s="64"/>
      <c r="H27" s="33"/>
      <c r="I27" s="174"/>
      <c r="J27" s="34"/>
      <c r="K27" s="34"/>
      <c r="L27" s="60"/>
    </row>
    <row r="28" spans="1:14" x14ac:dyDescent="0.35">
      <c r="A28" s="46" t="s">
        <v>52</v>
      </c>
      <c r="C28" s="65"/>
      <c r="D28" s="150"/>
      <c r="E28" s="150"/>
      <c r="F28" s="150"/>
      <c r="G28" s="65"/>
      <c r="H28" s="35"/>
      <c r="I28" s="175"/>
      <c r="J28" s="34"/>
      <c r="K28" s="34"/>
      <c r="L28" s="60"/>
    </row>
    <row r="29" spans="1:14" x14ac:dyDescent="0.35">
      <c r="A29" s="46" t="s">
        <v>24</v>
      </c>
      <c r="C29" s="100">
        <f t="shared" ref="C29:L29" si="5">C23-C19</f>
        <v>0</v>
      </c>
      <c r="D29" s="41">
        <f t="shared" si="5"/>
        <v>0</v>
      </c>
      <c r="E29" s="41">
        <f t="shared" si="5"/>
        <v>0</v>
      </c>
      <c r="F29" s="108">
        <f t="shared" si="5"/>
        <v>0.86</v>
      </c>
      <c r="G29" s="40">
        <f t="shared" si="5"/>
        <v>4609.54</v>
      </c>
      <c r="H29" s="41">
        <f t="shared" si="5"/>
        <v>10639.31</v>
      </c>
      <c r="I29" s="61">
        <f t="shared" si="5"/>
        <v>7465.6</v>
      </c>
      <c r="J29" s="123">
        <f t="shared" si="5"/>
        <v>6498.3182400000005</v>
      </c>
      <c r="K29" s="41">
        <f t="shared" si="5"/>
        <v>9355.4050000000007</v>
      </c>
      <c r="L29" s="61">
        <f t="shared" si="5"/>
        <v>10807.87024</v>
      </c>
    </row>
    <row r="30" spans="1:14" x14ac:dyDescent="0.35">
      <c r="A30" s="46" t="s">
        <v>25</v>
      </c>
      <c r="C30" s="100">
        <f t="shared" ref="C30:L30" si="6">C24-C20</f>
        <v>0</v>
      </c>
      <c r="D30" s="41">
        <f t="shared" si="6"/>
        <v>0</v>
      </c>
      <c r="E30" s="41">
        <f t="shared" si="6"/>
        <v>0</v>
      </c>
      <c r="F30" s="108">
        <f t="shared" si="6"/>
        <v>0</v>
      </c>
      <c r="G30" s="40">
        <f t="shared" si="6"/>
        <v>0</v>
      </c>
      <c r="H30" s="41">
        <f t="shared" si="6"/>
        <v>0</v>
      </c>
      <c r="I30" s="61">
        <f t="shared" si="6"/>
        <v>0</v>
      </c>
      <c r="J30" s="123">
        <f t="shared" si="6"/>
        <v>0</v>
      </c>
      <c r="K30" s="41">
        <f t="shared" si="6"/>
        <v>0</v>
      </c>
      <c r="L30" s="61">
        <f t="shared" si="6"/>
        <v>0</v>
      </c>
    </row>
    <row r="31" spans="1:14" x14ac:dyDescent="0.35">
      <c r="C31" s="99"/>
      <c r="D31" s="17"/>
      <c r="E31" s="17"/>
      <c r="F31" s="17"/>
      <c r="G31" s="10"/>
      <c r="H31" s="17"/>
      <c r="I31" s="11"/>
      <c r="J31" s="17"/>
      <c r="K31" s="17"/>
      <c r="L31" s="11"/>
    </row>
    <row r="32" spans="1:14" ht="15" thickBot="1" x14ac:dyDescent="0.4">
      <c r="A32" s="46" t="s">
        <v>53</v>
      </c>
      <c r="C32" s="99"/>
      <c r="D32" s="17"/>
      <c r="E32" s="17"/>
      <c r="F32" s="17"/>
      <c r="G32" s="10"/>
      <c r="H32" s="17"/>
      <c r="I32" s="11"/>
      <c r="J32" s="17"/>
      <c r="K32" s="17"/>
      <c r="L32" s="11"/>
    </row>
    <row r="33" spans="1:12" x14ac:dyDescent="0.35">
      <c r="A33" s="46" t="s">
        <v>24</v>
      </c>
      <c r="B33" s="116">
        <f>+'OA Cycle 2'!D8</f>
        <v>-118221.40999999999</v>
      </c>
      <c r="C33" s="100">
        <f>B33+C29+B38</f>
        <v>-118221.40999999999</v>
      </c>
      <c r="D33" s="41">
        <f t="shared" ref="D33:L34" si="7">C33+D29+C38</f>
        <v>-118221.40999999999</v>
      </c>
      <c r="E33" s="41">
        <f t="shared" si="7"/>
        <v>-118411.87</v>
      </c>
      <c r="F33" s="108">
        <f t="shared" si="7"/>
        <v>-118652.04</v>
      </c>
      <c r="G33" s="40">
        <f t="shared" si="7"/>
        <v>-114348.02</v>
      </c>
      <c r="H33" s="41">
        <f t="shared" si="7"/>
        <v>-104041.06000000001</v>
      </c>
      <c r="I33" s="61">
        <f t="shared" si="7"/>
        <v>-96931.96</v>
      </c>
      <c r="J33" s="123">
        <f t="shared" si="7"/>
        <v>-90808.041759999993</v>
      </c>
      <c r="K33" s="41">
        <f t="shared" si="7"/>
        <v>-81802.456760000001</v>
      </c>
      <c r="L33" s="61">
        <f t="shared" si="7"/>
        <v>-71316.226519999997</v>
      </c>
    </row>
    <row r="34" spans="1:12" ht="15" thickBot="1" x14ac:dyDescent="0.4">
      <c r="A34" s="46" t="s">
        <v>25</v>
      </c>
      <c r="B34" s="117">
        <f>+'OA Cycle 2'!D9</f>
        <v>0</v>
      </c>
      <c r="C34" s="100">
        <f>B34+C30+B39</f>
        <v>0</v>
      </c>
      <c r="D34" s="41">
        <f t="shared" si="7"/>
        <v>0</v>
      </c>
      <c r="E34" s="41">
        <f t="shared" si="7"/>
        <v>0</v>
      </c>
      <c r="F34" s="108">
        <f t="shared" si="7"/>
        <v>0</v>
      </c>
      <c r="G34" s="40">
        <f t="shared" si="7"/>
        <v>0</v>
      </c>
      <c r="H34" s="41">
        <f t="shared" si="7"/>
        <v>0</v>
      </c>
      <c r="I34" s="61">
        <f t="shared" si="7"/>
        <v>0</v>
      </c>
      <c r="J34" s="123">
        <f t="shared" si="7"/>
        <v>0</v>
      </c>
      <c r="K34" s="41">
        <f t="shared" si="7"/>
        <v>0</v>
      </c>
      <c r="L34" s="61">
        <f t="shared" si="7"/>
        <v>0</v>
      </c>
    </row>
    <row r="35" spans="1:12" x14ac:dyDescent="0.35">
      <c r="C35" s="99"/>
      <c r="D35" s="17"/>
      <c r="E35" s="17"/>
      <c r="F35" s="17"/>
      <c r="G35" s="10"/>
      <c r="H35" s="17"/>
      <c r="I35" s="11"/>
      <c r="J35" s="17"/>
      <c r="K35" s="17"/>
      <c r="L35" s="11"/>
    </row>
    <row r="36" spans="1:12" x14ac:dyDescent="0.35">
      <c r="A36" s="39" t="s">
        <v>88</v>
      </c>
      <c r="B36" s="39"/>
      <c r="C36" s="104"/>
      <c r="D36" s="83">
        <f>+'PCR Cycle 2'!E50</f>
        <v>1.61108E-3</v>
      </c>
      <c r="E36" s="83">
        <f>+'PCR Cycle 2'!F50</f>
        <v>2.0355199999999999E-3</v>
      </c>
      <c r="F36" s="83">
        <f>+'PCR Cycle 2'!G50</f>
        <v>2.5749000000000002E-3</v>
      </c>
      <c r="G36" s="84">
        <f>+'PCR Cycle 2'!H50</f>
        <v>2.84906E-3</v>
      </c>
      <c r="H36" s="83">
        <f>+'PCR Cycle 2'!I50</f>
        <v>3.2598100000000001E-3</v>
      </c>
      <c r="I36" s="92">
        <f>+'PCR Cycle 2'!J50</f>
        <v>3.7192499999999999E-3</v>
      </c>
      <c r="J36" s="83">
        <f>+'PCR Cycle 2'!K50</f>
        <v>3.7192499999999999E-3</v>
      </c>
      <c r="K36" s="83">
        <f>+'PCR Cycle 2'!L50</f>
        <v>3.7192499999999999E-3</v>
      </c>
      <c r="L36" s="85"/>
    </row>
    <row r="37" spans="1:12" x14ac:dyDescent="0.35">
      <c r="A37" s="39" t="s">
        <v>37</v>
      </c>
      <c r="B37" s="39"/>
      <c r="C37" s="106"/>
      <c r="D37" s="83"/>
      <c r="E37" s="83"/>
      <c r="F37" s="83"/>
      <c r="G37" s="84"/>
      <c r="H37" s="83"/>
      <c r="I37" s="85"/>
      <c r="J37" s="83"/>
      <c r="K37" s="83"/>
      <c r="L37" s="85"/>
    </row>
    <row r="38" spans="1:12" x14ac:dyDescent="0.35">
      <c r="A38" s="46" t="s">
        <v>24</v>
      </c>
      <c r="C38" s="100">
        <v>0</v>
      </c>
      <c r="D38" s="41">
        <f t="shared" ref="D38:L39" si="8">ROUND((C33+C38+D29/2)*D$36,2)</f>
        <v>-190.46</v>
      </c>
      <c r="E38" s="41">
        <f t="shared" si="8"/>
        <v>-241.03</v>
      </c>
      <c r="F38" s="108">
        <f t="shared" si="8"/>
        <v>-305.52</v>
      </c>
      <c r="G38" s="40">
        <f t="shared" ref="G38:G39" si="9">ROUND((F33+F38+G29/2)*G$36,2)</f>
        <v>-332.35</v>
      </c>
      <c r="H38" s="123">
        <f t="shared" ref="H38:H39" si="10">ROUND((G33+G38+H29/2)*H$36,2)</f>
        <v>-356.5</v>
      </c>
      <c r="I38" s="49">
        <f t="shared" ref="I38:I39" si="11">ROUND((H33+H38+I29/2)*I$36,2)</f>
        <v>-374.4</v>
      </c>
      <c r="J38" s="163">
        <f t="shared" ref="J38:J39" si="12">ROUND((I33+I38+J29/2)*J$36,2)</f>
        <v>-349.82</v>
      </c>
      <c r="K38" s="108">
        <f t="shared" ref="K38:K39" si="13">ROUND((J33+J38+K29/2)*K$36,2)</f>
        <v>-321.64</v>
      </c>
      <c r="L38" s="61">
        <f t="shared" si="8"/>
        <v>0</v>
      </c>
    </row>
    <row r="39" spans="1:12" ht="15" thickBot="1" x14ac:dyDescent="0.4">
      <c r="A39" s="46" t="s">
        <v>25</v>
      </c>
      <c r="C39" s="100">
        <v>0</v>
      </c>
      <c r="D39" s="41">
        <f t="shared" si="8"/>
        <v>0</v>
      </c>
      <c r="E39" s="41">
        <f t="shared" si="8"/>
        <v>0</v>
      </c>
      <c r="F39" s="108">
        <f t="shared" si="8"/>
        <v>0</v>
      </c>
      <c r="G39" s="40">
        <f t="shared" si="9"/>
        <v>0</v>
      </c>
      <c r="H39" s="123">
        <f t="shared" si="10"/>
        <v>0</v>
      </c>
      <c r="I39" s="49">
        <f t="shared" si="11"/>
        <v>0</v>
      </c>
      <c r="J39" s="163">
        <f t="shared" si="12"/>
        <v>0</v>
      </c>
      <c r="K39" s="108">
        <f t="shared" si="13"/>
        <v>0</v>
      </c>
      <c r="L39" s="61">
        <f t="shared" si="8"/>
        <v>0</v>
      </c>
    </row>
    <row r="40" spans="1:12" ht="15.5" thickTop="1" thickBot="1" x14ac:dyDescent="0.4">
      <c r="A40" s="54" t="s">
        <v>22</v>
      </c>
      <c r="B40" s="54"/>
      <c r="C40" s="107">
        <v>0</v>
      </c>
      <c r="D40" s="42">
        <f t="shared" ref="D40:I40" si="14">SUM(D38:D39)+SUM(D33:D34)-D43</f>
        <v>0</v>
      </c>
      <c r="E40" s="42">
        <f t="shared" si="14"/>
        <v>0</v>
      </c>
      <c r="F40" s="50">
        <f t="shared" ref="F40:H40" si="15">SUM(F38:F39)+SUM(F33:F34)-F43</f>
        <v>0</v>
      </c>
      <c r="G40" s="147">
        <f t="shared" si="15"/>
        <v>0</v>
      </c>
      <c r="H40" s="50">
        <f t="shared" si="15"/>
        <v>0</v>
      </c>
      <c r="I40" s="62">
        <f t="shared" si="14"/>
        <v>0</v>
      </c>
      <c r="J40" s="164">
        <f t="shared" ref="J40:L40" si="16">SUM(J38:J39)+SUM(J33:J34)-J43</f>
        <v>0</v>
      </c>
      <c r="K40" s="50">
        <f t="shared" si="16"/>
        <v>0</v>
      </c>
      <c r="L40" s="62">
        <f t="shared" si="16"/>
        <v>0</v>
      </c>
    </row>
    <row r="41" spans="1:12" ht="15.5" thickTop="1" thickBot="1" x14ac:dyDescent="0.4">
      <c r="A41" s="54" t="s">
        <v>23</v>
      </c>
      <c r="B41" s="54"/>
      <c r="C41" s="107">
        <v>0</v>
      </c>
      <c r="D41" s="42">
        <f t="shared" ref="D41:I41" si="17">SUM(D38:D39)-D26</f>
        <v>0</v>
      </c>
      <c r="E41" s="42">
        <f t="shared" si="17"/>
        <v>0</v>
      </c>
      <c r="F41" s="50">
        <f t="shared" ref="F41:H41" si="18">SUM(F38:F39)-F26</f>
        <v>0</v>
      </c>
      <c r="G41" s="147">
        <f t="shared" si="18"/>
        <v>0</v>
      </c>
      <c r="H41" s="50">
        <f t="shared" si="18"/>
        <v>0</v>
      </c>
      <c r="I41" s="62">
        <f t="shared" si="17"/>
        <v>0</v>
      </c>
      <c r="J41" s="165">
        <f t="shared" ref="J41:L41" si="19">SUM(J38:J39)-J26</f>
        <v>0</v>
      </c>
      <c r="K41" s="42">
        <f t="shared" si="19"/>
        <v>0</v>
      </c>
      <c r="L41" s="42">
        <f t="shared" si="19"/>
        <v>0</v>
      </c>
    </row>
    <row r="42" spans="1:12" ht="15.5" thickTop="1" thickBot="1" x14ac:dyDescent="0.4">
      <c r="C42" s="99"/>
      <c r="D42" s="17"/>
      <c r="E42" s="17"/>
      <c r="F42" s="17"/>
      <c r="G42" s="10"/>
      <c r="H42" s="17"/>
      <c r="I42" s="11"/>
      <c r="J42" s="17"/>
      <c r="K42" s="17"/>
      <c r="L42" s="11"/>
    </row>
    <row r="43" spans="1:12" ht="15" thickBot="1" x14ac:dyDescent="0.4">
      <c r="A43" s="46" t="s">
        <v>36</v>
      </c>
      <c r="B43" s="119">
        <f>SUM(B33:B34)</f>
        <v>-118221.40999999999</v>
      </c>
      <c r="C43" s="100">
        <f t="shared" ref="C43:L43" si="20">(C16-SUM(C19:C20))+SUM(C38:C39)+B43</f>
        <v>-118221.40999999999</v>
      </c>
      <c r="D43" s="41">
        <f t="shared" si="20"/>
        <v>-118411.87</v>
      </c>
      <c r="E43" s="41">
        <f t="shared" si="20"/>
        <v>-118652.9</v>
      </c>
      <c r="F43" s="108">
        <f t="shared" si="20"/>
        <v>-118957.56</v>
      </c>
      <c r="G43" s="40">
        <f t="shared" si="20"/>
        <v>-114680.37</v>
      </c>
      <c r="H43" s="41">
        <f t="shared" si="20"/>
        <v>-104397.56</v>
      </c>
      <c r="I43" s="61">
        <f t="shared" si="20"/>
        <v>-97306.36</v>
      </c>
      <c r="J43" s="163">
        <f t="shared" si="20"/>
        <v>-91157.86176</v>
      </c>
      <c r="K43" s="108">
        <f t="shared" si="20"/>
        <v>-82124.09676</v>
      </c>
      <c r="L43" s="61">
        <f t="shared" si="20"/>
        <v>-71316.226519999997</v>
      </c>
    </row>
    <row r="44" spans="1:12" x14ac:dyDescent="0.35">
      <c r="A44" s="46" t="s">
        <v>12</v>
      </c>
      <c r="C44" s="120"/>
      <c r="D44" s="17"/>
      <c r="E44" s="17"/>
      <c r="F44" s="17"/>
      <c r="G44" s="10"/>
      <c r="H44" s="17"/>
      <c r="I44" s="11"/>
      <c r="J44" s="17"/>
      <c r="K44" s="17"/>
      <c r="L44" s="11"/>
    </row>
    <row r="45" spans="1:12" ht="15" thickBot="1" x14ac:dyDescent="0.4">
      <c r="A45" s="37"/>
      <c r="B45" s="37"/>
      <c r="C45" s="148"/>
      <c r="D45" s="44"/>
      <c r="E45" s="44"/>
      <c r="F45" s="44"/>
      <c r="G45" s="43"/>
      <c r="H45" s="44"/>
      <c r="I45" s="45"/>
      <c r="J45" s="44"/>
      <c r="K45" s="44"/>
      <c r="L45" s="45"/>
    </row>
    <row r="47" spans="1:12" x14ac:dyDescent="0.35">
      <c r="A47" s="69" t="s">
        <v>11</v>
      </c>
      <c r="B47" s="69"/>
      <c r="C47" s="69"/>
    </row>
    <row r="48" spans="1:12" x14ac:dyDescent="0.35">
      <c r="A48" s="319" t="s">
        <v>193</v>
      </c>
      <c r="B48" s="319"/>
      <c r="C48" s="319"/>
      <c r="D48" s="319"/>
      <c r="E48" s="319"/>
      <c r="F48" s="319"/>
      <c r="G48" s="319"/>
      <c r="H48" s="319"/>
      <c r="I48" s="319"/>
      <c r="J48" s="182"/>
      <c r="K48" s="182"/>
      <c r="L48" s="182"/>
    </row>
    <row r="49" spans="1:12" ht="32.25" customHeight="1" x14ac:dyDescent="0.35">
      <c r="A49" s="319" t="s">
        <v>184</v>
      </c>
      <c r="B49" s="319"/>
      <c r="C49" s="319"/>
      <c r="D49" s="319"/>
      <c r="E49" s="319"/>
      <c r="F49" s="319"/>
      <c r="G49" s="319"/>
      <c r="H49" s="319"/>
      <c r="I49" s="319"/>
      <c r="J49" s="182"/>
      <c r="K49" s="182"/>
    </row>
    <row r="50" spans="1:12" ht="18.75" customHeight="1" x14ac:dyDescent="0.35">
      <c r="A50" s="3" t="s">
        <v>185</v>
      </c>
      <c r="B50" s="3"/>
      <c r="C50" s="3"/>
      <c r="I50" s="4"/>
      <c r="J50" s="182"/>
      <c r="K50" s="182"/>
      <c r="L50" s="182"/>
    </row>
    <row r="51" spans="1:12" x14ac:dyDescent="0.35">
      <c r="A51" s="3" t="s">
        <v>203</v>
      </c>
      <c r="B51" s="3"/>
      <c r="C51" s="3"/>
      <c r="I51" s="4"/>
    </row>
    <row r="52" spans="1:12" x14ac:dyDescent="0.35">
      <c r="A52" s="3" t="s">
        <v>126</v>
      </c>
      <c r="B52" s="3"/>
      <c r="C52" s="3"/>
      <c r="I52" s="4"/>
    </row>
    <row r="53" spans="1:12" x14ac:dyDescent="0.35">
      <c r="A53" s="3" t="s">
        <v>158</v>
      </c>
      <c r="B53" s="63"/>
      <c r="C53" s="63"/>
      <c r="D53" s="39"/>
      <c r="E53" s="39"/>
      <c r="F53" s="39"/>
      <c r="G53" s="39"/>
      <c r="H53" s="39"/>
      <c r="I53" s="39"/>
    </row>
    <row r="54" spans="1:12" x14ac:dyDescent="0.35">
      <c r="A54" s="3"/>
      <c r="B54" s="3"/>
      <c r="C54" s="3"/>
    </row>
  </sheetData>
  <mergeCells count="5">
    <mergeCell ref="D14:F14"/>
    <mergeCell ref="G14:I14"/>
    <mergeCell ref="J14:L14"/>
    <mergeCell ref="A48:I48"/>
    <mergeCell ref="A49:I49"/>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4A8E-DEE2-477C-9A01-477ED574AD62}">
  <sheetPr>
    <pageSetUpPr fitToPage="1"/>
  </sheetPr>
  <dimension ref="A1:E35"/>
  <sheetViews>
    <sheetView topLeftCell="A7" workbookViewId="0">
      <selection activeCell="H11" sqref="H11"/>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54296875" style="46" bestFit="1" customWidth="1"/>
    <col min="5" max="5" width="14.81640625" style="46" customWidth="1"/>
    <col min="6" max="6" width="13.54296875" style="46" bestFit="1" customWidth="1"/>
    <col min="7" max="16384" width="9.1796875" style="46"/>
  </cols>
  <sheetData>
    <row r="1" spans="1:5" x14ac:dyDescent="0.35">
      <c r="A1" s="63" t="str">
        <f>+'PPC Cycle 3'!A1</f>
        <v>Evergy Metro, Inc. - DSIM Rider Update Filed 12/02/2022</v>
      </c>
    </row>
    <row r="2" spans="1:5" x14ac:dyDescent="0.35">
      <c r="A2" s="9" t="str">
        <f>+'PPC Cycle 3'!A2</f>
        <v>Projections for Cycle 3 January 2023 - December 2023 DSIM</v>
      </c>
    </row>
    <row r="3" spans="1:5" ht="45.75" customHeight="1" x14ac:dyDescent="0.35">
      <c r="B3" s="303" t="s">
        <v>201</v>
      </c>
      <c r="C3" s="303"/>
      <c r="D3" s="303"/>
    </row>
    <row r="4" spans="1:5" x14ac:dyDescent="0.35">
      <c r="B4" s="48" t="s">
        <v>17</v>
      </c>
    </row>
    <row r="5" spans="1:5" x14ac:dyDescent="0.35">
      <c r="A5" s="20" t="s">
        <v>208</v>
      </c>
      <c r="B5" s="289">
        <f>+B11</f>
        <v>-20463.62</v>
      </c>
    </row>
    <row r="6" spans="1:5" x14ac:dyDescent="0.35">
      <c r="A6" s="20" t="s">
        <v>209</v>
      </c>
      <c r="B6" s="289">
        <f>+C11</f>
        <v>-459718</v>
      </c>
    </row>
    <row r="7" spans="1:5" x14ac:dyDescent="0.35">
      <c r="A7" s="20" t="s">
        <v>212</v>
      </c>
      <c r="B7" s="289">
        <f>+D11</f>
        <v>-6768.42</v>
      </c>
    </row>
    <row r="8" spans="1:5" ht="58" x14ac:dyDescent="0.35">
      <c r="A8" s="20"/>
      <c r="B8" s="277" t="s">
        <v>208</v>
      </c>
      <c r="C8" s="277" t="s">
        <v>209</v>
      </c>
      <c r="D8" s="278" t="s">
        <v>85</v>
      </c>
      <c r="E8" s="3" t="s">
        <v>5</v>
      </c>
    </row>
    <row r="9" spans="1:5" x14ac:dyDescent="0.35">
      <c r="A9" s="20" t="s">
        <v>24</v>
      </c>
      <c r="B9" s="219">
        <f>ROUND('[24]Metro Program Cycle 3'!$E$52,2)</f>
        <v>-13040.43</v>
      </c>
      <c r="C9" s="219">
        <f>ROUND('[24]Metro TD Cycle 3'!$E$52,2)</f>
        <v>-459718</v>
      </c>
      <c r="D9" s="219">
        <f>ROUND('[24]Metro Program Cycle 3'!$K$52+'[24]Metro TD Cycle 3'!$K$52,2)</f>
        <v>-6607.22</v>
      </c>
      <c r="E9" s="219">
        <f>SUM(B9:D9)</f>
        <v>-479365.64999999997</v>
      </c>
    </row>
    <row r="10" spans="1:5" x14ac:dyDescent="0.35">
      <c r="A10" s="20" t="s">
        <v>25</v>
      </c>
      <c r="B10" s="219">
        <f>ROUND('[24]Metro Program Cycle 3'!$R$52,2)</f>
        <v>-7423.19</v>
      </c>
      <c r="C10" s="219">
        <f>ROUND('[24]Metro TD Cycle 3'!$R$52,2)</f>
        <v>0</v>
      </c>
      <c r="D10" s="219">
        <f>ROUND('[24]Metro Program Cycle 3'!$X$52+'[24]Metro TD Cycle 3'!$X$52,2)</f>
        <v>-161.19999999999999</v>
      </c>
      <c r="E10" s="219">
        <f>SUM(B10:D10)</f>
        <v>-7584.3899999999994</v>
      </c>
    </row>
    <row r="11" spans="1:5" ht="15" thickBot="1" x14ac:dyDescent="0.4">
      <c r="A11" s="20" t="s">
        <v>5</v>
      </c>
      <c r="B11" s="220">
        <f>SUM(B9:B10)</f>
        <v>-20463.62</v>
      </c>
      <c r="C11" s="220">
        <f>SUM(C9:C10)</f>
        <v>-459718</v>
      </c>
      <c r="D11" s="220">
        <f>SUM(D9:D10)</f>
        <v>-6768.42</v>
      </c>
      <c r="E11" s="220">
        <f>SUM(E9:E10)</f>
        <v>-486950.04</v>
      </c>
    </row>
    <row r="12" spans="1:5" ht="15.5" thickTop="1" thickBot="1" x14ac:dyDescent="0.4">
      <c r="B12" s="221">
        <f>+B11-B5</f>
        <v>0</v>
      </c>
      <c r="C12" s="221">
        <f>+C11-B6</f>
        <v>0</v>
      </c>
      <c r="D12" s="221">
        <f>+D11-B7</f>
        <v>0</v>
      </c>
      <c r="E12" s="221">
        <f>ROUND(B5+B6+B7,2)-E11</f>
        <v>0</v>
      </c>
    </row>
    <row r="13" spans="1:5" ht="15" thickTop="1" x14ac:dyDescent="0.35">
      <c r="B13" s="231"/>
      <c r="C13" s="231"/>
      <c r="D13" s="297" t="s">
        <v>217</v>
      </c>
    </row>
    <row r="14" spans="1:5" x14ac:dyDescent="0.35">
      <c r="A14" s="20" t="s">
        <v>107</v>
      </c>
      <c r="B14" s="219">
        <f>ROUND($E$10*D14,2)</f>
        <v>-1029.69</v>
      </c>
      <c r="C14" s="219"/>
      <c r="D14" s="228">
        <f>+'PCR Cycle 2'!L8</f>
        <v>0.13576441564001979</v>
      </c>
    </row>
    <row r="15" spans="1:5" x14ac:dyDescent="0.35">
      <c r="A15" s="20" t="s">
        <v>108</v>
      </c>
      <c r="B15" s="219">
        <f t="shared" ref="B15:B17" si="0">ROUND($E$10*D15,2)</f>
        <v>-2700.92</v>
      </c>
      <c r="C15" s="219"/>
      <c r="D15" s="228">
        <f>+'PCR Cycle 2'!L9</f>
        <v>0.35611574316442379</v>
      </c>
    </row>
    <row r="16" spans="1:5" x14ac:dyDescent="0.35">
      <c r="A16" s="20" t="s">
        <v>109</v>
      </c>
      <c r="B16" s="219">
        <f t="shared" si="0"/>
        <v>-3172.69</v>
      </c>
      <c r="C16" s="279"/>
      <c r="D16" s="228">
        <f>+'PCR Cycle 2'!L10</f>
        <v>0.4183185730547726</v>
      </c>
    </row>
    <row r="17" spans="1:4" ht="15" thickBot="1" x14ac:dyDescent="0.4">
      <c r="A17" s="20" t="s">
        <v>110</v>
      </c>
      <c r="B17" s="219">
        <f t="shared" si="0"/>
        <v>-681.09</v>
      </c>
      <c r="C17" s="219"/>
      <c r="D17" s="228">
        <f>+'PCR Cycle 2'!L11</f>
        <v>8.9801268140783777E-2</v>
      </c>
    </row>
    <row r="18" spans="1:4" ht="15.5" thickTop="1" thickBot="1" x14ac:dyDescent="0.4">
      <c r="A18" s="20" t="s">
        <v>112</v>
      </c>
      <c r="B18" s="32">
        <f>SUM(B14:B17)</f>
        <v>-7584.39</v>
      </c>
      <c r="C18" s="32"/>
      <c r="D18" s="229">
        <f>SUM(D14:D17)</f>
        <v>1</v>
      </c>
    </row>
    <row r="19" spans="1:4" ht="15" thickTop="1" x14ac:dyDescent="0.35"/>
    <row r="20" spans="1:4" x14ac:dyDescent="0.35">
      <c r="A20" s="53" t="s">
        <v>11</v>
      </c>
    </row>
    <row r="21" spans="1:4" s="39" customFormat="1" x14ac:dyDescent="0.35">
      <c r="A21" s="3" t="s">
        <v>210</v>
      </c>
      <c r="B21" s="46"/>
      <c r="C21" s="46"/>
      <c r="D21" s="46"/>
    </row>
    <row r="22" spans="1:4" s="39" customFormat="1" x14ac:dyDescent="0.35">
      <c r="A22" s="3" t="s">
        <v>211</v>
      </c>
      <c r="B22" s="46"/>
      <c r="C22" s="46"/>
      <c r="D22" s="46"/>
    </row>
    <row r="23" spans="1:4" s="39" customFormat="1" x14ac:dyDescent="0.35">
      <c r="A23" s="3"/>
      <c r="B23" s="46"/>
      <c r="C23" s="46"/>
      <c r="D23" s="46"/>
    </row>
    <row r="25" spans="1:4" x14ac:dyDescent="0.35">
      <c r="A25" s="3"/>
      <c r="D25" s="191"/>
    </row>
    <row r="26" spans="1:4" x14ac:dyDescent="0.35">
      <c r="D26" s="191"/>
    </row>
    <row r="27" spans="1:4" x14ac:dyDescent="0.35">
      <c r="B27" s="70"/>
      <c r="D27" s="191"/>
    </row>
    <row r="28" spans="1:4" x14ac:dyDescent="0.35">
      <c r="A28" s="216"/>
      <c r="B28" s="217"/>
      <c r="D28" s="191"/>
    </row>
    <row r="29" spans="1:4" x14ac:dyDescent="0.35">
      <c r="A29" s="216"/>
      <c r="B29" s="217"/>
      <c r="D29" s="191"/>
    </row>
    <row r="30" spans="1:4" x14ac:dyDescent="0.35">
      <c r="A30" s="216"/>
      <c r="B30" s="217"/>
      <c r="D30" s="191"/>
    </row>
    <row r="31" spans="1:4" x14ac:dyDescent="0.35">
      <c r="A31" s="216"/>
      <c r="B31" s="217"/>
      <c r="D31" s="191"/>
    </row>
    <row r="32" spans="1:4" x14ac:dyDescent="0.35">
      <c r="A32" s="216"/>
      <c r="B32" s="192"/>
      <c r="D32" s="191"/>
    </row>
    <row r="33" spans="1:4" x14ac:dyDescent="0.35">
      <c r="A33" s="216"/>
      <c r="B33" s="192"/>
      <c r="D33" s="191"/>
    </row>
    <row r="34" spans="1:4" ht="16" x14ac:dyDescent="0.5">
      <c r="A34" s="216"/>
      <c r="B34" s="192"/>
      <c r="D34" s="218"/>
    </row>
    <row r="35" spans="1:4" x14ac:dyDescent="0.35">
      <c r="A35" s="216"/>
      <c r="D35" s="191"/>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E942-78E4-4BAA-AAF3-3F92AE406A3C}">
  <sheetPr>
    <pageSetUpPr fitToPage="1"/>
  </sheetPr>
  <dimension ref="A1:AI66"/>
  <sheetViews>
    <sheetView topLeftCell="A34" zoomScale="90" zoomScaleNormal="90" workbookViewId="0">
      <selection activeCell="G48" sqref="G48"/>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7.81640625" style="46"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12/02/2022</v>
      </c>
      <c r="B1" s="3"/>
      <c r="C1" s="3"/>
    </row>
    <row r="2" spans="1:35" x14ac:dyDescent="0.35">
      <c r="D2" s="3" t="s">
        <v>202</v>
      </c>
    </row>
    <row r="3" spans="1:35" ht="29" x14ac:dyDescent="0.35">
      <c r="D3" s="48" t="s">
        <v>46</v>
      </c>
      <c r="E3" s="70" t="s">
        <v>17</v>
      </c>
      <c r="F3" s="48" t="s">
        <v>3</v>
      </c>
      <c r="G3" s="70" t="s">
        <v>55</v>
      </c>
      <c r="H3" s="48" t="s">
        <v>10</v>
      </c>
      <c r="I3" s="48" t="s">
        <v>18</v>
      </c>
      <c r="S3" s="48"/>
    </row>
    <row r="4" spans="1:35" x14ac:dyDescent="0.35">
      <c r="A4" s="20" t="s">
        <v>24</v>
      </c>
      <c r="B4" s="20"/>
      <c r="C4" s="20"/>
      <c r="D4" s="22">
        <f>SUM(C16:L16)</f>
        <v>0</v>
      </c>
      <c r="E4" s="22">
        <f>SUM(C23:K23)</f>
        <v>0</v>
      </c>
      <c r="F4" s="22">
        <f>E4-D4</f>
        <v>0</v>
      </c>
      <c r="G4" s="22">
        <f>+B39</f>
        <v>-479365.64999999997</v>
      </c>
      <c r="H4" s="22">
        <f>SUM(C47:K47)</f>
        <v>-11374.64</v>
      </c>
      <c r="I4" s="25">
        <f>SUM(F4:H4)</f>
        <v>-490740.29</v>
      </c>
      <c r="J4" s="47">
        <f>+I4-L39</f>
        <v>0</v>
      </c>
      <c r="M4" s="47"/>
    </row>
    <row r="5" spans="1:35" x14ac:dyDescent="0.35">
      <c r="A5" s="20" t="s">
        <v>107</v>
      </c>
      <c r="B5" s="20"/>
      <c r="C5" s="20"/>
      <c r="D5" s="22">
        <f t="shared" ref="D5:D7" si="0">SUM(C17:L17)</f>
        <v>0</v>
      </c>
      <c r="E5" s="22">
        <f t="shared" ref="E5:E7" si="1">SUM(C24:K24)</f>
        <v>0</v>
      </c>
      <c r="F5" s="22">
        <f t="shared" ref="F5:F7" si="2">E5-D5</f>
        <v>0</v>
      </c>
      <c r="G5" s="22">
        <f t="shared" ref="G5:G7" si="3">+B40</f>
        <v>-1029.69</v>
      </c>
      <c r="H5" s="22">
        <f t="shared" ref="H5:H7" si="4">SUM(C48:K48)</f>
        <v>-24.44</v>
      </c>
      <c r="I5" s="25">
        <f t="shared" ref="I5:I7" si="5">SUM(F5:H5)</f>
        <v>-1054.1300000000001</v>
      </c>
      <c r="J5" s="47"/>
      <c r="M5" s="47"/>
    </row>
    <row r="6" spans="1:35" x14ac:dyDescent="0.35">
      <c r="A6" s="20" t="s">
        <v>108</v>
      </c>
      <c r="B6" s="20"/>
      <c r="C6" s="20"/>
      <c r="D6" s="22">
        <f t="shared" si="0"/>
        <v>0</v>
      </c>
      <c r="E6" s="22">
        <f t="shared" si="1"/>
        <v>0</v>
      </c>
      <c r="F6" s="22">
        <f t="shared" si="2"/>
        <v>0</v>
      </c>
      <c r="G6" s="22">
        <f t="shared" si="3"/>
        <v>-2700.92</v>
      </c>
      <c r="H6" s="22">
        <f t="shared" si="4"/>
        <v>-64.09</v>
      </c>
      <c r="I6" s="25">
        <f t="shared" si="5"/>
        <v>-2765.01</v>
      </c>
      <c r="J6" s="47"/>
      <c r="M6" s="47"/>
    </row>
    <row r="7" spans="1:35" x14ac:dyDescent="0.35">
      <c r="A7" s="20" t="s">
        <v>109</v>
      </c>
      <c r="B7" s="20"/>
      <c r="C7" s="20"/>
      <c r="D7" s="22">
        <f t="shared" si="0"/>
        <v>0</v>
      </c>
      <c r="E7" s="22">
        <f t="shared" si="1"/>
        <v>0</v>
      </c>
      <c r="F7" s="22">
        <f t="shared" si="2"/>
        <v>0</v>
      </c>
      <c r="G7" s="22">
        <f t="shared" si="3"/>
        <v>-3172.69</v>
      </c>
      <c r="H7" s="22">
        <f t="shared" si="4"/>
        <v>-75.3</v>
      </c>
      <c r="I7" s="25">
        <f t="shared" si="5"/>
        <v>-3247.9900000000002</v>
      </c>
      <c r="J7" s="47"/>
      <c r="M7" s="47"/>
    </row>
    <row r="8" spans="1:35" ht="15" thickBot="1" x14ac:dyDescent="0.4">
      <c r="A8" s="20" t="s">
        <v>110</v>
      </c>
      <c r="B8" s="20"/>
      <c r="C8" s="20"/>
      <c r="D8" s="22">
        <f>SUM(C20:L20)</f>
        <v>0</v>
      </c>
      <c r="E8" s="22">
        <f>SUM(C27:K27)</f>
        <v>0</v>
      </c>
      <c r="F8" s="22">
        <f>E8-D8</f>
        <v>0</v>
      </c>
      <c r="G8" s="22">
        <f>+B43</f>
        <v>-681.09</v>
      </c>
      <c r="H8" s="22">
        <f>SUM(C51:K51)</f>
        <v>-16.150000000000002</v>
      </c>
      <c r="I8" s="25">
        <f>SUM(F8:H8)</f>
        <v>-697.24</v>
      </c>
      <c r="J8" s="47">
        <f>+I8-L43</f>
        <v>0</v>
      </c>
      <c r="M8" s="47"/>
    </row>
    <row r="9" spans="1:35" ht="15.5" thickTop="1" thickBot="1" x14ac:dyDescent="0.4">
      <c r="D9" s="27">
        <f t="shared" ref="D9" si="6">SUM(D4:D8)</f>
        <v>0</v>
      </c>
      <c r="E9" s="27">
        <f>SUM(E4:E8)</f>
        <v>0</v>
      </c>
      <c r="F9" s="27">
        <f>SUM(F4:F8)</f>
        <v>0</v>
      </c>
      <c r="G9" s="27">
        <f>SUM(G4:G8)</f>
        <v>-486950.04</v>
      </c>
      <c r="H9" s="27">
        <f>SUM(H4:H8)</f>
        <v>-11554.619999999999</v>
      </c>
      <c r="I9" s="27">
        <f>SUM(I4:I8)</f>
        <v>-498504.66</v>
      </c>
      <c r="T9" s="5"/>
    </row>
    <row r="10" spans="1:35" ht="15.5" thickTop="1" thickBot="1" x14ac:dyDescent="0.4">
      <c r="V10" s="4"/>
      <c r="W10" s="5"/>
    </row>
    <row r="11" spans="1:35" ht="102" thickBot="1" x14ac:dyDescent="0.4">
      <c r="B11" s="118" t="str">
        <f>+'PCR Cycle 2'!B14</f>
        <v>Cumulative Over/Under Carryover From 06/01/2022 Filing</v>
      </c>
      <c r="C11" s="153" t="str">
        <f>+'PCR Cycle 2'!C14</f>
        <v>Reverse May 2022 - October 2022 Forecast From 06/01/2022 Filing</v>
      </c>
      <c r="D11" s="310" t="s">
        <v>33</v>
      </c>
      <c r="E11" s="310"/>
      <c r="F11" s="311"/>
      <c r="G11" s="316" t="s">
        <v>33</v>
      </c>
      <c r="H11" s="317"/>
      <c r="I11" s="318"/>
      <c r="J11" s="306" t="s">
        <v>8</v>
      </c>
      <c r="K11" s="307"/>
      <c r="L11" s="308"/>
    </row>
    <row r="12" spans="1:35" x14ac:dyDescent="0.35">
      <c r="A12" s="46" t="s">
        <v>91</v>
      </c>
      <c r="C12" s="105"/>
      <c r="D12" s="19">
        <f>+'PCR Cycle 2'!E15</f>
        <v>44712</v>
      </c>
      <c r="E12" s="19">
        <f t="shared" ref="E12:L12" si="7">EOMONTH(D12,1)</f>
        <v>44742</v>
      </c>
      <c r="F12" s="19">
        <f t="shared" si="7"/>
        <v>44773</v>
      </c>
      <c r="G12" s="14">
        <f t="shared" si="7"/>
        <v>44804</v>
      </c>
      <c r="H12" s="19">
        <f t="shared" si="7"/>
        <v>44834</v>
      </c>
      <c r="I12" s="15">
        <f t="shared" si="7"/>
        <v>44865</v>
      </c>
      <c r="J12" s="19">
        <f t="shared" si="7"/>
        <v>44895</v>
      </c>
      <c r="K12" s="19">
        <f t="shared" si="7"/>
        <v>44926</v>
      </c>
      <c r="L12" s="15">
        <f t="shared" si="7"/>
        <v>44957</v>
      </c>
      <c r="Z12" s="1"/>
      <c r="AA12" s="1"/>
      <c r="AB12" s="1"/>
      <c r="AC12" s="1"/>
      <c r="AD12" s="1"/>
      <c r="AE12" s="1"/>
      <c r="AF12" s="1"/>
      <c r="AG12" s="1"/>
      <c r="AH12" s="1"/>
      <c r="AI12" s="1"/>
    </row>
    <row r="13" spans="1:35" x14ac:dyDescent="0.35">
      <c r="A13" s="46" t="s">
        <v>5</v>
      </c>
      <c r="C13" s="97">
        <v>0</v>
      </c>
      <c r="D13" s="109">
        <f>SUM(D23:D27)</f>
        <v>0</v>
      </c>
      <c r="E13" s="109">
        <f t="shared" ref="E13:H13" si="8">SUM(E23:E27)</f>
        <v>0</v>
      </c>
      <c r="F13" s="110">
        <f t="shared" si="8"/>
        <v>0</v>
      </c>
      <c r="G13" s="16">
        <f t="shared" si="8"/>
        <v>0</v>
      </c>
      <c r="H13" s="55">
        <f t="shared" si="8"/>
        <v>0</v>
      </c>
      <c r="I13" s="166">
        <f>+I23+I27</f>
        <v>0</v>
      </c>
      <c r="J13" s="159">
        <f t="shared" ref="J13:K13" si="9">+J23+J27</f>
        <v>0</v>
      </c>
      <c r="K13" s="78">
        <f t="shared" si="9"/>
        <v>0</v>
      </c>
      <c r="L13" s="79"/>
    </row>
    <row r="14" spans="1:35" x14ac:dyDescent="0.35">
      <c r="C14" s="99"/>
      <c r="D14" s="17"/>
      <c r="E14" s="17"/>
      <c r="F14" s="17"/>
      <c r="G14" s="10"/>
      <c r="H14" s="17"/>
      <c r="I14" s="11"/>
      <c r="J14" s="31"/>
      <c r="K14" s="31"/>
      <c r="L14" s="29"/>
    </row>
    <row r="15" spans="1:35" x14ac:dyDescent="0.35">
      <c r="A15" s="46" t="s">
        <v>90</v>
      </c>
      <c r="C15" s="99"/>
      <c r="D15" s="18"/>
      <c r="E15" s="18"/>
      <c r="F15" s="18"/>
      <c r="G15" s="91"/>
      <c r="H15" s="18"/>
      <c r="I15" s="167"/>
      <c r="J15" s="31"/>
      <c r="K15" s="31"/>
      <c r="L15" s="29"/>
      <c r="M15" s="3" t="s">
        <v>50</v>
      </c>
      <c r="N15" s="39"/>
    </row>
    <row r="16" spans="1:35" x14ac:dyDescent="0.35">
      <c r="A16" s="46" t="s">
        <v>24</v>
      </c>
      <c r="C16" s="97">
        <v>0</v>
      </c>
      <c r="D16" s="136">
        <f>ROUND(0,2)</f>
        <v>0</v>
      </c>
      <c r="E16" s="136">
        <f t="shared" ref="E16:I20" si="10">ROUND(0,2)</f>
        <v>0</v>
      </c>
      <c r="F16" s="188">
        <f t="shared" si="10"/>
        <v>0</v>
      </c>
      <c r="G16" s="16">
        <f t="shared" si="10"/>
        <v>0</v>
      </c>
      <c r="H16" s="121">
        <f t="shared" si="10"/>
        <v>0</v>
      </c>
      <c r="I16" s="168">
        <f t="shared" si="10"/>
        <v>0</v>
      </c>
      <c r="J16" s="123">
        <f>'PCR Cycle 2'!K27*$M16</f>
        <v>0</v>
      </c>
      <c r="K16" s="41">
        <f>'PCR Cycle 2'!L27*$M16</f>
        <v>0</v>
      </c>
      <c r="L16" s="61">
        <f>'PCR Cycle 2'!M27*$M16</f>
        <v>0</v>
      </c>
      <c r="M16" s="72">
        <v>0</v>
      </c>
      <c r="N16" s="4"/>
    </row>
    <row r="17" spans="1:14" x14ac:dyDescent="0.35">
      <c r="A17" s="46" t="s">
        <v>135</v>
      </c>
      <c r="C17" s="97">
        <v>0</v>
      </c>
      <c r="D17" s="136">
        <f t="shared" ref="D17:D20" si="11">ROUND(0,2)</f>
        <v>0</v>
      </c>
      <c r="E17" s="136">
        <f t="shared" si="10"/>
        <v>0</v>
      </c>
      <c r="F17" s="188">
        <f t="shared" si="10"/>
        <v>0</v>
      </c>
      <c r="G17" s="16">
        <f t="shared" si="10"/>
        <v>0</v>
      </c>
      <c r="H17" s="121">
        <f t="shared" si="10"/>
        <v>0</v>
      </c>
      <c r="I17" s="168">
        <f t="shared" si="10"/>
        <v>0</v>
      </c>
      <c r="J17" s="123">
        <f>'PCR Cycle 2'!K28*$M17</f>
        <v>0</v>
      </c>
      <c r="K17" s="41">
        <f>'PCR Cycle 2'!L28*$M17</f>
        <v>0</v>
      </c>
      <c r="L17" s="61">
        <f>'PCR Cycle 2'!M28*$M17</f>
        <v>0</v>
      </c>
      <c r="M17" s="72">
        <v>0</v>
      </c>
      <c r="N17" s="4"/>
    </row>
    <row r="18" spans="1:14" x14ac:dyDescent="0.35">
      <c r="A18" s="46" t="s">
        <v>136</v>
      </c>
      <c r="C18" s="97">
        <v>0</v>
      </c>
      <c r="D18" s="136">
        <f t="shared" si="11"/>
        <v>0</v>
      </c>
      <c r="E18" s="136">
        <f t="shared" si="10"/>
        <v>0</v>
      </c>
      <c r="F18" s="188">
        <f t="shared" si="10"/>
        <v>0</v>
      </c>
      <c r="G18" s="16">
        <f t="shared" si="10"/>
        <v>0</v>
      </c>
      <c r="H18" s="121">
        <f t="shared" si="10"/>
        <v>0</v>
      </c>
      <c r="I18" s="168">
        <f t="shared" si="10"/>
        <v>0</v>
      </c>
      <c r="J18" s="123">
        <f>'PCR Cycle 2'!K29*$M18</f>
        <v>0</v>
      </c>
      <c r="K18" s="41">
        <f>'PCR Cycle 2'!L29*$M18</f>
        <v>0</v>
      </c>
      <c r="L18" s="61">
        <f>'PCR Cycle 2'!M29*$M18</f>
        <v>0</v>
      </c>
      <c r="M18" s="72">
        <v>0</v>
      </c>
      <c r="N18" s="4"/>
    </row>
    <row r="19" spans="1:14" x14ac:dyDescent="0.35">
      <c r="A19" s="46" t="s">
        <v>137</v>
      </c>
      <c r="C19" s="97">
        <v>0</v>
      </c>
      <c r="D19" s="136">
        <f t="shared" si="11"/>
        <v>0</v>
      </c>
      <c r="E19" s="136">
        <f t="shared" si="10"/>
        <v>0</v>
      </c>
      <c r="F19" s="188">
        <f t="shared" si="10"/>
        <v>0</v>
      </c>
      <c r="G19" s="16">
        <f t="shared" si="10"/>
        <v>0</v>
      </c>
      <c r="H19" s="121">
        <f t="shared" si="10"/>
        <v>0</v>
      </c>
      <c r="I19" s="168">
        <f t="shared" si="10"/>
        <v>0</v>
      </c>
      <c r="J19" s="123">
        <f>'PCR Cycle 2'!K30*$M19</f>
        <v>0</v>
      </c>
      <c r="K19" s="41">
        <f>'PCR Cycle 2'!L30*$M19</f>
        <v>0</v>
      </c>
      <c r="L19" s="61">
        <f>'PCR Cycle 2'!M30*$M19</f>
        <v>0</v>
      </c>
      <c r="M19" s="72">
        <v>0</v>
      </c>
      <c r="N19" s="4"/>
    </row>
    <row r="20" spans="1:14" x14ac:dyDescent="0.35">
      <c r="A20" s="46" t="s">
        <v>138</v>
      </c>
      <c r="C20" s="97">
        <v>0</v>
      </c>
      <c r="D20" s="136">
        <f t="shared" si="11"/>
        <v>0</v>
      </c>
      <c r="E20" s="136">
        <f t="shared" si="10"/>
        <v>0</v>
      </c>
      <c r="F20" s="188">
        <f t="shared" si="10"/>
        <v>0</v>
      </c>
      <c r="G20" s="16">
        <f t="shared" si="10"/>
        <v>0</v>
      </c>
      <c r="H20" s="121">
        <f t="shared" si="10"/>
        <v>0</v>
      </c>
      <c r="I20" s="168">
        <f t="shared" si="10"/>
        <v>0</v>
      </c>
      <c r="J20" s="123">
        <f>SUM('PCR Cycle 2'!K28:K31)*$M20</f>
        <v>0</v>
      </c>
      <c r="K20" s="41">
        <f>SUM('PCR Cycle 2'!L28:L31)*$M20</f>
        <v>0</v>
      </c>
      <c r="L20" s="61">
        <f>SUM('PCR Cycle 2'!M28:M31)*$M20</f>
        <v>0</v>
      </c>
      <c r="M20" s="72">
        <v>0</v>
      </c>
      <c r="N20" s="4"/>
    </row>
    <row r="21" spans="1:14" x14ac:dyDescent="0.35">
      <c r="C21" s="67"/>
      <c r="D21" s="68"/>
      <c r="E21" s="68"/>
      <c r="F21" s="68"/>
      <c r="G21" s="98"/>
      <c r="H21" s="68"/>
      <c r="I21" s="169"/>
      <c r="J21" s="56"/>
      <c r="K21" s="56"/>
      <c r="L21" s="13"/>
      <c r="N21" s="4"/>
    </row>
    <row r="22" spans="1:14" x14ac:dyDescent="0.35">
      <c r="A22" s="46" t="s">
        <v>92</v>
      </c>
      <c r="C22" s="36"/>
      <c r="D22" s="37"/>
      <c r="E22" s="37"/>
      <c r="F22" s="37"/>
      <c r="G22" s="36"/>
      <c r="H22" s="37"/>
      <c r="I22" s="172"/>
      <c r="J22" s="52"/>
      <c r="K22" s="52"/>
      <c r="L22" s="38"/>
    </row>
    <row r="23" spans="1:14" x14ac:dyDescent="0.35">
      <c r="A23" s="46" t="s">
        <v>24</v>
      </c>
      <c r="C23" s="97">
        <v>0</v>
      </c>
      <c r="D23" s="109">
        <v>0</v>
      </c>
      <c r="E23" s="109">
        <v>0</v>
      </c>
      <c r="F23" s="110">
        <v>0</v>
      </c>
      <c r="G23" s="16">
        <v>0</v>
      </c>
      <c r="H23" s="55">
        <v>0</v>
      </c>
      <c r="I23" s="166">
        <v>0</v>
      </c>
      <c r="J23" s="161">
        <v>0</v>
      </c>
      <c r="K23" s="143">
        <v>0</v>
      </c>
      <c r="L23" s="79"/>
    </row>
    <row r="24" spans="1:14" x14ac:dyDescent="0.35">
      <c r="A24" s="46" t="s">
        <v>135</v>
      </c>
      <c r="C24" s="97">
        <v>0</v>
      </c>
      <c r="D24" s="109">
        <v>0</v>
      </c>
      <c r="E24" s="109">
        <v>0</v>
      </c>
      <c r="F24" s="110">
        <v>0</v>
      </c>
      <c r="G24" s="16">
        <v>0</v>
      </c>
      <c r="H24" s="55">
        <v>0</v>
      </c>
      <c r="I24" s="166">
        <v>0</v>
      </c>
      <c r="J24" s="161">
        <v>0</v>
      </c>
      <c r="K24" s="143">
        <v>0</v>
      </c>
      <c r="L24" s="79"/>
    </row>
    <row r="25" spans="1:14" x14ac:dyDescent="0.35">
      <c r="A25" s="46" t="s">
        <v>136</v>
      </c>
      <c r="C25" s="97">
        <v>0</v>
      </c>
      <c r="D25" s="109">
        <v>0</v>
      </c>
      <c r="E25" s="109">
        <v>0</v>
      </c>
      <c r="F25" s="110">
        <v>0</v>
      </c>
      <c r="G25" s="16">
        <v>0</v>
      </c>
      <c r="H25" s="55">
        <v>0</v>
      </c>
      <c r="I25" s="166">
        <v>0</v>
      </c>
      <c r="J25" s="161">
        <v>0</v>
      </c>
      <c r="K25" s="143">
        <v>0</v>
      </c>
      <c r="L25" s="79"/>
    </row>
    <row r="26" spans="1:14" x14ac:dyDescent="0.35">
      <c r="A26" s="46" t="s">
        <v>137</v>
      </c>
      <c r="C26" s="97">
        <v>0</v>
      </c>
      <c r="D26" s="109">
        <v>0</v>
      </c>
      <c r="E26" s="109">
        <v>0</v>
      </c>
      <c r="F26" s="110">
        <v>0</v>
      </c>
      <c r="G26" s="16">
        <v>0</v>
      </c>
      <c r="H26" s="55">
        <v>0</v>
      </c>
      <c r="I26" s="166">
        <v>0</v>
      </c>
      <c r="J26" s="161">
        <v>0</v>
      </c>
      <c r="K26" s="143">
        <v>0</v>
      </c>
      <c r="L26" s="79"/>
    </row>
    <row r="27" spans="1:14" x14ac:dyDescent="0.35">
      <c r="A27" s="46" t="s">
        <v>138</v>
      </c>
      <c r="C27" s="97">
        <v>0</v>
      </c>
      <c r="D27" s="109">
        <v>0</v>
      </c>
      <c r="E27" s="109">
        <v>0</v>
      </c>
      <c r="F27" s="110">
        <v>0</v>
      </c>
      <c r="G27" s="16">
        <v>0</v>
      </c>
      <c r="H27" s="55">
        <v>0</v>
      </c>
      <c r="I27" s="166">
        <v>0</v>
      </c>
      <c r="J27" s="161">
        <v>0</v>
      </c>
      <c r="K27" s="143">
        <v>0</v>
      </c>
      <c r="L27" s="79"/>
      <c r="N27" s="47"/>
    </row>
    <row r="28" spans="1:14" x14ac:dyDescent="0.35">
      <c r="C28" s="99"/>
      <c r="D28" s="18"/>
      <c r="E28" s="18"/>
      <c r="F28" s="18"/>
      <c r="G28" s="91"/>
      <c r="H28" s="18"/>
      <c r="I28" s="167"/>
      <c r="J28" s="56"/>
      <c r="K28" s="56"/>
      <c r="L28" s="13"/>
    </row>
    <row r="29" spans="1:14" ht="15" thickBot="1" x14ac:dyDescent="0.4">
      <c r="A29" s="3" t="s">
        <v>14</v>
      </c>
      <c r="B29" s="3"/>
      <c r="C29" s="103">
        <v>0</v>
      </c>
      <c r="D29" s="136">
        <v>-784.50999999999988</v>
      </c>
      <c r="E29" s="136">
        <v>-992.79</v>
      </c>
      <c r="F29" s="137">
        <v>-1258.42</v>
      </c>
      <c r="G29" s="26">
        <v>-1395.9999999999998</v>
      </c>
      <c r="H29" s="122">
        <v>-1601.8</v>
      </c>
      <c r="I29" s="173">
        <v>-1833.53</v>
      </c>
      <c r="J29" s="162">
        <v>-1840.3400000000001</v>
      </c>
      <c r="K29" s="145">
        <v>-1847.2</v>
      </c>
      <c r="L29" s="82"/>
    </row>
    <row r="30" spans="1:14" x14ac:dyDescent="0.35">
      <c r="C30" s="64"/>
      <c r="D30" s="149"/>
      <c r="E30" s="149"/>
      <c r="F30" s="150"/>
      <c r="G30" s="64"/>
      <c r="H30" s="33"/>
      <c r="I30" s="174"/>
      <c r="J30" s="34"/>
      <c r="K30" s="34"/>
      <c r="L30" s="60"/>
    </row>
    <row r="31" spans="1:14" x14ac:dyDescent="0.35">
      <c r="A31" s="46" t="s">
        <v>52</v>
      </c>
      <c r="C31" s="65"/>
      <c r="D31" s="150"/>
      <c r="E31" s="150"/>
      <c r="F31" s="150"/>
      <c r="G31" s="65"/>
      <c r="H31" s="35"/>
      <c r="I31" s="175"/>
      <c r="J31" s="34"/>
      <c r="K31" s="34"/>
      <c r="L31" s="60"/>
    </row>
    <row r="32" spans="1:14" x14ac:dyDescent="0.35">
      <c r="A32" s="46" t="s">
        <v>24</v>
      </c>
      <c r="C32" s="100">
        <f t="shared" ref="C32:L32" si="12">C23-C16</f>
        <v>0</v>
      </c>
      <c r="D32" s="41">
        <f t="shared" si="12"/>
        <v>0</v>
      </c>
      <c r="E32" s="41">
        <f t="shared" si="12"/>
        <v>0</v>
      </c>
      <c r="F32" s="108">
        <f t="shared" si="12"/>
        <v>0</v>
      </c>
      <c r="G32" s="40">
        <f t="shared" si="12"/>
        <v>0</v>
      </c>
      <c r="H32" s="41">
        <f t="shared" si="12"/>
        <v>0</v>
      </c>
      <c r="I32" s="61">
        <f t="shared" si="12"/>
        <v>0</v>
      </c>
      <c r="J32" s="123">
        <f t="shared" si="12"/>
        <v>0</v>
      </c>
      <c r="K32" s="41">
        <f t="shared" si="12"/>
        <v>0</v>
      </c>
      <c r="L32" s="61">
        <f t="shared" si="12"/>
        <v>0</v>
      </c>
    </row>
    <row r="33" spans="1:12" x14ac:dyDescent="0.35">
      <c r="A33" s="46" t="s">
        <v>135</v>
      </c>
      <c r="C33" s="100">
        <f t="shared" ref="C33:L33" si="13">C24-C17</f>
        <v>0</v>
      </c>
      <c r="D33" s="41">
        <f t="shared" si="13"/>
        <v>0</v>
      </c>
      <c r="E33" s="41">
        <f t="shared" si="13"/>
        <v>0</v>
      </c>
      <c r="F33" s="108">
        <f t="shared" si="13"/>
        <v>0</v>
      </c>
      <c r="G33" s="40">
        <f t="shared" si="13"/>
        <v>0</v>
      </c>
      <c r="H33" s="41">
        <f t="shared" si="13"/>
        <v>0</v>
      </c>
      <c r="I33" s="61">
        <f t="shared" si="13"/>
        <v>0</v>
      </c>
      <c r="J33" s="123">
        <f t="shared" si="13"/>
        <v>0</v>
      </c>
      <c r="K33" s="41">
        <f t="shared" si="13"/>
        <v>0</v>
      </c>
      <c r="L33" s="61">
        <f t="shared" si="13"/>
        <v>0</v>
      </c>
    </row>
    <row r="34" spans="1:12" x14ac:dyDescent="0.35">
      <c r="A34" s="46" t="s">
        <v>136</v>
      </c>
      <c r="C34" s="100">
        <f t="shared" ref="C34:L34" si="14">C25-C18</f>
        <v>0</v>
      </c>
      <c r="D34" s="41">
        <f t="shared" si="14"/>
        <v>0</v>
      </c>
      <c r="E34" s="41">
        <f t="shared" si="14"/>
        <v>0</v>
      </c>
      <c r="F34" s="108">
        <f t="shared" si="14"/>
        <v>0</v>
      </c>
      <c r="G34" s="40">
        <f t="shared" si="14"/>
        <v>0</v>
      </c>
      <c r="H34" s="41">
        <f t="shared" si="14"/>
        <v>0</v>
      </c>
      <c r="I34" s="61">
        <f t="shared" si="14"/>
        <v>0</v>
      </c>
      <c r="J34" s="123">
        <f t="shared" si="14"/>
        <v>0</v>
      </c>
      <c r="K34" s="41">
        <f t="shared" si="14"/>
        <v>0</v>
      </c>
      <c r="L34" s="61">
        <f t="shared" si="14"/>
        <v>0</v>
      </c>
    </row>
    <row r="35" spans="1:12" x14ac:dyDescent="0.35">
      <c r="A35" s="46" t="s">
        <v>137</v>
      </c>
      <c r="C35" s="100">
        <f t="shared" ref="C35:L35" si="15">C26-C19</f>
        <v>0</v>
      </c>
      <c r="D35" s="41">
        <f t="shared" si="15"/>
        <v>0</v>
      </c>
      <c r="E35" s="41">
        <f t="shared" si="15"/>
        <v>0</v>
      </c>
      <c r="F35" s="108">
        <f t="shared" si="15"/>
        <v>0</v>
      </c>
      <c r="G35" s="40">
        <f t="shared" si="15"/>
        <v>0</v>
      </c>
      <c r="H35" s="41">
        <f t="shared" si="15"/>
        <v>0</v>
      </c>
      <c r="I35" s="61">
        <f t="shared" si="15"/>
        <v>0</v>
      </c>
      <c r="J35" s="123">
        <f t="shared" si="15"/>
        <v>0</v>
      </c>
      <c r="K35" s="41">
        <f t="shared" si="15"/>
        <v>0</v>
      </c>
      <c r="L35" s="61">
        <f t="shared" si="15"/>
        <v>0</v>
      </c>
    </row>
    <row r="36" spans="1:12" x14ac:dyDescent="0.35">
      <c r="A36" s="46" t="s">
        <v>138</v>
      </c>
      <c r="C36" s="100">
        <f t="shared" ref="C36:L36" si="16">C27-C20</f>
        <v>0</v>
      </c>
      <c r="D36" s="41">
        <f t="shared" si="16"/>
        <v>0</v>
      </c>
      <c r="E36" s="41">
        <f t="shared" si="16"/>
        <v>0</v>
      </c>
      <c r="F36" s="108">
        <f t="shared" si="16"/>
        <v>0</v>
      </c>
      <c r="G36" s="40">
        <f t="shared" si="16"/>
        <v>0</v>
      </c>
      <c r="H36" s="41">
        <f t="shared" si="16"/>
        <v>0</v>
      </c>
      <c r="I36" s="61">
        <f t="shared" si="16"/>
        <v>0</v>
      </c>
      <c r="J36" s="123">
        <f t="shared" si="16"/>
        <v>0</v>
      </c>
      <c r="K36" s="41">
        <f t="shared" si="16"/>
        <v>0</v>
      </c>
      <c r="L36" s="61">
        <f t="shared" si="16"/>
        <v>0</v>
      </c>
    </row>
    <row r="37" spans="1:12" x14ac:dyDescent="0.35">
      <c r="C37" s="99"/>
      <c r="D37" s="17"/>
      <c r="E37" s="17"/>
      <c r="F37" s="17"/>
      <c r="G37" s="10"/>
      <c r="H37" s="17"/>
      <c r="I37" s="11"/>
      <c r="J37" s="17"/>
      <c r="K37" s="17"/>
      <c r="L37" s="11"/>
    </row>
    <row r="38" spans="1:12" ht="15" thickBot="1" x14ac:dyDescent="0.4">
      <c r="A38" s="46" t="s">
        <v>53</v>
      </c>
      <c r="C38" s="99"/>
      <c r="D38" s="17"/>
      <c r="E38" s="17"/>
      <c r="F38" s="17"/>
      <c r="G38" s="10"/>
      <c r="H38" s="17"/>
      <c r="I38" s="11"/>
      <c r="J38" s="17"/>
      <c r="K38" s="17"/>
      <c r="L38" s="11"/>
    </row>
    <row r="39" spans="1:12" x14ac:dyDescent="0.35">
      <c r="A39" s="46" t="s">
        <v>24</v>
      </c>
      <c r="B39" s="116">
        <f>+'OA Cycle 3'!E9</f>
        <v>-479365.64999999997</v>
      </c>
      <c r="C39" s="100">
        <f t="shared" ref="C39:L39" si="17">B39+C32+B47</f>
        <v>-479365.64999999997</v>
      </c>
      <c r="D39" s="41">
        <f t="shared" si="17"/>
        <v>-479365.64999999997</v>
      </c>
      <c r="E39" s="41">
        <f t="shared" si="17"/>
        <v>-480137.94999999995</v>
      </c>
      <c r="F39" s="108">
        <f t="shared" si="17"/>
        <v>-481115.27999999997</v>
      </c>
      <c r="G39" s="40">
        <f t="shared" si="17"/>
        <v>-482354.1</v>
      </c>
      <c r="H39" s="41">
        <f t="shared" si="17"/>
        <v>-483728.36</v>
      </c>
      <c r="I39" s="61">
        <f t="shared" si="17"/>
        <v>-485305.22</v>
      </c>
      <c r="J39" s="123">
        <f t="shared" si="17"/>
        <v>-487110.18999999994</v>
      </c>
      <c r="K39" s="41">
        <f t="shared" si="17"/>
        <v>-488921.86999999994</v>
      </c>
      <c r="L39" s="61">
        <f t="shared" si="17"/>
        <v>-490740.28999999992</v>
      </c>
    </row>
    <row r="40" spans="1:12" x14ac:dyDescent="0.35">
      <c r="A40" s="46" t="s">
        <v>135</v>
      </c>
      <c r="B40" s="294">
        <f>+'OA Cycle 3'!B14</f>
        <v>-1029.69</v>
      </c>
      <c r="C40" s="100">
        <f t="shared" ref="C40:L40" si="18">B40+C33+B48</f>
        <v>-1029.69</v>
      </c>
      <c r="D40" s="41">
        <f t="shared" si="18"/>
        <v>-1029.69</v>
      </c>
      <c r="E40" s="41">
        <f t="shared" si="18"/>
        <v>-1031.3500000000001</v>
      </c>
      <c r="F40" s="108">
        <f t="shared" si="18"/>
        <v>-1033.45</v>
      </c>
      <c r="G40" s="40">
        <f t="shared" si="18"/>
        <v>-1036.1100000000001</v>
      </c>
      <c r="H40" s="41">
        <f t="shared" si="18"/>
        <v>-1039.0600000000002</v>
      </c>
      <c r="I40" s="61">
        <f t="shared" si="18"/>
        <v>-1042.4500000000003</v>
      </c>
      <c r="J40" s="123">
        <f t="shared" si="18"/>
        <v>-1046.3300000000004</v>
      </c>
      <c r="K40" s="41">
        <f t="shared" si="18"/>
        <v>-1050.2200000000005</v>
      </c>
      <c r="L40" s="61">
        <f t="shared" si="18"/>
        <v>-1054.1300000000006</v>
      </c>
    </row>
    <row r="41" spans="1:12" x14ac:dyDescent="0.35">
      <c r="A41" s="46" t="s">
        <v>136</v>
      </c>
      <c r="B41" s="294">
        <f>+'OA Cycle 3'!B15</f>
        <v>-2700.92</v>
      </c>
      <c r="C41" s="100">
        <f t="shared" ref="C41:L41" si="19">B41+C34+B49</f>
        <v>-2700.92</v>
      </c>
      <c r="D41" s="41">
        <f t="shared" si="19"/>
        <v>-2700.92</v>
      </c>
      <c r="E41" s="41">
        <f t="shared" si="19"/>
        <v>-2705.27</v>
      </c>
      <c r="F41" s="108">
        <f t="shared" si="19"/>
        <v>-2710.78</v>
      </c>
      <c r="G41" s="40">
        <f t="shared" si="19"/>
        <v>-2717.76</v>
      </c>
      <c r="H41" s="41">
        <f t="shared" si="19"/>
        <v>-2725.5</v>
      </c>
      <c r="I41" s="61">
        <f t="shared" si="19"/>
        <v>-2734.38</v>
      </c>
      <c r="J41" s="123">
        <f t="shared" si="19"/>
        <v>-2744.55</v>
      </c>
      <c r="K41" s="41">
        <f t="shared" si="19"/>
        <v>-2754.76</v>
      </c>
      <c r="L41" s="61">
        <f t="shared" si="19"/>
        <v>-2765.01</v>
      </c>
    </row>
    <row r="42" spans="1:12" x14ac:dyDescent="0.35">
      <c r="A42" s="46" t="s">
        <v>137</v>
      </c>
      <c r="B42" s="294">
        <f>+'OA Cycle 3'!B16</f>
        <v>-3172.69</v>
      </c>
      <c r="C42" s="100">
        <f t="shared" ref="C42:L42" si="20">B42+C35+B50</f>
        <v>-3172.69</v>
      </c>
      <c r="D42" s="41">
        <f t="shared" si="20"/>
        <v>-3172.69</v>
      </c>
      <c r="E42" s="41">
        <f t="shared" si="20"/>
        <v>-3177.8</v>
      </c>
      <c r="F42" s="108">
        <f t="shared" si="20"/>
        <v>-3184.27</v>
      </c>
      <c r="G42" s="40">
        <f t="shared" si="20"/>
        <v>-3192.47</v>
      </c>
      <c r="H42" s="41">
        <f t="shared" si="20"/>
        <v>-3201.5699999999997</v>
      </c>
      <c r="I42" s="61">
        <f t="shared" si="20"/>
        <v>-3212.0099999999998</v>
      </c>
      <c r="J42" s="123">
        <f t="shared" si="20"/>
        <v>-3223.9599999999996</v>
      </c>
      <c r="K42" s="41">
        <f t="shared" si="20"/>
        <v>-3235.9499999999994</v>
      </c>
      <c r="L42" s="61">
        <f t="shared" si="20"/>
        <v>-3247.9899999999993</v>
      </c>
    </row>
    <row r="43" spans="1:12" ht="15" thickBot="1" x14ac:dyDescent="0.4">
      <c r="A43" s="46" t="s">
        <v>138</v>
      </c>
      <c r="B43" s="117">
        <f>+'OA Cycle 3'!B17</f>
        <v>-681.09</v>
      </c>
      <c r="C43" s="100">
        <f>B43+C36+B51</f>
        <v>-681.09</v>
      </c>
      <c r="D43" s="41">
        <f t="shared" ref="D43:L43" si="21">C43+D36+C51</f>
        <v>-681.09</v>
      </c>
      <c r="E43" s="41">
        <f t="shared" si="21"/>
        <v>-682.19</v>
      </c>
      <c r="F43" s="108">
        <f t="shared" si="21"/>
        <v>-683.58</v>
      </c>
      <c r="G43" s="40">
        <f t="shared" si="21"/>
        <v>-685.34</v>
      </c>
      <c r="H43" s="41">
        <f t="shared" si="21"/>
        <v>-687.29000000000008</v>
      </c>
      <c r="I43" s="61">
        <f t="shared" si="21"/>
        <v>-689.53000000000009</v>
      </c>
      <c r="J43" s="123">
        <f t="shared" si="21"/>
        <v>-692.09</v>
      </c>
      <c r="K43" s="41">
        <f t="shared" si="21"/>
        <v>-694.66000000000008</v>
      </c>
      <c r="L43" s="61">
        <f t="shared" si="21"/>
        <v>-697.24000000000012</v>
      </c>
    </row>
    <row r="44" spans="1:12" x14ac:dyDescent="0.35">
      <c r="C44" s="99"/>
      <c r="D44" s="17"/>
      <c r="E44" s="17"/>
      <c r="F44" s="17"/>
      <c r="G44" s="10"/>
      <c r="H44" s="17"/>
      <c r="I44" s="11"/>
      <c r="J44" s="17"/>
      <c r="K44" s="17"/>
      <c r="L44" s="11"/>
    </row>
    <row r="45" spans="1:12" x14ac:dyDescent="0.35">
      <c r="A45" s="39" t="s">
        <v>88</v>
      </c>
      <c r="B45" s="39"/>
      <c r="C45" s="104"/>
      <c r="D45" s="83">
        <f>+'PCR Cycle 2'!E50</f>
        <v>1.61108E-3</v>
      </c>
      <c r="E45" s="83">
        <f>+'PCR Cycle 2'!F50</f>
        <v>2.0355199999999999E-3</v>
      </c>
      <c r="F45" s="83">
        <f>+'PCR Cycle 2'!G50</f>
        <v>2.5749000000000002E-3</v>
      </c>
      <c r="G45" s="84">
        <f>+'PCR Cycle 2'!H50</f>
        <v>2.84906E-3</v>
      </c>
      <c r="H45" s="83">
        <f>+'PCR Cycle 2'!I50</f>
        <v>3.2598100000000001E-3</v>
      </c>
      <c r="I45" s="92">
        <f>+'PCR Cycle 2'!J50</f>
        <v>3.7192499999999999E-3</v>
      </c>
      <c r="J45" s="83">
        <f>+'PCR Cycle 2'!K50</f>
        <v>3.7192499999999999E-3</v>
      </c>
      <c r="K45" s="83">
        <f>+'PCR Cycle 2'!L50</f>
        <v>3.7192499999999999E-3</v>
      </c>
      <c r="L45" s="85"/>
    </row>
    <row r="46" spans="1:12" x14ac:dyDescent="0.35">
      <c r="A46" s="39" t="s">
        <v>37</v>
      </c>
      <c r="B46" s="39"/>
      <c r="C46" s="106"/>
      <c r="D46" s="83"/>
      <c r="E46" s="83"/>
      <c r="F46" s="83"/>
      <c r="G46" s="84"/>
      <c r="H46" s="83"/>
      <c r="I46" s="85"/>
      <c r="J46" s="83"/>
      <c r="K46" s="83"/>
      <c r="L46" s="85"/>
    </row>
    <row r="47" spans="1:12" x14ac:dyDescent="0.35">
      <c r="A47" s="46" t="s">
        <v>24</v>
      </c>
      <c r="C47" s="100">
        <v>0</v>
      </c>
      <c r="D47" s="41">
        <f t="shared" ref="D47:L47" si="22">ROUND((C39+C47+D32/2)*D$45,2)</f>
        <v>-772.3</v>
      </c>
      <c r="E47" s="41">
        <f t="shared" si="22"/>
        <v>-977.33</v>
      </c>
      <c r="F47" s="108">
        <f t="shared" si="22"/>
        <v>-1238.82</v>
      </c>
      <c r="G47" s="40">
        <f t="shared" si="22"/>
        <v>-1374.26</v>
      </c>
      <c r="H47" s="123">
        <f t="shared" si="22"/>
        <v>-1576.86</v>
      </c>
      <c r="I47" s="49">
        <f t="shared" si="22"/>
        <v>-1804.97</v>
      </c>
      <c r="J47" s="163">
        <f t="shared" si="22"/>
        <v>-1811.68</v>
      </c>
      <c r="K47" s="108">
        <f t="shared" si="22"/>
        <v>-1818.42</v>
      </c>
      <c r="L47" s="61">
        <f t="shared" si="22"/>
        <v>0</v>
      </c>
    </row>
    <row r="48" spans="1:12" x14ac:dyDescent="0.35">
      <c r="A48" s="46" t="s">
        <v>135</v>
      </c>
      <c r="C48" s="100">
        <v>0</v>
      </c>
      <c r="D48" s="41">
        <f t="shared" ref="D48:L48" si="23">ROUND((C40+C48+D33/2)*D$45,2)</f>
        <v>-1.66</v>
      </c>
      <c r="E48" s="41">
        <f t="shared" si="23"/>
        <v>-2.1</v>
      </c>
      <c r="F48" s="108">
        <f t="shared" si="23"/>
        <v>-2.66</v>
      </c>
      <c r="G48" s="40">
        <f t="shared" si="23"/>
        <v>-2.95</v>
      </c>
      <c r="H48" s="123">
        <f t="shared" si="23"/>
        <v>-3.39</v>
      </c>
      <c r="I48" s="49">
        <f t="shared" si="23"/>
        <v>-3.88</v>
      </c>
      <c r="J48" s="163">
        <f t="shared" si="23"/>
        <v>-3.89</v>
      </c>
      <c r="K48" s="108">
        <f t="shared" si="23"/>
        <v>-3.91</v>
      </c>
      <c r="L48" s="61">
        <f t="shared" si="23"/>
        <v>0</v>
      </c>
    </row>
    <row r="49" spans="1:12" x14ac:dyDescent="0.35">
      <c r="A49" s="46" t="s">
        <v>136</v>
      </c>
      <c r="C49" s="100">
        <v>0</v>
      </c>
      <c r="D49" s="41">
        <f t="shared" ref="D49:L49" si="24">ROUND((C41+C49+D34/2)*D$45,2)</f>
        <v>-4.3499999999999996</v>
      </c>
      <c r="E49" s="41">
        <f t="shared" si="24"/>
        <v>-5.51</v>
      </c>
      <c r="F49" s="108">
        <f t="shared" si="24"/>
        <v>-6.98</v>
      </c>
      <c r="G49" s="40">
        <f t="shared" si="24"/>
        <v>-7.74</v>
      </c>
      <c r="H49" s="123">
        <f t="shared" si="24"/>
        <v>-8.8800000000000008</v>
      </c>
      <c r="I49" s="49">
        <f t="shared" si="24"/>
        <v>-10.17</v>
      </c>
      <c r="J49" s="163">
        <f t="shared" si="24"/>
        <v>-10.210000000000001</v>
      </c>
      <c r="K49" s="108">
        <f t="shared" si="24"/>
        <v>-10.25</v>
      </c>
      <c r="L49" s="61">
        <f t="shared" si="24"/>
        <v>0</v>
      </c>
    </row>
    <row r="50" spans="1:12" x14ac:dyDescent="0.35">
      <c r="A50" s="46" t="s">
        <v>137</v>
      </c>
      <c r="C50" s="100">
        <v>0</v>
      </c>
      <c r="D50" s="41">
        <f t="shared" ref="D50:L50" si="25">ROUND((C42+C50+D35/2)*D$45,2)</f>
        <v>-5.1100000000000003</v>
      </c>
      <c r="E50" s="41">
        <f t="shared" si="25"/>
        <v>-6.47</v>
      </c>
      <c r="F50" s="108">
        <f t="shared" si="25"/>
        <v>-8.1999999999999993</v>
      </c>
      <c r="G50" s="40">
        <f t="shared" si="25"/>
        <v>-9.1</v>
      </c>
      <c r="H50" s="123">
        <f t="shared" si="25"/>
        <v>-10.44</v>
      </c>
      <c r="I50" s="49">
        <f t="shared" si="25"/>
        <v>-11.95</v>
      </c>
      <c r="J50" s="163">
        <f t="shared" si="25"/>
        <v>-11.99</v>
      </c>
      <c r="K50" s="108">
        <f t="shared" si="25"/>
        <v>-12.04</v>
      </c>
      <c r="L50" s="61">
        <f t="shared" si="25"/>
        <v>0</v>
      </c>
    </row>
    <row r="51" spans="1:12" ht="15" thickBot="1" x14ac:dyDescent="0.4">
      <c r="A51" s="46" t="s">
        <v>138</v>
      </c>
      <c r="C51" s="100">
        <v>0</v>
      </c>
      <c r="D51" s="41">
        <f t="shared" ref="D51:L51" si="26">ROUND((C43+C51+D36/2)*D$45,2)</f>
        <v>-1.1000000000000001</v>
      </c>
      <c r="E51" s="41">
        <f t="shared" si="26"/>
        <v>-1.39</v>
      </c>
      <c r="F51" s="108">
        <f t="shared" si="26"/>
        <v>-1.76</v>
      </c>
      <c r="G51" s="40">
        <f t="shared" si="26"/>
        <v>-1.95</v>
      </c>
      <c r="H51" s="123">
        <f t="shared" si="26"/>
        <v>-2.2400000000000002</v>
      </c>
      <c r="I51" s="49">
        <f t="shared" si="26"/>
        <v>-2.56</v>
      </c>
      <c r="J51" s="163">
        <f t="shared" si="26"/>
        <v>-2.57</v>
      </c>
      <c r="K51" s="108">
        <f t="shared" si="26"/>
        <v>-2.58</v>
      </c>
      <c r="L51" s="61">
        <f t="shared" si="26"/>
        <v>0</v>
      </c>
    </row>
    <row r="52" spans="1:12" ht="15.5" thickTop="1" thickBot="1" x14ac:dyDescent="0.4">
      <c r="A52" s="54" t="s">
        <v>22</v>
      </c>
      <c r="B52" s="54"/>
      <c r="C52" s="107">
        <v>0</v>
      </c>
      <c r="D52" s="42">
        <f t="shared" ref="D52:I52" si="27">SUM(D47:D51)+SUM(D39:D43)-D55</f>
        <v>0</v>
      </c>
      <c r="E52" s="42">
        <f t="shared" si="27"/>
        <v>0</v>
      </c>
      <c r="F52" s="50">
        <f t="shared" ref="F52:H52" si="28">SUM(F47:F51)+SUM(F39:F43)-F55</f>
        <v>0</v>
      </c>
      <c r="G52" s="147">
        <f t="shared" si="28"/>
        <v>0</v>
      </c>
      <c r="H52" s="50">
        <f t="shared" si="28"/>
        <v>0</v>
      </c>
      <c r="I52" s="62">
        <f t="shared" si="27"/>
        <v>0</v>
      </c>
      <c r="J52" s="164">
        <f t="shared" ref="J52:L52" si="29">SUM(J47:J51)+SUM(J39:J43)-J55</f>
        <v>0</v>
      </c>
      <c r="K52" s="50">
        <f t="shared" si="29"/>
        <v>0</v>
      </c>
      <c r="L52" s="62">
        <f t="shared" si="29"/>
        <v>0</v>
      </c>
    </row>
    <row r="53" spans="1:12" ht="15.5" thickTop="1" thickBot="1" x14ac:dyDescent="0.4">
      <c r="A53" s="54" t="s">
        <v>23</v>
      </c>
      <c r="B53" s="54"/>
      <c r="C53" s="107">
        <v>0</v>
      </c>
      <c r="D53" s="42">
        <f t="shared" ref="D53:I53" si="30">SUM(D47:D51)-D29</f>
        <v>-1.0000000000104592E-2</v>
      </c>
      <c r="E53" s="42">
        <f t="shared" si="30"/>
        <v>-1.0000000000104592E-2</v>
      </c>
      <c r="F53" s="50">
        <f t="shared" ref="F53:H53" si="31">SUM(F47:F51)-F29</f>
        <v>0</v>
      </c>
      <c r="G53" s="147">
        <f t="shared" si="31"/>
        <v>0</v>
      </c>
      <c r="H53" s="50">
        <f t="shared" si="31"/>
        <v>-1.0000000000218279E-2</v>
      </c>
      <c r="I53" s="62">
        <f t="shared" si="30"/>
        <v>0</v>
      </c>
      <c r="J53" s="165">
        <f t="shared" ref="J53:L53" si="32">SUM(J47:J51)-J29</f>
        <v>0</v>
      </c>
      <c r="K53" s="42">
        <f t="shared" si="32"/>
        <v>0</v>
      </c>
      <c r="L53" s="42">
        <f t="shared" si="32"/>
        <v>0</v>
      </c>
    </row>
    <row r="54" spans="1:12" ht="15.5" thickTop="1" thickBot="1" x14ac:dyDescent="0.4">
      <c r="C54" s="99"/>
      <c r="D54" s="17"/>
      <c r="E54" s="17"/>
      <c r="F54" s="17"/>
      <c r="G54" s="10"/>
      <c r="H54" s="17"/>
      <c r="I54" s="11"/>
      <c r="J54" s="17"/>
      <c r="K54" s="17"/>
      <c r="L54" s="11"/>
    </row>
    <row r="55" spans="1:12" ht="15" thickBot="1" x14ac:dyDescent="0.4">
      <c r="A55" s="46" t="s">
        <v>36</v>
      </c>
      <c r="B55" s="119">
        <f>SUM(B39:B43)</f>
        <v>-486950.04</v>
      </c>
      <c r="C55" s="100">
        <f t="shared" ref="C55:L55" si="33">(C13-SUM(C16:C20))+SUM(C47:C51)+B55</f>
        <v>-486950.04</v>
      </c>
      <c r="D55" s="41">
        <f t="shared" si="33"/>
        <v>-487734.56</v>
      </c>
      <c r="E55" s="41">
        <f t="shared" si="33"/>
        <v>-488727.36</v>
      </c>
      <c r="F55" s="108">
        <f t="shared" si="33"/>
        <v>-489985.77999999997</v>
      </c>
      <c r="G55" s="40">
        <f t="shared" si="33"/>
        <v>-491381.77999999997</v>
      </c>
      <c r="H55" s="41">
        <f t="shared" si="33"/>
        <v>-492983.58999999997</v>
      </c>
      <c r="I55" s="61">
        <f t="shared" si="33"/>
        <v>-494817.12</v>
      </c>
      <c r="J55" s="163">
        <f t="shared" si="33"/>
        <v>-496657.46</v>
      </c>
      <c r="K55" s="108">
        <f t="shared" si="33"/>
        <v>-498504.66000000003</v>
      </c>
      <c r="L55" s="61">
        <f t="shared" si="33"/>
        <v>-498504.66000000003</v>
      </c>
    </row>
    <row r="56" spans="1:12" x14ac:dyDescent="0.35">
      <c r="A56" s="46" t="s">
        <v>12</v>
      </c>
      <c r="C56" s="120"/>
      <c r="D56" s="17"/>
      <c r="E56" s="17"/>
      <c r="F56" s="17"/>
      <c r="G56" s="10"/>
      <c r="H56" s="17"/>
      <c r="I56" s="11"/>
      <c r="J56" s="17"/>
      <c r="K56" s="17"/>
      <c r="L56" s="11"/>
    </row>
    <row r="57" spans="1:12" ht="15" thickBot="1" x14ac:dyDescent="0.4">
      <c r="A57" s="37"/>
      <c r="B57" s="37"/>
      <c r="C57" s="148"/>
      <c r="D57" s="44"/>
      <c r="E57" s="44"/>
      <c r="F57" s="44"/>
      <c r="G57" s="43"/>
      <c r="H57" s="44"/>
      <c r="I57" s="45"/>
      <c r="J57" s="44"/>
      <c r="K57" s="44"/>
      <c r="L57" s="45"/>
    </row>
    <row r="59" spans="1:12" x14ac:dyDescent="0.35">
      <c r="A59" s="69" t="s">
        <v>11</v>
      </c>
      <c r="B59" s="69"/>
      <c r="C59" s="69"/>
    </row>
    <row r="60" spans="1:12" x14ac:dyDescent="0.35">
      <c r="A60" s="319" t="s">
        <v>193</v>
      </c>
      <c r="B60" s="319"/>
      <c r="C60" s="319"/>
      <c r="D60" s="319"/>
      <c r="E60" s="319"/>
      <c r="F60" s="319"/>
      <c r="G60" s="319"/>
      <c r="H60" s="319"/>
      <c r="I60" s="319"/>
      <c r="J60" s="293"/>
      <c r="K60" s="293"/>
      <c r="L60" s="293"/>
    </row>
    <row r="61" spans="1:12" ht="32.25" customHeight="1" x14ac:dyDescent="0.35">
      <c r="A61" s="319" t="s">
        <v>184</v>
      </c>
      <c r="B61" s="319"/>
      <c r="C61" s="319"/>
      <c r="D61" s="319"/>
      <c r="E61" s="319"/>
      <c r="F61" s="319"/>
      <c r="G61" s="319"/>
      <c r="H61" s="319"/>
      <c r="I61" s="319"/>
      <c r="J61" s="293"/>
      <c r="K61" s="293"/>
    </row>
    <row r="62" spans="1:12" ht="18.75" customHeight="1" x14ac:dyDescent="0.35">
      <c r="A62" s="3" t="s">
        <v>185</v>
      </c>
      <c r="B62" s="3"/>
      <c r="C62" s="3"/>
      <c r="I62" s="4"/>
      <c r="J62" s="293"/>
      <c r="K62" s="293"/>
      <c r="L62" s="293"/>
    </row>
    <row r="63" spans="1:12" x14ac:dyDescent="0.35">
      <c r="A63" s="3" t="s">
        <v>203</v>
      </c>
      <c r="B63" s="3"/>
      <c r="C63" s="3"/>
      <c r="I63" s="4"/>
    </row>
    <row r="64" spans="1:12" x14ac:dyDescent="0.35">
      <c r="A64" s="3" t="s">
        <v>126</v>
      </c>
      <c r="B64" s="3"/>
      <c r="C64" s="3"/>
      <c r="I64" s="4"/>
    </row>
    <row r="65" spans="1:9" x14ac:dyDescent="0.35">
      <c r="A65" s="3" t="s">
        <v>158</v>
      </c>
      <c r="B65" s="63"/>
      <c r="C65" s="63"/>
      <c r="D65" s="39"/>
      <c r="E65" s="39"/>
      <c r="F65" s="39"/>
      <c r="G65" s="39"/>
      <c r="H65" s="39"/>
      <c r="I65" s="39"/>
    </row>
    <row r="66" spans="1:9" x14ac:dyDescent="0.35">
      <c r="A66" s="3"/>
      <c r="B66" s="3"/>
      <c r="C66" s="3"/>
    </row>
  </sheetData>
  <mergeCells count="5">
    <mergeCell ref="D11:F11"/>
    <mergeCell ref="G11:I11"/>
    <mergeCell ref="J11:L11"/>
    <mergeCell ref="A60:I60"/>
    <mergeCell ref="A61:I61"/>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33"/>
  <sheetViews>
    <sheetView topLeftCell="A19" workbookViewId="0">
      <selection activeCell="J11" sqref="J11"/>
    </sheetView>
  </sheetViews>
  <sheetFormatPr defaultRowHeight="14.5" x14ac:dyDescent="0.35"/>
  <cols>
    <col min="1" max="1" width="23.1796875" bestFit="1" customWidth="1"/>
    <col min="2" max="2" width="11.26953125" bestFit="1" customWidth="1"/>
    <col min="3" max="3" width="10.1796875" bestFit="1" customWidth="1"/>
    <col min="4" max="4" width="11.26953125" bestFit="1" customWidth="1"/>
    <col min="5" max="5" width="10.7265625" bestFit="1" customWidth="1"/>
    <col min="6" max="6" width="10.1796875" bestFit="1" customWidth="1"/>
    <col min="7" max="7" width="8.6328125" bestFit="1" customWidth="1"/>
  </cols>
  <sheetData>
    <row r="3" spans="1:6" ht="15" thickBot="1" x14ac:dyDescent="0.4">
      <c r="A3" s="3" t="s">
        <v>127</v>
      </c>
    </row>
    <row r="4" spans="1:6" ht="27.5" thickBot="1" x14ac:dyDescent="0.4">
      <c r="A4" s="87" t="s">
        <v>134</v>
      </c>
      <c r="B4" s="130" t="s">
        <v>133</v>
      </c>
      <c r="C4" s="130" t="s">
        <v>132</v>
      </c>
      <c r="D4" s="130" t="s">
        <v>131</v>
      </c>
      <c r="E4" s="130" t="s">
        <v>130</v>
      </c>
      <c r="F4" s="89" t="s">
        <v>159</v>
      </c>
    </row>
    <row r="5" spans="1:6" ht="15" thickBot="1" x14ac:dyDescent="0.4">
      <c r="A5" s="90" t="s">
        <v>24</v>
      </c>
      <c r="B5" s="240">
        <f>+'tariff tables'!S13+'tariff tables'!S22</f>
        <v>0</v>
      </c>
      <c r="C5" s="241">
        <f>+'tariff tables'!T13+'tariff tables'!T22</f>
        <v>2.5999999999999998E-4</v>
      </c>
      <c r="D5" s="241">
        <f>+'tariff tables'!U13+'tariff tables'!U22</f>
        <v>-1E-4</v>
      </c>
      <c r="E5" s="241">
        <f>+'tariff tables'!V13+'tariff tables'!V22</f>
        <v>-3.0000000000000001E-5</v>
      </c>
      <c r="F5" s="239">
        <f>SUM(B5:E5)</f>
        <v>1.2999999999999999E-4</v>
      </c>
    </row>
    <row r="6" spans="1:6" ht="15" thickBot="1" x14ac:dyDescent="0.4">
      <c r="A6" s="90" t="s">
        <v>107</v>
      </c>
      <c r="B6" s="240">
        <f>+'tariff tables'!S14+'tariff tables'!S23</f>
        <v>-1.0000000000000001E-5</v>
      </c>
      <c r="C6" s="241">
        <f>+'tariff tables'!T14+'tariff tables'!T23</f>
        <v>2.0000000000000001E-4</v>
      </c>
      <c r="D6" s="241">
        <f>+'tariff tables'!U14+'tariff tables'!U23</f>
        <v>-4.9999999999999982E-5</v>
      </c>
      <c r="E6" s="241">
        <f>+'tariff tables'!V14+'tariff tables'!V23</f>
        <v>0</v>
      </c>
      <c r="F6" s="239">
        <f t="shared" ref="F6:F9" si="0">SUM(B6:E6)</f>
        <v>1.4000000000000004E-4</v>
      </c>
    </row>
    <row r="7" spans="1:6" ht="15" thickBot="1" x14ac:dyDescent="0.4">
      <c r="A7" s="90" t="s">
        <v>108</v>
      </c>
      <c r="B7" s="240">
        <f>+'tariff tables'!S15+'tariff tables'!S24</f>
        <v>-1.0000000000000001E-5</v>
      </c>
      <c r="C7" s="241">
        <f>+'tariff tables'!T15+'tariff tables'!T24</f>
        <v>2.5999999999999998E-4</v>
      </c>
      <c r="D7" s="241">
        <f>+'tariff tables'!U15+'tariff tables'!U24</f>
        <v>1.3000000000000002E-4</v>
      </c>
      <c r="E7" s="241">
        <f>+'tariff tables'!V15+'tariff tables'!V24</f>
        <v>0</v>
      </c>
      <c r="F7" s="239">
        <f t="shared" si="0"/>
        <v>3.7999999999999997E-4</v>
      </c>
    </row>
    <row r="8" spans="1:6" ht="15" thickBot="1" x14ac:dyDescent="0.4">
      <c r="A8" s="90" t="s">
        <v>109</v>
      </c>
      <c r="B8" s="240">
        <f>+'tariff tables'!S16+'tariff tables'!S25</f>
        <v>-1.0000000000000001E-5</v>
      </c>
      <c r="C8" s="241">
        <f>+'tariff tables'!T16+'tariff tables'!T25</f>
        <v>1.9000000000000001E-4</v>
      </c>
      <c r="D8" s="241">
        <f>+'tariff tables'!U16+'tariff tables'!U25</f>
        <v>8.0000000000000007E-5</v>
      </c>
      <c r="E8" s="241">
        <f>+'tariff tables'!V16+'tariff tables'!V25</f>
        <v>0</v>
      </c>
      <c r="F8" s="239">
        <f t="shared" si="0"/>
        <v>2.6000000000000003E-4</v>
      </c>
    </row>
    <row r="9" spans="1:6" ht="15" thickBot="1" x14ac:dyDescent="0.4">
      <c r="A9" s="90" t="s">
        <v>110</v>
      </c>
      <c r="B9" s="240">
        <f>+'tariff tables'!S17+'tariff tables'!S26</f>
        <v>-1.0000000000000001E-5</v>
      </c>
      <c r="C9" s="241">
        <f>+'tariff tables'!T17+'tariff tables'!T26</f>
        <v>1.4999999999999999E-4</v>
      </c>
      <c r="D9" s="241">
        <f>+'tariff tables'!U17+'tariff tables'!U26</f>
        <v>1.4000000000000001E-4</v>
      </c>
      <c r="E9" s="241">
        <f>+'tariff tables'!V17+'tariff tables'!V26</f>
        <v>0</v>
      </c>
      <c r="F9" s="239">
        <f t="shared" si="0"/>
        <v>2.7999999999999998E-4</v>
      </c>
    </row>
    <row r="12" spans="1:6" ht="15" thickBot="1" x14ac:dyDescent="0.4">
      <c r="A12" s="3" t="s">
        <v>128</v>
      </c>
      <c r="B12" s="46"/>
      <c r="C12" s="46"/>
      <c r="D12" s="46"/>
      <c r="E12" s="46"/>
      <c r="F12" s="46"/>
    </row>
    <row r="13" spans="1:6" ht="27.5" thickBot="1" x14ac:dyDescent="0.4">
      <c r="A13" s="87" t="s">
        <v>134</v>
      </c>
      <c r="B13" s="130" t="s">
        <v>133</v>
      </c>
      <c r="C13" s="130" t="s">
        <v>132</v>
      </c>
      <c r="D13" s="130" t="s">
        <v>131</v>
      </c>
      <c r="E13" s="130" t="s">
        <v>130</v>
      </c>
      <c r="F13" s="89" t="s">
        <v>159</v>
      </c>
    </row>
    <row r="14" spans="1:6" ht="15" thickBot="1" x14ac:dyDescent="0.4">
      <c r="A14" s="90" t="s">
        <v>24</v>
      </c>
      <c r="B14" s="240">
        <f>+'tariff tables'!X13+'tariff tables'!X22</f>
        <v>2.3799999999999997E-3</v>
      </c>
      <c r="C14" s="241">
        <f>+'tariff tables'!Y13+'tariff tables'!Y22</f>
        <v>6.8999999999999997E-4</v>
      </c>
      <c r="D14" s="241">
        <f>+'tariff tables'!Z13+'tariff tables'!Z22</f>
        <v>1.2999999999999999E-4</v>
      </c>
      <c r="E14" s="241">
        <f>+'tariff tables'!AA13+'tariff tables'!AA22</f>
        <v>-1.8000000000000001E-4</v>
      </c>
      <c r="F14" s="239">
        <f>SUM(B14:E14)</f>
        <v>3.0199999999999997E-3</v>
      </c>
    </row>
    <row r="15" spans="1:6" ht="15" thickBot="1" x14ac:dyDescent="0.4">
      <c r="A15" s="90" t="s">
        <v>107</v>
      </c>
      <c r="B15" s="240">
        <f>+'tariff tables'!X14+'tariff tables'!X23</f>
        <v>1.6300000000000002E-3</v>
      </c>
      <c r="C15" s="241">
        <f>+'tariff tables'!Y14+'tariff tables'!Y23</f>
        <v>5.3000000000000009E-4</v>
      </c>
      <c r="D15" s="241">
        <f>+'tariff tables'!Z14+'tariff tables'!Z23</f>
        <v>6.0000000000000008E-5</v>
      </c>
      <c r="E15" s="241">
        <f>+'tariff tables'!AA14+'tariff tables'!AA23</f>
        <v>0</v>
      </c>
      <c r="F15" s="239">
        <f t="shared" ref="F15:F18" si="1">SUM(B15:E15)</f>
        <v>2.2200000000000006E-3</v>
      </c>
    </row>
    <row r="16" spans="1:6" ht="15" thickBot="1" x14ac:dyDescent="0.4">
      <c r="A16" s="90" t="s">
        <v>108</v>
      </c>
      <c r="B16" s="240">
        <f>+'tariff tables'!X15+'tariff tables'!X24</f>
        <v>1.24E-3</v>
      </c>
      <c r="C16" s="241">
        <f>+'tariff tables'!Y15+'tariff tables'!Y24</f>
        <v>5.2999999999999998E-4</v>
      </c>
      <c r="D16" s="241">
        <f>+'tariff tables'!Z15+'tariff tables'!Z24</f>
        <v>1.1999999999999999E-4</v>
      </c>
      <c r="E16" s="241">
        <f>+'tariff tables'!AA15+'tariff tables'!AA24</f>
        <v>0</v>
      </c>
      <c r="F16" s="239">
        <f t="shared" si="1"/>
        <v>1.8899999999999998E-3</v>
      </c>
    </row>
    <row r="17" spans="1:7" ht="15" thickBot="1" x14ac:dyDescent="0.4">
      <c r="A17" s="90" t="s">
        <v>109</v>
      </c>
      <c r="B17" s="240">
        <f>+'tariff tables'!X16+'tariff tables'!X25</f>
        <v>9.5999999999999992E-4</v>
      </c>
      <c r="C17" s="241">
        <f>+'tariff tables'!Y16+'tariff tables'!Y25</f>
        <v>3.3E-4</v>
      </c>
      <c r="D17" s="241">
        <f>+'tariff tables'!Z16+'tariff tables'!Z25</f>
        <v>9.0000000000000006E-5</v>
      </c>
      <c r="E17" s="241">
        <f>+'tariff tables'!AA16+'tariff tables'!AA25</f>
        <v>0</v>
      </c>
      <c r="F17" s="239">
        <f t="shared" si="1"/>
        <v>1.3799999999999999E-3</v>
      </c>
    </row>
    <row r="18" spans="1:7" ht="15" thickBot="1" x14ac:dyDescent="0.4">
      <c r="A18" s="90" t="s">
        <v>110</v>
      </c>
      <c r="B18" s="240">
        <f>+'tariff tables'!X17+'tariff tables'!X26</f>
        <v>3.9999999999999996E-5</v>
      </c>
      <c r="C18" s="241">
        <f>+'tariff tables'!Y17+'tariff tables'!Y26</f>
        <v>3.0000000000000004E-5</v>
      </c>
      <c r="D18" s="241">
        <f>+'tariff tables'!Z17+'tariff tables'!Z26</f>
        <v>5.0000000000000002E-5</v>
      </c>
      <c r="E18" s="241">
        <f>+'tariff tables'!AA17+'tariff tables'!AA26</f>
        <v>0</v>
      </c>
      <c r="F18" s="239">
        <f t="shared" si="1"/>
        <v>1.1999999999999999E-4</v>
      </c>
    </row>
    <row r="21" spans="1:7" ht="15" thickBot="1" x14ac:dyDescent="0.4">
      <c r="A21" s="3" t="s">
        <v>129</v>
      </c>
      <c r="B21" s="46"/>
      <c r="C21" s="46"/>
      <c r="D21" s="46"/>
      <c r="E21" s="46"/>
      <c r="F21" s="46"/>
    </row>
    <row r="22" spans="1:7" ht="27.5" thickBot="1" x14ac:dyDescent="0.4">
      <c r="A22" s="87" t="s">
        <v>134</v>
      </c>
      <c r="B22" s="130" t="s">
        <v>133</v>
      </c>
      <c r="C22" s="130" t="s">
        <v>132</v>
      </c>
      <c r="D22" s="130" t="s">
        <v>131</v>
      </c>
      <c r="E22" s="130" t="s">
        <v>130</v>
      </c>
      <c r="F22" s="89" t="s">
        <v>159</v>
      </c>
    </row>
    <row r="23" spans="1:7" ht="15" thickBot="1" x14ac:dyDescent="0.4">
      <c r="A23" s="90" t="s">
        <v>24</v>
      </c>
      <c r="B23" s="240">
        <f>+B5+B14</f>
        <v>2.3799999999999997E-3</v>
      </c>
      <c r="C23" s="241">
        <f t="shared" ref="C23:E23" si="2">+C5+C14</f>
        <v>9.4999999999999989E-4</v>
      </c>
      <c r="D23" s="241">
        <f t="shared" si="2"/>
        <v>2.9999999999999984E-5</v>
      </c>
      <c r="E23" s="241">
        <f t="shared" si="2"/>
        <v>-2.1000000000000001E-4</v>
      </c>
      <c r="F23" s="239">
        <f>SUM(B23:E23)</f>
        <v>3.1499999999999996E-3</v>
      </c>
      <c r="G23" s="242">
        <f>+F23-'tariff tables'!H4</f>
        <v>0</v>
      </c>
    </row>
    <row r="24" spans="1:7" ht="15" thickBot="1" x14ac:dyDescent="0.4">
      <c r="A24" s="90" t="s">
        <v>107</v>
      </c>
      <c r="B24" s="240">
        <f t="shared" ref="B24:E24" si="3">+B6+B15</f>
        <v>1.6200000000000001E-3</v>
      </c>
      <c r="C24" s="241">
        <f t="shared" si="3"/>
        <v>7.3000000000000007E-4</v>
      </c>
      <c r="D24" s="241">
        <f t="shared" si="3"/>
        <v>1.0000000000000026E-5</v>
      </c>
      <c r="E24" s="241">
        <f t="shared" si="3"/>
        <v>0</v>
      </c>
      <c r="F24" s="239">
        <f t="shared" ref="F24:F27" si="4">SUM(B24:E24)</f>
        <v>2.3600000000000001E-3</v>
      </c>
      <c r="G24" s="242">
        <f>+F24-'tariff tables'!H5</f>
        <v>0</v>
      </c>
    </row>
    <row r="25" spans="1:7" ht="15" thickBot="1" x14ac:dyDescent="0.4">
      <c r="A25" s="90" t="s">
        <v>108</v>
      </c>
      <c r="B25" s="240">
        <f t="shared" ref="B25:E25" si="5">+B7+B16</f>
        <v>1.23E-3</v>
      </c>
      <c r="C25" s="241">
        <f t="shared" si="5"/>
        <v>7.899999999999999E-4</v>
      </c>
      <c r="D25" s="241">
        <f t="shared" si="5"/>
        <v>2.5000000000000001E-4</v>
      </c>
      <c r="E25" s="241">
        <f t="shared" si="5"/>
        <v>0</v>
      </c>
      <c r="F25" s="239">
        <f t="shared" si="4"/>
        <v>2.2700000000000003E-3</v>
      </c>
      <c r="G25" s="242">
        <f>+F25-'tariff tables'!H6</f>
        <v>0</v>
      </c>
    </row>
    <row r="26" spans="1:7" ht="15" thickBot="1" x14ac:dyDescent="0.4">
      <c r="A26" s="90" t="s">
        <v>109</v>
      </c>
      <c r="B26" s="240">
        <f t="shared" ref="B26:E26" si="6">+B8+B17</f>
        <v>9.4999999999999989E-4</v>
      </c>
      <c r="C26" s="241">
        <f t="shared" si="6"/>
        <v>5.2000000000000006E-4</v>
      </c>
      <c r="D26" s="241">
        <f t="shared" si="6"/>
        <v>1.7000000000000001E-4</v>
      </c>
      <c r="E26" s="241">
        <f t="shared" si="6"/>
        <v>0</v>
      </c>
      <c r="F26" s="239">
        <f t="shared" si="4"/>
        <v>1.64E-3</v>
      </c>
      <c r="G26" s="242">
        <f>+F26-'tariff tables'!H7</f>
        <v>0</v>
      </c>
    </row>
    <row r="27" spans="1:7" ht="15" thickBot="1" x14ac:dyDescent="0.4">
      <c r="A27" s="90" t="s">
        <v>110</v>
      </c>
      <c r="B27" s="240">
        <f t="shared" ref="B27:E27" si="7">+B9+B18</f>
        <v>2.9999999999999997E-5</v>
      </c>
      <c r="C27" s="241">
        <f t="shared" si="7"/>
        <v>1.7999999999999998E-4</v>
      </c>
      <c r="D27" s="241">
        <f t="shared" si="7"/>
        <v>1.9000000000000001E-4</v>
      </c>
      <c r="E27" s="241">
        <f t="shared" si="7"/>
        <v>0</v>
      </c>
      <c r="F27" s="239">
        <f t="shared" si="4"/>
        <v>3.9999999999999996E-4</v>
      </c>
      <c r="G27" s="242">
        <f>+F27-'tariff tables'!H8</f>
        <v>0</v>
      </c>
    </row>
    <row r="29" spans="1:7" x14ac:dyDescent="0.35">
      <c r="B29" s="242">
        <f>+B23-'tariff tables'!J4</f>
        <v>0</v>
      </c>
      <c r="C29" s="242">
        <f>+C23-'tariff tables'!K4</f>
        <v>0</v>
      </c>
      <c r="D29" s="242">
        <f>+D23-'tariff tables'!L4</f>
        <v>0</v>
      </c>
      <c r="E29" s="242">
        <f>+E23-'tariff tables'!M4</f>
        <v>0</v>
      </c>
      <c r="F29" s="242"/>
    </row>
    <row r="30" spans="1:7" x14ac:dyDescent="0.35">
      <c r="B30" s="242">
        <f>+B24-'tariff tables'!J5</f>
        <v>0</v>
      </c>
      <c r="C30" s="242">
        <f>+C24-'tariff tables'!K5</f>
        <v>0</v>
      </c>
      <c r="D30" s="242">
        <f>+D24-'tariff tables'!L5</f>
        <v>2.541098841762901E-20</v>
      </c>
      <c r="E30" s="242">
        <f>+E24-'tariff tables'!M5</f>
        <v>0</v>
      </c>
      <c r="F30" s="242"/>
    </row>
    <row r="31" spans="1:7" x14ac:dyDescent="0.35">
      <c r="B31" s="242">
        <f>+B25-'tariff tables'!J6</f>
        <v>0</v>
      </c>
      <c r="C31" s="242">
        <f>+C25-'tariff tables'!K6</f>
        <v>0</v>
      </c>
      <c r="D31" s="242">
        <f>+D25-'tariff tables'!L6</f>
        <v>0</v>
      </c>
      <c r="E31" s="242">
        <f>+E25-'tariff tables'!M6</f>
        <v>0</v>
      </c>
      <c r="F31" s="242"/>
    </row>
    <row r="32" spans="1:7" x14ac:dyDescent="0.35">
      <c r="B32" s="242">
        <f>+B26-'tariff tables'!J7</f>
        <v>0</v>
      </c>
      <c r="C32" s="242">
        <f>+C26-'tariff tables'!K7</f>
        <v>0</v>
      </c>
      <c r="D32" s="242">
        <f>+D26-'tariff tables'!L7</f>
        <v>0</v>
      </c>
      <c r="E32" s="242">
        <f>+E26-'tariff tables'!M7</f>
        <v>0</v>
      </c>
      <c r="F32" s="242"/>
    </row>
    <row r="33" spans="2:6" x14ac:dyDescent="0.35">
      <c r="B33" s="242">
        <f>+B27-'tariff tables'!J8</f>
        <v>0</v>
      </c>
      <c r="C33" s="242">
        <f>+C27-'tariff tables'!K8</f>
        <v>0</v>
      </c>
      <c r="D33" s="242">
        <f>+D27-'tariff tables'!L8</f>
        <v>0</v>
      </c>
      <c r="E33" s="242">
        <f>+E27-'tariff tables'!M8</f>
        <v>0</v>
      </c>
      <c r="F33" s="242"/>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50"/>
  <sheetViews>
    <sheetView workbookViewId="0">
      <selection activeCell="G4" sqref="G4"/>
    </sheetView>
  </sheetViews>
  <sheetFormatPr defaultColWidth="9.1796875" defaultRowHeight="14.5" x14ac:dyDescent="0.35"/>
  <cols>
    <col min="1" max="1" width="20.81640625" style="46" customWidth="1"/>
    <col min="2" max="2" width="22" style="46" customWidth="1"/>
    <col min="3" max="3" width="17.26953125" style="46" customWidth="1"/>
    <col min="4" max="4" width="14.81640625" style="46" customWidth="1"/>
    <col min="5" max="5" width="16.1796875" style="46" customWidth="1"/>
    <col min="6" max="6" width="10.7265625" style="46" bestFit="1" customWidth="1"/>
    <col min="7" max="16384" width="9.1796875" style="46"/>
  </cols>
  <sheetData>
    <row r="1" spans="1:25" x14ac:dyDescent="0.35">
      <c r="A1" s="63" t="s">
        <v>232</v>
      </c>
    </row>
    <row r="2" spans="1:25" x14ac:dyDescent="0.35">
      <c r="A2" s="9" t="s">
        <v>196</v>
      </c>
    </row>
    <row r="3" spans="1:25" ht="35.25" customHeight="1" x14ac:dyDescent="0.35">
      <c r="B3" s="303" t="s">
        <v>113</v>
      </c>
      <c r="C3" s="303"/>
    </row>
    <row r="4" spans="1:25" ht="58" x14ac:dyDescent="0.35">
      <c r="B4" s="70" t="s">
        <v>44</v>
      </c>
      <c r="C4" s="236" t="s">
        <v>26</v>
      </c>
      <c r="D4" s="288" t="s">
        <v>197</v>
      </c>
      <c r="E4" s="288" t="s">
        <v>198</v>
      </c>
    </row>
    <row r="5" spans="1:25" x14ac:dyDescent="0.35">
      <c r="A5" s="20" t="s">
        <v>24</v>
      </c>
      <c r="B5" s="75">
        <f>SUM('[1]Billed kWh Sales'!$F36:$G36)</f>
        <v>2686043394</v>
      </c>
      <c r="C5" s="234">
        <f>SUM(D5:E5)</f>
        <v>6957079.79</v>
      </c>
      <c r="D5" s="234">
        <f>ROUND(SUM('[2]Monthly Program Costs'!$AR290:$BC290),2)</f>
        <v>33119.660000000003</v>
      </c>
      <c r="E5" s="234">
        <f>ROUND('[3]Settlement Proposal Budget'!$P$44*1,2)</f>
        <v>6923960.1299999999</v>
      </c>
      <c r="F5" s="47"/>
    </row>
    <row r="6" spans="1:25" x14ac:dyDescent="0.35">
      <c r="A6" s="20" t="s">
        <v>107</v>
      </c>
      <c r="B6" s="75">
        <f>SUM('[1]Billed kWh Sales'!$F37:$G37)</f>
        <v>562392412</v>
      </c>
      <c r="C6" s="234">
        <f t="shared" ref="C6:C9" si="0">SUM(D6:E6)</f>
        <v>663911.28</v>
      </c>
      <c r="D6" s="234">
        <f>ROUND(SUM('[2]Monthly Program Costs'!$AR291:$BC291),2)</f>
        <v>58904.65</v>
      </c>
      <c r="E6" s="234">
        <f>ROUND('[3]Settlement Proposal Budget'!$Q$44*1,2)</f>
        <v>605006.63</v>
      </c>
      <c r="F6" s="47"/>
    </row>
    <row r="7" spans="1:25" x14ac:dyDescent="0.35">
      <c r="A7" s="20" t="s">
        <v>108</v>
      </c>
      <c r="B7" s="75">
        <f>SUM('[1]Billed kWh Sales'!$F38:$G38)</f>
        <v>1128313262</v>
      </c>
      <c r="C7" s="234">
        <f t="shared" si="0"/>
        <v>1844390.2</v>
      </c>
      <c r="D7" s="234">
        <f>ROUND(SUM('[2]Monthly Program Costs'!$AR292:$BC292),2)</f>
        <v>95236.73</v>
      </c>
      <c r="E7" s="234">
        <f>ROUND('[3]Settlement Proposal Budget'!$R$44*1,2)</f>
        <v>1749153.47</v>
      </c>
      <c r="F7" s="47"/>
    </row>
    <row r="8" spans="1:25" x14ac:dyDescent="0.35">
      <c r="A8" s="20" t="s">
        <v>109</v>
      </c>
      <c r="B8" s="75">
        <f>SUM('[1]Billed kWh Sales'!$F39:$G39)</f>
        <v>1795158442</v>
      </c>
      <c r="C8" s="234">
        <f t="shared" si="0"/>
        <v>2934645.8</v>
      </c>
      <c r="D8" s="234">
        <f>ROUND(SUM('[2]Monthly Program Costs'!$AR293:$BC293),2)</f>
        <v>161382.46</v>
      </c>
      <c r="E8" s="234">
        <f>ROUND('[3]Settlement Proposal Budget'!$S$44*1,2)</f>
        <v>2773263.34</v>
      </c>
      <c r="F8" s="47"/>
    </row>
    <row r="9" spans="1:25" x14ac:dyDescent="0.35">
      <c r="A9" s="20" t="s">
        <v>110</v>
      </c>
      <c r="B9" s="75">
        <f>SUM('[1]Billed kWh Sales'!$F40:$G40)</f>
        <v>479752802</v>
      </c>
      <c r="C9" s="234">
        <f t="shared" si="0"/>
        <v>398223.26</v>
      </c>
      <c r="D9" s="234">
        <f>ROUND(SUM('[2]Monthly Program Costs'!$AR294:$BC294),2)</f>
        <v>44516.53</v>
      </c>
      <c r="E9" s="234">
        <f>ROUND('[3]Settlement Proposal Budget'!$T$44*1,2)</f>
        <v>353706.73</v>
      </c>
      <c r="F9" s="47"/>
      <c r="P9" s="1"/>
      <c r="Q9" s="1"/>
      <c r="R9" s="1"/>
      <c r="S9" s="1"/>
      <c r="T9" s="1"/>
      <c r="U9" s="1"/>
      <c r="V9" s="1"/>
      <c r="W9" s="1"/>
      <c r="X9" s="1"/>
      <c r="Y9" s="1"/>
    </row>
    <row r="10" spans="1:25" x14ac:dyDescent="0.35">
      <c r="A10" s="30" t="s">
        <v>112</v>
      </c>
      <c r="B10" s="253">
        <f>SUM(B5:B9)</f>
        <v>6651660312</v>
      </c>
      <c r="C10" s="235">
        <f>SUM(C5:C9)</f>
        <v>12798250.33</v>
      </c>
      <c r="D10" s="235">
        <f t="shared" ref="D10:E10" si="1">SUM(D5:D9)</f>
        <v>393160.03</v>
      </c>
      <c r="E10" s="235">
        <f t="shared" si="1"/>
        <v>12405090.300000001</v>
      </c>
      <c r="P10" s="1"/>
      <c r="Q10" s="1"/>
      <c r="R10" s="1"/>
      <c r="S10" s="1"/>
      <c r="T10" s="1"/>
      <c r="U10" s="1"/>
      <c r="V10" s="1"/>
      <c r="W10" s="1"/>
      <c r="X10" s="1"/>
      <c r="Y10" s="1"/>
    </row>
    <row r="12" spans="1:25" x14ac:dyDescent="0.35">
      <c r="A12" s="53" t="s">
        <v>11</v>
      </c>
    </row>
    <row r="13" spans="1:25" ht="30" customHeight="1" x14ac:dyDescent="0.35">
      <c r="A13" s="302" t="s">
        <v>180</v>
      </c>
      <c r="B13" s="302"/>
      <c r="C13" s="302"/>
      <c r="D13" s="302"/>
      <c r="E13" s="302"/>
      <c r="F13" s="290"/>
      <c r="G13" s="304"/>
      <c r="H13" s="304"/>
      <c r="I13" s="304"/>
    </row>
    <row r="14" spans="1:25" x14ac:dyDescent="0.35">
      <c r="A14" s="302" t="s">
        <v>188</v>
      </c>
      <c r="B14" s="302"/>
      <c r="C14" s="302"/>
      <c r="D14" s="302"/>
      <c r="E14" s="302"/>
    </row>
    <row r="15" spans="1:25" x14ac:dyDescent="0.35">
      <c r="A15" s="302" t="s">
        <v>218</v>
      </c>
      <c r="B15" s="302"/>
      <c r="C15" s="302"/>
      <c r="D15" s="302"/>
      <c r="E15" s="302"/>
    </row>
    <row r="16" spans="1:25" x14ac:dyDescent="0.35">
      <c r="A16" s="302" t="s">
        <v>190</v>
      </c>
      <c r="B16" s="302"/>
      <c r="C16" s="302"/>
      <c r="D16" s="302"/>
      <c r="E16" s="302"/>
    </row>
    <row r="24" spans="3:3" x14ac:dyDescent="0.35">
      <c r="C24" s="2"/>
    </row>
    <row r="46" spans="2:3" x14ac:dyDescent="0.35">
      <c r="B46" s="8"/>
      <c r="C46" s="8"/>
    </row>
    <row r="50" spans="2:3" x14ac:dyDescent="0.35">
      <c r="B50" s="8"/>
      <c r="C50" s="8"/>
    </row>
  </sheetData>
  <mergeCells count="6">
    <mergeCell ref="A16:E16"/>
    <mergeCell ref="B3:C3"/>
    <mergeCell ref="G13:I13"/>
    <mergeCell ref="A14:E14"/>
    <mergeCell ref="A13:E13"/>
    <mergeCell ref="A15:E15"/>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7"/>
  <sheetViews>
    <sheetView topLeftCell="I22" workbookViewId="0">
      <selection activeCell="M27" sqref="M27"/>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1796875" style="46" customWidth="1"/>
    <col min="17" max="17" width="17.26953125" style="46" bestFit="1" customWidth="1"/>
    <col min="18" max="18" width="17.453125" style="46" customWidth="1"/>
    <col min="19" max="19" width="15.54296875" style="46" customWidth="1"/>
    <col min="20" max="20" width="13" style="46" customWidth="1"/>
    <col min="21" max="21" width="9.1796875" style="46"/>
    <col min="22" max="22" width="14.26953125" style="46" bestFit="1" customWidth="1"/>
    <col min="23" max="16384" width="9.1796875" style="46"/>
  </cols>
  <sheetData>
    <row r="1" spans="1:35" x14ac:dyDescent="0.35">
      <c r="A1" s="3" t="str">
        <f>+'PPC Cycle 3'!A1</f>
        <v>Evergy Metro, Inc. - DSIM Rider Update Filed 12/02/2022</v>
      </c>
      <c r="B1" s="3"/>
      <c r="C1" s="3"/>
      <c r="D1" s="3"/>
    </row>
    <row r="2" spans="1:35" x14ac:dyDescent="0.35">
      <c r="E2" s="3" t="s">
        <v>60</v>
      </c>
    </row>
    <row r="3" spans="1:35" ht="29" x14ac:dyDescent="0.35">
      <c r="E3" s="48" t="s">
        <v>46</v>
      </c>
      <c r="F3" s="48" t="s">
        <v>45</v>
      </c>
      <c r="G3" s="70" t="s">
        <v>2</v>
      </c>
      <c r="H3" s="48" t="s">
        <v>3</v>
      </c>
      <c r="I3" s="70" t="s">
        <v>55</v>
      </c>
      <c r="J3" s="48" t="s">
        <v>10</v>
      </c>
      <c r="K3" s="48" t="s">
        <v>4</v>
      </c>
    </row>
    <row r="4" spans="1:35" x14ac:dyDescent="0.35">
      <c r="A4" s="20" t="s">
        <v>24</v>
      </c>
      <c r="E4" s="22">
        <f>SUM(C34:M34)</f>
        <v>21698.240000000002</v>
      </c>
      <c r="F4" s="138">
        <f>SUM(C27:M27)</f>
        <v>1470169692.8245001</v>
      </c>
      <c r="G4" s="22">
        <f>SUM(C23:L23)</f>
        <v>0</v>
      </c>
      <c r="H4" s="22">
        <f>G4-E4</f>
        <v>-21698.240000000002</v>
      </c>
      <c r="I4" s="22">
        <f>+B47</f>
        <v>12123.5</v>
      </c>
      <c r="J4" s="22">
        <f>SUM(C52:L52)</f>
        <v>94.25</v>
      </c>
      <c r="K4" s="25">
        <f>SUM(H4:J4)</f>
        <v>-9480.4900000000016</v>
      </c>
      <c r="L4" s="47">
        <f>+K4-M47</f>
        <v>-9480.49</v>
      </c>
    </row>
    <row r="5" spans="1:35" ht="15" thickBot="1" x14ac:dyDescent="0.4">
      <c r="A5" s="20" t="s">
        <v>25</v>
      </c>
      <c r="E5" s="22">
        <f>SUM(C35:M38)</f>
        <v>-47630.21</v>
      </c>
      <c r="F5" s="138">
        <f>SUM(C28:M31)</f>
        <v>2058119821.8508003</v>
      </c>
      <c r="G5" s="22">
        <f>SUM(C24:L24)</f>
        <v>0</v>
      </c>
      <c r="H5" s="22">
        <f>G5-E5</f>
        <v>47630.21</v>
      </c>
      <c r="I5" s="22">
        <f>+B48</f>
        <v>-76151.83</v>
      </c>
      <c r="J5" s="22">
        <f>SUM(C53:L53)</f>
        <v>-1395.36</v>
      </c>
      <c r="K5" s="25">
        <f>SUM(H5:J5)</f>
        <v>-29916.980000000003</v>
      </c>
      <c r="L5" s="47">
        <f>+K5-M48</f>
        <v>9480.4900000000198</v>
      </c>
    </row>
    <row r="6" spans="1:35" ht="15.5" thickTop="1" thickBot="1" x14ac:dyDescent="0.4">
      <c r="E6" s="27">
        <f t="shared" ref="E6" si="0">SUM(E4:E5)</f>
        <v>-25931.969999999998</v>
      </c>
      <c r="F6" s="27">
        <f t="shared" ref="F6:I6" si="1">SUM(F4:F5)</f>
        <v>3528289514.6753006</v>
      </c>
      <c r="G6" s="27">
        <f t="shared" si="1"/>
        <v>0</v>
      </c>
      <c r="H6" s="27">
        <f t="shared" si="1"/>
        <v>25931.969999999998</v>
      </c>
      <c r="I6" s="27">
        <f t="shared" si="1"/>
        <v>-64028.33</v>
      </c>
      <c r="J6" s="27">
        <f>SUM(J4:J5)</f>
        <v>-1301.1099999999999</v>
      </c>
      <c r="K6" s="27">
        <f>SUM(K4:K5)</f>
        <v>-39397.47</v>
      </c>
    </row>
    <row r="7" spans="1:35" ht="44" thickTop="1" x14ac:dyDescent="0.35">
      <c r="E7" s="232"/>
      <c r="F7" s="233"/>
      <c r="G7" s="232"/>
      <c r="H7" s="232"/>
      <c r="I7" s="232"/>
      <c r="J7" s="231"/>
      <c r="K7" s="231"/>
      <c r="L7" s="230" t="s">
        <v>123</v>
      </c>
    </row>
    <row r="8" spans="1:35" x14ac:dyDescent="0.35">
      <c r="A8" s="20" t="s">
        <v>107</v>
      </c>
      <c r="E8" s="232"/>
      <c r="F8" s="233"/>
      <c r="G8" s="232"/>
      <c r="H8" s="232"/>
      <c r="I8" s="232"/>
      <c r="J8" s="231"/>
      <c r="K8" s="25">
        <f>ROUND($K$5*L8,2)</f>
        <v>-4061.66</v>
      </c>
      <c r="L8" s="228">
        <f>+'[4]Monthly TD Calc'!$CY$44</f>
        <v>0.13576441564001979</v>
      </c>
    </row>
    <row r="9" spans="1:35" x14ac:dyDescent="0.35">
      <c r="A9" s="20" t="s">
        <v>108</v>
      </c>
      <c r="E9" s="232"/>
      <c r="F9" s="233"/>
      <c r="G9" s="232"/>
      <c r="H9" s="232"/>
      <c r="I9" s="232"/>
      <c r="J9" s="231"/>
      <c r="K9" s="25">
        <f t="shared" ref="K9:K11" si="2">ROUND($K$5*L9,2)</f>
        <v>-10653.91</v>
      </c>
      <c r="L9" s="228">
        <f>+'[4]Monthly TD Calc'!$CZ$44</f>
        <v>0.35611574316442379</v>
      </c>
    </row>
    <row r="10" spans="1:35" x14ac:dyDescent="0.35">
      <c r="A10" s="20" t="s">
        <v>109</v>
      </c>
      <c r="E10" s="232"/>
      <c r="F10" s="233"/>
      <c r="G10" s="232"/>
      <c r="H10" s="232"/>
      <c r="I10" s="232"/>
      <c r="J10" s="231"/>
      <c r="K10" s="25">
        <f t="shared" si="2"/>
        <v>-12514.83</v>
      </c>
      <c r="L10" s="228">
        <f>+'[4]Monthly TD Calc'!$DA$44</f>
        <v>0.4183185730547726</v>
      </c>
    </row>
    <row r="11" spans="1:35" ht="15" thickBot="1" x14ac:dyDescent="0.4">
      <c r="A11" s="20" t="s">
        <v>110</v>
      </c>
      <c r="E11" s="232"/>
      <c r="F11" s="233"/>
      <c r="G11" s="232"/>
      <c r="H11" s="232"/>
      <c r="I11" s="232"/>
      <c r="J11" s="231"/>
      <c r="K11" s="25">
        <f t="shared" si="2"/>
        <v>-2686.58</v>
      </c>
      <c r="L11" s="228">
        <f>+'[4]Monthly TD Calc'!$DB$44</f>
        <v>8.9801268140783777E-2</v>
      </c>
    </row>
    <row r="12" spans="1:35" ht="15.5" thickTop="1" thickBot="1" x14ac:dyDescent="0.4">
      <c r="A12" s="20" t="s">
        <v>112</v>
      </c>
      <c r="E12" s="232"/>
      <c r="F12" s="233"/>
      <c r="G12" s="232"/>
      <c r="H12" s="232"/>
      <c r="I12" s="232"/>
      <c r="J12" s="231"/>
      <c r="K12" s="27">
        <f>SUM(K8:K11)</f>
        <v>-29916.980000000003</v>
      </c>
      <c r="L12" s="229">
        <f>SUM(L8:L11)</f>
        <v>1</v>
      </c>
    </row>
    <row r="13" spans="1:35" ht="15.5" thickTop="1" thickBot="1" x14ac:dyDescent="0.4"/>
    <row r="14" spans="1:35" ht="87.5" thickBot="1" x14ac:dyDescent="0.4">
      <c r="B14" s="118" t="s">
        <v>199</v>
      </c>
      <c r="C14" s="275" t="s">
        <v>200</v>
      </c>
      <c r="D14" s="275"/>
      <c r="E14" s="310" t="s">
        <v>33</v>
      </c>
      <c r="F14" s="310"/>
      <c r="G14" s="311"/>
      <c r="H14" s="312" t="s">
        <v>33</v>
      </c>
      <c r="I14" s="313"/>
      <c r="J14" s="314"/>
      <c r="K14" s="306" t="s">
        <v>8</v>
      </c>
      <c r="L14" s="307"/>
      <c r="M14" s="308"/>
    </row>
    <row r="15" spans="1:35" x14ac:dyDescent="0.35">
      <c r="A15" s="46" t="s">
        <v>32</v>
      </c>
      <c r="C15" s="14"/>
      <c r="D15" s="19"/>
      <c r="E15" s="19">
        <v>44712</v>
      </c>
      <c r="F15" s="19">
        <f>EOMONTH(E15,1)</f>
        <v>44742</v>
      </c>
      <c r="G15" s="19">
        <f t="shared" ref="G15:M15" si="3">EOMONTH(F15,1)</f>
        <v>44773</v>
      </c>
      <c r="H15" s="14">
        <f t="shared" si="3"/>
        <v>44804</v>
      </c>
      <c r="I15" s="19">
        <f t="shared" si="3"/>
        <v>44834</v>
      </c>
      <c r="J15" s="15">
        <f t="shared" si="3"/>
        <v>44865</v>
      </c>
      <c r="K15" s="19">
        <f t="shared" si="3"/>
        <v>44895</v>
      </c>
      <c r="L15" s="19">
        <f t="shared" si="3"/>
        <v>44926</v>
      </c>
      <c r="M15" s="95">
        <f t="shared" si="3"/>
        <v>44957</v>
      </c>
      <c r="Z15" s="1"/>
      <c r="AA15" s="1"/>
      <c r="AB15" s="1"/>
      <c r="AC15" s="1"/>
      <c r="AD15" s="1"/>
      <c r="AE15" s="1"/>
      <c r="AF15" s="1"/>
      <c r="AG15" s="1"/>
      <c r="AH15" s="1"/>
      <c r="AI15" s="1"/>
    </row>
    <row r="16" spans="1:35" x14ac:dyDescent="0.35">
      <c r="A16" s="46" t="s">
        <v>24</v>
      </c>
      <c r="C16" s="97">
        <v>0</v>
      </c>
      <c r="D16" s="264"/>
      <c r="E16" s="109">
        <v>0</v>
      </c>
      <c r="F16" s="109">
        <v>0</v>
      </c>
      <c r="G16" s="110">
        <v>0</v>
      </c>
      <c r="H16" s="16">
        <v>0</v>
      </c>
      <c r="I16" s="55">
        <v>0</v>
      </c>
      <c r="J16" s="166">
        <v>0</v>
      </c>
      <c r="K16" s="176">
        <v>0</v>
      </c>
      <c r="L16" s="140">
        <v>0</v>
      </c>
      <c r="M16" s="76"/>
    </row>
    <row r="17" spans="1:14" x14ac:dyDescent="0.35">
      <c r="A17" s="46" t="s">
        <v>25</v>
      </c>
      <c r="C17" s="97">
        <v>0</v>
      </c>
      <c r="D17" s="264"/>
      <c r="E17" s="109">
        <v>0</v>
      </c>
      <c r="F17" s="109">
        <v>0</v>
      </c>
      <c r="G17" s="110">
        <v>0</v>
      </c>
      <c r="H17" s="16">
        <v>0</v>
      </c>
      <c r="I17" s="55">
        <v>0</v>
      </c>
      <c r="J17" s="166">
        <v>0</v>
      </c>
      <c r="K17" s="176">
        <v>0</v>
      </c>
      <c r="L17" s="140">
        <v>0</v>
      </c>
      <c r="M17" s="76"/>
      <c r="N17" s="63" t="s">
        <v>27</v>
      </c>
    </row>
    <row r="18" spans="1:14" x14ac:dyDescent="0.35">
      <c r="A18" s="46" t="s">
        <v>0</v>
      </c>
      <c r="C18" s="97">
        <v>0</v>
      </c>
      <c r="D18" s="264"/>
      <c r="E18" s="109">
        <v>0</v>
      </c>
      <c r="F18" s="109">
        <v>0</v>
      </c>
      <c r="G18" s="110">
        <v>0</v>
      </c>
      <c r="H18" s="16">
        <v>0</v>
      </c>
      <c r="I18" s="55">
        <v>0</v>
      </c>
      <c r="J18" s="166">
        <v>0</v>
      </c>
      <c r="K18" s="176">
        <v>0</v>
      </c>
      <c r="L18" s="140">
        <v>0</v>
      </c>
      <c r="M18" s="76"/>
      <c r="N18" s="73">
        <v>0.5</v>
      </c>
    </row>
    <row r="19" spans="1:14" x14ac:dyDescent="0.35">
      <c r="A19" s="46" t="s">
        <v>1</v>
      </c>
      <c r="C19" s="97">
        <v>0</v>
      </c>
      <c r="D19" s="264"/>
      <c r="E19" s="109">
        <v>0</v>
      </c>
      <c r="F19" s="109">
        <v>0</v>
      </c>
      <c r="G19" s="110">
        <v>0</v>
      </c>
      <c r="H19" s="16">
        <v>0</v>
      </c>
      <c r="I19" s="55">
        <v>0</v>
      </c>
      <c r="J19" s="166">
        <v>0</v>
      </c>
      <c r="K19" s="176">
        <v>0</v>
      </c>
      <c r="L19" s="140">
        <v>0</v>
      </c>
      <c r="M19" s="76"/>
      <c r="N19" s="63"/>
    </row>
    <row r="20" spans="1:14" x14ac:dyDescent="0.35">
      <c r="C20" s="98"/>
      <c r="D20" s="265"/>
      <c r="E20" s="31"/>
      <c r="F20" s="31"/>
      <c r="G20" s="31"/>
      <c r="H20" s="28"/>
      <c r="I20" s="31"/>
      <c r="J20" s="11"/>
      <c r="K20" s="31"/>
      <c r="L20" s="31"/>
      <c r="M20" s="29"/>
    </row>
    <row r="21" spans="1:14" x14ac:dyDescent="0.35">
      <c r="C21" s="98"/>
      <c r="D21" s="265"/>
      <c r="E21" s="31"/>
      <c r="F21" s="31"/>
      <c r="G21" s="31"/>
      <c r="H21" s="28"/>
      <c r="I21" s="31"/>
      <c r="J21" s="11"/>
      <c r="K21" s="31"/>
      <c r="L21" s="31"/>
      <c r="M21" s="29"/>
    </row>
    <row r="22" spans="1:14" x14ac:dyDescent="0.35">
      <c r="A22" s="46" t="s">
        <v>35</v>
      </c>
      <c r="C22" s="99"/>
      <c r="D22" s="151"/>
      <c r="E22" s="31"/>
      <c r="F22" s="31"/>
      <c r="G22" s="31"/>
      <c r="H22" s="28"/>
      <c r="I22" s="31"/>
      <c r="J22" s="167"/>
      <c r="K22" s="17"/>
      <c r="L22" s="17"/>
      <c r="M22" s="11"/>
    </row>
    <row r="23" spans="1:14" x14ac:dyDescent="0.35">
      <c r="A23" s="46" t="s">
        <v>24</v>
      </c>
      <c r="C23" s="40">
        <f>C16+($N$18*C$18)+($N$18*C$19)</f>
        <v>0</v>
      </c>
      <c r="D23" s="123"/>
      <c r="E23" s="41">
        <f t="shared" ref="E23:L23" si="4">E16+($N$18*E$18)+($N$18*E$19)</f>
        <v>0</v>
      </c>
      <c r="F23" s="41">
        <f t="shared" si="4"/>
        <v>0</v>
      </c>
      <c r="G23" s="108">
        <f t="shared" si="4"/>
        <v>0</v>
      </c>
      <c r="H23" s="40">
        <f t="shared" si="4"/>
        <v>0</v>
      </c>
      <c r="I23" s="41">
        <f t="shared" si="4"/>
        <v>0</v>
      </c>
      <c r="J23" s="61">
        <f t="shared" si="4"/>
        <v>0</v>
      </c>
      <c r="K23" s="123">
        <f t="shared" si="4"/>
        <v>0</v>
      </c>
      <c r="L23" s="41">
        <f t="shared" si="4"/>
        <v>0</v>
      </c>
      <c r="M23" s="61">
        <f t="shared" ref="M23" si="5">M16+($N$18*M$18)+($N$18*M$19)+M$20*(1-$N$20)</f>
        <v>0</v>
      </c>
    </row>
    <row r="24" spans="1:14" x14ac:dyDescent="0.35">
      <c r="A24" s="46" t="s">
        <v>25</v>
      </c>
      <c r="C24" s="40">
        <f>(C$17+$N$18*C$18)+C$19*$N$18</f>
        <v>0</v>
      </c>
      <c r="D24" s="123"/>
      <c r="E24" s="41">
        <f t="shared" ref="E24:L24" si="6">(E$17+$N$18*E$18)+E$19*$N$18</f>
        <v>0</v>
      </c>
      <c r="F24" s="41">
        <f t="shared" si="6"/>
        <v>0</v>
      </c>
      <c r="G24" s="108">
        <f t="shared" si="6"/>
        <v>0</v>
      </c>
      <c r="H24" s="40">
        <f t="shared" si="6"/>
        <v>0</v>
      </c>
      <c r="I24" s="41">
        <f t="shared" si="6"/>
        <v>0</v>
      </c>
      <c r="J24" s="61">
        <f t="shared" si="6"/>
        <v>0</v>
      </c>
      <c r="K24" s="123">
        <f t="shared" si="6"/>
        <v>0</v>
      </c>
      <c r="L24" s="41">
        <f t="shared" si="6"/>
        <v>0</v>
      </c>
      <c r="M24" s="61">
        <f t="shared" ref="M24" si="7">(M$17+$N$18*M$18+M$20*$N$20)+M$19*$N$18</f>
        <v>0</v>
      </c>
    </row>
    <row r="25" spans="1:14" x14ac:dyDescent="0.35">
      <c r="C25" s="99"/>
      <c r="D25" s="151"/>
      <c r="E25" s="31"/>
      <c r="F25" s="31"/>
      <c r="G25" s="31"/>
      <c r="H25" s="28"/>
      <c r="I25" s="31"/>
      <c r="J25" s="11"/>
      <c r="K25" s="17"/>
      <c r="L25" s="17"/>
      <c r="M25" s="11"/>
    </row>
    <row r="26" spans="1:14" x14ac:dyDescent="0.35">
      <c r="A26" s="39" t="s">
        <v>47</v>
      </c>
      <c r="B26" s="39"/>
      <c r="C26" s="101"/>
      <c r="D26" s="266"/>
      <c r="E26" s="31"/>
      <c r="F26" s="31"/>
      <c r="G26" s="31"/>
      <c r="H26" s="28"/>
      <c r="I26" s="31"/>
      <c r="J26" s="11"/>
      <c r="K26" s="17"/>
      <c r="L26" s="17"/>
      <c r="M26" s="11"/>
    </row>
    <row r="27" spans="1:14" x14ac:dyDescent="0.35">
      <c r="A27" s="46" t="s">
        <v>24</v>
      </c>
      <c r="C27" s="102">
        <v>-660613259</v>
      </c>
      <c r="D27" s="267"/>
      <c r="E27" s="111">
        <f>+'[5]May 2022'!$F123</f>
        <v>165512010.19760004</v>
      </c>
      <c r="F27" s="111">
        <f>+'[5]Jun 2022'!$F123</f>
        <v>216492670.56410003</v>
      </c>
      <c r="G27" s="111">
        <f>+'[5]Jul 2022'!$F132</f>
        <v>318347370.50349998</v>
      </c>
      <c r="H27" s="186">
        <f>+'[5]Aug 2022'!$F132</f>
        <v>311045773.31400001</v>
      </c>
      <c r="I27" s="189">
        <f>+'[5]Sep 2022'!$F132</f>
        <v>266181378.43769994</v>
      </c>
      <c r="J27" s="181">
        <f>+'[5]Oct 2022'!$F132</f>
        <v>186663911.80759999</v>
      </c>
      <c r="K27" s="177">
        <f>+'[1]Billed kWh Sales'!O24</f>
        <v>162457956</v>
      </c>
      <c r="L27" s="141">
        <f>+'[1]Billed kWh Sales'!P24</f>
        <v>233885125</v>
      </c>
      <c r="M27" s="77">
        <f>+'[1]Billed kWh Sales'!Q24</f>
        <v>270196756</v>
      </c>
    </row>
    <row r="28" spans="1:14" x14ac:dyDescent="0.35">
      <c r="A28" s="46" t="s">
        <v>107</v>
      </c>
      <c r="C28" s="102">
        <v>-139044567</v>
      </c>
      <c r="D28" s="267"/>
      <c r="E28" s="111">
        <f>+'[5]May 2022'!$F124</f>
        <v>42527530.683999993</v>
      </c>
      <c r="F28" s="111">
        <f>+'[5]Jun 2022'!$F124</f>
        <v>48540936.98969999</v>
      </c>
      <c r="G28" s="111">
        <f>+'[5]Jul 2022'!$F133</f>
        <v>59430266.653200008</v>
      </c>
      <c r="H28" s="186">
        <f>+'[5]Aug 2022'!$F133</f>
        <v>59176691.531500012</v>
      </c>
      <c r="I28" s="189">
        <f>+'[5]Sep 2022'!$F133</f>
        <v>55860181.713699989</v>
      </c>
      <c r="J28" s="181">
        <f>+'[5]Oct 2022'!$F133</f>
        <v>48760088.588600002</v>
      </c>
      <c r="K28" s="177">
        <f>+'[1]Billed kWh Sales'!O25</f>
        <v>43695768</v>
      </c>
      <c r="L28" s="141">
        <f>+'[1]Billed kWh Sales'!P25</f>
        <v>47716997</v>
      </c>
      <c r="M28" s="77">
        <f>+'[1]Billed kWh Sales'!Q25</f>
        <v>47981178</v>
      </c>
    </row>
    <row r="29" spans="1:14" x14ac:dyDescent="0.35">
      <c r="A29" s="46" t="s">
        <v>108</v>
      </c>
      <c r="C29" s="102">
        <v>-278961497</v>
      </c>
      <c r="D29" s="267"/>
      <c r="E29" s="111">
        <f>+'[5]May 2022'!$F125</f>
        <v>80633519.219099998</v>
      </c>
      <c r="F29" s="111">
        <f>+'[5]Jun 2022'!$F125</f>
        <v>91322263.596500009</v>
      </c>
      <c r="G29" s="111">
        <f>+'[5]Jul 2022'!$F134</f>
        <v>108452055.73090002</v>
      </c>
      <c r="H29" s="186">
        <f>+'[5]Aug 2022'!$F134</f>
        <v>107799556.8374</v>
      </c>
      <c r="I29" s="189">
        <f>+'[5]Sep 2022'!$F134</f>
        <v>102710114.22010002</v>
      </c>
      <c r="J29" s="181">
        <f>+'[5]Oct 2022'!$F134</f>
        <v>89998701.244900063</v>
      </c>
      <c r="K29" s="177">
        <f>+'[1]Billed kWh Sales'!O26</f>
        <v>87665683</v>
      </c>
      <c r="L29" s="141">
        <f>+'[1]Billed kWh Sales'!P26</f>
        <v>95733369</v>
      </c>
      <c r="M29" s="77">
        <f>+'[1]Billed kWh Sales'!Q26</f>
        <v>96263389</v>
      </c>
    </row>
    <row r="30" spans="1:14" x14ac:dyDescent="0.35">
      <c r="A30" s="46" t="s">
        <v>109</v>
      </c>
      <c r="C30" s="102">
        <v>-443830720</v>
      </c>
      <c r="D30" s="267"/>
      <c r="E30" s="111">
        <f>+'[5]May 2022'!$F126</f>
        <v>138047087.32999998</v>
      </c>
      <c r="F30" s="111">
        <f>+'[5]Jun 2022'!$F126</f>
        <v>149116506.51659998</v>
      </c>
      <c r="G30" s="111">
        <f>+'[5]Jul 2022'!$F135</f>
        <v>160410205.48300004</v>
      </c>
      <c r="H30" s="186">
        <f>+'[5]Aug 2022'!$F135</f>
        <v>158527195.25220001</v>
      </c>
      <c r="I30" s="189">
        <f>+'[5]Sep 2022'!$F135</f>
        <v>156160833.43810001</v>
      </c>
      <c r="J30" s="181">
        <f>+'[5]Oct 2022'!$F135</f>
        <v>144335534.7376</v>
      </c>
      <c r="K30" s="177">
        <f>+'[1]Billed kWh Sales'!O27</f>
        <v>139477037</v>
      </c>
      <c r="L30" s="141">
        <f>+'[1]Billed kWh Sales'!P27</f>
        <v>152312812</v>
      </c>
      <c r="M30" s="77">
        <f>+'[1]Billed kWh Sales'!Q27</f>
        <v>153156079</v>
      </c>
    </row>
    <row r="31" spans="1:14" x14ac:dyDescent="0.35">
      <c r="A31" s="46" t="s">
        <v>110</v>
      </c>
      <c r="C31" s="102">
        <v>-118612947</v>
      </c>
      <c r="D31" s="267"/>
      <c r="E31" s="111">
        <f>+'[5]May 2022'!$F127</f>
        <v>36111223.603</v>
      </c>
      <c r="F31" s="111">
        <f>+'[5]Jun 2022'!$F127</f>
        <v>30365304.651900001</v>
      </c>
      <c r="G31" s="111">
        <f>+'[5]Jul 2022'!$F136</f>
        <v>44438423.0101</v>
      </c>
      <c r="H31" s="186">
        <f>+'[5]Aug 2022'!$F136</f>
        <v>52259586.685699999</v>
      </c>
      <c r="I31" s="189">
        <f>+'[5]Sep 2022'!$F136</f>
        <v>52512125.425600007</v>
      </c>
      <c r="J31" s="181">
        <f>+'[5]Oct 2022'!$F136</f>
        <v>38160324.707399994</v>
      </c>
      <c r="K31" s="177">
        <f>+'[1]Billed kWh Sales'!O28</f>
        <v>37274982</v>
      </c>
      <c r="L31" s="141">
        <f>+'[1]Billed kWh Sales'!P28</f>
        <v>40705320</v>
      </c>
      <c r="M31" s="77">
        <f>+'[1]Billed kWh Sales'!Q28</f>
        <v>40930681</v>
      </c>
    </row>
    <row r="32" spans="1:14" x14ac:dyDescent="0.35">
      <c r="C32" s="99"/>
      <c r="D32" s="151"/>
      <c r="E32" s="31"/>
      <c r="F32" s="31"/>
      <c r="G32" s="31"/>
      <c r="H32" s="28"/>
      <c r="I32" s="31"/>
      <c r="J32" s="11"/>
      <c r="K32" s="17"/>
      <c r="L32" s="17"/>
      <c r="M32" s="11"/>
    </row>
    <row r="33" spans="1:15" x14ac:dyDescent="0.35">
      <c r="A33" s="46" t="s">
        <v>34</v>
      </c>
      <c r="C33" s="99"/>
      <c r="D33" s="151"/>
      <c r="E33" s="18"/>
      <c r="F33" s="18"/>
      <c r="G33" s="18"/>
      <c r="H33" s="91"/>
      <c r="I33" s="18"/>
      <c r="J33" s="11"/>
      <c r="K33" s="57"/>
      <c r="L33" s="57"/>
      <c r="M33" s="58"/>
      <c r="N33" s="63" t="s">
        <v>50</v>
      </c>
      <c r="O33" s="39"/>
    </row>
    <row r="34" spans="1:15" x14ac:dyDescent="0.35">
      <c r="A34" s="46" t="s">
        <v>24</v>
      </c>
      <c r="C34" s="97">
        <v>-6606.14</v>
      </c>
      <c r="D34" s="264"/>
      <c r="E34" s="109">
        <f>ROUND(+'[5]May 2022'!$F43+'[5]May 2022'!$F52,2)</f>
        <v>1653.92</v>
      </c>
      <c r="F34" s="109">
        <f>ROUND(+'[5]Jun 2022'!$F43+'[5]Jun 2022'!$F52,2)</f>
        <v>2163.7600000000002</v>
      </c>
      <c r="G34" s="111">
        <f>ROUND(+'[5]Jul 2022'!$F43+'[5]Jul 2022'!$F52,2)</f>
        <v>3268.8</v>
      </c>
      <c r="H34" s="187">
        <f>ROUND(+'[5]Aug 2022'!$F43+'[5]Aug 2022'!$F52,2)</f>
        <v>21217.9</v>
      </c>
      <c r="I34" s="55">
        <f>ROUND(+'[5]Sep 2022'!$F43+'[5]Sep 2022'!$F52,2)</f>
        <v>0</v>
      </c>
      <c r="J34" s="179">
        <f>ROUND(+'[5]Oct 2022'!$F43+'[5]Oct 2022'!$F52,2)</f>
        <v>0</v>
      </c>
      <c r="K34" s="123">
        <f>ROUND(K27*$N34,2)</f>
        <v>0</v>
      </c>
      <c r="L34" s="41">
        <f t="shared" ref="L34:M34" si="8">ROUND(L27*$N34,2)</f>
        <v>0</v>
      </c>
      <c r="M34" s="61">
        <f t="shared" si="8"/>
        <v>0</v>
      </c>
      <c r="N34" s="72">
        <v>0</v>
      </c>
    </row>
    <row r="35" spans="1:15" x14ac:dyDescent="0.35">
      <c r="A35" s="46" t="s">
        <v>107</v>
      </c>
      <c r="C35" s="97">
        <v>4171.34</v>
      </c>
      <c r="D35" s="264"/>
      <c r="E35" s="109">
        <f>ROUND(+'[5]May 2022'!$F44+'[5]May 2022'!$F53,2)</f>
        <v>-1275.96</v>
      </c>
      <c r="F35" s="109">
        <f>ROUND(+'[5]Jun 2022'!$F44+'[5]Jun 2022'!$F53,2)</f>
        <v>-1258.1500000000001</v>
      </c>
      <c r="G35" s="111">
        <f>ROUND(+'[5]Jul 2022'!$F44+'[5]Jul 2022'!$F53,2)</f>
        <v>-1783.16</v>
      </c>
      <c r="H35" s="187">
        <f>ROUND(+'[5]Aug 2022'!$F44+'[5]Aug 2022'!$F53,2)</f>
        <v>-1769</v>
      </c>
      <c r="I35" s="55">
        <f>ROUND(+'[5]Sep 2022'!$F44+'[5]Sep 2022'!$F53,2)</f>
        <v>-1124.78</v>
      </c>
      <c r="J35" s="179">
        <f>ROUND(+'[5]Oct 2022'!$F44+'[5]Oct 2022'!$F53,2)</f>
        <v>-977.02</v>
      </c>
      <c r="K35" s="123">
        <f t="shared" ref="K35:M35" si="9">ROUND(K28*$N35,2)</f>
        <v>-873.92</v>
      </c>
      <c r="L35" s="41">
        <f t="shared" si="9"/>
        <v>-954.34</v>
      </c>
      <c r="M35" s="61">
        <f t="shared" si="9"/>
        <v>-959.62</v>
      </c>
      <c r="N35" s="72">
        <v>-2.0000000000000002E-5</v>
      </c>
    </row>
    <row r="36" spans="1:15" x14ac:dyDescent="0.35">
      <c r="A36" s="46" t="s">
        <v>108</v>
      </c>
      <c r="C36" s="97">
        <v>11158.45</v>
      </c>
      <c r="D36" s="264"/>
      <c r="E36" s="109">
        <f>ROUND(+'[5]May 2022'!$F45+'[5]May 2022'!$F54,2)</f>
        <v>-3223.09</v>
      </c>
      <c r="F36" s="109">
        <f>ROUND(+'[5]Jun 2022'!$F45+'[5]Jun 2022'!$F54,2)</f>
        <v>-3680.84</v>
      </c>
      <c r="G36" s="111">
        <f>ROUND(+'[5]Jul 2022'!$F45+'[5]Jul 2022'!$F54,2)</f>
        <v>-4339.87</v>
      </c>
      <c r="H36" s="187">
        <f>ROUND(+'[5]Aug 2022'!$F45+'[5]Aug 2022'!$F54,2)</f>
        <v>-3502.67</v>
      </c>
      <c r="I36" s="55">
        <f>ROUND(+'[5]Sep 2022'!$F45+'[5]Sep 2022'!$F54,2)</f>
        <v>-2057.88</v>
      </c>
      <c r="J36" s="179">
        <f>ROUND(+'[5]Oct 2022'!$F45+'[5]Oct 2022'!$F54,2)</f>
        <v>-1553.32</v>
      </c>
      <c r="K36" s="123">
        <f t="shared" ref="K36:M36" si="10">ROUND(K29*$N36,2)</f>
        <v>-1753.31</v>
      </c>
      <c r="L36" s="41">
        <f t="shared" si="10"/>
        <v>-1914.67</v>
      </c>
      <c r="M36" s="61">
        <f t="shared" si="10"/>
        <v>-1925.27</v>
      </c>
      <c r="N36" s="72">
        <v>-2.0000000000000002E-5</v>
      </c>
    </row>
    <row r="37" spans="1:15" x14ac:dyDescent="0.35">
      <c r="A37" s="46" t="s">
        <v>109</v>
      </c>
      <c r="C37" s="97">
        <v>13314.919999999998</v>
      </c>
      <c r="D37" s="264"/>
      <c r="E37" s="109">
        <f>ROUND(+'[5]May 2022'!$F46+'[5]May 2022'!$F55,2)</f>
        <v>-4139.62</v>
      </c>
      <c r="F37" s="109">
        <f>ROUND(+'[5]Jun 2022'!$F46+'[5]Jun 2022'!$F55,2)</f>
        <v>-4469.6499999999996</v>
      </c>
      <c r="G37" s="111">
        <f>ROUND(+'[5]Jul 2022'!$F46+'[5]Jul 2022'!$F55,2)</f>
        <v>-4810.82</v>
      </c>
      <c r="H37" s="187">
        <f>ROUND(+'[5]Aug 2022'!$F46+'[5]Aug 2022'!$F55,2)</f>
        <v>-4066.87</v>
      </c>
      <c r="I37" s="55">
        <f>ROUND(+'[5]Sep 2022'!$F46+'[5]Sep 2022'!$F55,2)</f>
        <v>-3120.64</v>
      </c>
      <c r="J37" s="179">
        <f>ROUND(+'[5]Oct 2022'!$F46+'[5]Oct 2022'!$F55,2)</f>
        <v>-2884.86</v>
      </c>
      <c r="K37" s="123">
        <f t="shared" ref="K37:M37" si="11">ROUND(K30*$N37,2)</f>
        <v>-2789.54</v>
      </c>
      <c r="L37" s="41">
        <f t="shared" si="11"/>
        <v>-3046.26</v>
      </c>
      <c r="M37" s="61">
        <f t="shared" si="11"/>
        <v>-3063.12</v>
      </c>
      <c r="N37" s="72">
        <v>-2.0000000000000002E-5</v>
      </c>
    </row>
    <row r="38" spans="1:15" x14ac:dyDescent="0.35">
      <c r="A38" s="46" t="s">
        <v>110</v>
      </c>
      <c r="C38" s="97">
        <v>2372.2600000000002</v>
      </c>
      <c r="D38" s="264"/>
      <c r="E38" s="109">
        <f>ROUND(+'[5]May 2022'!$F47+'[5]May 2022'!$F56,2)</f>
        <v>-538.55999999999995</v>
      </c>
      <c r="F38" s="109">
        <f>ROUND(+'[5]Jun 2022'!$F47+'[5]Jun 2022'!$F56,2)</f>
        <v>-573.54999999999995</v>
      </c>
      <c r="G38" s="111">
        <f>ROUND(+'[5]Jul 2022'!$F47+'[5]Jul 2022'!$F56,2)</f>
        <v>-582.13</v>
      </c>
      <c r="H38" s="187">
        <f>ROUND(+'[5]Aug 2022'!$F47+'[5]Aug 2022'!$F56,2)</f>
        <v>-8189.52</v>
      </c>
      <c r="I38" s="55">
        <f>ROUND(+'[5]Sep 2022'!$F47+'[5]Sep 2022'!$F56,2)</f>
        <v>94.63</v>
      </c>
      <c r="J38" s="179">
        <f>ROUND(+'[5]Oct 2022'!$F47+'[5]Oct 2022'!$F56,2)</f>
        <v>-350.69</v>
      </c>
      <c r="K38" s="123">
        <f>ROUND(K31*$N38,2)</f>
        <v>-372.75</v>
      </c>
      <c r="L38" s="41">
        <f t="shared" ref="L38:M38" si="12">ROUND(L31*$N38,2)</f>
        <v>-407.05</v>
      </c>
      <c r="M38" s="61">
        <f t="shared" si="12"/>
        <v>-409.31</v>
      </c>
      <c r="N38" s="72">
        <v>-1.0000000000000001E-5</v>
      </c>
    </row>
    <row r="39" spans="1:15" x14ac:dyDescent="0.35">
      <c r="C39" s="67"/>
      <c r="D39" s="68"/>
      <c r="E39" s="18"/>
      <c r="F39" s="18"/>
      <c r="G39" s="18"/>
      <c r="H39" s="91"/>
      <c r="I39" s="18"/>
      <c r="J39" s="11"/>
      <c r="K39" s="56"/>
      <c r="L39" s="56"/>
      <c r="M39" s="13"/>
      <c r="N39" s="4"/>
    </row>
    <row r="40" spans="1:15" ht="15" thickBot="1" x14ac:dyDescent="0.4">
      <c r="A40" s="46" t="s">
        <v>14</v>
      </c>
      <c r="C40" s="103">
        <v>213.19</v>
      </c>
      <c r="D40" s="268"/>
      <c r="E40" s="112">
        <v>-136.07999999999998</v>
      </c>
      <c r="F40" s="112">
        <v>-156.59</v>
      </c>
      <c r="G40" s="113">
        <v>-177.8</v>
      </c>
      <c r="H40" s="26">
        <v>-220.98</v>
      </c>
      <c r="I40" s="122">
        <v>-214.87</v>
      </c>
      <c r="J40" s="180">
        <v>-223.68</v>
      </c>
      <c r="K40" s="178">
        <v>-203.02</v>
      </c>
      <c r="L40" s="142">
        <v>-181.26</v>
      </c>
      <c r="M40" s="81"/>
    </row>
    <row r="41" spans="1:15" x14ac:dyDescent="0.35">
      <c r="C41" s="99"/>
      <c r="D41" s="151"/>
      <c r="E41" s="31"/>
      <c r="F41" s="31"/>
      <c r="G41" s="31"/>
      <c r="H41" s="28"/>
      <c r="I41" s="31"/>
      <c r="J41" s="11"/>
      <c r="K41" s="17"/>
      <c r="L41" s="17"/>
      <c r="M41" s="11"/>
    </row>
    <row r="42" spans="1:15" x14ac:dyDescent="0.35">
      <c r="A42" s="46" t="s">
        <v>52</v>
      </c>
      <c r="C42" s="99"/>
      <c r="D42" s="151"/>
      <c r="E42" s="31"/>
      <c r="F42" s="31"/>
      <c r="G42" s="31"/>
      <c r="H42" s="28"/>
      <c r="I42" s="31"/>
      <c r="J42" s="11"/>
      <c r="K42" s="17"/>
      <c r="L42" s="17"/>
      <c r="M42" s="11"/>
    </row>
    <row r="43" spans="1:15" x14ac:dyDescent="0.35">
      <c r="A43" s="46" t="s">
        <v>24</v>
      </c>
      <c r="C43" s="40">
        <f t="shared" ref="C43:M43" si="13">C23-C34</f>
        <v>6606.14</v>
      </c>
      <c r="D43" s="123">
        <v>9480.49</v>
      </c>
      <c r="E43" s="41">
        <f t="shared" si="13"/>
        <v>-1653.92</v>
      </c>
      <c r="F43" s="41">
        <f t="shared" si="13"/>
        <v>-2163.7600000000002</v>
      </c>
      <c r="G43" s="108">
        <f t="shared" si="13"/>
        <v>-3268.8</v>
      </c>
      <c r="H43" s="40">
        <f t="shared" si="13"/>
        <v>-21217.9</v>
      </c>
      <c r="I43" s="41">
        <f t="shared" si="13"/>
        <v>0</v>
      </c>
      <c r="J43" s="61">
        <f t="shared" si="13"/>
        <v>0</v>
      </c>
      <c r="K43" s="123">
        <f t="shared" si="13"/>
        <v>0</v>
      </c>
      <c r="L43" s="41">
        <f t="shared" si="13"/>
        <v>0</v>
      </c>
      <c r="M43" s="49">
        <f t="shared" si="13"/>
        <v>0</v>
      </c>
    </row>
    <row r="44" spans="1:15" x14ac:dyDescent="0.35">
      <c r="A44" s="46" t="s">
        <v>25</v>
      </c>
      <c r="C44" s="40">
        <f>C24-SUM(C35:C38)</f>
        <v>-31016.97</v>
      </c>
      <c r="D44" s="123">
        <f>-D43</f>
        <v>-9480.49</v>
      </c>
      <c r="E44" s="41">
        <f>E24-SUM(E35:E38)</f>
        <v>9177.23</v>
      </c>
      <c r="F44" s="41">
        <f t="shared" ref="F44:M44" si="14">F24-SUM(F35:F38)</f>
        <v>9982.1899999999987</v>
      </c>
      <c r="G44" s="108">
        <f t="shared" si="14"/>
        <v>11515.979999999998</v>
      </c>
      <c r="H44" s="40">
        <f t="shared" si="14"/>
        <v>17528.060000000001</v>
      </c>
      <c r="I44" s="41">
        <f t="shared" si="14"/>
        <v>6208.6699999999992</v>
      </c>
      <c r="J44" s="61">
        <f t="shared" si="14"/>
        <v>5765.89</v>
      </c>
      <c r="K44" s="123">
        <f t="shared" si="14"/>
        <v>5789.52</v>
      </c>
      <c r="L44" s="41">
        <f t="shared" si="14"/>
        <v>6322.3200000000006</v>
      </c>
      <c r="M44" s="49">
        <f t="shared" si="14"/>
        <v>6357.3200000000006</v>
      </c>
    </row>
    <row r="45" spans="1:15" x14ac:dyDescent="0.35">
      <c r="C45" s="99"/>
      <c r="D45" s="151"/>
      <c r="E45" s="31"/>
      <c r="F45" s="31"/>
      <c r="G45" s="31"/>
      <c r="H45" s="28"/>
      <c r="I45" s="31"/>
      <c r="J45" s="11"/>
      <c r="K45" s="17"/>
      <c r="L45" s="17"/>
      <c r="M45" s="11"/>
    </row>
    <row r="46" spans="1:15" ht="15" thickBot="1" x14ac:dyDescent="0.4">
      <c r="A46" s="46" t="s">
        <v>53</v>
      </c>
      <c r="C46" s="104"/>
      <c r="D46" s="269"/>
      <c r="E46" s="31"/>
      <c r="F46" s="31"/>
      <c r="G46" s="31"/>
      <c r="H46" s="28"/>
      <c r="I46" s="31"/>
      <c r="J46" s="11"/>
      <c r="K46" s="17"/>
      <c r="L46" s="17"/>
      <c r="M46" s="11"/>
    </row>
    <row r="47" spans="1:15" x14ac:dyDescent="0.35">
      <c r="A47" s="46" t="s">
        <v>24</v>
      </c>
      <c r="B47" s="116">
        <v>12123.5</v>
      </c>
      <c r="C47" s="41">
        <f>B47+C43+B52</f>
        <v>18729.64</v>
      </c>
      <c r="D47" s="41">
        <f>C47+D43+C52</f>
        <v>28165.1</v>
      </c>
      <c r="E47" s="41">
        <f>C47+D43+E43+C52+D52</f>
        <v>26511.18</v>
      </c>
      <c r="F47" s="41">
        <f t="shared" ref="F47:M47" si="15">E47+F43+E52</f>
        <v>24376.19</v>
      </c>
      <c r="G47" s="108">
        <f t="shared" si="15"/>
        <v>21159.21</v>
      </c>
      <c r="H47" s="295">
        <f>G47+H43+G52</f>
        <v>-2.3305801732931286E-12</v>
      </c>
      <c r="I47" s="296">
        <f t="shared" si="15"/>
        <v>-2.3305801732931286E-12</v>
      </c>
      <c r="J47" s="61">
        <f t="shared" si="15"/>
        <v>-2.3305801732931286E-12</v>
      </c>
      <c r="K47" s="123">
        <f t="shared" si="15"/>
        <v>-2.3305801732931286E-12</v>
      </c>
      <c r="L47" s="41">
        <f t="shared" si="15"/>
        <v>-2.3305801732931286E-12</v>
      </c>
      <c r="M47" s="49">
        <f t="shared" si="15"/>
        <v>-2.3305801732931286E-12</v>
      </c>
    </row>
    <row r="48" spans="1:15" ht="15" thickBot="1" x14ac:dyDescent="0.4">
      <c r="A48" s="46" t="s">
        <v>25</v>
      </c>
      <c r="B48" s="117">
        <v>-76151.83</v>
      </c>
      <c r="C48" s="41">
        <f>B48+C44+B53</f>
        <v>-107168.8</v>
      </c>
      <c r="D48" s="41">
        <f>C48+D44+C53</f>
        <v>-116391.08</v>
      </c>
      <c r="E48" s="41">
        <f>C48+D44+E44+C53+D53</f>
        <v>-107213.85</v>
      </c>
      <c r="F48" s="41">
        <f t="shared" ref="F48:M48" si="16">E48+F44+E53</f>
        <v>-97396.510000000009</v>
      </c>
      <c r="G48" s="108">
        <f t="shared" si="16"/>
        <v>-86088.940000000017</v>
      </c>
      <c r="H48" s="40">
        <f t="shared" si="16"/>
        <v>-68797.380000000019</v>
      </c>
      <c r="I48" s="41">
        <f t="shared" si="16"/>
        <v>-62809.690000000024</v>
      </c>
      <c r="J48" s="61">
        <f t="shared" si="16"/>
        <v>-57258.670000000027</v>
      </c>
      <c r="K48" s="123">
        <f t="shared" si="16"/>
        <v>-51692.830000000024</v>
      </c>
      <c r="L48" s="41">
        <f t="shared" si="16"/>
        <v>-45573.530000000021</v>
      </c>
      <c r="M48" s="49">
        <f t="shared" si="16"/>
        <v>-39397.470000000023</v>
      </c>
    </row>
    <row r="49" spans="1:14" x14ac:dyDescent="0.35">
      <c r="C49" s="99"/>
      <c r="D49" s="151"/>
      <c r="E49" s="31"/>
      <c r="F49" s="31"/>
      <c r="G49" s="31"/>
      <c r="H49" s="28"/>
      <c r="I49" s="31"/>
      <c r="J49" s="11"/>
      <c r="K49" s="17"/>
      <c r="L49" s="17"/>
      <c r="M49" s="11"/>
    </row>
    <row r="50" spans="1:14" x14ac:dyDescent="0.35">
      <c r="A50" s="39" t="s">
        <v>49</v>
      </c>
      <c r="B50" s="39"/>
      <c r="C50" s="104"/>
      <c r="D50" s="269"/>
      <c r="E50" s="83">
        <f>+'[6]May 2022'!$E$43</f>
        <v>1.61108E-3</v>
      </c>
      <c r="F50" s="83">
        <f>+'[6]Jun 2022'!$E$42</f>
        <v>2.0355199999999999E-3</v>
      </c>
      <c r="G50" s="83">
        <f>+'[6]Jul 2022'!$E$43</f>
        <v>2.5749000000000002E-3</v>
      </c>
      <c r="H50" s="84">
        <f>+'[6]Aug 2022'!$E$43</f>
        <v>2.84906E-3</v>
      </c>
      <c r="I50" s="83">
        <f>+'[6]Sep 2022'!$E$42</f>
        <v>3.2598100000000001E-3</v>
      </c>
      <c r="J50" s="92">
        <f>+'[6]Oct 2022'!$E$43</f>
        <v>3.7192499999999999E-3</v>
      </c>
      <c r="K50" s="83">
        <f>+J50</f>
        <v>3.7192499999999999E-3</v>
      </c>
      <c r="L50" s="83">
        <f>+K50</f>
        <v>3.7192499999999999E-3</v>
      </c>
      <c r="M50" s="92"/>
    </row>
    <row r="51" spans="1:14" x14ac:dyDescent="0.35">
      <c r="A51" s="39" t="s">
        <v>37</v>
      </c>
      <c r="B51" s="39"/>
      <c r="C51" s="99"/>
      <c r="D51" s="151"/>
      <c r="E51" s="31"/>
      <c r="F51" s="31"/>
      <c r="G51" s="31"/>
      <c r="H51" s="28"/>
      <c r="I51" s="31"/>
      <c r="J51" s="11"/>
      <c r="K51" s="17"/>
      <c r="L51" s="17"/>
      <c r="M51" s="11"/>
      <c r="N51" s="71"/>
    </row>
    <row r="52" spans="1:14" x14ac:dyDescent="0.35">
      <c r="A52" s="46" t="s">
        <v>24</v>
      </c>
      <c r="C52" s="40">
        <v>-45.03</v>
      </c>
      <c r="D52" s="123"/>
      <c r="E52" s="41">
        <f>ROUND((C47+C52+D52+E43/2)*E$50,2)</f>
        <v>28.77</v>
      </c>
      <c r="F52" s="41">
        <f t="shared" ref="F52:F53" si="17">ROUND((E47+E52+F43/2)*F$50,2)</f>
        <v>51.82</v>
      </c>
      <c r="G52" s="108">
        <f t="shared" ref="G52:G53" si="18">ROUND((F47+F52+G43/2)*G$50,2)</f>
        <v>58.69</v>
      </c>
      <c r="H52" s="40">
        <f>ROUND((G47+G52+H43/2)*H$50,2)*0</f>
        <v>0</v>
      </c>
      <c r="I52" s="123">
        <f t="shared" ref="I52:J53" si="19">ROUND((H47+H52+I43/2)*I$50,2)</f>
        <v>0</v>
      </c>
      <c r="J52" s="61">
        <f t="shared" si="19"/>
        <v>0</v>
      </c>
      <c r="K52" s="123">
        <f t="shared" ref="K52:K53" si="20">ROUND((J47+J52+K43/2)*K$50,2)</f>
        <v>0</v>
      </c>
      <c r="L52" s="123">
        <f t="shared" ref="L52:L53" si="21">ROUND((K47+K52+L43/2)*L$50,2)</f>
        <v>0</v>
      </c>
      <c r="M52" s="49"/>
    </row>
    <row r="53" spans="1:14" ht="15" thickBot="1" x14ac:dyDescent="0.4">
      <c r="A53" s="46" t="s">
        <v>25</v>
      </c>
      <c r="C53" s="114">
        <v>258.21000000000004</v>
      </c>
      <c r="D53" s="270"/>
      <c r="E53" s="41">
        <f>ROUND((C48+C53+D53+E44/2)*E$50,2)</f>
        <v>-164.85</v>
      </c>
      <c r="F53" s="41">
        <f t="shared" si="17"/>
        <v>-208.41</v>
      </c>
      <c r="G53" s="108">
        <f t="shared" si="18"/>
        <v>-236.5</v>
      </c>
      <c r="H53" s="40">
        <f t="shared" ref="H53" si="22">ROUND((G48+G53+H44/2)*H$50,2)</f>
        <v>-220.98</v>
      </c>
      <c r="I53" s="123">
        <f t="shared" si="19"/>
        <v>-214.87</v>
      </c>
      <c r="J53" s="61">
        <f t="shared" si="19"/>
        <v>-223.68</v>
      </c>
      <c r="K53" s="123">
        <f t="shared" si="20"/>
        <v>-203.02</v>
      </c>
      <c r="L53" s="123">
        <f t="shared" si="21"/>
        <v>-181.26</v>
      </c>
      <c r="M53" s="49"/>
    </row>
    <row r="54" spans="1:14" ht="15.5" thickTop="1" thickBot="1" x14ac:dyDescent="0.4">
      <c r="A54" s="54" t="s">
        <v>22</v>
      </c>
      <c r="B54" s="54"/>
      <c r="C54" s="115">
        <v>0</v>
      </c>
      <c r="D54" s="271"/>
      <c r="E54" s="32">
        <f t="shared" ref="E54:M54" si="23">SUM(E52:E53)+SUM(E47:E48)-E57</f>
        <v>0</v>
      </c>
      <c r="F54" s="32">
        <f t="shared" si="23"/>
        <v>0</v>
      </c>
      <c r="G54" s="50">
        <f t="shared" si="23"/>
        <v>0</v>
      </c>
      <c r="H54" s="124">
        <f t="shared" si="23"/>
        <v>0</v>
      </c>
      <c r="I54" s="32">
        <f t="shared" si="23"/>
        <v>0</v>
      </c>
      <c r="J54" s="62">
        <f t="shared" si="23"/>
        <v>0</v>
      </c>
      <c r="K54" s="165">
        <f t="shared" si="23"/>
        <v>0</v>
      </c>
      <c r="L54" s="32">
        <f t="shared" si="23"/>
        <v>0</v>
      </c>
      <c r="M54" s="96">
        <f t="shared" si="23"/>
        <v>0</v>
      </c>
    </row>
    <row r="55" spans="1:14" ht="15.5" thickTop="1" thickBot="1" x14ac:dyDescent="0.4">
      <c r="A55" s="54" t="s">
        <v>23</v>
      </c>
      <c r="B55" s="54"/>
      <c r="C55" s="107">
        <v>0</v>
      </c>
      <c r="D55" s="272"/>
      <c r="E55" s="32">
        <f t="shared" ref="E55:M55" si="24">SUM(E52:E53)-E40</f>
        <v>0</v>
      </c>
      <c r="F55" s="32">
        <f t="shared" si="24"/>
        <v>0</v>
      </c>
      <c r="G55" s="50">
        <f t="shared" si="24"/>
        <v>-9.9999999999909051E-3</v>
      </c>
      <c r="H55" s="51">
        <f t="shared" si="24"/>
        <v>0</v>
      </c>
      <c r="I55" s="32">
        <f t="shared" si="24"/>
        <v>0</v>
      </c>
      <c r="J55" s="62">
        <f t="shared" si="24"/>
        <v>0</v>
      </c>
      <c r="K55" s="165">
        <f t="shared" si="24"/>
        <v>0</v>
      </c>
      <c r="L55" s="32">
        <f t="shared" si="24"/>
        <v>0</v>
      </c>
      <c r="M55" s="96">
        <f t="shared" si="24"/>
        <v>0</v>
      </c>
    </row>
    <row r="56" spans="1:14" ht="15.5" thickTop="1" thickBot="1" x14ac:dyDescent="0.4">
      <c r="C56" s="99"/>
      <c r="D56" s="151"/>
      <c r="E56" s="17"/>
      <c r="F56" s="17"/>
      <c r="G56" s="17"/>
      <c r="H56" s="10"/>
      <c r="I56" s="17"/>
      <c r="J56" s="11"/>
      <c r="K56" s="17"/>
      <c r="L56" s="17"/>
      <c r="M56" s="11"/>
    </row>
    <row r="57" spans="1:14" ht="15" thickBot="1" x14ac:dyDescent="0.4">
      <c r="A57" s="46" t="s">
        <v>36</v>
      </c>
      <c r="B57" s="119">
        <f>+B47+B48</f>
        <v>-64028.33</v>
      </c>
      <c r="C57" s="40">
        <f t="shared" ref="C57:M57" si="25">(SUM(C16:C20)-SUM(C34:C38))+SUM(C52:C53)+B57</f>
        <v>-88225.98000000001</v>
      </c>
      <c r="D57" s="40">
        <f t="shared" si="25"/>
        <v>-88225.98000000001</v>
      </c>
      <c r="E57" s="41">
        <f>(SUM(E16:E20)-SUM(E34:E38))+SUM(D52:E53)+C57</f>
        <v>-80838.750000000015</v>
      </c>
      <c r="F57" s="41">
        <f t="shared" si="25"/>
        <v>-73176.910000000018</v>
      </c>
      <c r="G57" s="108">
        <f t="shared" si="25"/>
        <v>-65107.540000000023</v>
      </c>
      <c r="H57" s="40">
        <f t="shared" si="25"/>
        <v>-69018.36000000003</v>
      </c>
      <c r="I57" s="41">
        <f t="shared" si="25"/>
        <v>-63024.560000000027</v>
      </c>
      <c r="J57" s="61">
        <f t="shared" si="25"/>
        <v>-57482.350000000028</v>
      </c>
      <c r="K57" s="123">
        <f t="shared" si="25"/>
        <v>-51895.850000000028</v>
      </c>
      <c r="L57" s="41">
        <f t="shared" si="25"/>
        <v>-45754.79000000003</v>
      </c>
      <c r="M57" s="61">
        <f t="shared" si="25"/>
        <v>-39397.47000000003</v>
      </c>
    </row>
    <row r="58" spans="1:14" x14ac:dyDescent="0.35">
      <c r="A58" s="46" t="s">
        <v>12</v>
      </c>
      <c r="C58" s="120"/>
      <c r="D58" s="17"/>
      <c r="E58" s="56"/>
      <c r="F58" s="56"/>
      <c r="G58" s="56"/>
      <c r="H58" s="12"/>
      <c r="I58" s="56"/>
      <c r="J58" s="11"/>
      <c r="K58" s="17"/>
      <c r="L58" s="17"/>
      <c r="M58" s="11"/>
    </row>
    <row r="59" spans="1:14" ht="15" thickBot="1" x14ac:dyDescent="0.4">
      <c r="B59" s="17"/>
      <c r="C59" s="43"/>
      <c r="D59" s="44"/>
      <c r="E59" s="44"/>
      <c r="F59" s="44"/>
      <c r="G59" s="44"/>
      <c r="H59" s="43"/>
      <c r="I59" s="44"/>
      <c r="J59" s="45"/>
      <c r="K59" s="44"/>
      <c r="L59" s="44"/>
      <c r="M59" s="45"/>
    </row>
    <row r="61" spans="1:14" x14ac:dyDescent="0.35">
      <c r="A61" s="69" t="s">
        <v>11</v>
      </c>
      <c r="B61" s="69"/>
      <c r="C61" s="69"/>
      <c r="D61" s="69"/>
    </row>
    <row r="62" spans="1:14" ht="42.75" customHeight="1" x14ac:dyDescent="0.35">
      <c r="A62" s="309" t="s">
        <v>174</v>
      </c>
      <c r="B62" s="309"/>
      <c r="C62" s="309"/>
      <c r="D62" s="309"/>
      <c r="E62" s="309"/>
      <c r="F62" s="309"/>
      <c r="G62" s="309"/>
      <c r="H62" s="309"/>
      <c r="I62" s="309"/>
      <c r="J62" s="309"/>
      <c r="K62" s="146"/>
      <c r="L62" s="146"/>
      <c r="M62" s="146"/>
    </row>
    <row r="63" spans="1:14" ht="33.75" customHeight="1" x14ac:dyDescent="0.35">
      <c r="A63" s="309" t="s">
        <v>219</v>
      </c>
      <c r="B63" s="309"/>
      <c r="C63" s="309"/>
      <c r="D63" s="309"/>
      <c r="E63" s="309"/>
      <c r="F63" s="309"/>
      <c r="G63" s="309"/>
      <c r="H63" s="309"/>
      <c r="I63" s="309"/>
      <c r="J63" s="309"/>
      <c r="K63" s="146"/>
      <c r="L63" s="146"/>
      <c r="M63" s="146"/>
    </row>
    <row r="64" spans="1:14" ht="33.75" customHeight="1" x14ac:dyDescent="0.35">
      <c r="A64" s="309" t="s">
        <v>186</v>
      </c>
      <c r="B64" s="309"/>
      <c r="C64" s="309"/>
      <c r="D64" s="309"/>
      <c r="E64" s="309"/>
      <c r="F64" s="309"/>
      <c r="G64" s="309"/>
      <c r="H64" s="309"/>
      <c r="I64" s="309"/>
      <c r="J64" s="309"/>
      <c r="K64" s="146"/>
      <c r="L64" s="146"/>
      <c r="M64" s="146"/>
    </row>
    <row r="65" spans="1:14" x14ac:dyDescent="0.35">
      <c r="A65" s="3" t="s">
        <v>31</v>
      </c>
      <c r="B65" s="3"/>
      <c r="C65" s="3"/>
      <c r="D65" s="3"/>
      <c r="J65" s="4"/>
    </row>
    <row r="66" spans="1:14" x14ac:dyDescent="0.35">
      <c r="A66" s="63" t="s">
        <v>203</v>
      </c>
      <c r="B66" s="3"/>
      <c r="C66" s="3"/>
      <c r="D66" s="3"/>
      <c r="J66" s="4"/>
    </row>
    <row r="67" spans="1:14" x14ac:dyDescent="0.35">
      <c r="A67" s="3" t="s">
        <v>51</v>
      </c>
      <c r="B67" s="3"/>
      <c r="C67" s="3"/>
      <c r="D67" s="3"/>
      <c r="J67" s="4"/>
    </row>
    <row r="68" spans="1:14" x14ac:dyDescent="0.35">
      <c r="A68" s="3" t="s">
        <v>204</v>
      </c>
    </row>
    <row r="70" spans="1:14" ht="30" customHeight="1" x14ac:dyDescent="0.35">
      <c r="A70" s="305"/>
      <c r="B70" s="305"/>
      <c r="C70" s="305"/>
      <c r="D70" s="305"/>
      <c r="E70" s="305"/>
      <c r="F70" s="305"/>
      <c r="G70" s="305"/>
    </row>
    <row r="77" spans="1:14" x14ac:dyDescent="0.35">
      <c r="N77" s="8"/>
    </row>
  </sheetData>
  <mergeCells count="7">
    <mergeCell ref="A70:G70"/>
    <mergeCell ref="K14:M14"/>
    <mergeCell ref="A64:J64"/>
    <mergeCell ref="E14:G14"/>
    <mergeCell ref="A62:J62"/>
    <mergeCell ref="A63:J63"/>
    <mergeCell ref="H14:J14"/>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I81"/>
  <sheetViews>
    <sheetView topLeftCell="G1" workbookViewId="0">
      <selection activeCell="O16" sqref="O16"/>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1796875" style="46" customWidth="1"/>
    <col min="17" max="17" width="17.26953125" style="46" bestFit="1" customWidth="1"/>
    <col min="18" max="18" width="17.453125" style="46" customWidth="1"/>
    <col min="19" max="19" width="15.54296875" style="46" customWidth="1"/>
    <col min="20" max="20" width="13" style="46" customWidth="1"/>
    <col min="21" max="21" width="9.1796875" style="46"/>
    <col min="22" max="22" width="14.26953125" style="46" bestFit="1" customWidth="1"/>
    <col min="23" max="16384" width="9.1796875" style="46"/>
  </cols>
  <sheetData>
    <row r="1" spans="1:35" x14ac:dyDescent="0.35">
      <c r="A1" s="3" t="str">
        <f>+'PPC Cycle 3'!A1</f>
        <v>Evergy Metro, Inc. - DSIM Rider Update Filed 12/02/2022</v>
      </c>
      <c r="B1" s="3"/>
      <c r="C1" s="3"/>
      <c r="D1" s="3"/>
    </row>
    <row r="2" spans="1:35" x14ac:dyDescent="0.35">
      <c r="E2" s="3" t="s">
        <v>139</v>
      </c>
    </row>
    <row r="3" spans="1:35" ht="29" x14ac:dyDescent="0.35">
      <c r="E3" s="48" t="s">
        <v>46</v>
      </c>
      <c r="F3" s="48" t="s">
        <v>45</v>
      </c>
      <c r="G3" s="70" t="s">
        <v>2</v>
      </c>
      <c r="H3" s="48" t="s">
        <v>3</v>
      </c>
      <c r="I3" s="70" t="s">
        <v>55</v>
      </c>
      <c r="J3" s="48" t="s">
        <v>10</v>
      </c>
      <c r="K3" s="48" t="s">
        <v>4</v>
      </c>
    </row>
    <row r="4" spans="1:35" x14ac:dyDescent="0.35">
      <c r="A4" s="20" t="s">
        <v>24</v>
      </c>
      <c r="E4" s="22">
        <f>SUM(C29:M29)</f>
        <v>4179476.0300000003</v>
      </c>
      <c r="F4" s="138">
        <f>SUM(C22:M22)</f>
        <v>1470169692.8245001</v>
      </c>
      <c r="G4" s="22">
        <f>SUM(C15:L15)</f>
        <v>4423352.8199999994</v>
      </c>
      <c r="H4" s="22">
        <f>G4-E4</f>
        <v>243876.78999999911</v>
      </c>
      <c r="I4" s="22">
        <f>+B45</f>
        <v>-766864.60000000044</v>
      </c>
      <c r="J4" s="22">
        <f>SUM(C53:L53)</f>
        <v>-15544.650000000001</v>
      </c>
      <c r="K4" s="25">
        <f>SUM(H4:J4)</f>
        <v>-538532.46000000136</v>
      </c>
      <c r="L4" s="47">
        <f>+K4-M45</f>
        <v>-1.1641532182693481E-9</v>
      </c>
    </row>
    <row r="5" spans="1:35" x14ac:dyDescent="0.35">
      <c r="A5" s="20" t="s">
        <v>107</v>
      </c>
      <c r="E5" s="22">
        <f>SUM(C30:M30)</f>
        <v>655777.56999999995</v>
      </c>
      <c r="F5" s="138">
        <f>SUM(C23:M23)</f>
        <v>314645072.16069996</v>
      </c>
      <c r="G5" s="22">
        <f>SUM(C16:L16)</f>
        <v>848932.1</v>
      </c>
      <c r="H5" s="22">
        <f>G5-E5</f>
        <v>193154.53000000003</v>
      </c>
      <c r="I5" s="22">
        <f>+B46</f>
        <v>52306.699999999888</v>
      </c>
      <c r="J5" s="22">
        <f>SUM(C54:L54)</f>
        <v>3497.0800000000004</v>
      </c>
      <c r="K5" s="25">
        <f>SUM(H5:J5)</f>
        <v>248958.30999999991</v>
      </c>
      <c r="L5" s="47">
        <f t="shared" ref="L5:L7" si="0">+K5-M46</f>
        <v>0</v>
      </c>
    </row>
    <row r="6" spans="1:35" x14ac:dyDescent="0.35">
      <c r="A6" s="20" t="s">
        <v>108</v>
      </c>
      <c r="E6" s="22">
        <f>SUM(C31:M31)</f>
        <v>1238518.27</v>
      </c>
      <c r="F6" s="138">
        <f>SUM(C24:M24)</f>
        <v>581617154.84890008</v>
      </c>
      <c r="G6" s="22">
        <f>SUM(C17:L17)</f>
        <v>1090310.43</v>
      </c>
      <c r="H6" s="22">
        <f>G6-E6</f>
        <v>-148207.84000000008</v>
      </c>
      <c r="I6" s="22">
        <f>+B47</f>
        <v>-285809.35000000009</v>
      </c>
      <c r="J6" s="22">
        <f>SUM(C55:L55)</f>
        <v>-8957.5499999999993</v>
      </c>
      <c r="K6" s="25">
        <f>SUM(H6:J6)</f>
        <v>-442974.74000000017</v>
      </c>
      <c r="L6" s="47">
        <f t="shared" si="0"/>
        <v>0</v>
      </c>
    </row>
    <row r="7" spans="1:35" x14ac:dyDescent="0.35">
      <c r="A7" s="20" t="s">
        <v>109</v>
      </c>
      <c r="E7" s="22">
        <f>SUM(C32:M32)</f>
        <v>1568900.24</v>
      </c>
      <c r="F7" s="138">
        <f>SUM(C25:M25)</f>
        <v>907712570.75750005</v>
      </c>
      <c r="G7" s="22">
        <f>SUM(C18:L18)</f>
        <v>1608087.08</v>
      </c>
      <c r="H7" s="22">
        <f>G7-E7</f>
        <v>39186.840000000084</v>
      </c>
      <c r="I7" s="22">
        <f>+B48</f>
        <v>-1217681.46</v>
      </c>
      <c r="J7" s="22">
        <f>SUM(C56:L56)</f>
        <v>-29942.79</v>
      </c>
      <c r="K7" s="25">
        <f>SUM(H7:J7)</f>
        <v>-1208437.4099999999</v>
      </c>
      <c r="L7" s="47">
        <f t="shared" si="0"/>
        <v>0</v>
      </c>
    </row>
    <row r="8" spans="1:35" ht="15" thickBot="1" x14ac:dyDescent="0.4">
      <c r="A8" s="20" t="s">
        <v>110</v>
      </c>
      <c r="E8" s="22">
        <f>SUM(C33:M33)</f>
        <v>161777.75999999998</v>
      </c>
      <c r="F8" s="138">
        <f>SUM(C26:M26)</f>
        <v>254145024.0837</v>
      </c>
      <c r="G8" s="22">
        <f>SUM(C19:L19)</f>
        <v>507657.51</v>
      </c>
      <c r="H8" s="22">
        <f>G8-E8</f>
        <v>345879.75</v>
      </c>
      <c r="I8" s="22">
        <f>+B49</f>
        <v>-712531.56999999948</v>
      </c>
      <c r="J8" s="22">
        <f>SUM(C57:L57)</f>
        <v>-15288.9</v>
      </c>
      <c r="K8" s="25">
        <f>SUM(H8:J8)</f>
        <v>-381940.71999999951</v>
      </c>
      <c r="L8" s="47">
        <f>+K8-M49</f>
        <v>0</v>
      </c>
    </row>
    <row r="9" spans="1:35" ht="15.5" thickTop="1" thickBot="1" x14ac:dyDescent="0.4">
      <c r="E9" s="27">
        <f t="shared" ref="E9:I9" si="1">SUM(E4:E8)</f>
        <v>7804449.870000001</v>
      </c>
      <c r="F9" s="27">
        <f t="shared" si="1"/>
        <v>3528289514.6753001</v>
      </c>
      <c r="G9" s="27">
        <f t="shared" si="1"/>
        <v>8478339.9399999995</v>
      </c>
      <c r="H9" s="27">
        <f t="shared" si="1"/>
        <v>673890.06999999913</v>
      </c>
      <c r="I9" s="27">
        <f t="shared" si="1"/>
        <v>-2930580.2800000003</v>
      </c>
      <c r="J9" s="27">
        <f>SUM(J4:J8)</f>
        <v>-66236.81</v>
      </c>
      <c r="K9" s="27">
        <f>SUM(K4:K8)</f>
        <v>-2322927.0200000009</v>
      </c>
    </row>
    <row r="10" spans="1:35" ht="15.5" thickTop="1" thickBot="1" x14ac:dyDescent="0.4"/>
    <row r="11" spans="1:35" ht="84.65" customHeight="1" thickBot="1" x14ac:dyDescent="0.4">
      <c r="B11" s="118" t="str">
        <f>+'PCR Cycle 2'!B14</f>
        <v>Cumulative Over/Under Carryover From 06/01/2022 Filing</v>
      </c>
      <c r="C11" s="275" t="str">
        <f>+'PCR Cycle 2'!C14</f>
        <v>Reverse May 2022 - October 2022 Forecast From 06/01/2022 Filing</v>
      </c>
      <c r="D11" s="275" t="s">
        <v>165</v>
      </c>
      <c r="E11" s="310" t="s">
        <v>33</v>
      </c>
      <c r="F11" s="310"/>
      <c r="G11" s="311"/>
      <c r="H11" s="312" t="s">
        <v>33</v>
      </c>
      <c r="I11" s="313"/>
      <c r="J11" s="314"/>
      <c r="K11" s="306" t="s">
        <v>8</v>
      </c>
      <c r="L11" s="307"/>
      <c r="M11" s="308"/>
    </row>
    <row r="12" spans="1:35" x14ac:dyDescent="0.35">
      <c r="C12" s="14"/>
      <c r="D12" s="19"/>
      <c r="E12" s="19">
        <f>+'PCR Cycle 2'!E15</f>
        <v>44712</v>
      </c>
      <c r="F12" s="19">
        <f>+'PCR Cycle 2'!F15</f>
        <v>44742</v>
      </c>
      <c r="G12" s="19">
        <f>+'PCR Cycle 2'!G15</f>
        <v>44773</v>
      </c>
      <c r="H12" s="14">
        <f>+'PCR Cycle 2'!H15</f>
        <v>44804</v>
      </c>
      <c r="I12" s="19">
        <f>+'PCR Cycle 2'!I15</f>
        <v>44834</v>
      </c>
      <c r="J12" s="15">
        <f>+'PCR Cycle 2'!J15</f>
        <v>44865</v>
      </c>
      <c r="K12" s="19">
        <f>+'PCR Cycle 2'!K15</f>
        <v>44895</v>
      </c>
      <c r="L12" s="19">
        <f>+'PCR Cycle 2'!L15</f>
        <v>44926</v>
      </c>
      <c r="M12" s="95">
        <f>+'PCR Cycle 2'!M15</f>
        <v>44957</v>
      </c>
      <c r="Z12" s="1"/>
      <c r="AA12" s="1"/>
      <c r="AB12" s="1"/>
      <c r="AC12" s="1"/>
      <c r="AD12" s="1"/>
      <c r="AE12" s="1"/>
      <c r="AF12" s="1"/>
      <c r="AG12" s="1"/>
      <c r="AH12" s="1"/>
      <c r="AI12" s="1"/>
    </row>
    <row r="13" spans="1:35" x14ac:dyDescent="0.35">
      <c r="C13" s="98"/>
      <c r="D13" s="265"/>
      <c r="E13" s="31"/>
      <c r="F13" s="31"/>
      <c r="G13" s="31"/>
      <c r="H13" s="28"/>
      <c r="I13" s="31"/>
      <c r="J13" s="11"/>
      <c r="K13" s="31"/>
      <c r="L13" s="31"/>
      <c r="M13" s="29"/>
    </row>
    <row r="14" spans="1:35" x14ac:dyDescent="0.35">
      <c r="A14" s="46" t="s">
        <v>140</v>
      </c>
      <c r="C14" s="99"/>
      <c r="D14" s="151"/>
      <c r="E14" s="31"/>
      <c r="F14" s="31"/>
      <c r="G14" s="31"/>
      <c r="H14" s="28"/>
      <c r="I14" s="31"/>
      <c r="J14" s="167"/>
      <c r="K14" s="17"/>
      <c r="L14" s="17"/>
      <c r="M14" s="11"/>
    </row>
    <row r="15" spans="1:35" x14ac:dyDescent="0.35">
      <c r="A15" s="46" t="s">
        <v>24</v>
      </c>
      <c r="C15" s="97">
        <v>-1648417.1400000001</v>
      </c>
      <c r="D15" s="264"/>
      <c r="E15" s="109">
        <f>ROUND([7]Pivot!$N$30,2)</f>
        <v>498429.83</v>
      </c>
      <c r="F15" s="109">
        <f>ROUND([8]Pivot!$N$30,2)</f>
        <v>655306.66</v>
      </c>
      <c r="G15" s="110">
        <f>ROUND([9]Pivot!$N$30,2)</f>
        <v>569532.27</v>
      </c>
      <c r="H15" s="16">
        <f>ROUND([10]Pivot!$N$30,2)</f>
        <v>518446.89</v>
      </c>
      <c r="I15" s="55">
        <f>ROUND([11]Pivot!$N$30,2)</f>
        <v>568676.99</v>
      </c>
      <c r="J15" s="166">
        <f>ROUND([12]Pivot!$N$30,2)</f>
        <v>961610.8</v>
      </c>
      <c r="K15" s="176">
        <f>ROUND('[2]Monthly Program Costs'!AP290,2)</f>
        <v>1302069.8899999999</v>
      </c>
      <c r="L15" s="140">
        <f>ROUND('[2]Monthly Program Costs'!AQ290,2)</f>
        <v>997696.63</v>
      </c>
      <c r="M15" s="76"/>
      <c r="R15" s="46">
        <v>532208.78</v>
      </c>
      <c r="S15" s="46">
        <v>716027.06</v>
      </c>
    </row>
    <row r="16" spans="1:35" x14ac:dyDescent="0.35">
      <c r="A16" s="46" t="s">
        <v>107</v>
      </c>
      <c r="C16" s="97">
        <v>-239973.49</v>
      </c>
      <c r="D16" s="264"/>
      <c r="E16" s="109">
        <f>ROUND([7]Pivot!$O$30,2)</f>
        <v>125425.13</v>
      </c>
      <c r="F16" s="109">
        <f>ROUND([8]Pivot!$O$30,2)</f>
        <v>31290.6</v>
      </c>
      <c r="G16" s="110">
        <f>ROUND([9]Pivot!$O$30,2)</f>
        <v>77486.63</v>
      </c>
      <c r="H16" s="16">
        <f>ROUND([10]Pivot!$O$30,2)</f>
        <v>208815.65</v>
      </c>
      <c r="I16" s="55">
        <f>ROUND([11]Pivot!$O$30,2)</f>
        <v>172785.16</v>
      </c>
      <c r="J16" s="166">
        <f>ROUND([12]Pivot!$O$30,2)</f>
        <v>76140.19</v>
      </c>
      <c r="K16" s="176">
        <f>ROUND('[2]Monthly Program Costs'!AP291,2)</f>
        <v>202192.52</v>
      </c>
      <c r="L16" s="140">
        <f>ROUND('[2]Monthly Program Costs'!AQ291,2)</f>
        <v>194769.71</v>
      </c>
      <c r="M16" s="76"/>
      <c r="P16" s="262">
        <f>SUM(E16:J16)/SUM($E$16:$J$19)</f>
        <v>0.23780912793980297</v>
      </c>
      <c r="R16" s="46">
        <v>52411.14</v>
      </c>
      <c r="S16" s="46">
        <v>66148.66</v>
      </c>
    </row>
    <row r="17" spans="1:19" x14ac:dyDescent="0.35">
      <c r="A17" s="46" t="s">
        <v>108</v>
      </c>
      <c r="C17" s="97">
        <v>-462561.34</v>
      </c>
      <c r="D17" s="264"/>
      <c r="E17" s="109">
        <f>ROUND([7]Pivot!$P$30,2)</f>
        <v>88168.31</v>
      </c>
      <c r="F17" s="109">
        <f>ROUND([8]Pivot!$P$30,2)</f>
        <v>271192.14</v>
      </c>
      <c r="G17" s="110">
        <f>ROUND([9]Pivot!$P$30,2)</f>
        <v>122770.4</v>
      </c>
      <c r="H17" s="16">
        <f>ROUND([10]Pivot!$P$30,2)</f>
        <v>107710.16</v>
      </c>
      <c r="I17" s="55">
        <f>ROUND([11]Pivot!$P$30,2)</f>
        <v>67020.75</v>
      </c>
      <c r="J17" s="166">
        <f>ROUND([12]Pivot!$P$30,2)</f>
        <v>118253.39</v>
      </c>
      <c r="K17" s="176">
        <f>ROUND('[2]Monthly Program Costs'!AP292,2)</f>
        <v>388860.68</v>
      </c>
      <c r="L17" s="140">
        <f>ROUND('[2]Monthly Program Costs'!AQ292,2)</f>
        <v>388895.94</v>
      </c>
      <c r="M17" s="76"/>
      <c r="P17" s="262">
        <f t="shared" ref="P17:P19" si="2">SUM(E17:J17)/SUM($E$16:$J$19)</f>
        <v>0.2663938532113807</v>
      </c>
      <c r="R17" s="46">
        <v>131571.41</v>
      </c>
      <c r="S17" s="46">
        <v>170309.47</v>
      </c>
    </row>
    <row r="18" spans="1:19" x14ac:dyDescent="0.35">
      <c r="A18" s="46" t="s">
        <v>109</v>
      </c>
      <c r="C18" s="97">
        <v>-746428.7</v>
      </c>
      <c r="D18" s="264"/>
      <c r="E18" s="109">
        <f>ROUND([7]Pivot!$Q$30,2)</f>
        <v>87983.98</v>
      </c>
      <c r="F18" s="109">
        <f>ROUND([8]Pivot!$Q$30,2)</f>
        <v>285691.02</v>
      </c>
      <c r="G18" s="110">
        <f>ROUND([9]Pivot!$Q$30,2)</f>
        <v>251204.45</v>
      </c>
      <c r="H18" s="16">
        <f>ROUND([10]Pivot!$Q$30,2)</f>
        <v>269232.38</v>
      </c>
      <c r="I18" s="55">
        <f>ROUND([11]Pivot!$Q$30,2)</f>
        <v>106271.9</v>
      </c>
      <c r="J18" s="166">
        <f>ROUND([12]Pivot!$Q$30,2)</f>
        <v>79486.14</v>
      </c>
      <c r="K18" s="176">
        <f>ROUND('[2]Monthly Program Costs'!AP293,2)</f>
        <v>636650.43999999994</v>
      </c>
      <c r="L18" s="140">
        <f>ROUND('[2]Monthly Program Costs'!AQ293,2)</f>
        <v>637995.47</v>
      </c>
      <c r="M18" s="76"/>
      <c r="P18" s="262">
        <f t="shared" si="2"/>
        <v>0.37113285121078166</v>
      </c>
      <c r="R18" s="46">
        <v>213540.87</v>
      </c>
      <c r="S18" s="46">
        <v>275298.77</v>
      </c>
    </row>
    <row r="19" spans="1:19" x14ac:dyDescent="0.35">
      <c r="A19" s="46" t="s">
        <v>110</v>
      </c>
      <c r="C19" s="97">
        <v>-200957.53</v>
      </c>
      <c r="D19" s="264"/>
      <c r="E19" s="109">
        <f>ROUND([7]Pivot!$R$30,2)</f>
        <v>12558.3</v>
      </c>
      <c r="F19" s="109">
        <f>ROUND([8]Pivot!$R$30,2)</f>
        <v>19675.79</v>
      </c>
      <c r="G19" s="110">
        <f>ROUND([9]Pivot!$R$30,2)</f>
        <v>19708.57</v>
      </c>
      <c r="H19" s="16">
        <f>ROUND([10]Pivot!$R$30,2)</f>
        <v>24702.28</v>
      </c>
      <c r="I19" s="55">
        <f>ROUND([11]Pivot!$R$30,2)</f>
        <v>7793.67</v>
      </c>
      <c r="J19" s="166">
        <f>ROUND([12]Pivot!$R$30,2)</f>
        <v>278291.55</v>
      </c>
      <c r="K19" s="176">
        <f>ROUND('[2]Monthly Program Costs'!AP294,2)</f>
        <v>172672.02</v>
      </c>
      <c r="L19" s="140">
        <f>ROUND('[2]Monthly Program Costs'!AQ294,2)</f>
        <v>173212.86</v>
      </c>
      <c r="M19" s="76"/>
      <c r="P19" s="262">
        <f t="shared" si="2"/>
        <v>0.12466416763803498</v>
      </c>
      <c r="R19" s="46">
        <v>75725.94</v>
      </c>
      <c r="S19" s="46">
        <v>97678.19</v>
      </c>
    </row>
    <row r="20" spans="1:19" x14ac:dyDescent="0.35">
      <c r="C20" s="99"/>
      <c r="D20" s="151"/>
      <c r="E20" s="31"/>
      <c r="F20" s="31"/>
      <c r="G20" s="31"/>
      <c r="H20" s="28"/>
      <c r="I20" s="31"/>
      <c r="J20" s="31"/>
      <c r="K20" s="28"/>
      <c r="L20" s="17"/>
      <c r="M20" s="11"/>
    </row>
    <row r="21" spans="1:19" x14ac:dyDescent="0.35">
      <c r="A21" s="39" t="s">
        <v>47</v>
      </c>
      <c r="B21" s="39"/>
      <c r="C21" s="101"/>
      <c r="D21" s="266"/>
      <c r="E21" s="31"/>
      <c r="F21" s="31"/>
      <c r="G21" s="31"/>
      <c r="H21" s="28"/>
      <c r="I21" s="31"/>
      <c r="J21" s="11"/>
      <c r="K21" s="17"/>
      <c r="L21" s="17"/>
      <c r="M21" s="11"/>
    </row>
    <row r="22" spans="1:19" x14ac:dyDescent="0.35">
      <c r="A22" s="46" t="s">
        <v>24</v>
      </c>
      <c r="C22" s="102">
        <v>-660613259</v>
      </c>
      <c r="D22" s="267"/>
      <c r="E22" s="111">
        <f>+'PCR Cycle 2'!E27</f>
        <v>165512010.19760004</v>
      </c>
      <c r="F22" s="111">
        <f>+'PCR Cycle 2'!F27</f>
        <v>216492670.56410003</v>
      </c>
      <c r="G22" s="111">
        <f>+'PCR Cycle 2'!G27</f>
        <v>318347370.50349998</v>
      </c>
      <c r="H22" s="186">
        <f>+'PCR Cycle 2'!H27</f>
        <v>311045773.31400001</v>
      </c>
      <c r="I22" s="189">
        <f>+'PCR Cycle 2'!I27</f>
        <v>266181378.43769994</v>
      </c>
      <c r="J22" s="181">
        <f>+'PCR Cycle 2'!J27</f>
        <v>186663911.80759999</v>
      </c>
      <c r="K22" s="177">
        <f>+'PCR Cycle 2'!K27</f>
        <v>162457956</v>
      </c>
      <c r="L22" s="141">
        <f>+'PCR Cycle 2'!L27</f>
        <v>233885125</v>
      </c>
      <c r="M22" s="77">
        <f>+'PCR Cycle 2'!M27</f>
        <v>270196756</v>
      </c>
    </row>
    <row r="23" spans="1:19" x14ac:dyDescent="0.35">
      <c r="A23" s="46" t="s">
        <v>107</v>
      </c>
      <c r="C23" s="102">
        <v>-139044567</v>
      </c>
      <c r="D23" s="267"/>
      <c r="E23" s="111">
        <f>+'PCR Cycle 2'!E28</f>
        <v>42527530.683999993</v>
      </c>
      <c r="F23" s="111">
        <f>+'PCR Cycle 2'!F28</f>
        <v>48540936.98969999</v>
      </c>
      <c r="G23" s="111">
        <f>+'PCR Cycle 2'!G28</f>
        <v>59430266.653200008</v>
      </c>
      <c r="H23" s="186">
        <f>+'PCR Cycle 2'!H28</f>
        <v>59176691.531500012</v>
      </c>
      <c r="I23" s="189">
        <f>+'PCR Cycle 2'!I28</f>
        <v>55860181.713699989</v>
      </c>
      <c r="J23" s="181">
        <f>+'PCR Cycle 2'!J28</f>
        <v>48760088.588600002</v>
      </c>
      <c r="K23" s="177">
        <f>+'PCR Cycle 2'!K28</f>
        <v>43695768</v>
      </c>
      <c r="L23" s="141">
        <f>+'PCR Cycle 2'!L28</f>
        <v>47716997</v>
      </c>
      <c r="M23" s="77">
        <f>+'PCR Cycle 2'!M28</f>
        <v>47981178</v>
      </c>
    </row>
    <row r="24" spans="1:19" x14ac:dyDescent="0.35">
      <c r="A24" s="46" t="s">
        <v>108</v>
      </c>
      <c r="C24" s="102">
        <v>-278961497</v>
      </c>
      <c r="D24" s="267"/>
      <c r="E24" s="111">
        <f>+'PCR Cycle 2'!E29</f>
        <v>80633519.219099998</v>
      </c>
      <c r="F24" s="111">
        <f>+'PCR Cycle 2'!F29</f>
        <v>91322263.596500009</v>
      </c>
      <c r="G24" s="111">
        <f>+'PCR Cycle 2'!G29</f>
        <v>108452055.73090002</v>
      </c>
      <c r="H24" s="186">
        <f>+'PCR Cycle 2'!H29</f>
        <v>107799556.8374</v>
      </c>
      <c r="I24" s="189">
        <f>+'PCR Cycle 2'!I29</f>
        <v>102710114.22010002</v>
      </c>
      <c r="J24" s="181">
        <f>+'PCR Cycle 2'!J29</f>
        <v>89998701.244900063</v>
      </c>
      <c r="K24" s="177">
        <f>+'PCR Cycle 2'!K29</f>
        <v>87665683</v>
      </c>
      <c r="L24" s="141">
        <f>+'PCR Cycle 2'!L29</f>
        <v>95733369</v>
      </c>
      <c r="M24" s="77">
        <f>+'PCR Cycle 2'!M29</f>
        <v>96263389</v>
      </c>
    </row>
    <row r="25" spans="1:19" x14ac:dyDescent="0.35">
      <c r="A25" s="46" t="s">
        <v>109</v>
      </c>
      <c r="C25" s="102">
        <v>-443830720</v>
      </c>
      <c r="D25" s="267"/>
      <c r="E25" s="111">
        <f>+'PCR Cycle 2'!E30</f>
        <v>138047087.32999998</v>
      </c>
      <c r="F25" s="111">
        <f>+'PCR Cycle 2'!F30</f>
        <v>149116506.51659998</v>
      </c>
      <c r="G25" s="111">
        <f>+'PCR Cycle 2'!G30</f>
        <v>160410205.48300004</v>
      </c>
      <c r="H25" s="186">
        <f>+'PCR Cycle 2'!H30</f>
        <v>158527195.25220001</v>
      </c>
      <c r="I25" s="189">
        <f>+'PCR Cycle 2'!I30</f>
        <v>156160833.43810001</v>
      </c>
      <c r="J25" s="181">
        <f>+'PCR Cycle 2'!J30</f>
        <v>144335534.7376</v>
      </c>
      <c r="K25" s="177">
        <f>+'PCR Cycle 2'!K30</f>
        <v>139477037</v>
      </c>
      <c r="L25" s="141">
        <f>+'PCR Cycle 2'!L30</f>
        <v>152312812</v>
      </c>
      <c r="M25" s="77">
        <f>+'PCR Cycle 2'!M30</f>
        <v>153156079</v>
      </c>
    </row>
    <row r="26" spans="1:19" x14ac:dyDescent="0.35">
      <c r="A26" s="46" t="s">
        <v>110</v>
      </c>
      <c r="C26" s="102">
        <v>-118612947</v>
      </c>
      <c r="D26" s="267"/>
      <c r="E26" s="111">
        <f>+'PCR Cycle 2'!E31</f>
        <v>36111223.603</v>
      </c>
      <c r="F26" s="111">
        <f>+'PCR Cycle 2'!F31</f>
        <v>30365304.651900001</v>
      </c>
      <c r="G26" s="111">
        <f>+'PCR Cycle 2'!G31</f>
        <v>44438423.0101</v>
      </c>
      <c r="H26" s="186">
        <f>+'PCR Cycle 2'!H31</f>
        <v>52259586.685699999</v>
      </c>
      <c r="I26" s="189">
        <f>+'PCR Cycle 2'!I31</f>
        <v>52512125.425600007</v>
      </c>
      <c r="J26" s="181">
        <f>+'PCR Cycle 2'!J31</f>
        <v>38160324.707399994</v>
      </c>
      <c r="K26" s="177">
        <f>+'PCR Cycle 2'!K31</f>
        <v>37274982</v>
      </c>
      <c r="L26" s="141">
        <f>+'PCR Cycle 2'!L31</f>
        <v>40705320</v>
      </c>
      <c r="M26" s="77">
        <f>+'PCR Cycle 2'!M31</f>
        <v>40930681</v>
      </c>
    </row>
    <row r="27" spans="1:19" x14ac:dyDescent="0.35">
      <c r="C27" s="99"/>
      <c r="D27" s="151"/>
      <c r="E27" s="31"/>
      <c r="F27" s="31"/>
      <c r="G27" s="31"/>
      <c r="H27" s="28"/>
      <c r="I27" s="31"/>
      <c r="J27" s="11"/>
      <c r="K27" s="17"/>
      <c r="L27" s="17"/>
      <c r="M27" s="11"/>
    </row>
    <row r="28" spans="1:19" x14ac:dyDescent="0.35">
      <c r="A28" s="46" t="s">
        <v>34</v>
      </c>
      <c r="C28" s="99"/>
      <c r="D28" s="151"/>
      <c r="E28" s="18"/>
      <c r="F28" s="18"/>
      <c r="G28" s="18"/>
      <c r="H28" s="91"/>
      <c r="I28" s="18"/>
      <c r="J28" s="11"/>
      <c r="K28" s="57"/>
      <c r="L28" s="57"/>
      <c r="M28" s="58"/>
      <c r="N28" s="63" t="s">
        <v>50</v>
      </c>
      <c r="O28" s="39"/>
    </row>
    <row r="29" spans="1:19" x14ac:dyDescent="0.35">
      <c r="A29" s="46" t="s">
        <v>24</v>
      </c>
      <c r="C29" s="97">
        <v>-1803474.2000000002</v>
      </c>
      <c r="D29" s="264"/>
      <c r="E29" s="109">
        <f>ROUND('[5]May 2022'!$F79+'[5]May 2022'!$F87,2)</f>
        <v>451851.61</v>
      </c>
      <c r="F29" s="109">
        <f>ROUND('[5]Jun 2022'!$F79+'[5]Jun 2022'!$F87,2)</f>
        <v>591012.91</v>
      </c>
      <c r="G29" s="109">
        <f>ROUND('[5]Jul 2022'!$F88+'[5]Jul 2022'!$F96,2)</f>
        <v>869078.63</v>
      </c>
      <c r="H29" s="187">
        <f>ROUND('[5]Aug 2022'!$F88+'[5]Aug 2022'!$F96,2)</f>
        <v>847205.72</v>
      </c>
      <c r="I29" s="55">
        <f>ROUND('[5]Sep 2022'!$F88+'[5]Sep 2022'!$F96,2)</f>
        <v>766575.52</v>
      </c>
      <c r="J29" s="179">
        <f>ROUND('[5]Oct 2022'!$F88+'[5]Oct 2022'!$F96,2)</f>
        <v>537591.11</v>
      </c>
      <c r="K29" s="123">
        <f>ROUND(K22*$N29,2)</f>
        <v>467878.91</v>
      </c>
      <c r="L29" s="41">
        <f t="shared" ref="L29:M29" si="3">ROUND(L22*$N29,2)</f>
        <v>673589.16</v>
      </c>
      <c r="M29" s="61">
        <f t="shared" si="3"/>
        <v>778166.66</v>
      </c>
      <c r="N29" s="72">
        <v>2.8800000000000002E-3</v>
      </c>
    </row>
    <row r="30" spans="1:19" x14ac:dyDescent="0.35">
      <c r="A30" s="46" t="s">
        <v>107</v>
      </c>
      <c r="C30" s="97">
        <v>-172415.26</v>
      </c>
      <c r="D30" s="264"/>
      <c r="E30" s="109">
        <f>ROUND('[5]May 2022'!$F80+'[5]May 2022'!$F88,2)</f>
        <v>52733.59</v>
      </c>
      <c r="F30" s="109">
        <f>ROUND('[5]Jun 2022'!$F80+'[5]Jun 2022'!$F88,2)</f>
        <v>60217.99</v>
      </c>
      <c r="G30" s="109">
        <f>ROUND('[5]Jul 2022'!$F89+'[5]Jul 2022'!$F97,2)</f>
        <v>73693.67</v>
      </c>
      <c r="H30" s="187">
        <f>ROUND('[5]Aug 2022'!$F89+'[5]Aug 2022'!$F97,2)</f>
        <v>95215.02</v>
      </c>
      <c r="I30" s="55">
        <f>ROUND('[5]Sep 2022'!$F89+'[5]Sep 2022'!$F97,2)</f>
        <v>125081.36</v>
      </c>
      <c r="J30" s="179">
        <f>ROUND('[5]Oct 2022'!$F89+'[5]Oct 2022'!$F97,2)</f>
        <v>109008.77</v>
      </c>
      <c r="K30" s="123">
        <f t="shared" ref="K30:M30" si="4">ROUND(K23*$N30,2)</f>
        <v>97878.52</v>
      </c>
      <c r="L30" s="41">
        <f t="shared" si="4"/>
        <v>106886.07</v>
      </c>
      <c r="M30" s="61">
        <f t="shared" si="4"/>
        <v>107477.84</v>
      </c>
      <c r="N30" s="72">
        <v>2.2399999999999998E-3</v>
      </c>
    </row>
    <row r="31" spans="1:19" x14ac:dyDescent="0.35">
      <c r="A31" s="46" t="s">
        <v>108</v>
      </c>
      <c r="C31" s="97">
        <v>-750406.43</v>
      </c>
      <c r="D31" s="264"/>
      <c r="E31" s="109">
        <f>ROUND('[5]May 2022'!$F81+'[5]May 2022'!$F89,2)</f>
        <v>216903.6</v>
      </c>
      <c r="F31" s="109">
        <f>ROUND('[5]Jun 2022'!$F81+'[5]Jun 2022'!$F89,2)</f>
        <v>245723.16</v>
      </c>
      <c r="G31" s="109">
        <f>ROUND('[5]Jul 2022'!$F90+'[5]Jul 2022'!$F98,2)</f>
        <v>291737.7</v>
      </c>
      <c r="H31" s="187">
        <f>ROUND('[5]Aug 2022'!$F90+'[5]Aug 2022'!$F98,2)</f>
        <v>266094.61</v>
      </c>
      <c r="I31" s="55">
        <f>ROUND('[5]Sep 2022'!$F90+'[5]Sep 2022'!$F98,2)</f>
        <v>210660.1</v>
      </c>
      <c r="J31" s="179">
        <f>ROUND('[5]Oct 2022'!$F90+'[5]Oct 2022'!$F98,2)</f>
        <v>184497.52</v>
      </c>
      <c r="K31" s="123">
        <f t="shared" ref="K31:M31" si="5">ROUND(K24*$N31,2)</f>
        <v>179714.65</v>
      </c>
      <c r="L31" s="41">
        <f t="shared" si="5"/>
        <v>196253.41</v>
      </c>
      <c r="M31" s="61">
        <f t="shared" si="5"/>
        <v>197339.95</v>
      </c>
      <c r="N31" s="72">
        <v>2.0499999999999997E-3</v>
      </c>
    </row>
    <row r="32" spans="1:19" x14ac:dyDescent="0.35">
      <c r="A32" s="46" t="s">
        <v>109</v>
      </c>
      <c r="C32" s="97">
        <v>-1007495.73</v>
      </c>
      <c r="D32" s="264"/>
      <c r="E32" s="109">
        <f>ROUND('[5]May 2022'!$F82+'[5]May 2022'!$F90,2)</f>
        <v>313366.89</v>
      </c>
      <c r="F32" s="109">
        <f>ROUND('[5]Jun 2022'!$F82+'[5]Jun 2022'!$F90,2)</f>
        <v>338489.3</v>
      </c>
      <c r="G32" s="109">
        <f>ROUND('[5]Jul 2022'!$F91+'[5]Jul 2022'!$F99,2)</f>
        <v>364131.16</v>
      </c>
      <c r="H32" s="187">
        <f>ROUND('[5]Aug 2022'!$F91+'[5]Aug 2022'!$F99,2)</f>
        <v>322974.40999999997</v>
      </c>
      <c r="I32" s="55">
        <f>ROUND('[5]Sep 2022'!$F91+'[5]Sep 2022'!$F99,2)</f>
        <v>259226.98</v>
      </c>
      <c r="J32" s="179">
        <f>ROUND('[5]Oct 2022'!$F91+'[5]Oct 2022'!$F99,2)</f>
        <v>239596.99</v>
      </c>
      <c r="K32" s="123">
        <f t="shared" ref="K32:M32" si="6">ROUND(K25*$N32,2)</f>
        <v>231531.88</v>
      </c>
      <c r="L32" s="41">
        <f t="shared" si="6"/>
        <v>252839.27</v>
      </c>
      <c r="M32" s="61">
        <f t="shared" si="6"/>
        <v>254239.09</v>
      </c>
      <c r="N32" s="72">
        <v>1.66E-3</v>
      </c>
    </row>
    <row r="33" spans="1:14" x14ac:dyDescent="0.35">
      <c r="A33" s="46" t="s">
        <v>110</v>
      </c>
      <c r="C33" s="97">
        <v>-211131.04000000004</v>
      </c>
      <c r="D33" s="264"/>
      <c r="E33" s="109">
        <f>ROUND('[5]May 2022'!$F83+'[5]May 2022'!$F91,2)</f>
        <v>64277.97</v>
      </c>
      <c r="F33" s="109">
        <f>ROUND('[5]Jun 2022'!$F83+'[5]Jun 2022'!$F91,2)</f>
        <v>54050.239999999998</v>
      </c>
      <c r="G33" s="109">
        <f>ROUND('[5]Jul 2022'!$F92+'[5]Jul 2022'!$F100,2)</f>
        <v>79100.39</v>
      </c>
      <c r="H33" s="187">
        <f>ROUND('[5]Aug 2022'!$F92+'[5]Aug 2022'!$F100,2)</f>
        <v>72809.740000000005</v>
      </c>
      <c r="I33" s="55">
        <f>ROUND('[5]Sep 2022'!$F92+'[5]Sep 2022'!$F100,2)</f>
        <v>25730.94</v>
      </c>
      <c r="J33" s="179">
        <f>ROUND('[5]Oct 2022'!$F92+'[5]Oct 2022'!$F100,2)</f>
        <v>18673.14</v>
      </c>
      <c r="K33" s="123">
        <f>ROUND(K26*$N33,2)</f>
        <v>18264.740000000002</v>
      </c>
      <c r="L33" s="41">
        <f>ROUND(L26*$N33,2)</f>
        <v>19945.61</v>
      </c>
      <c r="M33" s="61">
        <f>ROUND(M26*$N33,2)</f>
        <v>20056.03</v>
      </c>
      <c r="N33" s="72">
        <v>4.8999999999999998E-4</v>
      </c>
    </row>
    <row r="34" spans="1:14" x14ac:dyDescent="0.35">
      <c r="C34" s="67"/>
      <c r="D34" s="68"/>
      <c r="E34" s="18"/>
      <c r="F34" s="18"/>
      <c r="G34" s="18"/>
      <c r="H34" s="91"/>
      <c r="I34" s="18"/>
      <c r="J34" s="11"/>
      <c r="K34" s="56"/>
      <c r="L34" s="56"/>
      <c r="M34" s="13"/>
      <c r="N34" s="4"/>
    </row>
    <row r="35" spans="1:14" ht="15" thickBot="1" x14ac:dyDescent="0.4">
      <c r="A35" s="46" t="s">
        <v>14</v>
      </c>
      <c r="C35" s="103">
        <v>4802.3100000000004</v>
      </c>
      <c r="D35" s="268"/>
      <c r="E35" s="112">
        <v>-3902.8099999999995</v>
      </c>
      <c r="F35" s="112">
        <v>-5257.41</v>
      </c>
      <c r="G35" s="113">
        <v>-7518.1400000000012</v>
      </c>
      <c r="H35" s="26">
        <v>-9924.73</v>
      </c>
      <c r="I35" s="122">
        <v>-12920.25</v>
      </c>
      <c r="J35" s="180">
        <v>-14864.25</v>
      </c>
      <c r="K35" s="178">
        <v>-10955.57</v>
      </c>
      <c r="L35" s="142">
        <v>-5695.96</v>
      </c>
      <c r="M35" s="81"/>
    </row>
    <row r="36" spans="1:14" x14ac:dyDescent="0.35">
      <c r="C36" s="99"/>
      <c r="D36" s="151"/>
      <c r="E36" s="31"/>
      <c r="F36" s="31"/>
      <c r="G36" s="31"/>
      <c r="H36" s="28"/>
      <c r="I36" s="31"/>
      <c r="J36" s="11"/>
      <c r="K36" s="17"/>
      <c r="L36" s="17"/>
      <c r="M36" s="11"/>
    </row>
    <row r="37" spans="1:14" x14ac:dyDescent="0.35">
      <c r="A37" s="46" t="s">
        <v>52</v>
      </c>
      <c r="C37" s="99"/>
      <c r="D37" s="151"/>
      <c r="E37" s="31"/>
      <c r="F37" s="31"/>
      <c r="G37" s="31"/>
      <c r="H37" s="28"/>
      <c r="I37" s="31"/>
      <c r="J37" s="11"/>
      <c r="K37" s="17"/>
      <c r="L37" s="17"/>
      <c r="M37" s="11"/>
    </row>
    <row r="38" spans="1:14" x14ac:dyDescent="0.35">
      <c r="A38" s="46" t="s">
        <v>24</v>
      </c>
      <c r="C38" s="40">
        <f t="shared" ref="C38:M38" si="7">C15-C29</f>
        <v>155057.06000000006</v>
      </c>
      <c r="D38" s="123">
        <f t="shared" ref="D38" si="8">D15-D29</f>
        <v>0</v>
      </c>
      <c r="E38" s="41">
        <f t="shared" si="7"/>
        <v>46578.22000000003</v>
      </c>
      <c r="F38" s="41">
        <f t="shared" si="7"/>
        <v>64293.75</v>
      </c>
      <c r="G38" s="108">
        <f t="shared" si="7"/>
        <v>-299546.36</v>
      </c>
      <c r="H38" s="40">
        <f t="shared" si="7"/>
        <v>-328758.82999999996</v>
      </c>
      <c r="I38" s="41">
        <f t="shared" si="7"/>
        <v>-197898.53000000003</v>
      </c>
      <c r="J38" s="61">
        <f t="shared" si="7"/>
        <v>424019.69000000006</v>
      </c>
      <c r="K38" s="123">
        <f t="shared" si="7"/>
        <v>834190.98</v>
      </c>
      <c r="L38" s="41">
        <f t="shared" si="7"/>
        <v>324107.46999999997</v>
      </c>
      <c r="M38" s="49">
        <f t="shared" si="7"/>
        <v>-778166.66</v>
      </c>
    </row>
    <row r="39" spans="1:14" x14ac:dyDescent="0.35">
      <c r="A39" s="46" t="s">
        <v>107</v>
      </c>
      <c r="C39" s="40">
        <f t="shared" ref="C39:M39" si="9">C16-C30</f>
        <v>-67558.229999999981</v>
      </c>
      <c r="D39" s="123">
        <f t="shared" ref="D39" si="10">D16-D30</f>
        <v>0</v>
      </c>
      <c r="E39" s="41">
        <f t="shared" si="9"/>
        <v>72691.540000000008</v>
      </c>
      <c r="F39" s="41">
        <f t="shared" si="9"/>
        <v>-28927.39</v>
      </c>
      <c r="G39" s="108">
        <f t="shared" si="9"/>
        <v>3792.9600000000064</v>
      </c>
      <c r="H39" s="40">
        <f t="shared" si="9"/>
        <v>113600.62999999999</v>
      </c>
      <c r="I39" s="41">
        <f t="shared" si="9"/>
        <v>47703.8</v>
      </c>
      <c r="J39" s="61">
        <f t="shared" si="9"/>
        <v>-32868.58</v>
      </c>
      <c r="K39" s="123">
        <f t="shared" si="9"/>
        <v>104313.99999999999</v>
      </c>
      <c r="L39" s="41">
        <f t="shared" si="9"/>
        <v>87883.639999999985</v>
      </c>
      <c r="M39" s="49">
        <f t="shared" si="9"/>
        <v>-107477.84</v>
      </c>
    </row>
    <row r="40" spans="1:14" x14ac:dyDescent="0.35">
      <c r="A40" s="46" t="s">
        <v>108</v>
      </c>
      <c r="C40" s="40">
        <f t="shared" ref="C40:M40" si="11">C17-C31</f>
        <v>287845.09000000003</v>
      </c>
      <c r="D40" s="123">
        <f t="shared" ref="D40" si="12">D17-D31</f>
        <v>0</v>
      </c>
      <c r="E40" s="41">
        <f t="shared" si="11"/>
        <v>-128735.29000000001</v>
      </c>
      <c r="F40" s="41">
        <f t="shared" si="11"/>
        <v>25468.98000000001</v>
      </c>
      <c r="G40" s="108">
        <f t="shared" si="11"/>
        <v>-168967.30000000002</v>
      </c>
      <c r="H40" s="40">
        <f t="shared" si="11"/>
        <v>-158384.44999999998</v>
      </c>
      <c r="I40" s="41">
        <f t="shared" si="11"/>
        <v>-143639.35</v>
      </c>
      <c r="J40" s="61">
        <f t="shared" si="11"/>
        <v>-66244.12999999999</v>
      </c>
      <c r="K40" s="123">
        <f t="shared" si="11"/>
        <v>209146.03</v>
      </c>
      <c r="L40" s="41">
        <f t="shared" si="11"/>
        <v>192642.53</v>
      </c>
      <c r="M40" s="49">
        <f t="shared" si="11"/>
        <v>-197339.95</v>
      </c>
    </row>
    <row r="41" spans="1:14" x14ac:dyDescent="0.35">
      <c r="A41" s="46" t="s">
        <v>109</v>
      </c>
      <c r="C41" s="40">
        <f t="shared" ref="C41:M41" si="13">C18-C32</f>
        <v>261067.03000000003</v>
      </c>
      <c r="D41" s="123">
        <f t="shared" ref="D41" si="14">D18-D32</f>
        <v>0</v>
      </c>
      <c r="E41" s="41">
        <f t="shared" si="13"/>
        <v>-225382.91000000003</v>
      </c>
      <c r="F41" s="41">
        <f t="shared" si="13"/>
        <v>-52798.27999999997</v>
      </c>
      <c r="G41" s="108">
        <f t="shared" si="13"/>
        <v>-112926.70999999996</v>
      </c>
      <c r="H41" s="40">
        <f t="shared" si="13"/>
        <v>-53742.02999999997</v>
      </c>
      <c r="I41" s="41">
        <f t="shared" si="13"/>
        <v>-152955.08000000002</v>
      </c>
      <c r="J41" s="61">
        <f t="shared" si="13"/>
        <v>-160110.84999999998</v>
      </c>
      <c r="K41" s="123">
        <f t="shared" si="13"/>
        <v>405118.55999999994</v>
      </c>
      <c r="L41" s="41">
        <f t="shared" si="13"/>
        <v>385156.19999999995</v>
      </c>
      <c r="M41" s="49">
        <f t="shared" si="13"/>
        <v>-254239.09</v>
      </c>
    </row>
    <row r="42" spans="1:14" x14ac:dyDescent="0.35">
      <c r="A42" s="46" t="s">
        <v>110</v>
      </c>
      <c r="C42" s="40">
        <f t="shared" ref="C42:M42" si="15">C19-C33</f>
        <v>10173.510000000038</v>
      </c>
      <c r="D42" s="123">
        <f t="shared" ref="D42" si="16">D19-D33</f>
        <v>0</v>
      </c>
      <c r="E42" s="41">
        <f t="shared" si="15"/>
        <v>-51719.67</v>
      </c>
      <c r="F42" s="41">
        <f t="shared" si="15"/>
        <v>-34374.449999999997</v>
      </c>
      <c r="G42" s="108">
        <f t="shared" si="15"/>
        <v>-59391.82</v>
      </c>
      <c r="H42" s="40">
        <f t="shared" si="15"/>
        <v>-48107.460000000006</v>
      </c>
      <c r="I42" s="41">
        <f t="shared" si="15"/>
        <v>-17937.269999999997</v>
      </c>
      <c r="J42" s="61">
        <f t="shared" si="15"/>
        <v>259618.40999999997</v>
      </c>
      <c r="K42" s="123">
        <f t="shared" si="15"/>
        <v>154407.28</v>
      </c>
      <c r="L42" s="41">
        <f t="shared" si="15"/>
        <v>153267.25</v>
      </c>
      <c r="M42" s="49">
        <f t="shared" si="15"/>
        <v>-20056.03</v>
      </c>
    </row>
    <row r="43" spans="1:14" x14ac:dyDescent="0.35">
      <c r="C43" s="99"/>
      <c r="D43" s="151"/>
      <c r="E43" s="31"/>
      <c r="F43" s="31"/>
      <c r="G43" s="31"/>
      <c r="H43" s="28"/>
      <c r="I43" s="31"/>
      <c r="J43" s="11"/>
      <c r="K43" s="17"/>
      <c r="L43" s="17"/>
      <c r="M43" s="11"/>
    </row>
    <row r="44" spans="1:14" ht="15" thickBot="1" x14ac:dyDescent="0.4">
      <c r="A44" s="46" t="s">
        <v>53</v>
      </c>
      <c r="C44" s="104"/>
      <c r="D44" s="269"/>
      <c r="E44" s="31"/>
      <c r="F44" s="31"/>
      <c r="G44" s="31"/>
      <c r="H44" s="28"/>
      <c r="I44" s="31"/>
      <c r="J44" s="11"/>
      <c r="K44" s="17"/>
      <c r="L44" s="17"/>
      <c r="M44" s="11"/>
    </row>
    <row r="45" spans="1:14" x14ac:dyDescent="0.35">
      <c r="A45" s="46" t="s">
        <v>24</v>
      </c>
      <c r="B45" s="116">
        <v>-766864.60000000044</v>
      </c>
      <c r="C45" s="41">
        <f t="shared" ref="C45:M45" si="17">B45+C38+B53</f>
        <v>-611807.54000000039</v>
      </c>
      <c r="D45" s="41">
        <f t="shared" ref="D45:D49" si="18">C45+D38+C53</f>
        <v>-611104.67000000039</v>
      </c>
      <c r="E45" s="41">
        <f t="shared" ref="E45:E49" si="19">D45+E38+D53</f>
        <v>-564526.45000000042</v>
      </c>
      <c r="F45" s="41">
        <f t="shared" si="17"/>
        <v>-501179.72000000044</v>
      </c>
      <c r="G45" s="108">
        <f t="shared" si="17"/>
        <v>-801811.6800000004</v>
      </c>
      <c r="H45" s="40">
        <f t="shared" si="17"/>
        <v>-1132249.4400000002</v>
      </c>
      <c r="I45" s="41">
        <f t="shared" si="17"/>
        <v>-1332905.4900000002</v>
      </c>
      <c r="J45" s="61">
        <f t="shared" si="17"/>
        <v>-912908.26000000013</v>
      </c>
      <c r="K45" s="123">
        <f t="shared" si="17"/>
        <v>-82901.13000000015</v>
      </c>
      <c r="L45" s="41">
        <f t="shared" si="17"/>
        <v>239346.72999999984</v>
      </c>
      <c r="M45" s="49">
        <f t="shared" si="17"/>
        <v>-538532.4600000002</v>
      </c>
    </row>
    <row r="46" spans="1:14" x14ac:dyDescent="0.35">
      <c r="A46" s="46" t="s">
        <v>107</v>
      </c>
      <c r="B46" s="249">
        <v>52306.699999999888</v>
      </c>
      <c r="C46" s="41">
        <f t="shared" ref="C46:M46" si="20">B46+C39+B54</f>
        <v>-15251.530000000093</v>
      </c>
      <c r="D46" s="41">
        <f t="shared" si="18"/>
        <v>-15380.040000000094</v>
      </c>
      <c r="E46" s="41">
        <f t="shared" si="19"/>
        <v>57311.499999999913</v>
      </c>
      <c r="F46" s="41">
        <f t="shared" si="20"/>
        <v>28417.889999999912</v>
      </c>
      <c r="G46" s="108">
        <f t="shared" si="20"/>
        <v>32298.139999999919</v>
      </c>
      <c r="H46" s="40">
        <f t="shared" si="20"/>
        <v>145977.0499999999</v>
      </c>
      <c r="I46" s="41">
        <f t="shared" si="20"/>
        <v>193934.91999999993</v>
      </c>
      <c r="J46" s="61">
        <f t="shared" si="20"/>
        <v>161620.77999999991</v>
      </c>
      <c r="K46" s="123">
        <f t="shared" si="20"/>
        <v>266597.00999999989</v>
      </c>
      <c r="L46" s="41">
        <f t="shared" si="20"/>
        <v>355278.2099999999</v>
      </c>
      <c r="M46" s="49">
        <f t="shared" si="20"/>
        <v>248958.30999999991</v>
      </c>
    </row>
    <row r="47" spans="1:14" x14ac:dyDescent="0.35">
      <c r="A47" s="46" t="s">
        <v>108</v>
      </c>
      <c r="B47" s="249">
        <v>-285809.35000000009</v>
      </c>
      <c r="C47" s="41">
        <f t="shared" ref="C47:M47" si="21">B47+C40+B55</f>
        <v>2035.7399999999325</v>
      </c>
      <c r="D47" s="41">
        <f t="shared" si="18"/>
        <v>2062.4499999999325</v>
      </c>
      <c r="E47" s="41">
        <f t="shared" si="19"/>
        <v>-126672.84000000007</v>
      </c>
      <c r="F47" s="41">
        <f t="shared" si="21"/>
        <v>-101304.24000000006</v>
      </c>
      <c r="G47" s="108">
        <f t="shared" si="21"/>
        <v>-270503.6700000001</v>
      </c>
      <c r="H47" s="40">
        <f t="shared" si="21"/>
        <v>-429367.10000000009</v>
      </c>
      <c r="I47" s="41">
        <f t="shared" si="21"/>
        <v>-574004.12000000011</v>
      </c>
      <c r="J47" s="61">
        <f t="shared" si="21"/>
        <v>-641885.28000000014</v>
      </c>
      <c r="K47" s="123">
        <f t="shared" si="21"/>
        <v>-435003.39000000013</v>
      </c>
      <c r="L47" s="41">
        <f t="shared" si="21"/>
        <v>-244367.68000000014</v>
      </c>
      <c r="M47" s="49">
        <f t="shared" si="21"/>
        <v>-442974.74000000011</v>
      </c>
    </row>
    <row r="48" spans="1:14" x14ac:dyDescent="0.35">
      <c r="A48" s="46" t="s">
        <v>109</v>
      </c>
      <c r="B48" s="249">
        <v>-1217681.46</v>
      </c>
      <c r="C48" s="41">
        <f t="shared" ref="C48:M48" si="22">B48+C41+B56</f>
        <v>-956614.42999999993</v>
      </c>
      <c r="D48" s="41">
        <f t="shared" si="18"/>
        <v>-954194.99999999988</v>
      </c>
      <c r="E48" s="41">
        <f t="shared" si="19"/>
        <v>-1179577.9099999999</v>
      </c>
      <c r="F48" s="41">
        <f t="shared" si="22"/>
        <v>-1234095.03</v>
      </c>
      <c r="G48" s="108">
        <f t="shared" si="22"/>
        <v>-1349480.03</v>
      </c>
      <c r="H48" s="40">
        <f t="shared" si="22"/>
        <v>-1406551.45</v>
      </c>
      <c r="I48" s="41">
        <f t="shared" si="22"/>
        <v>-1563437.32</v>
      </c>
      <c r="J48" s="61">
        <f t="shared" si="22"/>
        <v>-1728395.38</v>
      </c>
      <c r="K48" s="123">
        <f t="shared" si="22"/>
        <v>-1329407.4099999999</v>
      </c>
      <c r="L48" s="41">
        <f t="shared" si="22"/>
        <v>-949948.98</v>
      </c>
      <c r="M48" s="49">
        <f t="shared" si="22"/>
        <v>-1208437.4100000001</v>
      </c>
    </row>
    <row r="49" spans="1:14" ht="15" thickBot="1" x14ac:dyDescent="0.4">
      <c r="A49" s="46" t="s">
        <v>110</v>
      </c>
      <c r="B49" s="117">
        <v>-712531.56999999948</v>
      </c>
      <c r="C49" s="41">
        <f>B49+C42+B57</f>
        <v>-702358.05999999947</v>
      </c>
      <c r="D49" s="41">
        <f t="shared" si="18"/>
        <v>-700576.24999999942</v>
      </c>
      <c r="E49" s="41">
        <f t="shared" si="19"/>
        <v>-752295.91999999946</v>
      </c>
      <c r="F49" s="41">
        <f t="shared" ref="F49:M49" si="23">E49+F42+E57</f>
        <v>-787840.71999999939</v>
      </c>
      <c r="G49" s="108">
        <f t="shared" si="23"/>
        <v>-848801.21999999939</v>
      </c>
      <c r="H49" s="40">
        <f t="shared" si="23"/>
        <v>-899017.78999999934</v>
      </c>
      <c r="I49" s="41">
        <f t="shared" si="23"/>
        <v>-919447.88999999932</v>
      </c>
      <c r="J49" s="61">
        <f t="shared" si="23"/>
        <v>-662797.46999999927</v>
      </c>
      <c r="K49" s="123">
        <f t="shared" si="23"/>
        <v>-511338.08999999927</v>
      </c>
      <c r="L49" s="41">
        <f t="shared" si="23"/>
        <v>-360259.76999999926</v>
      </c>
      <c r="M49" s="49">
        <f t="shared" si="23"/>
        <v>-381940.71999999922</v>
      </c>
    </row>
    <row r="50" spans="1:14" x14ac:dyDescent="0.35">
      <c r="C50" s="99"/>
      <c r="D50" s="151"/>
      <c r="E50" s="31"/>
      <c r="F50" s="31"/>
      <c r="G50" s="31"/>
      <c r="H50" s="28"/>
      <c r="I50" s="31"/>
      <c r="J50" s="11"/>
      <c r="K50" s="17"/>
      <c r="L50" s="17"/>
      <c r="M50" s="11"/>
    </row>
    <row r="51" spans="1:14" x14ac:dyDescent="0.35">
      <c r="A51" s="39" t="s">
        <v>49</v>
      </c>
      <c r="B51" s="39"/>
      <c r="C51" s="104"/>
      <c r="D51" s="269"/>
      <c r="E51" s="83">
        <f>+'PCR Cycle 2'!E50</f>
        <v>1.61108E-3</v>
      </c>
      <c r="F51" s="83">
        <f>+'PCR Cycle 2'!F50</f>
        <v>2.0355199999999999E-3</v>
      </c>
      <c r="G51" s="83">
        <f>+'PCR Cycle 2'!G50</f>
        <v>2.5749000000000002E-3</v>
      </c>
      <c r="H51" s="84">
        <f>+'PCR Cycle 2'!H50</f>
        <v>2.84906E-3</v>
      </c>
      <c r="I51" s="83">
        <f>+'PCR Cycle 2'!I50</f>
        <v>3.2598100000000001E-3</v>
      </c>
      <c r="J51" s="92">
        <f>+'PCR Cycle 2'!J50</f>
        <v>3.7192499999999999E-3</v>
      </c>
      <c r="K51" s="83">
        <f>+'PCR Cycle 2'!K50</f>
        <v>3.7192499999999999E-3</v>
      </c>
      <c r="L51" s="83">
        <f>+'PCR Cycle 2'!L50</f>
        <v>3.7192499999999999E-3</v>
      </c>
      <c r="M51" s="92"/>
    </row>
    <row r="52" spans="1:14" x14ac:dyDescent="0.35">
      <c r="A52" s="39" t="s">
        <v>37</v>
      </c>
      <c r="B52" s="39"/>
      <c r="C52" s="99"/>
      <c r="D52" s="151"/>
      <c r="E52" s="31"/>
      <c r="F52" s="31"/>
      <c r="G52" s="31"/>
      <c r="H52" s="28"/>
      <c r="I52" s="31"/>
      <c r="J52" s="11"/>
      <c r="K52" s="17"/>
      <c r="L52" s="17"/>
      <c r="M52" s="11"/>
      <c r="N52" s="71"/>
    </row>
    <row r="53" spans="1:14" x14ac:dyDescent="0.35">
      <c r="A53" s="46" t="s">
        <v>24</v>
      </c>
      <c r="C53" s="40">
        <v>702.86999999999989</v>
      </c>
      <c r="D53" s="123"/>
      <c r="E53" s="41">
        <f>ROUND((C45+C53+D53+E38/2)*E$51,2)</f>
        <v>-947.02</v>
      </c>
      <c r="F53" s="41">
        <f t="shared" ref="F53:L57" si="24">ROUND((E45+E53+F38/2)*F$51,2)</f>
        <v>-1085.5999999999999</v>
      </c>
      <c r="G53" s="108">
        <f t="shared" si="24"/>
        <v>-1678.93</v>
      </c>
      <c r="H53" s="40">
        <f t="shared" si="24"/>
        <v>-2757.52</v>
      </c>
      <c r="I53" s="123">
        <f t="shared" si="24"/>
        <v>-4022.46</v>
      </c>
      <c r="J53" s="61">
        <f t="shared" si="24"/>
        <v>-4183.8500000000004</v>
      </c>
      <c r="K53" s="123">
        <f t="shared" si="24"/>
        <v>-1859.61</v>
      </c>
      <c r="L53" s="123">
        <f t="shared" si="24"/>
        <v>287.47000000000003</v>
      </c>
      <c r="M53" s="49"/>
    </row>
    <row r="54" spans="1:14" x14ac:dyDescent="0.35">
      <c r="A54" s="46" t="s">
        <v>107</v>
      </c>
      <c r="C54" s="250">
        <v>-128.51</v>
      </c>
      <c r="D54" s="270"/>
      <c r="E54" s="41">
        <f t="shared" ref="E54:E57" si="25">ROUND((C46+C54+D54+E39/2)*E$51,2)</f>
        <v>33.78</v>
      </c>
      <c r="F54" s="41">
        <f t="shared" si="24"/>
        <v>87.29</v>
      </c>
      <c r="G54" s="108">
        <f t="shared" si="24"/>
        <v>78.28</v>
      </c>
      <c r="H54" s="40">
        <f t="shared" si="24"/>
        <v>254.07</v>
      </c>
      <c r="I54" s="123">
        <f t="shared" si="24"/>
        <v>554.44000000000005</v>
      </c>
      <c r="J54" s="61">
        <f t="shared" si="24"/>
        <v>662.23</v>
      </c>
      <c r="K54" s="123">
        <f t="shared" si="24"/>
        <v>797.56</v>
      </c>
      <c r="L54" s="123">
        <f t="shared" si="24"/>
        <v>1157.94</v>
      </c>
      <c r="M54" s="49"/>
    </row>
    <row r="55" spans="1:14" x14ac:dyDescent="0.35">
      <c r="A55" s="46" t="s">
        <v>108</v>
      </c>
      <c r="C55" s="250">
        <v>26.709999999999997</v>
      </c>
      <c r="D55" s="270"/>
      <c r="E55" s="41">
        <f t="shared" si="25"/>
        <v>-100.38</v>
      </c>
      <c r="F55" s="41">
        <f t="shared" si="24"/>
        <v>-232.13</v>
      </c>
      <c r="G55" s="108">
        <f t="shared" si="24"/>
        <v>-478.98</v>
      </c>
      <c r="H55" s="40">
        <f t="shared" si="24"/>
        <v>-997.67</v>
      </c>
      <c r="I55" s="123">
        <f t="shared" si="24"/>
        <v>-1637.03</v>
      </c>
      <c r="J55" s="61">
        <f t="shared" si="24"/>
        <v>-2264.14</v>
      </c>
      <c r="K55" s="123">
        <f t="shared" si="24"/>
        <v>-2006.82</v>
      </c>
      <c r="L55" s="123">
        <f t="shared" si="24"/>
        <v>-1267.1099999999999</v>
      </c>
      <c r="M55" s="49"/>
    </row>
    <row r="56" spans="1:14" x14ac:dyDescent="0.35">
      <c r="A56" s="46" t="s">
        <v>109</v>
      </c>
      <c r="C56" s="250">
        <v>2419.4300000000003</v>
      </c>
      <c r="D56" s="270"/>
      <c r="E56" s="41">
        <f t="shared" si="25"/>
        <v>-1718.84</v>
      </c>
      <c r="F56" s="41">
        <f t="shared" si="24"/>
        <v>-2458.29</v>
      </c>
      <c r="G56" s="108">
        <f t="shared" si="24"/>
        <v>-3329.39</v>
      </c>
      <c r="H56" s="40">
        <f t="shared" si="24"/>
        <v>-3930.79</v>
      </c>
      <c r="I56" s="123">
        <f t="shared" si="24"/>
        <v>-4847.21</v>
      </c>
      <c r="J56" s="61">
        <f t="shared" si="24"/>
        <v>-6130.59</v>
      </c>
      <c r="K56" s="123">
        <f t="shared" si="24"/>
        <v>-5697.77</v>
      </c>
      <c r="L56" s="123">
        <f t="shared" si="24"/>
        <v>-4249.34</v>
      </c>
      <c r="M56" s="49"/>
    </row>
    <row r="57" spans="1:14" ht="15" thickBot="1" x14ac:dyDescent="0.4">
      <c r="A57" s="46" t="s">
        <v>110</v>
      </c>
      <c r="C57" s="114">
        <v>1781.81</v>
      </c>
      <c r="D57" s="270"/>
      <c r="E57" s="41">
        <f t="shared" si="25"/>
        <v>-1170.3499999999999</v>
      </c>
      <c r="F57" s="41">
        <f t="shared" si="24"/>
        <v>-1568.68</v>
      </c>
      <c r="G57" s="108">
        <f t="shared" si="24"/>
        <v>-2109.11</v>
      </c>
      <c r="H57" s="40">
        <f t="shared" si="24"/>
        <v>-2492.83</v>
      </c>
      <c r="I57" s="123">
        <f t="shared" si="24"/>
        <v>-2967.99</v>
      </c>
      <c r="J57" s="61">
        <f t="shared" si="24"/>
        <v>-2947.9</v>
      </c>
      <c r="K57" s="123">
        <f t="shared" si="24"/>
        <v>-2188.9299999999998</v>
      </c>
      <c r="L57" s="123">
        <f t="shared" si="24"/>
        <v>-1624.92</v>
      </c>
      <c r="M57" s="49"/>
    </row>
    <row r="58" spans="1:14" ht="15.5" thickTop="1" thickBot="1" x14ac:dyDescent="0.4">
      <c r="A58" s="54" t="s">
        <v>22</v>
      </c>
      <c r="B58" s="54"/>
      <c r="C58" s="115">
        <v>0</v>
      </c>
      <c r="D58" s="271"/>
      <c r="E58" s="32">
        <f t="shared" ref="E58:M58" si="26">SUM(E53:E57)+SUM(E45:E49)-E61</f>
        <v>0</v>
      </c>
      <c r="F58" s="32">
        <f t="shared" si="26"/>
        <v>0</v>
      </c>
      <c r="G58" s="50">
        <f t="shared" si="26"/>
        <v>0</v>
      </c>
      <c r="H58" s="124">
        <f t="shared" si="26"/>
        <v>0</v>
      </c>
      <c r="I58" s="32">
        <f t="shared" si="26"/>
        <v>0</v>
      </c>
      <c r="J58" s="62">
        <f t="shared" si="26"/>
        <v>0</v>
      </c>
      <c r="K58" s="165">
        <f t="shared" si="26"/>
        <v>0</v>
      </c>
      <c r="L58" s="32">
        <f t="shared" si="26"/>
        <v>0</v>
      </c>
      <c r="M58" s="96">
        <f t="shared" si="26"/>
        <v>0</v>
      </c>
    </row>
    <row r="59" spans="1:14" ht="15.5" thickTop="1" thickBot="1" x14ac:dyDescent="0.4">
      <c r="A59" s="54" t="s">
        <v>23</v>
      </c>
      <c r="B59" s="54"/>
      <c r="C59" s="107">
        <v>0</v>
      </c>
      <c r="D59" s="272"/>
      <c r="E59" s="32">
        <f t="shared" ref="E59:J59" si="27">SUM(E53:E57)-E35</f>
        <v>0</v>
      </c>
      <c r="F59" s="32">
        <f t="shared" si="27"/>
        <v>0</v>
      </c>
      <c r="G59" s="50">
        <f t="shared" ref="G59:I59" si="28">SUM(G53:G57)-G35</f>
        <v>1.0000000000218279E-2</v>
      </c>
      <c r="H59" s="51">
        <f t="shared" si="28"/>
        <v>-1.0000000000218279E-2</v>
      </c>
      <c r="I59" s="32">
        <f t="shared" si="28"/>
        <v>0</v>
      </c>
      <c r="J59" s="62">
        <f t="shared" si="27"/>
        <v>0</v>
      </c>
      <c r="K59" s="165">
        <f t="shared" ref="K59:M59" si="29">SUM(K53:K57)-K35</f>
        <v>0</v>
      </c>
      <c r="L59" s="32">
        <f t="shared" si="29"/>
        <v>0</v>
      </c>
      <c r="M59" s="96">
        <f t="shared" si="29"/>
        <v>0</v>
      </c>
    </row>
    <row r="60" spans="1:14" ht="15.5" thickTop="1" thickBot="1" x14ac:dyDescent="0.4">
      <c r="C60" s="99"/>
      <c r="D60" s="151"/>
      <c r="E60" s="17"/>
      <c r="F60" s="17"/>
      <c r="G60" s="17"/>
      <c r="H60" s="10"/>
      <c r="I60" s="17"/>
      <c r="J60" s="11"/>
      <c r="K60" s="17"/>
      <c r="L60" s="17"/>
      <c r="M60" s="11"/>
    </row>
    <row r="61" spans="1:14" ht="15" thickBot="1" x14ac:dyDescent="0.4">
      <c r="A61" s="46" t="s">
        <v>36</v>
      </c>
      <c r="B61" s="119">
        <f>SUM(B45:B49)</f>
        <v>-2930580.2800000003</v>
      </c>
      <c r="C61" s="40">
        <f>(SUM(C15:C19)-SUM(C29:C33))+SUM(C53:C57)+B61</f>
        <v>-2279193.5099999998</v>
      </c>
      <c r="D61" s="41">
        <f>(SUM(D15:D19)-SUM(D29:D33))+SUM(D53:D57)+C61</f>
        <v>-2279193.5099999998</v>
      </c>
      <c r="E61" s="41">
        <f>(SUM(E15:E19)-SUM(E29:E33))+SUM(D53:E57)+C61</f>
        <v>-2569664.4299999997</v>
      </c>
      <c r="F61" s="41">
        <f t="shared" ref="F61:M61" si="30">(SUM(F15:F19)-SUM(F29:F33))+SUM(F53:F57)+E61</f>
        <v>-2601259.23</v>
      </c>
      <c r="G61" s="108">
        <f t="shared" si="30"/>
        <v>-3245816.59</v>
      </c>
      <c r="H61" s="40">
        <f t="shared" si="30"/>
        <v>-3731133.4699999997</v>
      </c>
      <c r="I61" s="41">
        <f t="shared" si="30"/>
        <v>-4208780.1499999994</v>
      </c>
      <c r="J61" s="61">
        <f t="shared" si="30"/>
        <v>-3799229.8599999994</v>
      </c>
      <c r="K61" s="123">
        <f t="shared" si="30"/>
        <v>-2103008.5799999996</v>
      </c>
      <c r="L61" s="41">
        <f t="shared" si="30"/>
        <v>-965647.44999999972</v>
      </c>
      <c r="M61" s="61">
        <f t="shared" si="30"/>
        <v>-2322927.0199999996</v>
      </c>
    </row>
    <row r="62" spans="1:14" x14ac:dyDescent="0.35">
      <c r="A62" s="46" t="s">
        <v>12</v>
      </c>
      <c r="C62" s="120"/>
      <c r="D62" s="17"/>
      <c r="E62" s="56"/>
      <c r="F62" s="56"/>
      <c r="G62" s="56"/>
      <c r="H62" s="12"/>
      <c r="I62" s="56"/>
      <c r="J62" s="11"/>
      <c r="K62" s="17"/>
      <c r="L62" s="17"/>
      <c r="M62" s="11"/>
    </row>
    <row r="63" spans="1:14" ht="15" thickBot="1" x14ac:dyDescent="0.4">
      <c r="B63" s="17"/>
      <c r="C63" s="43"/>
      <c r="D63" s="44"/>
      <c r="E63" s="44"/>
      <c r="F63" s="44"/>
      <c r="G63" s="44"/>
      <c r="H63" s="43"/>
      <c r="I63" s="44"/>
      <c r="J63" s="45"/>
      <c r="K63" s="44"/>
      <c r="L63" s="44"/>
      <c r="M63" s="45"/>
    </row>
    <row r="64" spans="1:14" x14ac:dyDescent="0.35">
      <c r="D64" s="47"/>
    </row>
    <row r="65" spans="1:13" x14ac:dyDescent="0.35">
      <c r="A65" s="69" t="s">
        <v>11</v>
      </c>
      <c r="B65" s="69"/>
      <c r="C65" s="69"/>
      <c r="D65" s="69"/>
    </row>
    <row r="66" spans="1:13" ht="66" customHeight="1" x14ac:dyDescent="0.35">
      <c r="A66" s="309" t="s">
        <v>220</v>
      </c>
      <c r="B66" s="309"/>
      <c r="C66" s="309"/>
      <c r="D66" s="309"/>
      <c r="E66" s="309"/>
      <c r="F66" s="309"/>
      <c r="G66" s="309"/>
      <c r="H66" s="309"/>
      <c r="I66" s="309"/>
      <c r="J66" s="309"/>
      <c r="K66" s="238"/>
      <c r="L66" s="238"/>
      <c r="M66" s="238"/>
    </row>
    <row r="67" spans="1:13" ht="33.75" customHeight="1" x14ac:dyDescent="0.35">
      <c r="A67" s="309" t="s">
        <v>219</v>
      </c>
      <c r="B67" s="309"/>
      <c r="C67" s="309"/>
      <c r="D67" s="309"/>
      <c r="E67" s="309"/>
      <c r="F67" s="309"/>
      <c r="G67" s="309"/>
      <c r="H67" s="309"/>
      <c r="I67" s="309"/>
      <c r="J67" s="309"/>
      <c r="K67" s="238"/>
      <c r="L67" s="238"/>
      <c r="M67" s="238"/>
    </row>
    <row r="68" spans="1:13" ht="33.75" customHeight="1" x14ac:dyDescent="0.35">
      <c r="A68" s="309" t="s">
        <v>186</v>
      </c>
      <c r="B68" s="309"/>
      <c r="C68" s="309"/>
      <c r="D68" s="309"/>
      <c r="E68" s="309"/>
      <c r="F68" s="309"/>
      <c r="G68" s="309"/>
      <c r="H68" s="309"/>
      <c r="I68" s="309"/>
      <c r="J68" s="309"/>
      <c r="K68" s="238"/>
      <c r="L68" s="238"/>
      <c r="M68" s="238"/>
    </row>
    <row r="69" spans="1:13" x14ac:dyDescent="0.35">
      <c r="A69" s="3" t="s">
        <v>31</v>
      </c>
      <c r="B69" s="3"/>
      <c r="C69" s="3"/>
      <c r="D69" s="3"/>
      <c r="J69" s="4"/>
    </row>
    <row r="70" spans="1:13" x14ac:dyDescent="0.35">
      <c r="A70" s="63" t="s">
        <v>203</v>
      </c>
      <c r="B70" s="3"/>
      <c r="C70" s="3"/>
      <c r="D70" s="3"/>
      <c r="J70" s="4"/>
    </row>
    <row r="71" spans="1:13" x14ac:dyDescent="0.35">
      <c r="A71" s="3" t="s">
        <v>51</v>
      </c>
      <c r="B71" s="3"/>
      <c r="C71" s="3"/>
      <c r="D71" s="3"/>
      <c r="J71" s="4"/>
    </row>
    <row r="72" spans="1:13" x14ac:dyDescent="0.35">
      <c r="A72" s="3"/>
    </row>
    <row r="73" spans="1:13" ht="33.75" customHeight="1" x14ac:dyDescent="0.35">
      <c r="A73" s="305"/>
      <c r="B73" s="305"/>
      <c r="C73" s="305"/>
      <c r="D73" s="305"/>
      <c r="E73" s="305"/>
      <c r="F73" s="305"/>
      <c r="G73" s="305"/>
    </row>
    <row r="75" spans="1:13" ht="31.5" customHeight="1" x14ac:dyDescent="0.35">
      <c r="A75" s="305"/>
      <c r="B75" s="305"/>
      <c r="C75" s="305"/>
      <c r="D75" s="305"/>
      <c r="E75" s="305"/>
      <c r="F75" s="305"/>
      <c r="G75" s="305"/>
    </row>
    <row r="81" spans="14:14" x14ac:dyDescent="0.35">
      <c r="N81" s="8"/>
    </row>
  </sheetData>
  <mergeCells count="8">
    <mergeCell ref="K11:M11"/>
    <mergeCell ref="A66:J66"/>
    <mergeCell ref="A67:J67"/>
    <mergeCell ref="A75:G75"/>
    <mergeCell ref="A73:G73"/>
    <mergeCell ref="A68:J68"/>
    <mergeCell ref="E11:G11"/>
    <mergeCell ref="H11:J11"/>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workbookViewId="0">
      <selection activeCell="I12" sqref="I12"/>
    </sheetView>
  </sheetViews>
  <sheetFormatPr defaultRowHeight="14.5" x14ac:dyDescent="0.35"/>
  <cols>
    <col min="1" max="1" width="24.7265625" customWidth="1"/>
    <col min="2" max="2" width="16.1796875" customWidth="1"/>
    <col min="3" max="3" width="15.1796875" customWidth="1"/>
  </cols>
  <sheetData>
    <row r="1" spans="1:23" s="46" customFormat="1" x14ac:dyDescent="0.35">
      <c r="A1" s="3" t="str">
        <f>+'PPC Cycle 3'!A1</f>
        <v>Evergy Metro, Inc. - DSIM Rider Update Filed 12/02/2022</v>
      </c>
    </row>
    <row r="2" spans="1:23" x14ac:dyDescent="0.35">
      <c r="A2" s="9" t="str">
        <f>+'PPC Cycle 3'!A2</f>
        <v>Projections for Cycle 3 January 2023 - December 2023 DSIM</v>
      </c>
    </row>
    <row r="3" spans="1:23" s="46" customFormat="1" x14ac:dyDescent="0.35">
      <c r="A3" s="9"/>
    </row>
    <row r="4" spans="1:23" ht="40.5" customHeight="1" x14ac:dyDescent="0.35">
      <c r="B4" s="303" t="s">
        <v>64</v>
      </c>
      <c r="C4" s="303"/>
    </row>
    <row r="5" spans="1:23" ht="29" x14ac:dyDescent="0.35">
      <c r="B5" s="152" t="s">
        <v>65</v>
      </c>
      <c r="C5" s="6" t="s">
        <v>29</v>
      </c>
    </row>
    <row r="6" spans="1:23" x14ac:dyDescent="0.35">
      <c r="A6" s="20" t="s">
        <v>24</v>
      </c>
      <c r="B6" s="23">
        <f>SUM(0)</f>
        <v>0</v>
      </c>
      <c r="C6" s="86">
        <f>ROUND(SUM(0),2)</f>
        <v>0</v>
      </c>
    </row>
    <row r="7" spans="1:23" x14ac:dyDescent="0.35">
      <c r="A7" s="30" t="s">
        <v>25</v>
      </c>
      <c r="B7" s="23">
        <f>+B14</f>
        <v>0</v>
      </c>
      <c r="C7" s="86">
        <f>+C14</f>
        <v>0</v>
      </c>
    </row>
    <row r="8" spans="1:23" x14ac:dyDescent="0.35">
      <c r="A8" s="20" t="s">
        <v>5</v>
      </c>
      <c r="B8" s="24">
        <f>SUM(B6:B7)</f>
        <v>0</v>
      </c>
      <c r="C8" s="22">
        <f>SUM(C6:C7)</f>
        <v>0</v>
      </c>
    </row>
    <row r="9" spans="1:23" s="46" customFormat="1" x14ac:dyDescent="0.35">
      <c r="A9" s="20"/>
    </row>
    <row r="10" spans="1:23" s="46" customFormat="1" x14ac:dyDescent="0.35">
      <c r="A10" s="20" t="s">
        <v>107</v>
      </c>
      <c r="B10" s="23">
        <f>SUM(0)</f>
        <v>0</v>
      </c>
      <c r="C10" s="86">
        <f>ROUND(SUM(0),2)</f>
        <v>0</v>
      </c>
    </row>
    <row r="11" spans="1:23" s="46" customFormat="1" x14ac:dyDescent="0.35">
      <c r="A11" s="20" t="s">
        <v>108</v>
      </c>
      <c r="B11" s="23">
        <f t="shared" ref="B11:B13" si="0">SUM(0)</f>
        <v>0</v>
      </c>
      <c r="C11" s="86">
        <f t="shared" ref="C11:C13" si="1">ROUND(SUM(0),2)</f>
        <v>0</v>
      </c>
    </row>
    <row r="12" spans="1:23" s="46" customFormat="1" x14ac:dyDescent="0.35">
      <c r="A12" s="20" t="s">
        <v>109</v>
      </c>
      <c r="B12" s="23">
        <f t="shared" si="0"/>
        <v>0</v>
      </c>
      <c r="C12" s="86">
        <f t="shared" si="1"/>
        <v>0</v>
      </c>
    </row>
    <row r="13" spans="1:23" s="46" customFormat="1" x14ac:dyDescent="0.35">
      <c r="A13" s="20" t="s">
        <v>110</v>
      </c>
      <c r="B13" s="23">
        <f t="shared" si="0"/>
        <v>0</v>
      </c>
      <c r="C13" s="86">
        <f t="shared" si="1"/>
        <v>0</v>
      </c>
    </row>
    <row r="14" spans="1:23" x14ac:dyDescent="0.35">
      <c r="A14" s="30" t="s">
        <v>112</v>
      </c>
      <c r="B14" s="24">
        <f>SUM(B10:B13)</f>
        <v>0</v>
      </c>
      <c r="C14" s="22">
        <f>SUM(C10:C13)</f>
        <v>0</v>
      </c>
    </row>
    <row r="15" spans="1:23" x14ac:dyDescent="0.35">
      <c r="A15" s="46"/>
      <c r="B15" s="46"/>
      <c r="C15" s="46"/>
    </row>
    <row r="16" spans="1:23" x14ac:dyDescent="0.35">
      <c r="A16" s="69" t="s">
        <v>30</v>
      </c>
      <c r="B16" s="20"/>
      <c r="C16" s="21"/>
      <c r="N16" s="1"/>
      <c r="O16" s="1"/>
      <c r="P16" s="1"/>
      <c r="Q16" s="1"/>
      <c r="R16" s="1"/>
      <c r="S16" s="1"/>
      <c r="T16" s="1"/>
      <c r="U16" s="1"/>
      <c r="V16" s="1"/>
      <c r="W16" s="1"/>
    </row>
    <row r="17" spans="1:13" s="39" customFormat="1" x14ac:dyDescent="0.35">
      <c r="A17" s="304" t="s">
        <v>205</v>
      </c>
      <c r="B17" s="304"/>
      <c r="C17" s="304"/>
      <c r="D17" s="304"/>
      <c r="E17" s="304"/>
      <c r="F17" s="304"/>
      <c r="G17" s="304"/>
      <c r="H17" s="304"/>
      <c r="I17" s="304"/>
      <c r="J17" s="304"/>
      <c r="K17" s="304"/>
      <c r="L17" s="304"/>
      <c r="M17" s="304"/>
    </row>
    <row r="18" spans="1:13" s="39" customFormat="1" x14ac:dyDescent="0.35">
      <c r="A18" s="304" t="s">
        <v>206</v>
      </c>
      <c r="B18" s="304"/>
      <c r="C18" s="304"/>
      <c r="D18" s="304"/>
      <c r="E18" s="304"/>
      <c r="F18" s="304"/>
      <c r="G18" s="304"/>
      <c r="H18" s="304"/>
      <c r="I18" s="304"/>
      <c r="J18" s="304"/>
      <c r="K18" s="304"/>
      <c r="L18" s="304"/>
      <c r="M18" s="304"/>
    </row>
    <row r="38" spans="2:3" x14ac:dyDescent="0.35">
      <c r="B38" s="8"/>
      <c r="C38" s="8"/>
    </row>
    <row r="42" spans="2:3" x14ac:dyDescent="0.35">
      <c r="B42" s="8"/>
      <c r="C42" s="8"/>
    </row>
  </sheetData>
  <mergeCells count="3">
    <mergeCell ref="B4:C4"/>
    <mergeCell ref="A17:M17"/>
    <mergeCell ref="A18:M18"/>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workbookViewId="0">
      <selection activeCell="E9" sqref="E9"/>
    </sheetView>
  </sheetViews>
  <sheetFormatPr defaultColWidth="9.1796875" defaultRowHeight="14.5" x14ac:dyDescent="0.35"/>
  <cols>
    <col min="1" max="1" width="24.7265625" style="46" customWidth="1"/>
    <col min="2" max="2" width="16.1796875" style="46" customWidth="1"/>
    <col min="3" max="3" width="15.1796875" style="46" customWidth="1"/>
    <col min="4" max="4" width="12.54296875" style="46" bestFit="1" customWidth="1"/>
    <col min="5" max="5" width="11.54296875" style="46" bestFit="1" customWidth="1"/>
    <col min="6" max="16384" width="9.1796875" style="46"/>
  </cols>
  <sheetData>
    <row r="1" spans="1:23" x14ac:dyDescent="0.35">
      <c r="A1" s="3" t="str">
        <f>+'PPC Cycle 3'!A1</f>
        <v>Evergy Metro, Inc. - DSIM Rider Update Filed 12/02/2022</v>
      </c>
    </row>
    <row r="2" spans="1:23" x14ac:dyDescent="0.35">
      <c r="A2" s="9" t="str">
        <f>+'PPC Cycle 3'!A2</f>
        <v>Projections for Cycle 3 January 2023 - December 2023 DSIM</v>
      </c>
    </row>
    <row r="3" spans="1:23" x14ac:dyDescent="0.35">
      <c r="A3" s="9"/>
    </row>
    <row r="4" spans="1:23" ht="40.5" customHeight="1" x14ac:dyDescent="0.35">
      <c r="B4" s="303" t="s">
        <v>114</v>
      </c>
      <c r="C4" s="303"/>
    </row>
    <row r="5" spans="1:23" ht="87" x14ac:dyDescent="0.35">
      <c r="B5" s="152" t="s">
        <v>65</v>
      </c>
      <c r="C5" s="48" t="s">
        <v>29</v>
      </c>
      <c r="D5" s="288" t="str">
        <f>+'PPC Cycle 3'!D4</f>
        <v>3. Cycle 3 Forecast - January 2023 - December 2023</v>
      </c>
      <c r="E5" s="288" t="str">
        <f>+'PPC Cycle 3'!E4</f>
        <v>4. Cycle 3 Extension - January 2023 - December 2023</v>
      </c>
    </row>
    <row r="6" spans="1:23" x14ac:dyDescent="0.35">
      <c r="A6" s="20" t="s">
        <v>24</v>
      </c>
      <c r="B6" s="23">
        <f>SUM('[2]Monthly TD Calc'!$AO461:$AZ461)+SUM('[13]Monthly TD Calc'!$AO460:$AZ460)</f>
        <v>33186610.38470393</v>
      </c>
      <c r="C6" s="86">
        <f>SUM(D6:E6)</f>
        <v>2203492.37</v>
      </c>
      <c r="D6" s="234">
        <f>ROUND(SUM('[2]Monthly TD Calc'!$AO563:$AZ563),2)</f>
        <v>1335735.17</v>
      </c>
      <c r="E6" s="234">
        <f>SUM('[13]Monthly TD Calc'!$AO562:$AZ562)</f>
        <v>867757.2</v>
      </c>
    </row>
    <row r="7" spans="1:23" x14ac:dyDescent="0.35">
      <c r="A7" s="20" t="s">
        <v>107</v>
      </c>
      <c r="B7" s="23">
        <f>SUM('[2]Monthly TD Calc'!$AO462:$AZ462)+SUM('[13]Monthly TD Calc'!$AO461:$AZ461)</f>
        <v>4971322.1551110903</v>
      </c>
      <c r="C7" s="86">
        <f t="shared" ref="C7:C10" si="0">SUM(D7:E7)</f>
        <v>384725.87</v>
      </c>
      <c r="D7" s="234">
        <f>ROUND(SUM('[2]Monthly TD Calc'!$AO564:$AZ564),2)</f>
        <v>301765.96999999997</v>
      </c>
      <c r="E7" s="234">
        <f>SUM('[13]Monthly TD Calc'!$AO563:$AZ563)</f>
        <v>82959.899999999994</v>
      </c>
    </row>
    <row r="8" spans="1:23" x14ac:dyDescent="0.35">
      <c r="A8" s="20" t="s">
        <v>108</v>
      </c>
      <c r="B8" s="23">
        <f>SUM('[2]Monthly TD Calc'!$AO463:$AZ463)+SUM('[13]Monthly TD Calc'!$AO462:$AZ462)</f>
        <v>11997600.674766701</v>
      </c>
      <c r="C8" s="86">
        <f t="shared" si="0"/>
        <v>595105.31000000006</v>
      </c>
      <c r="D8" s="234">
        <f>ROUND(SUM('[2]Monthly TD Calc'!$AO565:$AZ565),2)</f>
        <v>396869.15</v>
      </c>
      <c r="E8" s="234">
        <f>SUM('[13]Monthly TD Calc'!$AO564:$AZ564)</f>
        <v>198236.16000000003</v>
      </c>
    </row>
    <row r="9" spans="1:23" x14ac:dyDescent="0.35">
      <c r="A9" s="20" t="s">
        <v>109</v>
      </c>
      <c r="B9" s="23">
        <f>SUM('[2]Monthly TD Calc'!$AO464:$AZ464)+SUM('[13]Monthly TD Calc'!$AO463:$AZ463)</f>
        <v>19646385.343908615</v>
      </c>
      <c r="C9" s="86">
        <f t="shared" si="0"/>
        <v>606895.04</v>
      </c>
      <c r="D9" s="234">
        <f>ROUND(SUM('[2]Monthly TD Calc'!$AO566:$AZ566),2)</f>
        <v>404013.66</v>
      </c>
      <c r="E9" s="234">
        <f>SUM('[13]Monthly TD Calc'!$AO565:$AZ565)</f>
        <v>202881.38000000003</v>
      </c>
    </row>
    <row r="10" spans="1:23" x14ac:dyDescent="0.35">
      <c r="A10" s="20" t="s">
        <v>110</v>
      </c>
      <c r="B10" s="23">
        <f>SUM('[2]Monthly TD Calc'!$AO465:$AZ465)+SUM('[13]Monthly TD Calc'!$AO464:$AZ464)</f>
        <v>3190981.5543002323</v>
      </c>
      <c r="C10" s="86">
        <f t="shared" si="0"/>
        <v>42942.3</v>
      </c>
      <c r="D10" s="234">
        <f>ROUND(SUM('[2]Monthly TD Calc'!$AO567:$AZ567),2)</f>
        <v>34029.800000000003</v>
      </c>
      <c r="E10" s="234">
        <f>SUM('[13]Monthly TD Calc'!$AO566:$AZ566)</f>
        <v>8912.5</v>
      </c>
    </row>
    <row r="11" spans="1:23" x14ac:dyDescent="0.35">
      <c r="A11" s="30" t="s">
        <v>5</v>
      </c>
      <c r="B11" s="24">
        <f>SUM(B6:B10)</f>
        <v>72992900.11279057</v>
      </c>
      <c r="C11" s="292">
        <f>SUM(C6:C10)</f>
        <v>3833160.89</v>
      </c>
      <c r="D11" s="292">
        <f t="shared" ref="D11:E11" si="1">SUM(D6:D10)</f>
        <v>2472413.75</v>
      </c>
      <c r="E11" s="292">
        <f t="shared" si="1"/>
        <v>1360747.1400000001</v>
      </c>
    </row>
    <row r="13" spans="1:23" x14ac:dyDescent="0.35">
      <c r="A13" s="69" t="s">
        <v>30</v>
      </c>
      <c r="B13" s="20"/>
      <c r="C13" s="21"/>
      <c r="N13" s="1"/>
      <c r="O13" s="1"/>
      <c r="P13" s="1"/>
      <c r="Q13" s="1"/>
      <c r="R13" s="1"/>
      <c r="S13" s="1"/>
      <c r="T13" s="1"/>
      <c r="U13" s="1"/>
      <c r="V13" s="1"/>
      <c r="W13" s="1"/>
    </row>
    <row r="14" spans="1:23" s="39" customFormat="1" ht="27.75" customHeight="1" x14ac:dyDescent="0.35">
      <c r="A14" s="302" t="s">
        <v>221</v>
      </c>
      <c r="B14" s="302"/>
      <c r="C14" s="302"/>
      <c r="D14" s="302"/>
      <c r="E14" s="302"/>
      <c r="F14" s="291"/>
      <c r="G14" s="291"/>
      <c r="H14" s="291"/>
      <c r="I14" s="291"/>
      <c r="J14" s="291"/>
      <c r="K14" s="291"/>
      <c r="L14" s="291"/>
      <c r="M14" s="291"/>
    </row>
    <row r="15" spans="1:23" s="39" customFormat="1" x14ac:dyDescent="0.35">
      <c r="A15" s="304" t="s">
        <v>189</v>
      </c>
      <c r="B15" s="304"/>
      <c r="C15" s="304"/>
      <c r="D15" s="304"/>
      <c r="E15" s="304"/>
      <c r="F15" s="304"/>
      <c r="G15" s="304"/>
      <c r="H15" s="304"/>
      <c r="I15" s="304"/>
      <c r="J15" s="304"/>
      <c r="K15" s="304"/>
      <c r="L15" s="304"/>
      <c r="M15" s="304"/>
    </row>
    <row r="16" spans="1:23" ht="32.25" customHeight="1" x14ac:dyDescent="0.35">
      <c r="A16" s="315" t="s">
        <v>222</v>
      </c>
      <c r="B16" s="315"/>
      <c r="C16" s="315"/>
      <c r="D16" s="315"/>
      <c r="E16" s="315"/>
      <c r="F16" s="291"/>
      <c r="G16" s="291"/>
      <c r="H16" s="291"/>
      <c r="I16" s="291"/>
      <c r="J16" s="291"/>
      <c r="K16" s="291"/>
      <c r="L16" s="291"/>
      <c r="M16" s="291"/>
    </row>
    <row r="17" spans="1:13" ht="30.75" customHeight="1" x14ac:dyDescent="0.35">
      <c r="A17" s="302" t="s">
        <v>187</v>
      </c>
      <c r="B17" s="302"/>
      <c r="C17" s="302"/>
      <c r="D17" s="302"/>
      <c r="E17" s="302"/>
      <c r="F17" s="291"/>
      <c r="G17" s="291"/>
      <c r="H17" s="291"/>
      <c r="I17" s="291"/>
      <c r="J17" s="291"/>
      <c r="K17" s="291"/>
      <c r="L17" s="291"/>
      <c r="M17" s="291"/>
    </row>
    <row r="35" spans="2:3" x14ac:dyDescent="0.35">
      <c r="B35" s="8"/>
      <c r="C35" s="8"/>
    </row>
    <row r="39" spans="2:3" x14ac:dyDescent="0.35">
      <c r="B39" s="8"/>
      <c r="C39" s="8"/>
    </row>
  </sheetData>
  <mergeCells count="5">
    <mergeCell ref="B4:C4"/>
    <mergeCell ref="A15:M15"/>
    <mergeCell ref="A14:E14"/>
    <mergeCell ref="A16:E16"/>
    <mergeCell ref="A17:E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9"/>
  <sheetViews>
    <sheetView zoomScaleNormal="100" workbookViewId="0">
      <pane xSplit="1" ySplit="2" topLeftCell="I48" activePane="bottomRight" state="frozen"/>
      <selection activeCell="J26" sqref="J26"/>
      <selection pane="topRight" activeCell="J26" sqref="J26"/>
      <selection pane="bottomLeft" activeCell="J26" sqref="J26"/>
      <selection pane="bottomRight" activeCell="E49" sqref="E49"/>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0.7265625" style="46" bestFit="1"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12/02/2022</v>
      </c>
      <c r="B1" s="3"/>
      <c r="C1" s="3"/>
      <c r="D1" s="3"/>
    </row>
    <row r="2" spans="1:35" x14ac:dyDescent="0.35">
      <c r="E2" s="3" t="s">
        <v>61</v>
      </c>
    </row>
    <row r="3" spans="1:35" ht="29" x14ac:dyDescent="0.35">
      <c r="E3" s="48" t="s">
        <v>46</v>
      </c>
      <c r="F3" s="70" t="s">
        <v>71</v>
      </c>
      <c r="G3" s="70" t="s">
        <v>54</v>
      </c>
      <c r="H3" s="48" t="s">
        <v>3</v>
      </c>
      <c r="I3" s="70" t="s">
        <v>55</v>
      </c>
      <c r="J3" s="48" t="s">
        <v>10</v>
      </c>
      <c r="K3" s="48" t="s">
        <v>9</v>
      </c>
      <c r="S3" s="48"/>
    </row>
    <row r="4" spans="1:35" x14ac:dyDescent="0.35">
      <c r="A4" s="20" t="s">
        <v>24</v>
      </c>
      <c r="B4" s="20"/>
      <c r="C4" s="20"/>
      <c r="D4" s="20"/>
      <c r="E4" s="22">
        <f>SUM(C19:M19)</f>
        <v>1153531.4360100001</v>
      </c>
      <c r="F4" s="138">
        <f>N26</f>
        <v>16516787.198599555</v>
      </c>
      <c r="G4" s="22">
        <f>SUM(C33:L33)</f>
        <v>1371657.05</v>
      </c>
      <c r="H4" s="22">
        <f>G4-E4</f>
        <v>218125.61398999998</v>
      </c>
      <c r="I4" s="22">
        <f>+B46</f>
        <v>460720.91847999993</v>
      </c>
      <c r="J4" s="22">
        <f>SUM(C51:L51)</f>
        <v>18499.160000000003</v>
      </c>
      <c r="K4" s="25">
        <f>SUM(H4:J4)</f>
        <v>697345.69247000001</v>
      </c>
      <c r="L4" s="47">
        <f>+K4-M46</f>
        <v>0</v>
      </c>
    </row>
    <row r="5" spans="1:35" ht="15" thickBot="1" x14ac:dyDescent="0.4">
      <c r="A5" s="20" t="s">
        <v>25</v>
      </c>
      <c r="B5" s="20"/>
      <c r="C5" s="20"/>
      <c r="D5" s="20"/>
      <c r="E5" s="22">
        <f>SUM(C20:M23)</f>
        <v>1048990.12212</v>
      </c>
      <c r="F5" s="138">
        <f>SUM(N27:N30)</f>
        <v>30559498.224796295</v>
      </c>
      <c r="G5" s="22">
        <f>SUM(C34:L37)</f>
        <v>1331184.3600000001</v>
      </c>
      <c r="H5" s="22">
        <f>G5-E5</f>
        <v>282194.23788000015</v>
      </c>
      <c r="I5" s="22">
        <f>+B47</f>
        <v>518871.2017199999</v>
      </c>
      <c r="J5" s="22">
        <f>SUM(C52:L52)</f>
        <v>20008.079999999998</v>
      </c>
      <c r="K5" s="25">
        <f>SUM(H5:J5)</f>
        <v>821073.5196</v>
      </c>
      <c r="L5" s="47">
        <f>+K5-M47</f>
        <v>0</v>
      </c>
    </row>
    <row r="6" spans="1:35" ht="15.5" thickTop="1" thickBot="1" x14ac:dyDescent="0.4">
      <c r="E6" s="27">
        <f t="shared" ref="E6" si="0">SUM(E4:E5)</f>
        <v>2202521.5581299998</v>
      </c>
      <c r="F6" s="139">
        <f t="shared" ref="F6:I6" si="1">SUM(F4:F5)</f>
        <v>47076285.42339585</v>
      </c>
      <c r="G6" s="27">
        <f t="shared" si="1"/>
        <v>2702841.41</v>
      </c>
      <c r="H6" s="27">
        <f t="shared" si="1"/>
        <v>500319.85187000013</v>
      </c>
      <c r="I6" s="27">
        <f t="shared" si="1"/>
        <v>979592.12019999977</v>
      </c>
      <c r="J6" s="27">
        <f>SUM(J4:J5)</f>
        <v>38507.240000000005</v>
      </c>
      <c r="K6" s="27">
        <f>SUM(K4:K5)</f>
        <v>1518419.2120699999</v>
      </c>
      <c r="T6" s="5"/>
    </row>
    <row r="7" spans="1:35" ht="44" thickTop="1" x14ac:dyDescent="0.35">
      <c r="K7" s="231"/>
      <c r="L7" s="230" t="s">
        <v>125</v>
      </c>
    </row>
    <row r="8" spans="1:35" x14ac:dyDescent="0.35">
      <c r="A8" s="20" t="s">
        <v>107</v>
      </c>
      <c r="K8" s="25">
        <f>ROUND($K$5*L8,2)</f>
        <v>111472.57</v>
      </c>
      <c r="L8" s="228">
        <f>+'PCR Cycle 2'!L8</f>
        <v>0.13576441564001979</v>
      </c>
    </row>
    <row r="9" spans="1:35" x14ac:dyDescent="0.35">
      <c r="A9" s="20" t="s">
        <v>108</v>
      </c>
      <c r="K9" s="25">
        <f t="shared" ref="K9:K11" si="2">ROUND($K$5*L9,2)</f>
        <v>292397.21000000002</v>
      </c>
      <c r="L9" s="228">
        <f>+'PCR Cycle 2'!L9</f>
        <v>0.35611574316442379</v>
      </c>
    </row>
    <row r="10" spans="1:35" x14ac:dyDescent="0.35">
      <c r="A10" s="20" t="s">
        <v>109</v>
      </c>
      <c r="K10" s="25">
        <f t="shared" si="2"/>
        <v>343470.3</v>
      </c>
      <c r="L10" s="228">
        <f>+'PCR Cycle 2'!L10</f>
        <v>0.4183185730547726</v>
      </c>
    </row>
    <row r="11" spans="1:35" ht="15" thickBot="1" x14ac:dyDescent="0.4">
      <c r="A11" s="20" t="s">
        <v>110</v>
      </c>
      <c r="J11" s="4"/>
      <c r="K11" s="25">
        <f t="shared" si="2"/>
        <v>73733.440000000002</v>
      </c>
      <c r="L11" s="228">
        <f>+'PCR Cycle 2'!L11</f>
        <v>8.9801268140783777E-2</v>
      </c>
      <c r="V11" s="4"/>
    </row>
    <row r="12" spans="1:35" ht="15.5" thickTop="1" thickBot="1" x14ac:dyDescent="0.4">
      <c r="A12" s="20" t="s">
        <v>112</v>
      </c>
      <c r="K12" s="27">
        <f>SUM(K8:K11)</f>
        <v>821073.52</v>
      </c>
      <c r="L12" s="229">
        <f>SUM(L8:L11)</f>
        <v>1</v>
      </c>
      <c r="V12" s="4"/>
      <c r="W12" s="5"/>
    </row>
    <row r="13" spans="1:35" ht="15.5" thickTop="1" thickBot="1" x14ac:dyDescent="0.4">
      <c r="V13" s="4"/>
      <c r="W13" s="5"/>
    </row>
    <row r="14" spans="1:35" ht="102" thickBot="1" x14ac:dyDescent="0.4">
      <c r="B14" s="118" t="str">
        <f>+'PCR Cycle 2'!B14</f>
        <v>Cumulative Over/Under Carryover From 06/01/2022 Filing</v>
      </c>
      <c r="C14" s="153" t="str">
        <f>+'PCR Cycle 2'!C14</f>
        <v>Reverse May 2022 - October 2022 Forecast From 06/01/2022 Filing</v>
      </c>
      <c r="D14" s="153">
        <f>+'PCR Cycle 2'!D14</f>
        <v>0</v>
      </c>
      <c r="E14" s="310" t="s">
        <v>33</v>
      </c>
      <c r="F14" s="310"/>
      <c r="G14" s="311"/>
      <c r="H14" s="316" t="s">
        <v>33</v>
      </c>
      <c r="I14" s="317"/>
      <c r="J14" s="318"/>
      <c r="K14" s="306" t="s">
        <v>8</v>
      </c>
      <c r="L14" s="307"/>
      <c r="M14" s="308"/>
    </row>
    <row r="15" spans="1:35" x14ac:dyDescent="0.35">
      <c r="A15" s="46" t="s">
        <v>63</v>
      </c>
      <c r="C15" s="105"/>
      <c r="D15" s="215"/>
      <c r="E15" s="19">
        <f>+'PCR Cycle 2'!E15</f>
        <v>44712</v>
      </c>
      <c r="F15" s="19">
        <f t="shared" ref="F15:M15" si="3">EOMONTH(E15,1)</f>
        <v>44742</v>
      </c>
      <c r="G15" s="19">
        <f t="shared" si="3"/>
        <v>44773</v>
      </c>
      <c r="H15" s="14">
        <f t="shared" si="3"/>
        <v>44804</v>
      </c>
      <c r="I15" s="19">
        <f t="shared" si="3"/>
        <v>44834</v>
      </c>
      <c r="J15" s="15">
        <f t="shared" si="3"/>
        <v>44865</v>
      </c>
      <c r="K15" s="19">
        <f t="shared" si="3"/>
        <v>44895</v>
      </c>
      <c r="L15" s="19">
        <f t="shared" si="3"/>
        <v>44926</v>
      </c>
      <c r="M15" s="15">
        <f t="shared" si="3"/>
        <v>44957</v>
      </c>
      <c r="Z15" s="1"/>
      <c r="AA15" s="1"/>
      <c r="AB15" s="1"/>
      <c r="AC15" s="1"/>
      <c r="AD15" s="1"/>
      <c r="AE15" s="1"/>
      <c r="AF15" s="1"/>
      <c r="AG15" s="1"/>
      <c r="AH15" s="1"/>
      <c r="AI15" s="1"/>
    </row>
    <row r="16" spans="1:35" x14ac:dyDescent="0.35">
      <c r="A16" s="46" t="s">
        <v>5</v>
      </c>
      <c r="C16" s="195">
        <v>-1077583.1000000001</v>
      </c>
      <c r="D16" s="198">
        <f t="shared" ref="D16" si="4">+D33+D37</f>
        <v>0</v>
      </c>
      <c r="E16" s="109">
        <f>SUM(E33:E37)</f>
        <v>456538.20000000007</v>
      </c>
      <c r="F16" s="109">
        <f t="shared" ref="F16:L16" si="5">SUM(F33:F37)</f>
        <v>621044.9</v>
      </c>
      <c r="G16" s="110">
        <f t="shared" si="5"/>
        <v>663550.51</v>
      </c>
      <c r="H16" s="16">
        <f t="shared" si="5"/>
        <v>654704.71</v>
      </c>
      <c r="I16" s="55">
        <f t="shared" si="5"/>
        <v>573179.68000000005</v>
      </c>
      <c r="J16" s="166">
        <f t="shared" si="5"/>
        <v>398707.63000000006</v>
      </c>
      <c r="K16" s="159">
        <f t="shared" si="5"/>
        <v>412698.88000000006</v>
      </c>
      <c r="L16" s="78">
        <f t="shared" si="5"/>
        <v>0</v>
      </c>
      <c r="M16" s="79"/>
    </row>
    <row r="17" spans="1:15" x14ac:dyDescent="0.35">
      <c r="C17" s="99"/>
      <c r="D17" s="199"/>
      <c r="E17" s="17"/>
      <c r="F17" s="17"/>
      <c r="G17" s="17"/>
      <c r="H17" s="10"/>
      <c r="I17" s="17"/>
      <c r="J17" s="11"/>
      <c r="K17" s="31"/>
      <c r="L17" s="31"/>
      <c r="M17" s="29"/>
    </row>
    <row r="18" spans="1:15" x14ac:dyDescent="0.35">
      <c r="A18" s="46" t="s">
        <v>62</v>
      </c>
      <c r="C18" s="99"/>
      <c r="D18" s="199"/>
      <c r="E18" s="18"/>
      <c r="F18" s="18"/>
      <c r="G18" s="18"/>
      <c r="H18" s="91"/>
      <c r="I18" s="18"/>
      <c r="J18" s="167"/>
      <c r="K18" s="31"/>
      <c r="L18" s="31"/>
      <c r="M18" s="29"/>
      <c r="N18" s="3" t="s">
        <v>68</v>
      </c>
      <c r="O18" s="39"/>
    </row>
    <row r="19" spans="1:15" x14ac:dyDescent="0.35">
      <c r="A19" s="46" t="s">
        <v>24</v>
      </c>
      <c r="C19" s="195">
        <v>-845584.97152000002</v>
      </c>
      <c r="D19" s="198">
        <v>0</v>
      </c>
      <c r="E19" s="136">
        <f>ROUND('[5]May 2022'!$F61,2)</f>
        <v>211849.95</v>
      </c>
      <c r="F19" s="136">
        <f>ROUND('[5]Jun 2022'!$F61,2)</f>
        <v>277123.36</v>
      </c>
      <c r="G19" s="136">
        <f>ROUND('[5]Jul 2022'!$F61,2)</f>
        <v>407509.44</v>
      </c>
      <c r="H19" s="16">
        <f>ROUND('[5]Aug 2022'!$F61,2)</f>
        <v>330133.28000000003</v>
      </c>
      <c r="I19" s="121">
        <f>ROUND('[5]Sep 2022'!$F61,2)</f>
        <v>183779.17</v>
      </c>
      <c r="J19" s="171">
        <f>ROUND('[5]Oct 2022'!$F61,2)</f>
        <v>128808.72</v>
      </c>
      <c r="K19" s="123">
        <f>'PCR Cycle 2'!K27*'TDR Cycle 2'!$N19</f>
        <v>112095.98964</v>
      </c>
      <c r="L19" s="41">
        <f>'PCR Cycle 2'!L27*'TDR Cycle 2'!$N19</f>
        <v>161380.73624999999</v>
      </c>
      <c r="M19" s="61">
        <f>'PCR Cycle 2'!M27*'TDR Cycle 2'!$N19</f>
        <v>186435.76163999998</v>
      </c>
      <c r="N19" s="72">
        <v>6.8999999999999997E-4</v>
      </c>
      <c r="O19" s="4"/>
    </row>
    <row r="20" spans="1:15" x14ac:dyDescent="0.35">
      <c r="A20" s="46" t="s">
        <v>107</v>
      </c>
      <c r="C20" s="195">
        <v>-145996.79535</v>
      </c>
      <c r="D20" s="198"/>
      <c r="E20" s="136">
        <f>ROUND('[5]May 2022'!$F62,2)</f>
        <v>44642.8</v>
      </c>
      <c r="F20" s="136">
        <f>ROUND('[5]Jun 2022'!$F62,2)</f>
        <v>51052.2</v>
      </c>
      <c r="G20" s="136">
        <f>ROUND('[5]Jul 2022'!$F62,2)</f>
        <v>62390</v>
      </c>
      <c r="H20" s="16">
        <f>ROUND('[5]Aug 2022'!$F62,2)</f>
        <v>50417.43</v>
      </c>
      <c r="I20" s="121">
        <f>ROUND('[5]Sep 2022'!$F62,2)</f>
        <v>29020.720000000001</v>
      </c>
      <c r="J20" s="171">
        <f>ROUND('[5]Oct 2022'!$F62,2)</f>
        <v>25461.79</v>
      </c>
      <c r="K20" s="123">
        <f>'PCR Cycle 2'!K28*'TDR Cycle 2'!$N20</f>
        <v>22721.799360000005</v>
      </c>
      <c r="L20" s="41">
        <f>'PCR Cycle 2'!L28*'TDR Cycle 2'!$N20</f>
        <v>24812.838440000003</v>
      </c>
      <c r="M20" s="61">
        <f>'PCR Cycle 2'!M28*'TDR Cycle 2'!$N20</f>
        <v>24950.212560000004</v>
      </c>
      <c r="N20" s="72">
        <v>5.2000000000000006E-4</v>
      </c>
      <c r="O20" s="4"/>
    </row>
    <row r="21" spans="1:15" x14ac:dyDescent="0.35">
      <c r="A21" s="46" t="s">
        <v>108</v>
      </c>
      <c r="C21" s="195">
        <v>-326384.95149000001</v>
      </c>
      <c r="D21" s="198"/>
      <c r="E21" s="136">
        <f>ROUND('[5]May 2022'!$F63,2)</f>
        <v>94343.12</v>
      </c>
      <c r="F21" s="136">
        <f>ROUND('[5]Jun 2022'!$F63,2)</f>
        <v>106673.43</v>
      </c>
      <c r="G21" s="136">
        <f>ROUND('[5]Jul 2022'!$F63,2)</f>
        <v>126851.35</v>
      </c>
      <c r="H21" s="16">
        <f>ROUND('[5]Aug 2022'!$F63,2)</f>
        <v>105848.44</v>
      </c>
      <c r="I21" s="121">
        <f>ROUND('[5]Sep 2022'!$F63,2)</f>
        <v>65808.53</v>
      </c>
      <c r="J21" s="171">
        <f>ROUND('[5]Oct 2022'!$F63,2)</f>
        <v>57716.78</v>
      </c>
      <c r="K21" s="123">
        <f>'PCR Cycle 2'!K29*'TDR Cycle 2'!$N21</f>
        <v>56106.037120000008</v>
      </c>
      <c r="L21" s="41">
        <f>'PCR Cycle 2'!L29*'TDR Cycle 2'!$N21</f>
        <v>61269.356160000003</v>
      </c>
      <c r="M21" s="61">
        <f>'PCR Cycle 2'!M29*'TDR Cycle 2'!$N21</f>
        <v>61608.568960000004</v>
      </c>
      <c r="N21" s="72">
        <v>6.4000000000000005E-4</v>
      </c>
      <c r="O21" s="4"/>
    </row>
    <row r="22" spans="1:15" x14ac:dyDescent="0.35">
      <c r="A22" s="46" t="s">
        <v>109</v>
      </c>
      <c r="C22" s="195">
        <v>-319558.11839999998</v>
      </c>
      <c r="D22" s="198"/>
      <c r="E22" s="136">
        <f>ROUND('[5]May 2022'!$F64,2)</f>
        <v>99386.35</v>
      </c>
      <c r="F22" s="136">
        <f>ROUND('[5]Jun 2022'!$F64,2)</f>
        <v>107401.75</v>
      </c>
      <c r="G22" s="136">
        <f>ROUND('[5]Jul 2022'!$F64,2)</f>
        <v>115489.17</v>
      </c>
      <c r="H22" s="16">
        <f>ROUND('[5]Aug 2022'!$F64,2)</f>
        <v>94448.35</v>
      </c>
      <c r="I22" s="121">
        <f>ROUND('[5]Sep 2022'!$F64,2)</f>
        <v>62454.5</v>
      </c>
      <c r="J22" s="171">
        <f>ROUND('[5]Oct 2022'!$F64,2)</f>
        <v>57727.12</v>
      </c>
      <c r="K22" s="123">
        <f>'PCR Cycle 2'!K30*'TDR Cycle 2'!$N22</f>
        <v>55790.814799999993</v>
      </c>
      <c r="L22" s="41">
        <f>'PCR Cycle 2'!L30*'TDR Cycle 2'!$N22</f>
        <v>60925.124799999998</v>
      </c>
      <c r="M22" s="61">
        <f>'PCR Cycle 2'!M30*'TDR Cycle 2'!$N22</f>
        <v>61262.431599999996</v>
      </c>
      <c r="N22" s="72">
        <v>3.9999999999999996E-4</v>
      </c>
      <c r="O22" s="4"/>
    </row>
    <row r="23" spans="1:15" x14ac:dyDescent="0.35">
      <c r="A23" s="46" t="s">
        <v>110</v>
      </c>
      <c r="C23" s="195">
        <v>-37956.143040000003</v>
      </c>
      <c r="D23" s="198">
        <v>0</v>
      </c>
      <c r="E23" s="136">
        <f>ROUND('[5]May 2022'!$F65,2)</f>
        <v>11597.11</v>
      </c>
      <c r="F23" s="136">
        <f>ROUND('[5]Jun 2022'!$F65,2)</f>
        <v>9657.41</v>
      </c>
      <c r="G23" s="136">
        <f>ROUND('[5]Jul 2022'!$F65,2)</f>
        <v>14275.35</v>
      </c>
      <c r="H23" s="16">
        <f>ROUND('[5]Aug 2022'!$F65,2)</f>
        <v>14830.49</v>
      </c>
      <c r="I23" s="121">
        <f>ROUND('[5]Sep 2022'!$F65,2)</f>
        <v>10605.6</v>
      </c>
      <c r="J23" s="171">
        <f>ROUND('[5]Oct 2022'!$F65,2)</f>
        <v>7556.96</v>
      </c>
      <c r="K23" s="123">
        <f>'PCR Cycle 2'!K31*'TDR Cycle 2'!$N23</f>
        <v>7454.9964</v>
      </c>
      <c r="L23" s="41">
        <f>'PCR Cycle 2'!L31*'TDR Cycle 2'!$N23</f>
        <v>8141.0640000000003</v>
      </c>
      <c r="M23" s="61">
        <f>'PCR Cycle 2'!M31*'TDR Cycle 2'!$N23</f>
        <v>8186.1362000000008</v>
      </c>
      <c r="N23" s="72">
        <v>2.0000000000000001E-4</v>
      </c>
      <c r="O23" s="4"/>
    </row>
    <row r="24" spans="1:15" x14ac:dyDescent="0.35">
      <c r="C24" s="67"/>
      <c r="D24" s="200"/>
      <c r="E24" s="68"/>
      <c r="F24" s="68"/>
      <c r="G24" s="68"/>
      <c r="H24" s="67"/>
      <c r="I24" s="68"/>
      <c r="J24" s="169"/>
      <c r="K24" s="56"/>
      <c r="L24" s="56"/>
      <c r="M24" s="13"/>
      <c r="O24" s="4"/>
    </row>
    <row r="25" spans="1:15" x14ac:dyDescent="0.35">
      <c r="A25" s="39" t="s">
        <v>66</v>
      </c>
      <c r="B25" s="39"/>
      <c r="C25" s="67"/>
      <c r="D25" s="200"/>
      <c r="E25" s="56"/>
      <c r="F25" s="56"/>
      <c r="G25" s="56"/>
      <c r="H25" s="12"/>
      <c r="I25" s="56"/>
      <c r="J25" s="170"/>
      <c r="K25" s="56"/>
      <c r="L25" s="56"/>
      <c r="M25" s="13"/>
      <c r="N25" s="7"/>
    </row>
    <row r="26" spans="1:15" x14ac:dyDescent="0.35">
      <c r="A26" s="46" t="s">
        <v>24</v>
      </c>
      <c r="C26" s="196">
        <v>-6636495.2629699912</v>
      </c>
      <c r="D26" s="201"/>
      <c r="E26" s="111">
        <f>+'[4]Monthly TD Calc'!BX285</f>
        <v>3370413.5458254805</v>
      </c>
      <c r="F26" s="111">
        <f>+'[4]Monthly TD Calc'!BY285</f>
        <v>3266081.7171445102</v>
      </c>
      <c r="G26" s="125">
        <f>+'[4]Monthly TD Calc'!BZ285</f>
        <v>3680422.2557181921</v>
      </c>
      <c r="H26" s="74">
        <f>+'[4]Monthly TD Calc'!CA285</f>
        <v>3515394.0907785045</v>
      </c>
      <c r="I26" s="75">
        <f>+'[4]Monthly TD Calc'!CB285</f>
        <v>3065941.0702093444</v>
      </c>
      <c r="J26" s="171">
        <f>+'[4]Monthly TD Calc'!CC285</f>
        <v>3188466.8000968723</v>
      </c>
      <c r="K26" s="160">
        <f>+'[4]Monthly TD Calc'!CD285</f>
        <v>3066562.9817966414</v>
      </c>
      <c r="L26" s="144">
        <f>+'[4]Monthly TD Calc'!CE285</f>
        <v>0</v>
      </c>
      <c r="M26" s="80"/>
      <c r="N26" s="59">
        <f>SUM(C26:L26)</f>
        <v>16516787.198599555</v>
      </c>
    </row>
    <row r="27" spans="1:15" x14ac:dyDescent="0.35">
      <c r="A27" s="46" t="s">
        <v>107</v>
      </c>
      <c r="C27" s="196">
        <v>-1103492.0612218208</v>
      </c>
      <c r="D27" s="201"/>
      <c r="E27" s="111">
        <f>+'[4]Monthly TD Calc'!BX286</f>
        <v>556499.47614329192</v>
      </c>
      <c r="F27" s="111">
        <f>+'[4]Monthly TD Calc'!BY286</f>
        <v>546992.58507852885</v>
      </c>
      <c r="G27" s="125">
        <f>+'[4]Monthly TD Calc'!BZ286</f>
        <v>563211.1824736062</v>
      </c>
      <c r="H27" s="74">
        <f>+'[4]Monthly TD Calc'!CA286</f>
        <v>575288.93952046824</v>
      </c>
      <c r="I27" s="75">
        <f>+'[4]Monthly TD Calc'!CB286</f>
        <v>521940.09533534345</v>
      </c>
      <c r="J27" s="171">
        <f>+'[4]Monthly TD Calc'!CC286</f>
        <v>550893.96566210699</v>
      </c>
      <c r="K27" s="160">
        <f>+'[4]Monthly TD Calc'!CD286</f>
        <v>519241.44169683417</v>
      </c>
      <c r="L27" s="144">
        <f>+'[4]Monthly TD Calc'!CE286</f>
        <v>0</v>
      </c>
      <c r="M27" s="80"/>
      <c r="N27" s="59">
        <f t="shared" ref="N27:N30" si="6">SUM(C27:L27)</f>
        <v>2730575.624688359</v>
      </c>
    </row>
    <row r="28" spans="1:15" x14ac:dyDescent="0.35">
      <c r="A28" s="46" t="s">
        <v>108</v>
      </c>
      <c r="C28" s="196">
        <v>-4086115.8519828301</v>
      </c>
      <c r="D28" s="201"/>
      <c r="E28" s="111">
        <f>+'[4]Monthly TD Calc'!BX287</f>
        <v>2051435.6097464242</v>
      </c>
      <c r="F28" s="111">
        <f>+'[4]Monthly TD Calc'!BY287</f>
        <v>2034680.2422364058</v>
      </c>
      <c r="G28" s="125">
        <f>+'[4]Monthly TD Calc'!BZ287</f>
        <v>2100193.7252263715</v>
      </c>
      <c r="H28" s="74">
        <f>+'[4]Monthly TD Calc'!CA287</f>
        <v>2134682.8023906159</v>
      </c>
      <c r="I28" s="75">
        <f>+'[4]Monthly TD Calc'!CB287</f>
        <v>1939903.2451075946</v>
      </c>
      <c r="J28" s="171">
        <f>+'[4]Monthly TD Calc'!CC287</f>
        <v>2014354.5312926706</v>
      </c>
      <c r="K28" s="160">
        <f>+'[4]Monthly TD Calc'!CD287</f>
        <v>1902188.3875856276</v>
      </c>
      <c r="L28" s="144">
        <f>+'[4]Monthly TD Calc'!CE287</f>
        <v>0</v>
      </c>
      <c r="M28" s="80"/>
      <c r="N28" s="59">
        <f t="shared" si="6"/>
        <v>10091322.69160288</v>
      </c>
    </row>
    <row r="29" spans="1:15" x14ac:dyDescent="0.35">
      <c r="A29" s="46" t="s">
        <v>109</v>
      </c>
      <c r="C29" s="196">
        <v>-5933287.1080048326</v>
      </c>
      <c r="D29" s="201"/>
      <c r="E29" s="111">
        <f>+'[4]Monthly TD Calc'!BX288</f>
        <v>2991661.3414560268</v>
      </c>
      <c r="F29" s="111">
        <f>+'[4]Monthly TD Calc'!BY288</f>
        <v>2941625.7665488054</v>
      </c>
      <c r="G29" s="125">
        <f>+'[4]Monthly TD Calc'!BZ288</f>
        <v>3026421.3147310298</v>
      </c>
      <c r="H29" s="74">
        <f>+'[4]Monthly TD Calc'!CA288</f>
        <v>3087695.406693608</v>
      </c>
      <c r="I29" s="75">
        <f>+'[4]Monthly TD Calc'!CB288</f>
        <v>2808644.072664205</v>
      </c>
      <c r="J29" s="171">
        <f>+'[4]Monthly TD Calc'!CC288</f>
        <v>2956303.3048945833</v>
      </c>
      <c r="K29" s="160">
        <f>+'[4]Monthly TD Calc'!CD288</f>
        <v>2788695.0613562055</v>
      </c>
      <c r="L29" s="144">
        <f>+'[4]Monthly TD Calc'!CE288</f>
        <v>0</v>
      </c>
      <c r="M29" s="80"/>
      <c r="N29" s="59">
        <f t="shared" si="6"/>
        <v>14667759.160339631</v>
      </c>
    </row>
    <row r="30" spans="1:15" x14ac:dyDescent="0.35">
      <c r="A30" s="46" t="s">
        <v>110</v>
      </c>
      <c r="C30" s="196">
        <v>-1239357.2914375155</v>
      </c>
      <c r="D30" s="201"/>
      <c r="E30" s="111">
        <f>+'[4]Monthly TD Calc'!BX289</f>
        <v>629016.14873591927</v>
      </c>
      <c r="F30" s="111">
        <f>+'[4]Monthly TD Calc'!BY289</f>
        <v>610341.14270159625</v>
      </c>
      <c r="G30" s="125">
        <f>+'[4]Monthly TD Calc'!BZ289</f>
        <v>625162.41647787194</v>
      </c>
      <c r="H30" s="74">
        <f>+'[4]Monthly TD Calc'!CA289</f>
        <v>640902.78208922653</v>
      </c>
      <c r="I30" s="75">
        <f>+'[4]Monthly TD Calc'!CB289</f>
        <v>585000.13350031408</v>
      </c>
      <c r="J30" s="171">
        <f>+'[4]Monthly TD Calc'!CC289</f>
        <v>627474.44586290943</v>
      </c>
      <c r="K30" s="160">
        <f>+'[4]Monthly TD Calc'!CD289</f>
        <v>591300.97023510153</v>
      </c>
      <c r="L30" s="144">
        <f>+'[4]Monthly TD Calc'!CE289</f>
        <v>0</v>
      </c>
      <c r="M30" s="80"/>
      <c r="N30" s="59">
        <f t="shared" si="6"/>
        <v>3069840.7481654235</v>
      </c>
    </row>
    <row r="31" spans="1:15" x14ac:dyDescent="0.35">
      <c r="C31" s="67"/>
      <c r="D31" s="200"/>
      <c r="E31" s="68"/>
      <c r="F31" s="68"/>
      <c r="G31" s="68"/>
      <c r="H31" s="67"/>
      <c r="I31" s="68"/>
      <c r="J31" s="169"/>
      <c r="K31" s="56"/>
      <c r="L31" s="56"/>
      <c r="M31" s="13"/>
    </row>
    <row r="32" spans="1:15" x14ac:dyDescent="0.35">
      <c r="A32" s="46" t="s">
        <v>69</v>
      </c>
      <c r="C32" s="36"/>
      <c r="D32" s="202"/>
      <c r="E32" s="37"/>
      <c r="F32" s="37"/>
      <c r="G32" s="37"/>
      <c r="H32" s="36"/>
      <c r="I32" s="37"/>
      <c r="J32" s="172"/>
      <c r="K32" s="52"/>
      <c r="L32" s="52"/>
      <c r="M32" s="38"/>
    </row>
    <row r="33" spans="1:15" x14ac:dyDescent="0.35">
      <c r="A33" s="46" t="s">
        <v>24</v>
      </c>
      <c r="C33" s="195">
        <v>-527633.56000000006</v>
      </c>
      <c r="D33" s="198"/>
      <c r="E33" s="109">
        <f>ROUND('[4]Monthly TD Calc'!BX326,2)</f>
        <v>216990.47</v>
      </c>
      <c r="F33" s="109">
        <f>ROUND('[4]Monthly TD Calc'!BY326,2)</f>
        <v>310643.09000000003</v>
      </c>
      <c r="G33" s="110">
        <f>ROUND('[4]Monthly TD Calc'!BZ326,2)</f>
        <v>359810.86</v>
      </c>
      <c r="H33" s="16">
        <f>ROUND('[4]Monthly TD Calc'!CA326,2)</f>
        <v>342311.19</v>
      </c>
      <c r="I33" s="55">
        <f>ROUND('[4]Monthly TD Calc'!CB326,2)</f>
        <v>291163.2</v>
      </c>
      <c r="J33" s="171">
        <f>ROUND('[4]Monthly TD Calc'!CC326,2)</f>
        <v>182673.64</v>
      </c>
      <c r="K33" s="161">
        <f>ROUND('[4]Monthly TD Calc'!CD326,2)</f>
        <v>195698.16</v>
      </c>
      <c r="L33" s="143">
        <f>ROUND('[4]Monthly TD Calc'!CE326,2)</f>
        <v>0</v>
      </c>
      <c r="M33" s="79"/>
    </row>
    <row r="34" spans="1:15" x14ac:dyDescent="0.35">
      <c r="A34" s="46" t="s">
        <v>107</v>
      </c>
      <c r="C34" s="195">
        <v>-94264.8</v>
      </c>
      <c r="D34" s="198"/>
      <c r="E34" s="109">
        <f>ROUND('[4]Monthly TD Calc'!BX327,2)</f>
        <v>41945.8</v>
      </c>
      <c r="F34" s="109">
        <f>ROUND('[4]Monthly TD Calc'!BY327,2)</f>
        <v>52319</v>
      </c>
      <c r="G34" s="110">
        <f>ROUND('[4]Monthly TD Calc'!BZ327,2)</f>
        <v>51334.75</v>
      </c>
      <c r="H34" s="16">
        <f>ROUND('[4]Monthly TD Calc'!CA327,2)</f>
        <v>52372.19</v>
      </c>
      <c r="I34" s="55">
        <f>ROUND('[4]Monthly TD Calc'!CB327,2)</f>
        <v>48332.98</v>
      </c>
      <c r="J34" s="171">
        <f>ROUND('[4]Monthly TD Calc'!CC327,2)</f>
        <v>39120.79</v>
      </c>
      <c r="K34" s="161">
        <f>ROUND('[4]Monthly TD Calc'!CD327,2)</f>
        <v>38159.29</v>
      </c>
      <c r="L34" s="143">
        <f>ROUND('[4]Monthly TD Calc'!CE327,2)</f>
        <v>0</v>
      </c>
      <c r="M34" s="79"/>
    </row>
    <row r="35" spans="1:15" x14ac:dyDescent="0.35">
      <c r="A35" s="46" t="s">
        <v>108</v>
      </c>
      <c r="C35" s="195">
        <v>-225887.18</v>
      </c>
      <c r="D35" s="198"/>
      <c r="E35" s="109">
        <f>ROUND('[4]Monthly TD Calc'!BX328,2)</f>
        <v>98233.21</v>
      </c>
      <c r="F35" s="109">
        <f>ROUND('[4]Monthly TD Calc'!BY328,2)</f>
        <v>127653.97</v>
      </c>
      <c r="G35" s="110">
        <f>ROUND('[4]Monthly TD Calc'!BZ328,2)</f>
        <v>126334.1</v>
      </c>
      <c r="H35" s="16">
        <f>ROUND('[4]Monthly TD Calc'!CA328,2)</f>
        <v>128917.53</v>
      </c>
      <c r="I35" s="55">
        <f>ROUND('[4]Monthly TD Calc'!CB328,2)</f>
        <v>117550.52</v>
      </c>
      <c r="J35" s="171">
        <f>ROUND('[4]Monthly TD Calc'!CC328,2)</f>
        <v>87309.38</v>
      </c>
      <c r="K35" s="161">
        <f>ROUND('[4]Monthly TD Calc'!CD328,2)</f>
        <v>88423.72</v>
      </c>
      <c r="L35" s="143">
        <f>ROUND('[4]Monthly TD Calc'!CE328,2)</f>
        <v>0</v>
      </c>
      <c r="M35" s="79"/>
    </row>
    <row r="36" spans="1:15" x14ac:dyDescent="0.35">
      <c r="A36" s="46" t="s">
        <v>109</v>
      </c>
      <c r="C36" s="195">
        <v>-208681.3</v>
      </c>
      <c r="D36" s="198"/>
      <c r="E36" s="109">
        <f>ROUND('[4]Monthly TD Calc'!BX329,2)</f>
        <v>89527.57</v>
      </c>
      <c r="F36" s="109">
        <f>ROUND('[4]Monthly TD Calc'!BY329,2)</f>
        <v>119153.73</v>
      </c>
      <c r="G36" s="110">
        <f>ROUND('[4]Monthly TD Calc'!BZ329,2)</f>
        <v>115601.38</v>
      </c>
      <c r="H36" s="16">
        <f>ROUND('[4]Monthly TD Calc'!CA329,2)</f>
        <v>119766.95</v>
      </c>
      <c r="I36" s="55">
        <f>ROUND('[4]Monthly TD Calc'!CB329,2)</f>
        <v>105741.59</v>
      </c>
      <c r="J36" s="171">
        <f>ROUND('[4]Monthly TD Calc'!CC329,2)</f>
        <v>81169.53</v>
      </c>
      <c r="K36" s="161">
        <f>ROUND('[4]Monthly TD Calc'!CD329,2)</f>
        <v>81177.56</v>
      </c>
      <c r="L36" s="143">
        <f>ROUND('[4]Monthly TD Calc'!CE329,2)</f>
        <v>0</v>
      </c>
      <c r="M36" s="79"/>
    </row>
    <row r="37" spans="1:15" x14ac:dyDescent="0.35">
      <c r="A37" s="46" t="s">
        <v>110</v>
      </c>
      <c r="C37" s="195">
        <v>-21116.260000000002</v>
      </c>
      <c r="D37" s="198"/>
      <c r="E37" s="109">
        <f>ROUND('[4]Monthly TD Calc'!BX330,2)</f>
        <v>9841.15</v>
      </c>
      <c r="F37" s="109">
        <f>ROUND('[4]Monthly TD Calc'!BY330,2)</f>
        <v>11275.11</v>
      </c>
      <c r="G37" s="110">
        <f>ROUND('[4]Monthly TD Calc'!BZ330,2)</f>
        <v>10469.42</v>
      </c>
      <c r="H37" s="16">
        <f>ROUND('[4]Monthly TD Calc'!CA330,2)</f>
        <v>11336.85</v>
      </c>
      <c r="I37" s="55">
        <f>ROUND('[4]Monthly TD Calc'!CB330,2)</f>
        <v>10391.39</v>
      </c>
      <c r="J37" s="171">
        <f>ROUND('[4]Monthly TD Calc'!CC330,2)</f>
        <v>8434.2900000000009</v>
      </c>
      <c r="K37" s="161">
        <f>ROUND('[4]Monthly TD Calc'!CD330,2)</f>
        <v>9240.15</v>
      </c>
      <c r="L37" s="143">
        <f>ROUND('[4]Monthly TD Calc'!CE330,2)</f>
        <v>0</v>
      </c>
      <c r="M37" s="79"/>
      <c r="O37" s="47"/>
    </row>
    <row r="38" spans="1:15" x14ac:dyDescent="0.35">
      <c r="C38" s="99"/>
      <c r="D38" s="199"/>
      <c r="E38" s="18"/>
      <c r="F38" s="18"/>
      <c r="G38" s="18"/>
      <c r="H38" s="91"/>
      <c r="I38" s="18"/>
      <c r="J38" s="167"/>
      <c r="K38" s="56"/>
      <c r="L38" s="56"/>
      <c r="M38" s="13"/>
    </row>
    <row r="39" spans="1:15" ht="15" thickBot="1" x14ac:dyDescent="0.4">
      <c r="A39" s="3" t="s">
        <v>15</v>
      </c>
      <c r="B39" s="3"/>
      <c r="C39" s="197">
        <v>-4197.62</v>
      </c>
      <c r="D39" s="203"/>
      <c r="E39" s="136">
        <v>2530.44</v>
      </c>
      <c r="F39" s="136">
        <v>3267.2299999999996</v>
      </c>
      <c r="G39" s="137">
        <v>4149.3600000000006</v>
      </c>
      <c r="H39" s="26">
        <v>4597.37</v>
      </c>
      <c r="I39" s="122">
        <v>5732.41</v>
      </c>
      <c r="J39" s="173">
        <v>7199.41</v>
      </c>
      <c r="K39" s="162">
        <v>7746.82</v>
      </c>
      <c r="L39" s="145">
        <v>7481.8099999999995</v>
      </c>
      <c r="M39" s="82"/>
    </row>
    <row r="40" spans="1:15" x14ac:dyDescent="0.35">
      <c r="C40" s="64"/>
      <c r="D40" s="206"/>
      <c r="E40" s="66"/>
      <c r="F40" s="66"/>
      <c r="G40" s="33"/>
      <c r="H40" s="64"/>
      <c r="I40" s="33"/>
      <c r="J40" s="174"/>
      <c r="K40" s="34"/>
      <c r="L40" s="34"/>
      <c r="M40" s="60"/>
    </row>
    <row r="41" spans="1:15" x14ac:dyDescent="0.35">
      <c r="A41" s="46" t="s">
        <v>52</v>
      </c>
      <c r="C41" s="65"/>
      <c r="D41" s="207"/>
      <c r="E41" s="35"/>
      <c r="F41" s="35"/>
      <c r="G41" s="35"/>
      <c r="H41" s="65"/>
      <c r="I41" s="35"/>
      <c r="J41" s="175"/>
      <c r="K41" s="34"/>
      <c r="L41" s="34"/>
      <c r="M41" s="60"/>
    </row>
    <row r="42" spans="1:15" x14ac:dyDescent="0.35">
      <c r="A42" s="46" t="s">
        <v>24</v>
      </c>
      <c r="C42" s="204">
        <f>C33-C19</f>
        <v>317951.41151999997</v>
      </c>
      <c r="D42" s="208">
        <f t="shared" ref="D42" si="7">D33-D19</f>
        <v>0</v>
      </c>
      <c r="E42" s="41">
        <f t="shared" ref="E42:M42" si="8">E33-E19</f>
        <v>5140.5199999999895</v>
      </c>
      <c r="F42" s="41">
        <f t="shared" si="8"/>
        <v>33519.73000000004</v>
      </c>
      <c r="G42" s="108">
        <f t="shared" si="8"/>
        <v>-47698.580000000016</v>
      </c>
      <c r="H42" s="40">
        <f t="shared" si="8"/>
        <v>12177.909999999974</v>
      </c>
      <c r="I42" s="41">
        <f t="shared" si="8"/>
        <v>107384.03</v>
      </c>
      <c r="J42" s="61">
        <f t="shared" si="8"/>
        <v>53864.920000000013</v>
      </c>
      <c r="K42" s="123">
        <f t="shared" si="8"/>
        <v>83602.170360000004</v>
      </c>
      <c r="L42" s="41">
        <f t="shared" si="8"/>
        <v>-161380.73624999999</v>
      </c>
      <c r="M42" s="61">
        <f t="shared" si="8"/>
        <v>-186435.76163999998</v>
      </c>
    </row>
    <row r="43" spans="1:15" x14ac:dyDescent="0.35">
      <c r="A43" s="46" t="s">
        <v>25</v>
      </c>
      <c r="C43" s="204">
        <f t="shared" ref="C43:D43" si="9">SUM(C34:C37)-SUM(C20:C23)</f>
        <v>279946.46827999991</v>
      </c>
      <c r="D43" s="208">
        <f t="shared" si="9"/>
        <v>0</v>
      </c>
      <c r="E43" s="41">
        <f>SUM(E34:E37)-SUM(E20:E23)</f>
        <v>-10421.649999999994</v>
      </c>
      <c r="F43" s="41">
        <f t="shared" ref="F43:M43" si="10">SUM(F34:F37)-SUM(F20:F23)</f>
        <v>35617.020000000019</v>
      </c>
      <c r="G43" s="108">
        <f t="shared" si="10"/>
        <v>-15266.22000000003</v>
      </c>
      <c r="H43" s="40">
        <f t="shared" si="10"/>
        <v>46848.809999999939</v>
      </c>
      <c r="I43" s="41">
        <f t="shared" si="10"/>
        <v>114127.12999999998</v>
      </c>
      <c r="J43" s="61">
        <f t="shared" si="10"/>
        <v>67571.340000000026</v>
      </c>
      <c r="K43" s="123">
        <f t="shared" si="10"/>
        <v>74927.072320000007</v>
      </c>
      <c r="L43" s="41">
        <f t="shared" si="10"/>
        <v>-155148.38340000002</v>
      </c>
      <c r="M43" s="61">
        <f t="shared" si="10"/>
        <v>-156007.34932000001</v>
      </c>
    </row>
    <row r="44" spans="1:15" x14ac:dyDescent="0.35">
      <c r="C44" s="99"/>
      <c r="D44" s="199"/>
      <c r="E44" s="17"/>
      <c r="F44" s="17"/>
      <c r="G44" s="17"/>
      <c r="H44" s="10"/>
      <c r="I44" s="17"/>
      <c r="J44" s="11"/>
      <c r="K44" s="17"/>
      <c r="L44" s="17"/>
      <c r="M44" s="11"/>
    </row>
    <row r="45" spans="1:15" ht="15" thickBot="1" x14ac:dyDescent="0.4">
      <c r="A45" s="46" t="s">
        <v>53</v>
      </c>
      <c r="C45" s="99"/>
      <c r="D45" s="199"/>
      <c r="E45" s="17"/>
      <c r="F45" s="17"/>
      <c r="G45" s="17"/>
      <c r="H45" s="10"/>
      <c r="I45" s="17"/>
      <c r="J45" s="11"/>
      <c r="K45" s="17"/>
      <c r="L45" s="17"/>
      <c r="M45" s="11"/>
    </row>
    <row r="46" spans="1:15" x14ac:dyDescent="0.35">
      <c r="A46" s="46" t="s">
        <v>24</v>
      </c>
      <c r="B46" s="116">
        <v>460720.91847999993</v>
      </c>
      <c r="C46" s="204">
        <f t="shared" ref="C46:E47" si="11">+B46+C42+B51</f>
        <v>778672.32999999984</v>
      </c>
      <c r="D46" s="208">
        <f t="shared" si="11"/>
        <v>776570.29999999981</v>
      </c>
      <c r="E46" s="41">
        <f t="shared" si="11"/>
        <v>781710.81999999983</v>
      </c>
      <c r="F46" s="41">
        <f t="shared" ref="F46:M46" si="12">+E46+F42+E51</f>
        <v>816485.80999999982</v>
      </c>
      <c r="G46" s="108">
        <f t="shared" si="12"/>
        <v>770415.08999999973</v>
      </c>
      <c r="H46" s="40">
        <f t="shared" si="12"/>
        <v>784638.14999999979</v>
      </c>
      <c r="I46" s="41">
        <f t="shared" si="12"/>
        <v>894240.30999999982</v>
      </c>
      <c r="J46" s="61">
        <f t="shared" si="12"/>
        <v>950845.25999999989</v>
      </c>
      <c r="K46" s="123">
        <f t="shared" si="12"/>
        <v>1037883.6903599999</v>
      </c>
      <c r="L46" s="41">
        <f>+K46+L42+K51</f>
        <v>880207.63410999998</v>
      </c>
      <c r="M46" s="61">
        <f t="shared" si="12"/>
        <v>697345.69247000001</v>
      </c>
    </row>
    <row r="47" spans="1:15" ht="15" thickBot="1" x14ac:dyDescent="0.4">
      <c r="A47" s="46" t="s">
        <v>25</v>
      </c>
      <c r="B47" s="117">
        <v>518871.2017199999</v>
      </c>
      <c r="C47" s="204">
        <f t="shared" si="11"/>
        <v>798817.66999999981</v>
      </c>
      <c r="D47" s="208">
        <f t="shared" si="11"/>
        <v>796722.07999999984</v>
      </c>
      <c r="E47" s="41">
        <f t="shared" si="11"/>
        <v>786300.42999999982</v>
      </c>
      <c r="F47" s="41">
        <f t="shared" ref="F47:M47" si="13">+E47+F43+E52</f>
        <v>823192.63999999978</v>
      </c>
      <c r="G47" s="108">
        <f t="shared" si="13"/>
        <v>809565.7999999997</v>
      </c>
      <c r="H47" s="40">
        <f t="shared" si="13"/>
        <v>858518.8199999996</v>
      </c>
      <c r="I47" s="41">
        <f t="shared" si="13"/>
        <v>975025.17999999959</v>
      </c>
      <c r="J47" s="61">
        <f t="shared" si="13"/>
        <v>1045588.8999999996</v>
      </c>
      <c r="K47" s="123">
        <f t="shared" si="13"/>
        <v>1124279.1223199994</v>
      </c>
      <c r="L47" s="41">
        <f t="shared" si="13"/>
        <v>973172.87891999935</v>
      </c>
      <c r="M47" s="61">
        <f t="shared" si="13"/>
        <v>821073.5195999993</v>
      </c>
    </row>
    <row r="48" spans="1:15" x14ac:dyDescent="0.35">
      <c r="C48" s="99"/>
      <c r="D48" s="199"/>
      <c r="E48" s="17"/>
      <c r="F48" s="17"/>
      <c r="G48" s="17"/>
      <c r="H48" s="10"/>
      <c r="I48" s="17"/>
      <c r="J48" s="11"/>
      <c r="K48" s="17"/>
      <c r="L48" s="17"/>
      <c r="M48" s="11"/>
    </row>
    <row r="49" spans="1:13" x14ac:dyDescent="0.35">
      <c r="A49" s="39" t="s">
        <v>124</v>
      </c>
      <c r="B49" s="39"/>
      <c r="C49" s="104"/>
      <c r="D49" s="209"/>
      <c r="E49" s="83">
        <f>+'PCR Cycle 2'!E50</f>
        <v>1.61108E-3</v>
      </c>
      <c r="F49" s="83">
        <f>+'PCR Cycle 2'!F50</f>
        <v>2.0355199999999999E-3</v>
      </c>
      <c r="G49" s="83">
        <f>+'PCR Cycle 2'!G50</f>
        <v>2.5749000000000002E-3</v>
      </c>
      <c r="H49" s="84">
        <f>+'PCR Cycle 2'!H50</f>
        <v>2.84906E-3</v>
      </c>
      <c r="I49" s="83">
        <f>+'PCR Cycle 2'!I50</f>
        <v>3.2598100000000001E-3</v>
      </c>
      <c r="J49" s="92">
        <f>+'PCR Cycle 2'!J50</f>
        <v>3.7192499999999999E-3</v>
      </c>
      <c r="K49" s="83">
        <f>+'PCR Cycle 2'!K50</f>
        <v>3.7192499999999999E-3</v>
      </c>
      <c r="L49" s="83">
        <f>+'PCR Cycle 2'!L50</f>
        <v>3.7192499999999999E-3</v>
      </c>
      <c r="M49" s="85"/>
    </row>
    <row r="50" spans="1:13" x14ac:dyDescent="0.35">
      <c r="A50" s="39" t="s">
        <v>37</v>
      </c>
      <c r="B50" s="39"/>
      <c r="C50" s="106"/>
      <c r="D50" s="210"/>
      <c r="E50" s="83"/>
      <c r="F50" s="83"/>
      <c r="G50" s="83"/>
      <c r="H50" s="84"/>
      <c r="I50" s="83"/>
      <c r="J50" s="85"/>
      <c r="K50" s="83"/>
      <c r="L50" s="83"/>
      <c r="M50" s="85"/>
    </row>
    <row r="51" spans="1:13" x14ac:dyDescent="0.35">
      <c r="A51" s="46" t="s">
        <v>24</v>
      </c>
      <c r="C51" s="204">
        <v>-2102.0299999999997</v>
      </c>
      <c r="D51" s="208"/>
      <c r="E51" s="252">
        <f>ROUND((D46+D51+E42/2)*E$49,2)</f>
        <v>1255.26</v>
      </c>
      <c r="F51" s="252">
        <f t="shared" ref="F51:F52" si="14">ROUND((E46+E51+F42/2)*F$49,2)</f>
        <v>1627.86</v>
      </c>
      <c r="G51" s="251">
        <f t="shared" ref="G51:G52" si="15">ROUND((F46+F51+G42/2)*G$49,2)</f>
        <v>2045.15</v>
      </c>
      <c r="H51" s="40">
        <f t="shared" ref="H51:H52" si="16">ROUND((G46+G51+H42/2)*H$49,2)</f>
        <v>2218.13</v>
      </c>
      <c r="I51" s="123">
        <f t="shared" ref="I51:J52" si="17">ROUND((H46+H51+I42/2)*I$49,2)</f>
        <v>2740.03</v>
      </c>
      <c r="J51" s="61">
        <f t="shared" si="17"/>
        <v>3436.26</v>
      </c>
      <c r="K51" s="163">
        <f t="shared" ref="K51:K52" si="18">ROUND((J46+J51+K42/2)*K$49,2)</f>
        <v>3704.68</v>
      </c>
      <c r="L51" s="108">
        <f>ROUND((K46+K51+L42/2)*L$49,2)</f>
        <v>3573.82</v>
      </c>
      <c r="M51" s="61">
        <f t="shared" ref="M51:M52" si="19">ROUND((L46+L51+M42/2)*M$49,2)</f>
        <v>0</v>
      </c>
    </row>
    <row r="52" spans="1:13" ht="15" thickBot="1" x14ac:dyDescent="0.4">
      <c r="A52" s="46" t="s">
        <v>25</v>
      </c>
      <c r="C52" s="204">
        <v>-2095.59</v>
      </c>
      <c r="D52" s="208"/>
      <c r="E52" s="252">
        <f>ROUND((D47+D52+E43/2)*E$49,2)</f>
        <v>1275.19</v>
      </c>
      <c r="F52" s="252">
        <f t="shared" si="14"/>
        <v>1639.38</v>
      </c>
      <c r="G52" s="251">
        <f t="shared" si="15"/>
        <v>2104.21</v>
      </c>
      <c r="H52" s="40">
        <f t="shared" si="16"/>
        <v>2379.23</v>
      </c>
      <c r="I52" s="123">
        <f t="shared" si="17"/>
        <v>2992.38</v>
      </c>
      <c r="J52" s="61">
        <f t="shared" si="17"/>
        <v>3763.15</v>
      </c>
      <c r="K52" s="163">
        <f t="shared" si="18"/>
        <v>4042.14</v>
      </c>
      <c r="L52" s="108">
        <f t="shared" ref="L52" si="20">ROUND((K47+K52+L43/2)*L$49,2)</f>
        <v>3907.99</v>
      </c>
      <c r="M52" s="61">
        <f t="shared" si="19"/>
        <v>0</v>
      </c>
    </row>
    <row r="53" spans="1:13" ht="15.5" thickTop="1" thickBot="1" x14ac:dyDescent="0.4">
      <c r="A53" s="54" t="s">
        <v>22</v>
      </c>
      <c r="B53" s="54"/>
      <c r="C53" s="205">
        <v>0</v>
      </c>
      <c r="D53" s="211"/>
      <c r="E53" s="42">
        <f>SUM(E51:E52)+SUM(E46:E47)-E56</f>
        <v>0</v>
      </c>
      <c r="F53" s="42">
        <f t="shared" ref="F53:M53" si="21">SUM(F51:F52)+SUM(F46:F47)-F56</f>
        <v>0</v>
      </c>
      <c r="G53" s="50">
        <f t="shared" si="21"/>
        <v>0</v>
      </c>
      <c r="H53" s="51">
        <f t="shared" si="21"/>
        <v>0</v>
      </c>
      <c r="I53" s="42">
        <f t="shared" si="21"/>
        <v>0</v>
      </c>
      <c r="J53" s="62">
        <f t="shared" si="21"/>
        <v>0</v>
      </c>
      <c r="K53" s="164">
        <f t="shared" si="21"/>
        <v>0</v>
      </c>
      <c r="L53" s="50">
        <f t="shared" si="21"/>
        <v>0</v>
      </c>
      <c r="M53" s="62">
        <f t="shared" si="21"/>
        <v>0</v>
      </c>
    </row>
    <row r="54" spans="1:13" ht="15.5" thickTop="1" thickBot="1" x14ac:dyDescent="0.4">
      <c r="A54" s="54" t="s">
        <v>23</v>
      </c>
      <c r="B54" s="54"/>
      <c r="C54" s="205">
        <v>0</v>
      </c>
      <c r="D54" s="211"/>
      <c r="E54" s="42">
        <f>SUM(E51:E52)-E39</f>
        <v>9.9999999997635314E-3</v>
      </c>
      <c r="F54" s="42">
        <f t="shared" ref="F54:J54" si="22">SUM(F51:F52)-F39</f>
        <v>1.0000000000218279E-2</v>
      </c>
      <c r="G54" s="50">
        <f t="shared" ref="G54:I54" si="23">SUM(G51:G52)-G39</f>
        <v>0</v>
      </c>
      <c r="H54" s="51">
        <f t="shared" si="23"/>
        <v>-9.999999999308784E-3</v>
      </c>
      <c r="I54" s="42">
        <f t="shared" si="23"/>
        <v>0</v>
      </c>
      <c r="J54" s="62">
        <f t="shared" si="22"/>
        <v>0</v>
      </c>
      <c r="K54" s="165">
        <f t="shared" ref="K54:M54" si="24">SUM(K51:K52)-K39</f>
        <v>0</v>
      </c>
      <c r="L54" s="42">
        <f t="shared" si="24"/>
        <v>0</v>
      </c>
      <c r="M54" s="42">
        <f t="shared" si="24"/>
        <v>0</v>
      </c>
    </row>
    <row r="55" spans="1:13" ht="15.5" thickTop="1" thickBot="1" x14ac:dyDescent="0.4">
      <c r="C55" s="99"/>
      <c r="D55" s="199"/>
      <c r="E55" s="17"/>
      <c r="F55" s="17"/>
      <c r="G55" s="17"/>
      <c r="H55" s="10"/>
      <c r="I55" s="17"/>
      <c r="J55" s="11"/>
      <c r="K55" s="17"/>
      <c r="L55" s="17"/>
      <c r="M55" s="11"/>
    </row>
    <row r="56" spans="1:13" ht="15" thickBot="1" x14ac:dyDescent="0.4">
      <c r="A56" s="46" t="s">
        <v>36</v>
      </c>
      <c r="B56" s="119">
        <f>+B46+B47</f>
        <v>979592.12019999977</v>
      </c>
      <c r="C56" s="204">
        <f>(C16-SUM(C19:C23))+SUM(C51:C52)+B56</f>
        <v>1573292.38</v>
      </c>
      <c r="D56" s="208">
        <f>(D16-SUM(D19:D23))+SUM(D51:D52)+C56</f>
        <v>1573292.38</v>
      </c>
      <c r="E56" s="41">
        <f>(E16-SUM(E19:E23))+SUM(E51:E52)+D56</f>
        <v>1570541.7</v>
      </c>
      <c r="F56" s="252">
        <f t="shared" ref="F56:M56" si="25">(F16-SUM(F19:F23))+SUM(F51:F52)+E56</f>
        <v>1642945.69</v>
      </c>
      <c r="G56" s="108">
        <f t="shared" si="25"/>
        <v>1584130.25</v>
      </c>
      <c r="H56" s="40">
        <f t="shared" si="25"/>
        <v>1647754.33</v>
      </c>
      <c r="I56" s="41">
        <f t="shared" si="25"/>
        <v>1874997.9000000001</v>
      </c>
      <c r="J56" s="61">
        <f t="shared" si="25"/>
        <v>2003633.57</v>
      </c>
      <c r="K56" s="163">
        <f t="shared" si="25"/>
        <v>2169909.6326800003</v>
      </c>
      <c r="L56" s="108">
        <f t="shared" si="25"/>
        <v>1860862.3230300003</v>
      </c>
      <c r="M56" s="61">
        <f t="shared" si="25"/>
        <v>1518419.2120700004</v>
      </c>
    </row>
    <row r="57" spans="1:13" x14ac:dyDescent="0.35">
      <c r="A57" s="46" t="s">
        <v>12</v>
      </c>
      <c r="C57" s="120"/>
      <c r="D57" s="212"/>
      <c r="E57" s="17"/>
      <c r="F57" s="17"/>
      <c r="G57" s="17"/>
      <c r="H57" s="10"/>
      <c r="I57" s="17"/>
      <c r="J57" s="11"/>
      <c r="K57" s="17"/>
      <c r="L57" s="17"/>
      <c r="M57" s="11"/>
    </row>
    <row r="58" spans="1:13" ht="15" thickBot="1" x14ac:dyDescent="0.4">
      <c r="A58" s="37"/>
      <c r="B58" s="37"/>
      <c r="C58" s="148"/>
      <c r="D58" s="213"/>
      <c r="E58" s="44"/>
      <c r="F58" s="44"/>
      <c r="G58" s="44"/>
      <c r="H58" s="43"/>
      <c r="I58" s="44"/>
      <c r="J58" s="45"/>
      <c r="K58" s="44"/>
      <c r="L58" s="44"/>
      <c r="M58" s="45"/>
    </row>
    <row r="60" spans="1:13" x14ac:dyDescent="0.35">
      <c r="A60" s="69" t="s">
        <v>11</v>
      </c>
      <c r="B60" s="69"/>
      <c r="C60" s="69"/>
      <c r="D60" s="69"/>
    </row>
    <row r="61" spans="1:13" ht="34.5" customHeight="1" x14ac:dyDescent="0.35">
      <c r="A61" s="309" t="s">
        <v>223</v>
      </c>
      <c r="B61" s="309"/>
      <c r="C61" s="309"/>
      <c r="D61" s="309"/>
      <c r="E61" s="309"/>
      <c r="F61" s="309"/>
      <c r="G61" s="309"/>
      <c r="H61" s="309"/>
      <c r="I61" s="309"/>
      <c r="J61" s="309"/>
      <c r="K61" s="193"/>
      <c r="L61" s="146"/>
      <c r="M61" s="146"/>
    </row>
    <row r="62" spans="1:13" ht="42.75" customHeight="1" x14ac:dyDescent="0.35">
      <c r="A62" s="309" t="s">
        <v>191</v>
      </c>
      <c r="B62" s="309"/>
      <c r="C62" s="309"/>
      <c r="D62" s="309"/>
      <c r="E62" s="309"/>
      <c r="F62" s="309"/>
      <c r="G62" s="309"/>
      <c r="H62" s="309"/>
      <c r="I62" s="309"/>
      <c r="J62" s="309"/>
      <c r="K62" s="309"/>
      <c r="L62" s="146"/>
      <c r="M62" s="146"/>
    </row>
    <row r="63" spans="1:13" ht="33.75" customHeight="1" x14ac:dyDescent="0.35">
      <c r="A63" s="309" t="s">
        <v>224</v>
      </c>
      <c r="B63" s="309"/>
      <c r="C63" s="309"/>
      <c r="D63" s="309"/>
      <c r="E63" s="309"/>
      <c r="F63" s="309"/>
      <c r="G63" s="309"/>
      <c r="H63" s="309"/>
      <c r="I63" s="309"/>
      <c r="J63" s="309"/>
      <c r="K63" s="193"/>
      <c r="L63" s="146"/>
      <c r="M63" s="146"/>
    </row>
    <row r="64" spans="1:13" x14ac:dyDescent="0.35">
      <c r="A64" s="3" t="s">
        <v>67</v>
      </c>
      <c r="B64" s="3"/>
      <c r="C64" s="3"/>
      <c r="D64" s="3"/>
    </row>
    <row r="65" spans="1:7" x14ac:dyDescent="0.35">
      <c r="A65" s="63" t="s">
        <v>203</v>
      </c>
      <c r="B65" s="3"/>
      <c r="C65" s="3"/>
      <c r="D65" s="3"/>
    </row>
    <row r="66" spans="1:7" x14ac:dyDescent="0.35">
      <c r="A66" s="3" t="s">
        <v>70</v>
      </c>
      <c r="B66" s="3"/>
      <c r="C66" s="3"/>
      <c r="D66" s="3"/>
    </row>
    <row r="67" spans="1:7" x14ac:dyDescent="0.35">
      <c r="A67" s="3" t="s">
        <v>225</v>
      </c>
      <c r="B67" s="3"/>
      <c r="C67" s="3"/>
      <c r="D67" s="3"/>
    </row>
    <row r="69" spans="1:7" ht="31.5" customHeight="1" x14ac:dyDescent="0.35">
      <c r="A69" s="305"/>
      <c r="B69" s="305"/>
      <c r="C69" s="305"/>
      <c r="D69" s="305"/>
      <c r="E69" s="305"/>
      <c r="F69" s="305"/>
      <c r="G69" s="305"/>
    </row>
  </sheetData>
  <mergeCells count="7">
    <mergeCell ref="A69:G69"/>
    <mergeCell ref="A63:J63"/>
    <mergeCell ref="E14:G14"/>
    <mergeCell ref="A61:J61"/>
    <mergeCell ref="A62:K62"/>
    <mergeCell ref="H14:J14"/>
    <mergeCell ref="K14:M14"/>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74"/>
  <sheetViews>
    <sheetView zoomScaleNormal="100" workbookViewId="0">
      <pane xSplit="1" ySplit="2" topLeftCell="G54" activePane="bottomRight" state="frozen"/>
      <selection activeCell="J26" sqref="J26"/>
      <selection pane="topRight" activeCell="J26" sqref="J26"/>
      <selection pane="bottomLeft" activeCell="J26" sqref="J26"/>
      <selection pane="bottomRight" activeCell="A72" sqref="A72"/>
    </sheetView>
  </sheetViews>
  <sheetFormatPr defaultColWidth="9.1796875" defaultRowHeight="14.5" outlineLevelCol="1" x14ac:dyDescent="0.35"/>
  <cols>
    <col min="1" max="1" width="37"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2.26953125" style="46" bestFit="1"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12/02/2022</v>
      </c>
      <c r="B1" s="3"/>
      <c r="C1" s="3"/>
      <c r="D1" s="3"/>
    </row>
    <row r="2" spans="1:35" x14ac:dyDescent="0.35">
      <c r="E2" s="3" t="s">
        <v>141</v>
      </c>
    </row>
    <row r="3" spans="1:35" ht="29" x14ac:dyDescent="0.35">
      <c r="E3" s="48" t="s">
        <v>46</v>
      </c>
      <c r="F3" s="70" t="s">
        <v>71</v>
      </c>
      <c r="G3" s="70" t="s">
        <v>54</v>
      </c>
      <c r="H3" s="48" t="s">
        <v>3</v>
      </c>
      <c r="I3" s="70" t="s">
        <v>55</v>
      </c>
      <c r="J3" s="48" t="s">
        <v>10</v>
      </c>
      <c r="K3" s="48" t="s">
        <v>9</v>
      </c>
      <c r="S3" s="48"/>
    </row>
    <row r="4" spans="1:35" x14ac:dyDescent="0.35">
      <c r="A4" s="20" t="s">
        <v>24</v>
      </c>
      <c r="B4" s="20"/>
      <c r="C4" s="20"/>
      <c r="D4" s="20"/>
      <c r="E4" s="22">
        <f>SUM(C16:M16)</f>
        <v>2148343.0293000001</v>
      </c>
      <c r="F4" s="138">
        <f>N23</f>
        <v>33231531.343248516</v>
      </c>
      <c r="G4" s="22">
        <f>SUM(C30:L30)</f>
        <v>2344225.86</v>
      </c>
      <c r="H4" s="22">
        <f>G4-E4</f>
        <v>195882.83069999982</v>
      </c>
      <c r="I4" s="22">
        <f>+B46</f>
        <v>-542471.83857999987</v>
      </c>
      <c r="J4" s="22">
        <f>SUM(C54:L54)</f>
        <v>1922.05</v>
      </c>
      <c r="K4" s="25">
        <f>SUM(H4:J4)</f>
        <v>-344666.95788000006</v>
      </c>
      <c r="L4" s="47">
        <f>+K4-M46</f>
        <v>0</v>
      </c>
    </row>
    <row r="5" spans="1:35" x14ac:dyDescent="0.35">
      <c r="A5" s="20" t="s">
        <v>107</v>
      </c>
      <c r="B5" s="20"/>
      <c r="C5" s="20"/>
      <c r="D5" s="20"/>
      <c r="E5" s="22">
        <f t="shared" ref="E5:E7" si="0">SUM(C17:M17)</f>
        <v>156899.85244000002</v>
      </c>
      <c r="F5" s="138">
        <f t="shared" ref="F5:F7" si="1">N24</f>
        <v>3108250.978150906</v>
      </c>
      <c r="G5" s="22">
        <f t="shared" ref="G5:G7" si="2">SUM(C31:L31)</f>
        <v>260022.63999999998</v>
      </c>
      <c r="H5" s="22">
        <f t="shared" ref="H5:H7" si="3">G5-E5</f>
        <v>103122.78755999997</v>
      </c>
      <c r="I5" s="22">
        <f t="shared" ref="I5:I7" si="4">+B47</f>
        <v>-184428.67020000002</v>
      </c>
      <c r="J5" s="22">
        <f t="shared" ref="J5:J7" si="5">SUM(C55:L55)</f>
        <v>-2112.9700000000003</v>
      </c>
      <c r="K5" s="25">
        <f t="shared" ref="K5:K7" si="6">SUM(H5:J5)</f>
        <v>-83418.852640000056</v>
      </c>
      <c r="L5" s="47">
        <f>+K5-M47</f>
        <v>0</v>
      </c>
    </row>
    <row r="6" spans="1:35" x14ac:dyDescent="0.35">
      <c r="A6" s="20" t="s">
        <v>108</v>
      </c>
      <c r="B6" s="20"/>
      <c r="C6" s="20"/>
      <c r="D6" s="20"/>
      <c r="E6" s="22">
        <f t="shared" si="0"/>
        <v>321204.25245999999</v>
      </c>
      <c r="F6" s="138">
        <f t="shared" si="1"/>
        <v>9214988.8488433044</v>
      </c>
      <c r="G6" s="22">
        <f t="shared" si="2"/>
        <v>499004.55000000005</v>
      </c>
      <c r="H6" s="22">
        <f t="shared" si="3"/>
        <v>177800.29754000006</v>
      </c>
      <c r="I6" s="22">
        <f t="shared" si="4"/>
        <v>-178916.67245000001</v>
      </c>
      <c r="J6" s="22">
        <f t="shared" si="5"/>
        <v>-123.36999999999995</v>
      </c>
      <c r="K6" s="25">
        <f t="shared" si="6"/>
        <v>-1239.7449099999549</v>
      </c>
      <c r="L6" s="47">
        <f>+K6-M48</f>
        <v>8.7766238721087575E-11</v>
      </c>
    </row>
    <row r="7" spans="1:35" x14ac:dyDescent="0.35">
      <c r="A7" s="20" t="s">
        <v>109</v>
      </c>
      <c r="B7" s="20"/>
      <c r="C7" s="20"/>
      <c r="D7" s="20"/>
      <c r="E7" s="22">
        <f t="shared" si="0"/>
        <v>305826.75167999999</v>
      </c>
      <c r="F7" s="138">
        <f t="shared" si="1"/>
        <v>14790730.009812556</v>
      </c>
      <c r="G7" s="22">
        <f t="shared" si="2"/>
        <v>481322.04000000004</v>
      </c>
      <c r="H7" s="22">
        <f t="shared" si="3"/>
        <v>175495.28832000005</v>
      </c>
      <c r="I7" s="22">
        <f t="shared" si="4"/>
        <v>-195321.96599999999</v>
      </c>
      <c r="J7" s="22">
        <f t="shared" si="5"/>
        <v>-568.95999999999992</v>
      </c>
      <c r="K7" s="25">
        <f t="shared" si="6"/>
        <v>-20395.637679999934</v>
      </c>
      <c r="L7" s="47">
        <f>+K7-M49</f>
        <v>5.0931703299283981E-11</v>
      </c>
    </row>
    <row r="8" spans="1:35" ht="15" thickBot="1" x14ac:dyDescent="0.4">
      <c r="A8" s="20" t="s">
        <v>110</v>
      </c>
      <c r="B8" s="20"/>
      <c r="C8" s="20"/>
      <c r="D8" s="20"/>
      <c r="E8" s="22">
        <f>SUM(C20:M20)</f>
        <v>5660.361780000002</v>
      </c>
      <c r="F8" s="138">
        <f>N27</f>
        <v>1360306.0224058998</v>
      </c>
      <c r="G8" s="22">
        <f>SUM(C34:L34)</f>
        <v>21443.039999999997</v>
      </c>
      <c r="H8" s="22">
        <f>G8-E8</f>
        <v>15782.678219999994</v>
      </c>
      <c r="I8" s="22">
        <f>+B50</f>
        <v>-40609.37788</v>
      </c>
      <c r="J8" s="22">
        <f>SUM(C58:L58)</f>
        <v>-659.93000000000006</v>
      </c>
      <c r="K8" s="25">
        <f>SUM(H8:J8)</f>
        <v>-25486.629660000006</v>
      </c>
      <c r="L8" s="47">
        <f>+K8-M50</f>
        <v>0</v>
      </c>
    </row>
    <row r="9" spans="1:35" ht="15.5" thickTop="1" thickBot="1" x14ac:dyDescent="0.4">
      <c r="E9" s="27">
        <f t="shared" ref="E9:I9" si="7">SUM(E4:E8)</f>
        <v>2937934.2476599999</v>
      </c>
      <c r="F9" s="139">
        <f t="shared" si="7"/>
        <v>61705807.202461183</v>
      </c>
      <c r="G9" s="27">
        <f t="shared" si="7"/>
        <v>3606018.13</v>
      </c>
      <c r="H9" s="27">
        <f t="shared" si="7"/>
        <v>668083.88233999989</v>
      </c>
      <c r="I9" s="27">
        <f t="shared" si="7"/>
        <v>-1141748.52511</v>
      </c>
      <c r="J9" s="27">
        <f>SUM(J4:J8)</f>
        <v>-1543.1800000000003</v>
      </c>
      <c r="K9" s="27">
        <f>SUM(K4:K8)</f>
        <v>-475207.82276999997</v>
      </c>
      <c r="T9" s="5"/>
    </row>
    <row r="10" spans="1:35" ht="15.5" thickTop="1" thickBot="1" x14ac:dyDescent="0.4">
      <c r="K10" s="231"/>
      <c r="L10" s="230"/>
    </row>
    <row r="11" spans="1:35" ht="102" thickBot="1" x14ac:dyDescent="0.4">
      <c r="B11" s="118" t="str">
        <f>+'PCR Cycle 2'!B14</f>
        <v>Cumulative Over/Under Carryover From 06/01/2022 Filing</v>
      </c>
      <c r="C11" s="153" t="str">
        <f>+'PCR Cycle 2'!C14</f>
        <v>Reverse May 2022 - October 2022 Forecast From 06/01/2022 Filing</v>
      </c>
      <c r="D11" s="214">
        <f>+'PCR Cycle 2'!D14</f>
        <v>0</v>
      </c>
      <c r="E11" s="310" t="s">
        <v>33</v>
      </c>
      <c r="F11" s="310"/>
      <c r="G11" s="311"/>
      <c r="H11" s="316" t="s">
        <v>33</v>
      </c>
      <c r="I11" s="317"/>
      <c r="J11" s="318"/>
      <c r="K11" s="306" t="s">
        <v>8</v>
      </c>
      <c r="L11" s="307"/>
      <c r="M11" s="308"/>
    </row>
    <row r="12" spans="1:35" x14ac:dyDescent="0.35">
      <c r="A12" s="46" t="s">
        <v>63</v>
      </c>
      <c r="C12" s="105"/>
      <c r="D12" s="215"/>
      <c r="E12" s="19">
        <f>+'PCR Cycle 2'!E15</f>
        <v>44712</v>
      </c>
      <c r="F12" s="19">
        <f t="shared" ref="F12:M12" si="8">EOMONTH(E12,1)</f>
        <v>44742</v>
      </c>
      <c r="G12" s="19">
        <f t="shared" si="8"/>
        <v>44773</v>
      </c>
      <c r="H12" s="14">
        <f t="shared" si="8"/>
        <v>44804</v>
      </c>
      <c r="I12" s="19">
        <f t="shared" si="8"/>
        <v>44834</v>
      </c>
      <c r="J12" s="15">
        <f t="shared" si="8"/>
        <v>44865</v>
      </c>
      <c r="K12" s="19">
        <f t="shared" si="8"/>
        <v>44895</v>
      </c>
      <c r="L12" s="19">
        <f t="shared" si="8"/>
        <v>44926</v>
      </c>
      <c r="M12" s="15">
        <f t="shared" si="8"/>
        <v>44957</v>
      </c>
      <c r="Z12" s="1"/>
      <c r="AA12" s="1"/>
      <c r="AB12" s="1"/>
      <c r="AC12" s="1"/>
      <c r="AD12" s="1"/>
      <c r="AE12" s="1"/>
      <c r="AF12" s="1"/>
      <c r="AG12" s="1"/>
      <c r="AH12" s="1"/>
      <c r="AI12" s="1"/>
    </row>
    <row r="13" spans="1:35" x14ac:dyDescent="0.35">
      <c r="A13" s="46" t="s">
        <v>5</v>
      </c>
      <c r="C13" s="195">
        <v>-1309677.2</v>
      </c>
      <c r="D13" s="198"/>
      <c r="E13" s="109">
        <f t="shared" ref="E13:L13" si="9">SUM(E30:E34)</f>
        <v>542868.65</v>
      </c>
      <c r="F13" s="109">
        <f t="shared" si="9"/>
        <v>766493.37999999989</v>
      </c>
      <c r="G13" s="110">
        <f t="shared" si="9"/>
        <v>1007988.8</v>
      </c>
      <c r="H13" s="16">
        <f t="shared" si="9"/>
        <v>793444.8899999999</v>
      </c>
      <c r="I13" s="55">
        <f t="shared" si="9"/>
        <v>647178.41999999993</v>
      </c>
      <c r="J13" s="166">
        <f t="shared" si="9"/>
        <v>467664.19000000006</v>
      </c>
      <c r="K13" s="159">
        <f t="shared" si="9"/>
        <v>529490.84</v>
      </c>
      <c r="L13" s="78">
        <f t="shared" si="9"/>
        <v>160566.16</v>
      </c>
      <c r="M13" s="79"/>
    </row>
    <row r="14" spans="1:35" x14ac:dyDescent="0.35">
      <c r="C14" s="99"/>
      <c r="D14" s="199"/>
      <c r="E14" s="17"/>
      <c r="F14" s="17"/>
      <c r="G14" s="17"/>
      <c r="H14" s="10"/>
      <c r="I14" s="17"/>
      <c r="J14" s="11"/>
      <c r="K14" s="31"/>
      <c r="L14" s="31"/>
      <c r="M14" s="29"/>
    </row>
    <row r="15" spans="1:35" x14ac:dyDescent="0.35">
      <c r="A15" s="46" t="s">
        <v>62</v>
      </c>
      <c r="C15" s="99"/>
      <c r="D15" s="199"/>
      <c r="E15" s="18"/>
      <c r="F15" s="18"/>
      <c r="G15" s="18"/>
      <c r="H15" s="91"/>
      <c r="I15" s="18"/>
      <c r="J15" s="167"/>
      <c r="K15" s="31"/>
      <c r="L15" s="31"/>
      <c r="M15" s="29"/>
      <c r="N15" s="3" t="s">
        <v>68</v>
      </c>
      <c r="O15" s="39"/>
    </row>
    <row r="16" spans="1:35" x14ac:dyDescent="0.35">
      <c r="A16" s="46" t="s">
        <v>24</v>
      </c>
      <c r="C16" s="195">
        <v>-1730806.7385800001</v>
      </c>
      <c r="D16" s="198"/>
      <c r="E16" s="136">
        <f>ROUND('[5]May 2022'!$F95,2)</f>
        <v>433639.28</v>
      </c>
      <c r="F16" s="136">
        <f>ROUND('[5]Jun 2022'!$F95,2)</f>
        <v>567237.94999999995</v>
      </c>
      <c r="G16" s="136">
        <f>ROUND('[5]Jul 2022'!$F104,2)</f>
        <v>834053.8</v>
      </c>
      <c r="H16" s="16">
        <f>ROUND('[5]Aug 2022'!$F104,2)</f>
        <v>655875.28</v>
      </c>
      <c r="I16" s="121">
        <f>ROUND('[5]Sep 2022'!$F104,2)</f>
        <v>330341.44</v>
      </c>
      <c r="J16" s="171">
        <f>ROUND('[5]Oct 2022'!$F104,2)</f>
        <v>231492.62</v>
      </c>
      <c r="K16" s="123">
        <f>'PCR Cycle 2'!K27*'TDR Cycle 3'!$N16</f>
        <v>201447.86544000002</v>
      </c>
      <c r="L16" s="41">
        <f>'PCR Cycle 2'!L27*'TDR Cycle 3'!$N16</f>
        <v>290017.55500000005</v>
      </c>
      <c r="M16" s="61">
        <f>'PCR Cycle 2'!M27*'TDR Cycle 3'!$N16</f>
        <v>335043.97744000005</v>
      </c>
      <c r="N16" s="72">
        <v>1.2400000000000002E-3</v>
      </c>
      <c r="O16" s="4"/>
    </row>
    <row r="17" spans="1:15" x14ac:dyDescent="0.35">
      <c r="A17" s="46" t="s">
        <v>107</v>
      </c>
      <c r="C17" s="195">
        <v>-83426.7402</v>
      </c>
      <c r="D17" s="198"/>
      <c r="E17" s="136">
        <f>ROUND('[5]May 2022'!$F96,2)</f>
        <v>25517.759999999998</v>
      </c>
      <c r="F17" s="136">
        <f>ROUND('[5]Jun 2022'!$F96,2)</f>
        <v>29122.55</v>
      </c>
      <c r="G17" s="136">
        <f>ROUND('[5]Jul 2022'!$F105,2)</f>
        <v>35659.550000000003</v>
      </c>
      <c r="H17" s="16">
        <f>ROUND('[5]Aug 2022'!$F105,2)</f>
        <v>32879.69</v>
      </c>
      <c r="I17" s="121">
        <f>ROUND('[5]Sep 2022'!$F105,2)</f>
        <v>26806.91</v>
      </c>
      <c r="J17" s="171">
        <f>ROUND('[5]Oct 2022'!$F105,2)</f>
        <v>23431.040000000001</v>
      </c>
      <c r="K17" s="123">
        <f>'PCR Cycle 2'!K28*'TDR Cycle 3'!$N17</f>
        <v>20973.968639999999</v>
      </c>
      <c r="L17" s="41">
        <f>'PCR Cycle 2'!L28*'TDR Cycle 3'!$N17</f>
        <v>22904.15856</v>
      </c>
      <c r="M17" s="61">
        <f>'PCR Cycle 2'!M28*'TDR Cycle 3'!$N17</f>
        <v>23030.96544</v>
      </c>
      <c r="N17" s="72">
        <v>4.8000000000000001E-4</v>
      </c>
      <c r="O17" s="4"/>
    </row>
    <row r="18" spans="1:15" x14ac:dyDescent="0.35">
      <c r="A18" s="46" t="s">
        <v>108</v>
      </c>
      <c r="C18" s="195">
        <v>-237117.27245000002</v>
      </c>
      <c r="D18" s="198"/>
      <c r="E18" s="136">
        <f>ROUND('[5]May 2022'!$F97,2)</f>
        <v>68537.08</v>
      </c>
      <c r="F18" s="136">
        <f>ROUND('[5]Jun 2022'!$F97,2)</f>
        <v>77678.240000000005</v>
      </c>
      <c r="G18" s="136">
        <f>ROUND('[5]Jul 2022'!$F106,2)</f>
        <v>92188.66</v>
      </c>
      <c r="H18" s="16">
        <f>ROUND('[5]Aug 2022'!$F106,2)</f>
        <v>78953.16</v>
      </c>
      <c r="I18" s="121">
        <f>ROUND('[5]Sep 2022'!$F106,2)</f>
        <v>52437.120000000003</v>
      </c>
      <c r="J18" s="171">
        <f>ROUND('[5]Oct 2022'!$F106,2)</f>
        <v>45899.42</v>
      </c>
      <c r="K18" s="123">
        <f>'PCR Cycle 2'!K29*'TDR Cycle 3'!$N18</f>
        <v>44709.498330000002</v>
      </c>
      <c r="L18" s="41">
        <f>'PCR Cycle 2'!L29*'TDR Cycle 3'!$N18</f>
        <v>48824.018190000003</v>
      </c>
      <c r="M18" s="61">
        <f>'PCR Cycle 2'!M29*'TDR Cycle 3'!$N18</f>
        <v>49094.328390000002</v>
      </c>
      <c r="N18" s="72">
        <v>5.1000000000000004E-4</v>
      </c>
      <c r="O18" s="4"/>
    </row>
    <row r="19" spans="1:15" x14ac:dyDescent="0.35">
      <c r="A19" s="46" t="s">
        <v>109</v>
      </c>
      <c r="C19" s="195">
        <v>-244106.89600000001</v>
      </c>
      <c r="D19" s="198"/>
      <c r="E19" s="136">
        <f>ROUND('[5]May 2022'!$F98,2)</f>
        <v>75925.899999999994</v>
      </c>
      <c r="F19" s="136">
        <f>ROUND('[5]Jun 2022'!$F98,2)</f>
        <v>82016.14</v>
      </c>
      <c r="G19" s="136">
        <f>ROUND('[5]Jul 2022'!$F107,2)</f>
        <v>88225.61</v>
      </c>
      <c r="H19" s="16">
        <f>ROUND('[5]Aug 2022'!$F107,2)</f>
        <v>72678.880000000005</v>
      </c>
      <c r="I19" s="121">
        <f>ROUND('[5]Sep 2022'!$F107,2)</f>
        <v>48409.86</v>
      </c>
      <c r="J19" s="171">
        <f>ROUND('[5]Oct 2022'!$F107,2)</f>
        <v>44744.02</v>
      </c>
      <c r="K19" s="123">
        <f>'PCR Cycle 2'!K30*'TDR Cycle 3'!$N19</f>
        <v>43237.88147</v>
      </c>
      <c r="L19" s="41">
        <f>'PCR Cycle 2'!L30*'TDR Cycle 3'!$N19</f>
        <v>47216.971720000001</v>
      </c>
      <c r="M19" s="61">
        <f>'PCR Cycle 2'!M30*'TDR Cycle 3'!$N19</f>
        <v>47478.384489999997</v>
      </c>
      <c r="N19" s="72">
        <v>3.1E-4</v>
      </c>
      <c r="O19" s="4"/>
    </row>
    <row r="20" spans="1:15" x14ac:dyDescent="0.35">
      <c r="A20" s="46" t="s">
        <v>110</v>
      </c>
      <c r="C20" s="195">
        <v>-4744.5178799999976</v>
      </c>
      <c r="D20" s="198"/>
      <c r="E20" s="136">
        <f>ROUND('[5]May 2022'!$F99,2)</f>
        <v>1444.45</v>
      </c>
      <c r="F20" s="136">
        <f>ROUND('[5]Jun 2022'!$F99,2)</f>
        <v>1214.6099999999999</v>
      </c>
      <c r="G20" s="136">
        <f>ROUND('[5]Jul 2022'!$F108,2)</f>
        <v>1777.54</v>
      </c>
      <c r="H20" s="16">
        <f>ROUND('[5]Aug 2022'!$F108,2)</f>
        <v>1777.01</v>
      </c>
      <c r="I20" s="121">
        <f>ROUND('[5]Sep 2022'!$F108,2)</f>
        <v>1050.24</v>
      </c>
      <c r="J20" s="171">
        <f>ROUND('[5]Oct 2022'!$F108,2)</f>
        <v>762.81</v>
      </c>
      <c r="K20" s="123">
        <f>'PCR Cycle 2'!K31*'TDR Cycle 3'!$N20</f>
        <v>745.49963999999989</v>
      </c>
      <c r="L20" s="41">
        <f>'PCR Cycle 2'!L31*'TDR Cycle 3'!$N20</f>
        <v>814.10639999999989</v>
      </c>
      <c r="M20" s="61">
        <f>'PCR Cycle 2'!M31*'TDR Cycle 3'!$N20</f>
        <v>818.61361999999997</v>
      </c>
      <c r="N20" s="72">
        <v>1.9999999999999998E-5</v>
      </c>
      <c r="O20" s="4"/>
    </row>
    <row r="21" spans="1:15" x14ac:dyDescent="0.35">
      <c r="C21" s="67"/>
      <c r="D21" s="200"/>
      <c r="E21" s="68"/>
      <c r="F21" s="68"/>
      <c r="G21" s="68"/>
      <c r="H21" s="67"/>
      <c r="I21" s="68"/>
      <c r="J21" s="169"/>
      <c r="K21" s="56"/>
      <c r="L21" s="56"/>
      <c r="M21" s="13"/>
      <c r="O21" s="4"/>
    </row>
    <row r="22" spans="1:15" x14ac:dyDescent="0.35">
      <c r="A22" s="39" t="s">
        <v>66</v>
      </c>
      <c r="B22" s="39"/>
      <c r="C22" s="67"/>
      <c r="D22" s="200"/>
      <c r="E22" s="56"/>
      <c r="F22" s="56"/>
      <c r="G22" s="56"/>
      <c r="H22" s="12"/>
      <c r="I22" s="56"/>
      <c r="J22" s="170"/>
      <c r="K22" s="56"/>
      <c r="L22" s="56"/>
      <c r="M22" s="13"/>
      <c r="N22" s="7"/>
    </row>
    <row r="23" spans="1:15" x14ac:dyDescent="0.35">
      <c r="A23" s="46" t="s">
        <v>24</v>
      </c>
      <c r="C23" s="196">
        <v>-12105374.882312592</v>
      </c>
      <c r="D23" s="201"/>
      <c r="E23" s="111">
        <f>+'[14]Monthly TD Calc'!AG460</f>
        <v>6219354.8035658486</v>
      </c>
      <c r="F23" s="111">
        <f>+'[14]Monthly TD Calc'!AH460</f>
        <v>5937462.7245354047</v>
      </c>
      <c r="G23" s="125">
        <f>+'[14]Monthly TD Calc'!AI460</f>
        <v>7954790.8169923425</v>
      </c>
      <c r="H23" s="74">
        <f>+'[14]Monthly TD Calc'!AJ460</f>
        <v>6160063.3279139325</v>
      </c>
      <c r="I23" s="75">
        <f>+'[14]Monthly TD Calc'!AK460</f>
        <v>5190460.3298981823</v>
      </c>
      <c r="J23" s="171">
        <f>+'[14]Monthly TD Calc'!AL460</f>
        <v>5907313.2305947319</v>
      </c>
      <c r="K23" s="160">
        <f>'[2]Monthly TD Calc'!AM461</f>
        <v>6025008.0769796288</v>
      </c>
      <c r="L23" s="144">
        <f>'[2]Monthly TD Calc'!AN461</f>
        <v>1942452.9150810349</v>
      </c>
      <c r="M23" s="80"/>
      <c r="N23" s="59">
        <f>SUM(C23:L23)</f>
        <v>33231531.343248516</v>
      </c>
    </row>
    <row r="24" spans="1:15" x14ac:dyDescent="0.35">
      <c r="A24" s="46" t="s">
        <v>107</v>
      </c>
      <c r="C24" s="196">
        <v>-969532.66518903547</v>
      </c>
      <c r="D24" s="201"/>
      <c r="E24" s="111">
        <f>+'[14]Monthly TD Calc'!AG461</f>
        <v>488791.44559406111</v>
      </c>
      <c r="F24" s="111">
        <f>+'[14]Monthly TD Calc'!AH461</f>
        <v>474995.16122831282</v>
      </c>
      <c r="G24" s="125">
        <f>+'[14]Monthly TD Calc'!AI461</f>
        <v>518610.96678640565</v>
      </c>
      <c r="H24" s="74">
        <f>+'[14]Monthly TD Calc'!AJ461</f>
        <v>556630.75089633302</v>
      </c>
      <c r="I24" s="75">
        <f>+'[14]Monthly TD Calc'!AK461</f>
        <v>537315.54012074205</v>
      </c>
      <c r="J24" s="171">
        <f>+'[14]Monthly TD Calc'!AL461</f>
        <v>590979.45308925537</v>
      </c>
      <c r="K24" s="160">
        <f>'[2]Monthly TD Calc'!AM462</f>
        <v>632821.53450880526</v>
      </c>
      <c r="L24" s="144">
        <f>'[2]Monthly TD Calc'!AN462</f>
        <v>277638.79111602617</v>
      </c>
      <c r="M24" s="80"/>
      <c r="N24" s="59">
        <f t="shared" ref="N24:N27" si="10">SUM(C24:L24)</f>
        <v>3108250.978150906</v>
      </c>
    </row>
    <row r="25" spans="1:15" x14ac:dyDescent="0.35">
      <c r="A25" s="46" t="s">
        <v>108</v>
      </c>
      <c r="C25" s="196">
        <v>-3167170.9275218034</v>
      </c>
      <c r="D25" s="201"/>
      <c r="E25" s="111">
        <f>+'[14]Monthly TD Calc'!AG462</f>
        <v>1571468.9563590689</v>
      </c>
      <c r="F25" s="111">
        <f>+'[14]Monthly TD Calc'!AH462</f>
        <v>1570554.6028124716</v>
      </c>
      <c r="G25" s="125">
        <f>+'[14]Monthly TD Calc'!AI462</f>
        <v>1681820.0416850578</v>
      </c>
      <c r="H25" s="74">
        <f>+'[14]Monthly TD Calc'!AJ462</f>
        <v>1734262.419183766</v>
      </c>
      <c r="I25" s="75">
        <f>+'[14]Monthly TD Calc'!AK462</f>
        <v>1636774.0568888746</v>
      </c>
      <c r="J25" s="171">
        <f>+'[14]Monthly TD Calc'!AL462</f>
        <v>1765216.346722563</v>
      </c>
      <c r="K25" s="160">
        <f>'[2]Monthly TD Calc'!AM463</f>
        <v>1859822.1688171355</v>
      </c>
      <c r="L25" s="144">
        <f>'[2]Monthly TD Calc'!AN463</f>
        <v>562241.18389617046</v>
      </c>
      <c r="M25" s="80"/>
      <c r="N25" s="59">
        <f t="shared" si="10"/>
        <v>9214988.8488433044</v>
      </c>
    </row>
    <row r="26" spans="1:15" x14ac:dyDescent="0.35">
      <c r="A26" s="46" t="s">
        <v>109</v>
      </c>
      <c r="C26" s="196">
        <v>-5164127.5883862525</v>
      </c>
      <c r="D26" s="201"/>
      <c r="E26" s="111">
        <f>+'[14]Monthly TD Calc'!AG463</f>
        <v>2551791.8809912778</v>
      </c>
      <c r="F26" s="111">
        <f>+'[14]Monthly TD Calc'!AH463</f>
        <v>2517016.5938986428</v>
      </c>
      <c r="G26" s="125">
        <f>+'[14]Monthly TD Calc'!AI463</f>
        <v>2674980.1237526098</v>
      </c>
      <c r="H26" s="74">
        <f>+'[14]Monthly TD Calc'!AJ463</f>
        <v>2786034.7973166103</v>
      </c>
      <c r="I26" s="75">
        <f>+'[14]Monthly TD Calc'!AK463</f>
        <v>2649671.6460981895</v>
      </c>
      <c r="J26" s="171">
        <f>+'[14]Monthly TD Calc'!AL463</f>
        <v>2841407.956976519</v>
      </c>
      <c r="K26" s="160">
        <f>'[2]Monthly TD Calc'!AM464</f>
        <v>3020874.4956442537</v>
      </c>
      <c r="L26" s="144">
        <f>'[2]Monthly TD Calc'!AN464</f>
        <v>913080.1035207056</v>
      </c>
      <c r="M26" s="80"/>
      <c r="N26" s="59">
        <f t="shared" si="10"/>
        <v>14790730.009812556</v>
      </c>
    </row>
    <row r="27" spans="1:15" x14ac:dyDescent="0.35">
      <c r="A27" s="46" t="s">
        <v>110</v>
      </c>
      <c r="C27" s="196">
        <v>-480537.425052609</v>
      </c>
      <c r="D27" s="201"/>
      <c r="E27" s="111">
        <f>+'[14]Monthly TD Calc'!AG464</f>
        <v>221174.6111359385</v>
      </c>
      <c r="F27" s="111">
        <f>+'[14]Monthly TD Calc'!AH464</f>
        <v>213844.06438468525</v>
      </c>
      <c r="G27" s="125">
        <f>+'[14]Monthly TD Calc'!AI464</f>
        <v>219371.27071550844</v>
      </c>
      <c r="H27" s="74">
        <f>+'[14]Monthly TD Calc'!AJ464</f>
        <v>221906.97926955868</v>
      </c>
      <c r="I27" s="75">
        <f>+'[14]Monthly TD Calc'!AK464</f>
        <v>208797.84974951431</v>
      </c>
      <c r="J27" s="171">
        <f>+'[14]Monthly TD Calc'!AL464</f>
        <v>279343.35629283235</v>
      </c>
      <c r="K27" s="160">
        <f>'[2]Monthly TD Calc'!AM465</f>
        <v>300491.2855876743</v>
      </c>
      <c r="L27" s="144">
        <f>'[2]Monthly TD Calc'!AN465</f>
        <v>175914.03032279713</v>
      </c>
      <c r="M27" s="80"/>
      <c r="N27" s="59">
        <f t="shared" si="10"/>
        <v>1360306.0224058998</v>
      </c>
    </row>
    <row r="28" spans="1:15" x14ac:dyDescent="0.35">
      <c r="C28" s="67"/>
      <c r="D28" s="200"/>
      <c r="E28" s="68"/>
      <c r="F28" s="68"/>
      <c r="G28" s="68"/>
      <c r="H28" s="67"/>
      <c r="I28" s="68"/>
      <c r="J28" s="169"/>
      <c r="K28" s="56"/>
      <c r="L28" s="56"/>
      <c r="M28" s="13"/>
    </row>
    <row r="29" spans="1:15" x14ac:dyDescent="0.35">
      <c r="A29" s="46" t="s">
        <v>69</v>
      </c>
      <c r="C29" s="36"/>
      <c r="D29" s="202"/>
      <c r="E29" s="37"/>
      <c r="F29" s="37"/>
      <c r="G29" s="37"/>
      <c r="H29" s="36"/>
      <c r="I29" s="37"/>
      <c r="J29" s="172"/>
      <c r="K29" s="52"/>
      <c r="L29" s="52"/>
      <c r="M29" s="38"/>
    </row>
    <row r="30" spans="1:15" x14ac:dyDescent="0.35">
      <c r="A30" s="46" t="s">
        <v>24</v>
      </c>
      <c r="C30" s="195">
        <v>-860423.12</v>
      </c>
      <c r="D30" s="198"/>
      <c r="E30" s="109">
        <f>ROUND('[14]Monthly TD Calc'!AG562,2)</f>
        <v>351286.49</v>
      </c>
      <c r="F30" s="109">
        <f>ROUND('[14]Monthly TD Calc'!AH562,2)</f>
        <v>515159.38</v>
      </c>
      <c r="G30" s="110">
        <f>ROUND('[14]Monthly TD Calc'!AI562,2)</f>
        <v>752748.14</v>
      </c>
      <c r="H30" s="16">
        <f>ROUND('[14]Monthly TD Calc'!AJ562,2)</f>
        <v>525827.68999999994</v>
      </c>
      <c r="I30" s="55">
        <f>ROUND('[14]Monthly TD Calc'!AK562,2)</f>
        <v>395215.4</v>
      </c>
      <c r="J30" s="171">
        <f>ROUND('[14]Monthly TD Calc'!AL562,2)</f>
        <v>268080.96000000002</v>
      </c>
      <c r="K30" s="161">
        <f>ROUND('[2]Monthly TD Calc'!AM563,2)</f>
        <v>305023.32</v>
      </c>
      <c r="L30" s="143">
        <f>ROUND('[2]Monthly TD Calc'!AN563,2)</f>
        <v>91307.6</v>
      </c>
      <c r="M30" s="79"/>
    </row>
    <row r="31" spans="1:15" x14ac:dyDescent="0.35">
      <c r="A31" s="46" t="s">
        <v>107</v>
      </c>
      <c r="C31" s="195">
        <v>-85268.61</v>
      </c>
      <c r="D31" s="198"/>
      <c r="E31" s="109">
        <f>ROUND('[14]Monthly TD Calc'!AG563,2)</f>
        <v>37866.050000000003</v>
      </c>
      <c r="F31" s="109">
        <f>ROUND('[14]Monthly TD Calc'!AH563,2)</f>
        <v>46854.71</v>
      </c>
      <c r="G31" s="110">
        <f>ROUND('[14]Monthly TD Calc'!AI563,2)</f>
        <v>48881.919999999998</v>
      </c>
      <c r="H31" s="16">
        <f>ROUND('[14]Monthly TD Calc'!AJ563,2)</f>
        <v>52154.99</v>
      </c>
      <c r="I31" s="55">
        <f>ROUND('[14]Monthly TD Calc'!AK563,2)</f>
        <v>50632.81</v>
      </c>
      <c r="J31" s="171">
        <f>ROUND('[14]Monthly TD Calc'!AL563,2)</f>
        <v>42722.19</v>
      </c>
      <c r="K31" s="161">
        <f>ROUND('[2]Monthly TD Calc'!AM564,2)</f>
        <v>47163.8</v>
      </c>
      <c r="L31" s="143">
        <f>ROUND('[2]Monthly TD Calc'!AN564,2)</f>
        <v>19014.78</v>
      </c>
      <c r="M31" s="79"/>
    </row>
    <row r="32" spans="1:15" x14ac:dyDescent="0.35">
      <c r="A32" s="46" t="s">
        <v>108</v>
      </c>
      <c r="C32" s="195">
        <v>-178802.79</v>
      </c>
      <c r="D32" s="198"/>
      <c r="E32" s="109">
        <f>ROUND('[14]Monthly TD Calc'!AG564,2)</f>
        <v>76564.740000000005</v>
      </c>
      <c r="F32" s="109">
        <f>ROUND('[14]Monthly TD Calc'!AH564,2)</f>
        <v>100702.99</v>
      </c>
      <c r="G32" s="110">
        <f>ROUND('[14]Monthly TD Calc'!AI564,2)</f>
        <v>103107.23</v>
      </c>
      <c r="H32" s="16">
        <f>ROUND('[14]Monthly TD Calc'!AJ564,2)</f>
        <v>106636.79</v>
      </c>
      <c r="I32" s="55">
        <f>ROUND('[14]Monthly TD Calc'!AK564,2)</f>
        <v>100872.66</v>
      </c>
      <c r="J32" s="171">
        <f>ROUND('[14]Monthly TD Calc'!AL564,2)</f>
        <v>77826.649999999994</v>
      </c>
      <c r="K32" s="161">
        <f>ROUND('[2]Monthly TD Calc'!AM565,2)</f>
        <v>87824</v>
      </c>
      <c r="L32" s="143">
        <f>ROUND('[2]Monthly TD Calc'!AN565,2)</f>
        <v>24272.28</v>
      </c>
      <c r="M32" s="79"/>
    </row>
    <row r="33" spans="1:15" x14ac:dyDescent="0.35">
      <c r="A33" s="46" t="s">
        <v>109</v>
      </c>
      <c r="C33" s="195">
        <v>-176764.78</v>
      </c>
      <c r="D33" s="198"/>
      <c r="E33" s="109">
        <f>ROUND('[14]Monthly TD Calc'!AG565,2)</f>
        <v>73681.98</v>
      </c>
      <c r="F33" s="109">
        <f>ROUND('[14]Monthly TD Calc'!AH565,2)</f>
        <v>99478.33</v>
      </c>
      <c r="G33" s="110">
        <f>ROUND('[14]Monthly TD Calc'!AI565,2)</f>
        <v>99236.72</v>
      </c>
      <c r="H33" s="16">
        <f>ROUND('[14]Monthly TD Calc'!AJ565,2)</f>
        <v>104695.84</v>
      </c>
      <c r="I33" s="55">
        <f>ROUND('[14]Monthly TD Calc'!AK565,2)</f>
        <v>96467.839999999997</v>
      </c>
      <c r="J33" s="171">
        <f>ROUND('[14]Monthly TD Calc'!AL565,2)</f>
        <v>75535.199999999997</v>
      </c>
      <c r="K33" s="161">
        <f>ROUND('[2]Monthly TD Calc'!AM566,2)</f>
        <v>85059.39</v>
      </c>
      <c r="L33" s="143">
        <f>ROUND('[2]Monthly TD Calc'!AN566,2)</f>
        <v>23931.52</v>
      </c>
      <c r="M33" s="79"/>
    </row>
    <row r="34" spans="1:15" x14ac:dyDescent="0.35">
      <c r="A34" s="46" t="s">
        <v>110</v>
      </c>
      <c r="C34" s="195">
        <v>-8417.9000000000015</v>
      </c>
      <c r="D34" s="198"/>
      <c r="E34" s="109">
        <f>ROUND('[14]Monthly TD Calc'!AG566,2)</f>
        <v>3469.39</v>
      </c>
      <c r="F34" s="109">
        <f>ROUND('[14]Monthly TD Calc'!AH566,2)</f>
        <v>4297.97</v>
      </c>
      <c r="G34" s="110">
        <f>ROUND('[14]Monthly TD Calc'!AI566,2)</f>
        <v>4014.79</v>
      </c>
      <c r="H34" s="16">
        <f>ROUND('[14]Monthly TD Calc'!AJ566,2)</f>
        <v>4129.58</v>
      </c>
      <c r="I34" s="55">
        <f>ROUND('[14]Monthly TD Calc'!AK566,2)</f>
        <v>3989.71</v>
      </c>
      <c r="J34" s="171">
        <f>ROUND('[14]Monthly TD Calc'!AL566,2)</f>
        <v>3499.19</v>
      </c>
      <c r="K34" s="161">
        <f>ROUND('[2]Monthly TD Calc'!AM567,2)</f>
        <v>4420.33</v>
      </c>
      <c r="L34" s="143">
        <f>ROUND('[2]Monthly TD Calc'!AN567,2)</f>
        <v>2039.98</v>
      </c>
      <c r="M34" s="79"/>
      <c r="O34" s="47"/>
    </row>
    <row r="35" spans="1:15" x14ac:dyDescent="0.35">
      <c r="C35" s="99"/>
      <c r="D35" s="199"/>
      <c r="E35" s="18"/>
      <c r="F35" s="18"/>
      <c r="G35" s="18"/>
      <c r="H35" s="91"/>
      <c r="I35" s="18"/>
      <c r="J35" s="167"/>
      <c r="K35" s="56"/>
      <c r="L35" s="56"/>
      <c r="M35" s="13"/>
    </row>
    <row r="36" spans="1:15" ht="15" thickBot="1" x14ac:dyDescent="0.4">
      <c r="A36" s="3" t="s">
        <v>15</v>
      </c>
      <c r="B36" s="3"/>
      <c r="C36" s="197">
        <v>555.21</v>
      </c>
      <c r="D36" s="203"/>
      <c r="E36" s="276">
        <v>-292.84000000000003</v>
      </c>
      <c r="F36" s="136">
        <v>-424.49</v>
      </c>
      <c r="G36" s="137">
        <v>-582.74</v>
      </c>
      <c r="H36" s="26">
        <v>-778.42000000000007</v>
      </c>
      <c r="I36" s="122">
        <v>-665.94</v>
      </c>
      <c r="J36" s="173">
        <v>-186.77999999999997</v>
      </c>
      <c r="K36" s="162">
        <v>444.26</v>
      </c>
      <c r="L36" s="145">
        <v>388.57</v>
      </c>
      <c r="M36" s="82"/>
    </row>
    <row r="37" spans="1:15" x14ac:dyDescent="0.35">
      <c r="C37" s="64"/>
      <c r="D37" s="206"/>
      <c r="E37" s="66"/>
      <c r="F37" s="66"/>
      <c r="G37" s="33"/>
      <c r="H37" s="64"/>
      <c r="I37" s="33"/>
      <c r="J37" s="174"/>
      <c r="K37" s="34"/>
      <c r="L37" s="34"/>
      <c r="M37" s="60"/>
    </row>
    <row r="38" spans="1:15" x14ac:dyDescent="0.35">
      <c r="A38" s="46" t="s">
        <v>52</v>
      </c>
      <c r="C38" s="65"/>
      <c r="D38" s="207"/>
      <c r="E38" s="35"/>
      <c r="F38" s="35"/>
      <c r="G38" s="35"/>
      <c r="H38" s="65"/>
      <c r="I38" s="35"/>
      <c r="J38" s="175"/>
      <c r="K38" s="34"/>
      <c r="L38" s="34"/>
      <c r="M38" s="60"/>
    </row>
    <row r="39" spans="1:15" x14ac:dyDescent="0.35">
      <c r="A39" s="46" t="s">
        <v>24</v>
      </c>
      <c r="C39" s="204">
        <f t="shared" ref="C39" si="11">C30-C16</f>
        <v>870383.61858000013</v>
      </c>
      <c r="D39" s="208">
        <f t="shared" ref="D39" si="12">D30-D16</f>
        <v>0</v>
      </c>
      <c r="E39" s="41">
        <f t="shared" ref="E39:M39" si="13">E30-E16</f>
        <v>-82352.790000000037</v>
      </c>
      <c r="F39" s="41">
        <f t="shared" si="13"/>
        <v>-52078.569999999949</v>
      </c>
      <c r="G39" s="108">
        <f t="shared" si="13"/>
        <v>-81305.660000000033</v>
      </c>
      <c r="H39" s="40">
        <f t="shared" si="13"/>
        <v>-130047.59000000008</v>
      </c>
      <c r="I39" s="41">
        <f t="shared" si="13"/>
        <v>64873.960000000021</v>
      </c>
      <c r="J39" s="61">
        <f t="shared" si="13"/>
        <v>36588.340000000026</v>
      </c>
      <c r="K39" s="123">
        <f t="shared" si="13"/>
        <v>103575.45455999998</v>
      </c>
      <c r="L39" s="41">
        <f t="shared" si="13"/>
        <v>-198709.95500000005</v>
      </c>
      <c r="M39" s="61">
        <f t="shared" si="13"/>
        <v>-335043.97744000005</v>
      </c>
    </row>
    <row r="40" spans="1:15" x14ac:dyDescent="0.35">
      <c r="A40" s="46" t="s">
        <v>107</v>
      </c>
      <c r="C40" s="204">
        <f t="shared" ref="C40" si="14">C31-C17</f>
        <v>-1841.8698000000004</v>
      </c>
      <c r="D40" s="208">
        <f t="shared" ref="D40:M40" si="15">D31-D17</f>
        <v>0</v>
      </c>
      <c r="E40" s="41">
        <f t="shared" si="15"/>
        <v>12348.290000000005</v>
      </c>
      <c r="F40" s="41">
        <f t="shared" si="15"/>
        <v>17732.16</v>
      </c>
      <c r="G40" s="108">
        <f t="shared" si="15"/>
        <v>13222.369999999995</v>
      </c>
      <c r="H40" s="40">
        <f t="shared" si="15"/>
        <v>19275.299999999996</v>
      </c>
      <c r="I40" s="41">
        <f t="shared" si="15"/>
        <v>23825.899999999998</v>
      </c>
      <c r="J40" s="61">
        <f t="shared" si="15"/>
        <v>19291.150000000001</v>
      </c>
      <c r="K40" s="123">
        <f t="shared" si="15"/>
        <v>26189.831360000004</v>
      </c>
      <c r="L40" s="41">
        <f t="shared" si="15"/>
        <v>-3889.378560000001</v>
      </c>
      <c r="M40" s="61">
        <f t="shared" si="15"/>
        <v>-23030.96544</v>
      </c>
    </row>
    <row r="41" spans="1:15" x14ac:dyDescent="0.35">
      <c r="A41" s="46" t="s">
        <v>108</v>
      </c>
      <c r="C41" s="204">
        <f t="shared" ref="C41" si="16">C32-C18</f>
        <v>58314.48245000001</v>
      </c>
      <c r="D41" s="208">
        <f t="shared" ref="D41:M41" si="17">D32-D18</f>
        <v>0</v>
      </c>
      <c r="E41" s="41">
        <f t="shared" si="17"/>
        <v>8027.6600000000035</v>
      </c>
      <c r="F41" s="41">
        <f t="shared" si="17"/>
        <v>23024.75</v>
      </c>
      <c r="G41" s="108">
        <f t="shared" si="17"/>
        <v>10918.569999999992</v>
      </c>
      <c r="H41" s="40">
        <f t="shared" si="17"/>
        <v>27683.62999999999</v>
      </c>
      <c r="I41" s="41">
        <f t="shared" si="17"/>
        <v>48435.54</v>
      </c>
      <c r="J41" s="61">
        <f t="shared" si="17"/>
        <v>31927.229999999996</v>
      </c>
      <c r="K41" s="123">
        <f t="shared" si="17"/>
        <v>43114.501669999998</v>
      </c>
      <c r="L41" s="41">
        <f t="shared" si="17"/>
        <v>-24551.738190000004</v>
      </c>
      <c r="M41" s="61">
        <f t="shared" si="17"/>
        <v>-49094.328390000002</v>
      </c>
    </row>
    <row r="42" spans="1:15" x14ac:dyDescent="0.35">
      <c r="A42" s="46" t="s">
        <v>109</v>
      </c>
      <c r="C42" s="204">
        <f t="shared" ref="C42" si="18">C33-C19</f>
        <v>67342.116000000009</v>
      </c>
      <c r="D42" s="208">
        <f t="shared" ref="D42:M42" si="19">D33-D19</f>
        <v>0</v>
      </c>
      <c r="E42" s="41">
        <f t="shared" si="19"/>
        <v>-2243.9199999999983</v>
      </c>
      <c r="F42" s="41">
        <f t="shared" si="19"/>
        <v>17462.190000000002</v>
      </c>
      <c r="G42" s="108">
        <f t="shared" si="19"/>
        <v>11011.11</v>
      </c>
      <c r="H42" s="40">
        <f t="shared" si="19"/>
        <v>32016.959999999992</v>
      </c>
      <c r="I42" s="41">
        <f t="shared" si="19"/>
        <v>48057.979999999996</v>
      </c>
      <c r="J42" s="61">
        <f t="shared" si="19"/>
        <v>30791.18</v>
      </c>
      <c r="K42" s="123">
        <f t="shared" si="19"/>
        <v>41821.508529999999</v>
      </c>
      <c r="L42" s="41">
        <f t="shared" si="19"/>
        <v>-23285.451720000001</v>
      </c>
      <c r="M42" s="61">
        <f t="shared" si="19"/>
        <v>-47478.384489999997</v>
      </c>
    </row>
    <row r="43" spans="1:15" x14ac:dyDescent="0.35">
      <c r="A43" s="46" t="s">
        <v>110</v>
      </c>
      <c r="C43" s="204">
        <f t="shared" ref="C43" si="20">C34-C20</f>
        <v>-3673.3821200000039</v>
      </c>
      <c r="D43" s="208">
        <f t="shared" ref="D43:M43" si="21">D34-D20</f>
        <v>0</v>
      </c>
      <c r="E43" s="41">
        <f t="shared" si="21"/>
        <v>2024.9399999999998</v>
      </c>
      <c r="F43" s="41">
        <f t="shared" si="21"/>
        <v>3083.3600000000006</v>
      </c>
      <c r="G43" s="108">
        <f t="shared" si="21"/>
        <v>2237.25</v>
      </c>
      <c r="H43" s="40">
        <f t="shared" si="21"/>
        <v>2352.5699999999997</v>
      </c>
      <c r="I43" s="41">
        <f t="shared" si="21"/>
        <v>2939.4700000000003</v>
      </c>
      <c r="J43" s="61">
        <f t="shared" si="21"/>
        <v>2736.38</v>
      </c>
      <c r="K43" s="123">
        <f t="shared" si="21"/>
        <v>3674.8303599999999</v>
      </c>
      <c r="L43" s="41">
        <f t="shared" si="21"/>
        <v>1225.8736000000001</v>
      </c>
      <c r="M43" s="61">
        <f t="shared" si="21"/>
        <v>-818.61361999999997</v>
      </c>
    </row>
    <row r="44" spans="1:15" x14ac:dyDescent="0.35">
      <c r="C44" s="99"/>
      <c r="D44" s="199"/>
      <c r="E44" s="31"/>
      <c r="F44" s="17"/>
      <c r="G44" s="17"/>
      <c r="H44" s="10"/>
      <c r="I44" s="17"/>
      <c r="J44" s="11"/>
      <c r="K44" s="17"/>
      <c r="L44" s="17"/>
      <c r="M44" s="11"/>
    </row>
    <row r="45" spans="1:15" ht="15" thickBot="1" x14ac:dyDescent="0.4">
      <c r="A45" s="46" t="s">
        <v>53</v>
      </c>
      <c r="C45" s="99"/>
      <c r="D45" s="199"/>
      <c r="E45" s="17"/>
      <c r="F45" s="17"/>
      <c r="G45" s="17"/>
      <c r="H45" s="10"/>
      <c r="I45" s="17"/>
      <c r="J45" s="11"/>
      <c r="K45" s="17"/>
      <c r="L45" s="17"/>
      <c r="M45" s="11"/>
    </row>
    <row r="46" spans="1:15" x14ac:dyDescent="0.35">
      <c r="A46" s="46" t="s">
        <v>24</v>
      </c>
      <c r="B46" s="116">
        <v>-542471.83857999987</v>
      </c>
      <c r="C46" s="204">
        <f t="shared" ref="C46:C50" si="22">+B46+C39+B54</f>
        <v>327911.78000000026</v>
      </c>
      <c r="D46" s="208">
        <f t="shared" ref="D46:D50" si="23">+C46+D39+C54</f>
        <v>327260.09000000026</v>
      </c>
      <c r="E46" s="41">
        <f t="shared" ref="E46:E50" si="24">+D46+E39+D54</f>
        <v>244907.30000000022</v>
      </c>
      <c r="F46" s="41">
        <f t="shared" ref="F46:F50" si="25">+E46+F39+E54</f>
        <v>193289.63000000027</v>
      </c>
      <c r="G46" s="108">
        <f t="shared" ref="G46:G50" si="26">+F46+G39+F54</f>
        <v>112430.42000000023</v>
      </c>
      <c r="H46" s="40">
        <f t="shared" ref="H46:H50" si="27">+G46+H39+G54</f>
        <v>-17222.999999999854</v>
      </c>
      <c r="I46" s="41">
        <f t="shared" ref="I46:I50" si="28">+H46+I39+H54</f>
        <v>47787.150000000169</v>
      </c>
      <c r="J46" s="61">
        <f t="shared" ref="J46:J50" si="29">+I46+J39+I54</f>
        <v>84425.530000000188</v>
      </c>
      <c r="K46" s="123">
        <f t="shared" ref="K46:K50" si="30">+J46+K39+J54</f>
        <v>188246.94456000018</v>
      </c>
      <c r="L46" s="41">
        <f t="shared" ref="L46:L50" si="31">+K46+L39+K54</f>
        <v>-9955.4804399998666</v>
      </c>
      <c r="M46" s="61">
        <f t="shared" ref="M46:M50" si="32">+L46+M39+L54</f>
        <v>-344666.95787999989</v>
      </c>
    </row>
    <row r="47" spans="1:15" x14ac:dyDescent="0.35">
      <c r="A47" s="46" t="s">
        <v>107</v>
      </c>
      <c r="B47" s="249">
        <v>-184428.67020000002</v>
      </c>
      <c r="C47" s="204">
        <f t="shared" si="22"/>
        <v>-186270.54000000004</v>
      </c>
      <c r="D47" s="208">
        <f t="shared" si="23"/>
        <v>-185810.03000000003</v>
      </c>
      <c r="E47" s="41">
        <f t="shared" si="24"/>
        <v>-173461.74000000002</v>
      </c>
      <c r="F47" s="41">
        <f t="shared" si="25"/>
        <v>-156018.99000000002</v>
      </c>
      <c r="G47" s="108">
        <f t="shared" si="26"/>
        <v>-143132.25000000003</v>
      </c>
      <c r="H47" s="40">
        <f t="shared" si="27"/>
        <v>-124242.52000000005</v>
      </c>
      <c r="I47" s="41">
        <f t="shared" si="28"/>
        <v>-100798.05000000005</v>
      </c>
      <c r="J47" s="61">
        <f t="shared" si="29"/>
        <v>-81874.320000000051</v>
      </c>
      <c r="K47" s="123">
        <f t="shared" si="30"/>
        <v>-56024.878640000046</v>
      </c>
      <c r="L47" s="41">
        <f t="shared" si="31"/>
        <v>-60171.327200000051</v>
      </c>
      <c r="M47" s="61">
        <f t="shared" si="32"/>
        <v>-83418.852640000056</v>
      </c>
    </row>
    <row r="48" spans="1:15" x14ac:dyDescent="0.35">
      <c r="A48" s="46" t="s">
        <v>108</v>
      </c>
      <c r="B48" s="249">
        <v>-178916.67245000001</v>
      </c>
      <c r="C48" s="204">
        <f t="shared" si="22"/>
        <v>-120602.19</v>
      </c>
      <c r="D48" s="208">
        <f t="shared" si="23"/>
        <v>-120300.04000000001</v>
      </c>
      <c r="E48" s="41">
        <f t="shared" si="24"/>
        <v>-112272.38</v>
      </c>
      <c r="F48" s="41">
        <f t="shared" si="25"/>
        <v>-89434.98000000001</v>
      </c>
      <c r="G48" s="108">
        <f t="shared" si="26"/>
        <v>-78721.890000000014</v>
      </c>
      <c r="H48" s="40">
        <f t="shared" si="27"/>
        <v>-51255.020000000026</v>
      </c>
      <c r="I48" s="41">
        <f t="shared" si="28"/>
        <v>-3004.9400000000251</v>
      </c>
      <c r="J48" s="61">
        <f t="shared" si="29"/>
        <v>28833.54999999997</v>
      </c>
      <c r="K48" s="123">
        <f t="shared" si="30"/>
        <v>71995.921669999967</v>
      </c>
      <c r="L48" s="41">
        <f t="shared" si="31"/>
        <v>47631.77347999996</v>
      </c>
      <c r="M48" s="61">
        <f t="shared" si="32"/>
        <v>-1239.7449100000426</v>
      </c>
    </row>
    <row r="49" spans="1:13" x14ac:dyDescent="0.35">
      <c r="A49" s="46" t="s">
        <v>109</v>
      </c>
      <c r="B49" s="249">
        <v>-195321.96599999999</v>
      </c>
      <c r="C49" s="204">
        <f t="shared" si="22"/>
        <v>-127979.84999999998</v>
      </c>
      <c r="D49" s="208">
        <f t="shared" si="23"/>
        <v>-127647.10999999997</v>
      </c>
      <c r="E49" s="41">
        <f t="shared" si="24"/>
        <v>-129891.02999999997</v>
      </c>
      <c r="F49" s="41">
        <f t="shared" si="25"/>
        <v>-112636.29999999997</v>
      </c>
      <c r="G49" s="108">
        <f t="shared" si="26"/>
        <v>-101872.23999999998</v>
      </c>
      <c r="H49" s="40">
        <f t="shared" si="27"/>
        <v>-70131.76999999999</v>
      </c>
      <c r="I49" s="41">
        <f t="shared" si="28"/>
        <v>-22319.209999999992</v>
      </c>
      <c r="J49" s="61">
        <f t="shared" si="29"/>
        <v>8320.8800000000083</v>
      </c>
      <c r="K49" s="123">
        <f t="shared" si="30"/>
        <v>50116.078530000013</v>
      </c>
      <c r="L49" s="41">
        <f t="shared" si="31"/>
        <v>26939.246810000011</v>
      </c>
      <c r="M49" s="61">
        <f t="shared" si="32"/>
        <v>-20395.637679999985</v>
      </c>
    </row>
    <row r="50" spans="1:13" ht="15" thickBot="1" x14ac:dyDescent="0.4">
      <c r="A50" s="46" t="s">
        <v>110</v>
      </c>
      <c r="B50" s="117">
        <v>-40609.37788</v>
      </c>
      <c r="C50" s="204">
        <f t="shared" si="22"/>
        <v>-44282.76</v>
      </c>
      <c r="D50" s="208">
        <f t="shared" si="23"/>
        <v>-44171.26</v>
      </c>
      <c r="E50" s="41">
        <f t="shared" si="24"/>
        <v>-42146.32</v>
      </c>
      <c r="F50" s="41">
        <f t="shared" si="25"/>
        <v>-39132.49</v>
      </c>
      <c r="G50" s="108">
        <f t="shared" si="26"/>
        <v>-36978.03</v>
      </c>
      <c r="H50" s="40">
        <f t="shared" si="27"/>
        <v>-34723.56</v>
      </c>
      <c r="I50" s="41">
        <f t="shared" si="28"/>
        <v>-31886.369999999995</v>
      </c>
      <c r="J50" s="61">
        <f t="shared" si="29"/>
        <v>-29258.719999999994</v>
      </c>
      <c r="K50" s="123">
        <f t="shared" si="30"/>
        <v>-25697.799639999994</v>
      </c>
      <c r="L50" s="41">
        <f t="shared" si="31"/>
        <v>-24574.336039999995</v>
      </c>
      <c r="M50" s="61">
        <f t="shared" si="32"/>
        <v>-25486.629659999995</v>
      </c>
    </row>
    <row r="51" spans="1:13" x14ac:dyDescent="0.35">
      <c r="C51" s="99"/>
      <c r="D51" s="199"/>
      <c r="E51" s="17"/>
      <c r="F51" s="17"/>
      <c r="G51" s="17"/>
      <c r="H51" s="10"/>
      <c r="I51" s="17"/>
      <c r="J51" s="11"/>
      <c r="K51" s="17"/>
      <c r="L51" s="17"/>
      <c r="M51" s="11"/>
    </row>
    <row r="52" spans="1:13" x14ac:dyDescent="0.35">
      <c r="A52" s="39" t="s">
        <v>124</v>
      </c>
      <c r="B52" s="39"/>
      <c r="C52" s="104"/>
      <c r="D52" s="209"/>
      <c r="E52" s="83">
        <f>+'PCR Cycle 2'!E50</f>
        <v>1.61108E-3</v>
      </c>
      <c r="F52" s="83">
        <f>+'PCR Cycle 2'!F50</f>
        <v>2.0355199999999999E-3</v>
      </c>
      <c r="G52" s="83">
        <f>+'PCR Cycle 2'!G50</f>
        <v>2.5749000000000002E-3</v>
      </c>
      <c r="H52" s="84">
        <f>+'PCR Cycle 2'!H50</f>
        <v>2.84906E-3</v>
      </c>
      <c r="I52" s="83">
        <f>+'PCR Cycle 2'!I50</f>
        <v>3.2598100000000001E-3</v>
      </c>
      <c r="J52" s="92">
        <f>+'PCR Cycle 2'!J50</f>
        <v>3.7192499999999999E-3</v>
      </c>
      <c r="K52" s="83">
        <f>+'PCR Cycle 2'!K50</f>
        <v>3.7192499999999999E-3</v>
      </c>
      <c r="L52" s="83">
        <f>+'PCR Cycle 2'!L50</f>
        <v>3.7192499999999999E-3</v>
      </c>
      <c r="M52" s="85"/>
    </row>
    <row r="53" spans="1:13" x14ac:dyDescent="0.35">
      <c r="A53" s="39" t="s">
        <v>37</v>
      </c>
      <c r="B53" s="39"/>
      <c r="C53" s="106"/>
      <c r="D53" s="210"/>
      <c r="E53" s="83"/>
      <c r="F53" s="83"/>
      <c r="G53" s="83"/>
      <c r="H53" s="84"/>
      <c r="I53" s="83"/>
      <c r="J53" s="85"/>
      <c r="K53" s="83"/>
      <c r="L53" s="83"/>
      <c r="M53" s="85"/>
    </row>
    <row r="54" spans="1:13" x14ac:dyDescent="0.35">
      <c r="A54" s="46" t="s">
        <v>24</v>
      </c>
      <c r="C54" s="204">
        <v>-651.69000000000005</v>
      </c>
      <c r="D54" s="208"/>
      <c r="E54" s="252">
        <f t="shared" ref="E54:M58" si="33">ROUND((D46+D54+E39/2)*E$52,2)</f>
        <v>460.9</v>
      </c>
      <c r="F54" s="41">
        <f t="shared" ref="F54:F58" si="34">ROUND((E46+E54+F39/2)*F$52,2)</f>
        <v>446.45</v>
      </c>
      <c r="G54" s="108">
        <f t="shared" ref="G54:G58" si="35">ROUND((F46+F54+G39/2)*G$52,2)</f>
        <v>394.17</v>
      </c>
      <c r="H54" s="40">
        <f t="shared" ref="H54:H58" si="36">ROUND((G46+G54+H39/2)*H$52,2)</f>
        <v>136.19</v>
      </c>
      <c r="I54" s="123">
        <f t="shared" ref="I54:I58" si="37">ROUND((H46+H54+I39/2)*I$52,2)</f>
        <v>50.04</v>
      </c>
      <c r="J54" s="61">
        <f t="shared" ref="J54:J58" si="38">ROUND((I46+I54+J39/2)*J$52,2)</f>
        <v>245.96</v>
      </c>
      <c r="K54" s="163">
        <f t="shared" ref="K54:K58" si="39">ROUND((J46+J54+K39/2)*K$52,2)</f>
        <v>507.53</v>
      </c>
      <c r="L54" s="108">
        <f t="shared" ref="L54:L58" si="40">ROUND((K46+K54+L39/2)*L$52,2)</f>
        <v>332.5</v>
      </c>
      <c r="M54" s="61">
        <f t="shared" si="33"/>
        <v>0</v>
      </c>
    </row>
    <row r="55" spans="1:13" x14ac:dyDescent="0.35">
      <c r="A55" s="46" t="s">
        <v>107</v>
      </c>
      <c r="C55" s="204">
        <v>460.51</v>
      </c>
      <c r="D55" s="208"/>
      <c r="E55" s="252">
        <f t="shared" si="33"/>
        <v>-289.41000000000003</v>
      </c>
      <c r="F55" s="41">
        <f t="shared" si="34"/>
        <v>-335.63</v>
      </c>
      <c r="G55" s="108">
        <f t="shared" si="35"/>
        <v>-385.57</v>
      </c>
      <c r="H55" s="40">
        <f t="shared" si="36"/>
        <v>-381.43</v>
      </c>
      <c r="I55" s="123">
        <f t="shared" si="37"/>
        <v>-367.42</v>
      </c>
      <c r="J55" s="61">
        <f t="shared" si="38"/>
        <v>-340.39</v>
      </c>
      <c r="K55" s="163">
        <f t="shared" si="39"/>
        <v>-257.07</v>
      </c>
      <c r="L55" s="108">
        <f t="shared" si="40"/>
        <v>-216.56</v>
      </c>
      <c r="M55" s="61"/>
    </row>
    <row r="56" spans="1:13" x14ac:dyDescent="0.35">
      <c r="A56" s="46" t="s">
        <v>108</v>
      </c>
      <c r="C56" s="204">
        <v>302.14999999999998</v>
      </c>
      <c r="D56" s="208"/>
      <c r="E56" s="252">
        <f t="shared" si="33"/>
        <v>-187.35</v>
      </c>
      <c r="F56" s="41">
        <f t="shared" si="34"/>
        <v>-205.48</v>
      </c>
      <c r="G56" s="108">
        <f t="shared" si="35"/>
        <v>-216.76</v>
      </c>
      <c r="H56" s="40">
        <f t="shared" si="36"/>
        <v>-185.46</v>
      </c>
      <c r="I56" s="123">
        <f t="shared" si="37"/>
        <v>-88.74</v>
      </c>
      <c r="J56" s="61">
        <f t="shared" si="38"/>
        <v>47.87</v>
      </c>
      <c r="K56" s="163">
        <f t="shared" si="39"/>
        <v>187.59</v>
      </c>
      <c r="L56" s="108">
        <f t="shared" si="40"/>
        <v>222.81</v>
      </c>
      <c r="M56" s="61"/>
    </row>
    <row r="57" spans="1:13" x14ac:dyDescent="0.35">
      <c r="A57" s="46" t="s">
        <v>109</v>
      </c>
      <c r="C57" s="204">
        <v>332.74</v>
      </c>
      <c r="D57" s="208"/>
      <c r="E57" s="252">
        <f t="shared" si="33"/>
        <v>-207.46</v>
      </c>
      <c r="F57" s="41">
        <f t="shared" si="34"/>
        <v>-247.05</v>
      </c>
      <c r="G57" s="108">
        <f t="shared" si="35"/>
        <v>-276.49</v>
      </c>
      <c r="H57" s="40">
        <f t="shared" si="36"/>
        <v>-245.42</v>
      </c>
      <c r="I57" s="123">
        <f t="shared" si="37"/>
        <v>-151.09</v>
      </c>
      <c r="J57" s="61">
        <f t="shared" si="38"/>
        <v>-26.31</v>
      </c>
      <c r="K57" s="163">
        <f t="shared" si="39"/>
        <v>108.62</v>
      </c>
      <c r="L57" s="108">
        <f t="shared" si="40"/>
        <v>143.5</v>
      </c>
      <c r="M57" s="61"/>
    </row>
    <row r="58" spans="1:13" ht="15" thickBot="1" x14ac:dyDescent="0.4">
      <c r="A58" s="46" t="s">
        <v>110</v>
      </c>
      <c r="C58" s="204">
        <v>111.5</v>
      </c>
      <c r="D58" s="208"/>
      <c r="E58" s="252">
        <f t="shared" si="33"/>
        <v>-69.53</v>
      </c>
      <c r="F58" s="41">
        <f t="shared" si="34"/>
        <v>-82.79</v>
      </c>
      <c r="G58" s="108">
        <f t="shared" si="35"/>
        <v>-98.1</v>
      </c>
      <c r="H58" s="40">
        <f t="shared" si="36"/>
        <v>-102.28</v>
      </c>
      <c r="I58" s="123">
        <f t="shared" si="37"/>
        <v>-108.73</v>
      </c>
      <c r="J58" s="61">
        <f t="shared" si="38"/>
        <v>-113.91</v>
      </c>
      <c r="K58" s="163">
        <f t="shared" si="39"/>
        <v>-102.41</v>
      </c>
      <c r="L58" s="108">
        <f t="shared" si="40"/>
        <v>-93.68</v>
      </c>
      <c r="M58" s="61">
        <f t="shared" ref="M58" si="41">ROUND((L50+L58+M43/2)*M$52,2)</f>
        <v>0</v>
      </c>
    </row>
    <row r="59" spans="1:13" ht="15.5" thickTop="1" thickBot="1" x14ac:dyDescent="0.4">
      <c r="A59" s="54" t="s">
        <v>22</v>
      </c>
      <c r="B59" s="54"/>
      <c r="C59" s="205">
        <v>0</v>
      </c>
      <c r="D59" s="211"/>
      <c r="E59" s="42">
        <f>SUM(E54:E58)+SUM(E46:E50)-E62</f>
        <v>0</v>
      </c>
      <c r="F59" s="42">
        <f t="shared" ref="F59:M59" si="42">SUM(F54:F58)+SUM(F46:F50)-F62</f>
        <v>0</v>
      </c>
      <c r="G59" s="50">
        <f t="shared" si="42"/>
        <v>0</v>
      </c>
      <c r="H59" s="51">
        <f t="shared" si="42"/>
        <v>0</v>
      </c>
      <c r="I59" s="42">
        <f t="shared" si="42"/>
        <v>0</v>
      </c>
      <c r="J59" s="62">
        <f t="shared" si="42"/>
        <v>2.0008883439004421E-11</v>
      </c>
      <c r="K59" s="164">
        <f t="shared" si="42"/>
        <v>0</v>
      </c>
      <c r="L59" s="50">
        <f t="shared" si="42"/>
        <v>8.0035533756017685E-11</v>
      </c>
      <c r="M59" s="62">
        <f t="shared" si="42"/>
        <v>0</v>
      </c>
    </row>
    <row r="60" spans="1:13" ht="15.5" thickTop="1" thickBot="1" x14ac:dyDescent="0.4">
      <c r="A60" s="54" t="s">
        <v>23</v>
      </c>
      <c r="B60" s="54"/>
      <c r="C60" s="205">
        <v>0</v>
      </c>
      <c r="D60" s="211"/>
      <c r="E60" s="42">
        <f>SUM(E54:E58)-E36</f>
        <v>-9.9999999999909051E-3</v>
      </c>
      <c r="F60" s="42">
        <f t="shared" ref="F60:J60" si="43">SUM(F54:F58)-F36</f>
        <v>-1.0000000000047748E-2</v>
      </c>
      <c r="G60" s="50">
        <f t="shared" ref="G60:I60" si="44">SUM(G54:G58)-G36</f>
        <v>-9.9999999999909051E-3</v>
      </c>
      <c r="H60" s="51">
        <f t="shared" si="44"/>
        <v>2.0000000000095497E-2</v>
      </c>
      <c r="I60" s="42">
        <f t="shared" si="44"/>
        <v>0</v>
      </c>
      <c r="J60" s="62">
        <f t="shared" si="43"/>
        <v>0</v>
      </c>
      <c r="K60" s="165">
        <f t="shared" ref="K60:M60" si="45">SUM(K54:K58)-K36</f>
        <v>0</v>
      </c>
      <c r="L60" s="42">
        <f t="shared" si="45"/>
        <v>0</v>
      </c>
      <c r="M60" s="42">
        <f t="shared" si="45"/>
        <v>0</v>
      </c>
    </row>
    <row r="61" spans="1:13" ht="15.5" thickTop="1" thickBot="1" x14ac:dyDescent="0.4">
      <c r="C61" s="99"/>
      <c r="D61" s="199"/>
      <c r="E61" s="17"/>
      <c r="F61" s="17"/>
      <c r="G61" s="17"/>
      <c r="H61" s="10"/>
      <c r="I61" s="17"/>
      <c r="J61" s="11"/>
      <c r="K61" s="17"/>
      <c r="L61" s="17"/>
      <c r="M61" s="11"/>
    </row>
    <row r="62" spans="1:13" ht="15" thickBot="1" x14ac:dyDescent="0.4">
      <c r="A62" s="46" t="s">
        <v>36</v>
      </c>
      <c r="B62" s="119">
        <f>SUM(B46:B50)</f>
        <v>-1141748.52511</v>
      </c>
      <c r="C62" s="204">
        <f>(C13-SUM(C16:C20))+SUM(C54:C58)+B62</f>
        <v>-150668.34999999963</v>
      </c>
      <c r="D62" s="208">
        <f>(D13-SUM(D16:D20))+SUM(D54:D58)+C62</f>
        <v>-150668.34999999963</v>
      </c>
      <c r="E62" s="41">
        <f>(E13-SUM(E16:E20))+SUM(E54:E58)+D62</f>
        <v>-213157.01999999958</v>
      </c>
      <c r="F62" s="41">
        <f t="shared" ref="F62:M62" si="46">(F13-SUM(F16:F20))+SUM(F54:F58)+E62</f>
        <v>-204357.62999999968</v>
      </c>
      <c r="G62" s="108">
        <f t="shared" si="46"/>
        <v>-248856.73999999979</v>
      </c>
      <c r="H62" s="40">
        <f t="shared" si="46"/>
        <v>-298354.2699999999</v>
      </c>
      <c r="I62" s="41">
        <f t="shared" si="46"/>
        <v>-110887.35999999993</v>
      </c>
      <c r="J62" s="61">
        <f t="shared" si="46"/>
        <v>10260.140000000101</v>
      </c>
      <c r="K62" s="163">
        <f t="shared" si="46"/>
        <v>229080.52648000003</v>
      </c>
      <c r="L62" s="108">
        <f t="shared" si="46"/>
        <v>-19741.553390000015</v>
      </c>
      <c r="M62" s="61">
        <f t="shared" si="46"/>
        <v>-475207.82277000003</v>
      </c>
    </row>
    <row r="63" spans="1:13" x14ac:dyDescent="0.35">
      <c r="A63" s="46" t="s">
        <v>12</v>
      </c>
      <c r="C63" s="120"/>
      <c r="D63" s="212"/>
      <c r="E63" s="17"/>
      <c r="F63" s="17"/>
      <c r="G63" s="17"/>
      <c r="H63" s="10"/>
      <c r="I63" s="17"/>
      <c r="J63" s="11"/>
      <c r="K63" s="17"/>
      <c r="L63" s="17"/>
      <c r="M63" s="11"/>
    </row>
    <row r="64" spans="1:13" ht="15" thickBot="1" x14ac:dyDescent="0.4">
      <c r="A64" s="37"/>
      <c r="B64" s="37"/>
      <c r="C64" s="148"/>
      <c r="D64" s="213"/>
      <c r="E64" s="44"/>
      <c r="F64" s="44"/>
      <c r="G64" s="44"/>
      <c r="H64" s="43"/>
      <c r="I64" s="44"/>
      <c r="J64" s="45"/>
      <c r="K64" s="44"/>
      <c r="L64" s="44"/>
      <c r="M64" s="45"/>
    </row>
    <row r="66" spans="1:13" x14ac:dyDescent="0.35">
      <c r="A66" s="69" t="s">
        <v>11</v>
      </c>
      <c r="B66" s="69"/>
      <c r="C66" s="69"/>
      <c r="D66" s="69"/>
    </row>
    <row r="67" spans="1:13" ht="34.5" customHeight="1" x14ac:dyDescent="0.35">
      <c r="A67" s="309" t="s">
        <v>226</v>
      </c>
      <c r="B67" s="309"/>
      <c r="C67" s="309"/>
      <c r="D67" s="309"/>
      <c r="E67" s="309"/>
      <c r="F67" s="309"/>
      <c r="G67" s="309"/>
      <c r="H67" s="309"/>
      <c r="I67" s="309"/>
      <c r="J67" s="309"/>
      <c r="K67" s="237"/>
      <c r="L67" s="238"/>
      <c r="M67" s="238"/>
    </row>
    <row r="68" spans="1:13" ht="42.75" customHeight="1" x14ac:dyDescent="0.35">
      <c r="A68" s="309" t="s">
        <v>191</v>
      </c>
      <c r="B68" s="309"/>
      <c r="C68" s="309"/>
      <c r="D68" s="309"/>
      <c r="E68" s="309"/>
      <c r="F68" s="309"/>
      <c r="G68" s="309"/>
      <c r="H68" s="309"/>
      <c r="I68" s="309"/>
      <c r="J68" s="309"/>
      <c r="K68" s="309"/>
      <c r="L68" s="238"/>
      <c r="M68" s="238"/>
    </row>
    <row r="69" spans="1:13" ht="33.75" customHeight="1" x14ac:dyDescent="0.35">
      <c r="A69" s="309" t="s">
        <v>227</v>
      </c>
      <c r="B69" s="309"/>
      <c r="C69" s="309"/>
      <c r="D69" s="309"/>
      <c r="E69" s="309"/>
      <c r="F69" s="309"/>
      <c r="G69" s="309"/>
      <c r="H69" s="309"/>
      <c r="I69" s="309"/>
      <c r="J69" s="309"/>
      <c r="K69" s="237"/>
      <c r="L69" s="238"/>
      <c r="M69" s="238"/>
    </row>
    <row r="70" spans="1:13" x14ac:dyDescent="0.35">
      <c r="A70" s="3" t="s">
        <v>67</v>
      </c>
      <c r="B70" s="3"/>
      <c r="C70" s="3"/>
      <c r="D70" s="3"/>
    </row>
    <row r="71" spans="1:13" x14ac:dyDescent="0.35">
      <c r="A71" s="63" t="s">
        <v>203</v>
      </c>
      <c r="B71" s="3"/>
      <c r="C71" s="3"/>
      <c r="D71" s="3"/>
    </row>
    <row r="72" spans="1:13" x14ac:dyDescent="0.35">
      <c r="A72" s="3" t="s">
        <v>70</v>
      </c>
      <c r="B72" s="3"/>
      <c r="C72" s="3"/>
      <c r="D72" s="3"/>
    </row>
    <row r="73" spans="1:13" x14ac:dyDescent="0.35">
      <c r="A73" s="3"/>
      <c r="B73" s="3"/>
      <c r="C73" s="3"/>
      <c r="D73" s="3"/>
    </row>
    <row r="74" spans="1:13" ht="33" customHeight="1" x14ac:dyDescent="0.35">
      <c r="A74" s="305"/>
      <c r="B74" s="305"/>
      <c r="C74" s="305"/>
      <c r="D74" s="305"/>
      <c r="E74" s="305"/>
      <c r="F74" s="305"/>
      <c r="G74" s="305"/>
    </row>
  </sheetData>
  <mergeCells count="7">
    <mergeCell ref="A74:G74"/>
    <mergeCell ref="A69:J69"/>
    <mergeCell ref="E11:G11"/>
    <mergeCell ref="H11:J11"/>
    <mergeCell ref="K11:M11"/>
    <mergeCell ref="A67:J67"/>
    <mergeCell ref="A68:K68"/>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omments0 xmlns="37C40F9E-044B-4F26-A90E-5C1316E525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8B3B3C2A568948A3B61DE5471DEA1E" ma:contentTypeVersion="0" ma:contentTypeDescription="Create a new document." ma:contentTypeScope="" ma:versionID="e21325dc62556425e3e549579d3cac03">
  <xsd:schema xmlns:xsd="http://www.w3.org/2001/XMLSchema" xmlns:p="http://schemas.microsoft.com/office/2006/metadata/properties" xmlns:ns2="37C40F9E-044B-4F26-A90E-5C1316E52537" targetNamespace="http://schemas.microsoft.com/office/2006/metadata/properties" ma:root="true" ma:fieldsID="4b5ea1123175a8313d90db415902c5cf" ns2:_="">
    <xsd:import namespace="37C40F9E-044B-4F26-A90E-5C1316E52537"/>
    <xsd:element name="properties">
      <xsd:complexType>
        <xsd:sequence>
          <xsd:element name="documentManagement">
            <xsd:complexType>
              <xsd:all>
                <xsd:element ref="ns2:Comments0" minOccurs="0"/>
              </xsd:all>
            </xsd:complexType>
          </xsd:element>
        </xsd:sequence>
      </xsd:complexType>
    </xsd:element>
  </xsd:schema>
  <xsd:schema xmlns:xsd="http://www.w3.org/2001/XMLSchema" xmlns:dms="http://schemas.microsoft.com/office/2006/documentManagement/types" targetNamespace="37C40F9E-044B-4F26-A90E-5C1316E52537" elementFormDefault="qualified">
    <xsd:import namespace="http://schemas.microsoft.com/office/2006/documentManagement/types"/>
    <xsd:element name="Comments0" ma:index="8" nillable="true" ma:displayName="Comments" ma:description="Comments" ma:internalName="Comments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E680F6-EEBC-41A4-AEB5-0B773B5EACA2}">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37C40F9E-044B-4F26-A90E-5C1316E52537"/>
    <ds:schemaRef ds:uri="http://purl.org/dc/elements/1.1/"/>
  </ds:schemaRefs>
</ds:datastoreItem>
</file>

<file path=customXml/itemProps2.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3.xml><?xml version="1.0" encoding="utf-8"?>
<ds:datastoreItem xmlns:ds="http://schemas.openxmlformats.org/officeDocument/2006/customXml" ds:itemID="{6C7C2647-B5FC-4364-86FA-9C4ECAED7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C40F9E-044B-4F26-A90E-5C1316E5253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tariff tables</vt:lpstr>
      <vt:lpstr>DSIM Cycle Tables</vt:lpstr>
      <vt:lpstr>PPC Cycle 3</vt:lpstr>
      <vt:lpstr>PCR Cycle 2</vt:lpstr>
      <vt:lpstr>PCR Cycle 3</vt:lpstr>
      <vt:lpstr>PTD Cycle 2</vt:lpstr>
      <vt:lpstr>PTD Cycle 3</vt:lpstr>
      <vt:lpstr>TDR Cycle 2</vt:lpstr>
      <vt:lpstr>TDR Cycle 3</vt:lpstr>
      <vt:lpstr>EO Cycle 2</vt:lpstr>
      <vt:lpstr>EO Cycle 3</vt:lpstr>
      <vt:lpstr>EOR Cycle 2</vt:lpstr>
      <vt:lpstr>EOR Cycle 3</vt:lpstr>
      <vt:lpstr>OA Cycle 2</vt:lpstr>
      <vt:lpstr>OAR Cycle 2</vt:lpstr>
      <vt:lpstr>OA Cycle 3</vt:lpstr>
      <vt:lpstr>OAR Cycle 3</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2022-11-29T01:33:34Z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0x0101009C8B3B3C2A568948A3B61DE5471DEA1E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2022-11-08T16:12:26Z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3b16a19c-818e-496b-92b9-7f026d43a0db</vt:lpwstr>
  </property>
  <property fmtid="{D5CDD505-2E9C-101B-9397-08002B2CF9AE}" pid="11" name="MSIP_Label_d275ac46-98b9-4d64-949f-e82ee8dc823c_ContentBits">
    <vt:lpwstr>3</vt:lpwstr>
  </property>
</Properties>
</file>