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2-12\"/>
    </mc:Choice>
  </mc:AlternateContent>
  <xr:revisionPtr revIDLastSave="0" documentId="13_ncr:1_{A8EC432C-4B64-4695-92F5-9C0074183F63}" xr6:coauthVersionLast="47" xr6:coauthVersionMax="47" xr10:uidLastSave="{00000000-0000-0000-0000-000000000000}"/>
  <bookViews>
    <workbookView xWindow="28995" yWindow="15" windowWidth="15345" windowHeight="15630" xr2:uid="{00000000-000D-0000-FFFF-FFFF00000000}"/>
  </bookViews>
  <sheets>
    <sheet name="tariff tables" sheetId="5" r:id="rId1"/>
    <sheet name="DSIM Cycle Tables" sheetId="20" r:id="rId2"/>
    <sheet name="PPC Cycle 3" sheetId="18" r:id="rId3"/>
    <sheet name="PCR Cycle 2" sheetId="15" r:id="rId4"/>
    <sheet name="PCR Cycle 3" sheetId="22" r:id="rId5"/>
    <sheet name="PTD Cycle 2" sheetId="12" r:id="rId6"/>
    <sheet name="PTD Cycle 3" sheetId="19" r:id="rId7"/>
    <sheet name="TDR Cycle 2" sheetId="16" r:id="rId8"/>
    <sheet name="TDR Cycle 3" sheetId="24" r:id="rId9"/>
    <sheet name="EO Cycle 2" sheetId="8" r:id="rId10"/>
    <sheet name="EO Cycle 3" sheetId="28" r:id="rId11"/>
    <sheet name="EOR Cycle 2" sheetId="23" r:id="rId12"/>
    <sheet name="EOR Cycle 3" sheetId="29" r:id="rId13"/>
    <sheet name="OA Cycle 2" sheetId="10" r:id="rId14"/>
    <sheet name="OAR Cycle 2" sheetId="13" r:id="rId15"/>
    <sheet name="OA Cycle 3" sheetId="30" r:id="rId16"/>
    <sheet name="OAR Cycle 3" sheetId="31"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Print_Area" localSheetId="3">'PCR Cycle 2'!$A$1:$N$64</definedName>
    <definedName name="_xlnm.Print_Area" localSheetId="4">'PCR Cycle 3'!$A$1:$O$64</definedName>
    <definedName name="solver_adj" localSheetId="3" hidden="1">'PCR Cycle 2'!$E$47</definedName>
    <definedName name="solver_adj" localSheetId="4" hidden="1">'PCR Cycle 3'!$F$45</definedName>
    <definedName name="solver_adj" localSheetId="7" hidden="1">'TDR Cycle 2'!#REF!</definedName>
    <definedName name="solver_adj" localSheetId="8" hidden="1">'TDR Cycle 3'!#REF!</definedName>
    <definedName name="solver_cvg" localSheetId="3" hidden="1">0.0001</definedName>
    <definedName name="solver_cvg" localSheetId="4" hidden="1">0.0001</definedName>
    <definedName name="solver_cvg" localSheetId="7" hidden="1">0.0001</definedName>
    <definedName name="solver_cvg" localSheetId="8" hidden="1">0.0001</definedName>
    <definedName name="solver_drv" localSheetId="3" hidden="1">1</definedName>
    <definedName name="solver_drv" localSheetId="4" hidden="1">1</definedName>
    <definedName name="solver_drv" localSheetId="7" hidden="1">2</definedName>
    <definedName name="solver_drv" localSheetId="8" hidden="1">2</definedName>
    <definedName name="solver_eng" localSheetId="3" hidden="1">1</definedName>
    <definedName name="solver_eng" localSheetId="4" hidden="1">1</definedName>
    <definedName name="solver_eng" localSheetId="7" hidden="1">1</definedName>
    <definedName name="solver_eng" localSheetId="8" hidden="1">1</definedName>
    <definedName name="solver_est" localSheetId="3" hidden="1">1</definedName>
    <definedName name="solver_est" localSheetId="4" hidden="1">1</definedName>
    <definedName name="solver_est" localSheetId="7" hidden="1">1</definedName>
    <definedName name="solver_est" localSheetId="8" hidden="1">1</definedName>
    <definedName name="solver_itr" localSheetId="3" hidden="1">2147483647</definedName>
    <definedName name="solver_itr" localSheetId="4" hidden="1">2147483647</definedName>
    <definedName name="solver_itr" localSheetId="7" hidden="1">2147483647</definedName>
    <definedName name="solver_itr" localSheetId="8" hidden="1">2147483647</definedName>
    <definedName name="solver_mip" localSheetId="3" hidden="1">2147483647</definedName>
    <definedName name="solver_mip" localSheetId="4" hidden="1">2147483647</definedName>
    <definedName name="solver_mip" localSheetId="7" hidden="1">2147483647</definedName>
    <definedName name="solver_mip" localSheetId="8" hidden="1">2147483647</definedName>
    <definedName name="solver_mni" localSheetId="3" hidden="1">30</definedName>
    <definedName name="solver_mni" localSheetId="4" hidden="1">30</definedName>
    <definedName name="solver_mni" localSheetId="7" hidden="1">30</definedName>
    <definedName name="solver_mni" localSheetId="8" hidden="1">30</definedName>
    <definedName name="solver_mrt" localSheetId="3" hidden="1">0.075</definedName>
    <definedName name="solver_mrt" localSheetId="4" hidden="1">0.075</definedName>
    <definedName name="solver_mrt" localSheetId="7" hidden="1">0.075</definedName>
    <definedName name="solver_mrt" localSheetId="8" hidden="1">0.075</definedName>
    <definedName name="solver_msl" localSheetId="3" hidden="1">2</definedName>
    <definedName name="solver_msl" localSheetId="4" hidden="1">2</definedName>
    <definedName name="solver_msl" localSheetId="7" hidden="1">2</definedName>
    <definedName name="solver_msl" localSheetId="8" hidden="1">2</definedName>
    <definedName name="solver_neg" localSheetId="3" hidden="1">1</definedName>
    <definedName name="solver_neg" localSheetId="4" hidden="1">1</definedName>
    <definedName name="solver_neg" localSheetId="7" hidden="1">1</definedName>
    <definedName name="solver_neg" localSheetId="8" hidden="1">1</definedName>
    <definedName name="solver_nod" localSheetId="3" hidden="1">2147483647</definedName>
    <definedName name="solver_nod" localSheetId="4" hidden="1">2147483647</definedName>
    <definedName name="solver_nod" localSheetId="7" hidden="1">2147483647</definedName>
    <definedName name="solver_nod" localSheetId="8" hidden="1">2147483647</definedName>
    <definedName name="solver_num" localSheetId="3" hidden="1">0</definedName>
    <definedName name="solver_num" localSheetId="4" hidden="1">0</definedName>
    <definedName name="solver_num" localSheetId="7" hidden="1">0</definedName>
    <definedName name="solver_num" localSheetId="8" hidden="1">0</definedName>
    <definedName name="solver_nwt" localSheetId="3" hidden="1">1</definedName>
    <definedName name="solver_nwt" localSheetId="4" hidden="1">1</definedName>
    <definedName name="solver_nwt" localSheetId="7" hidden="1">1</definedName>
    <definedName name="solver_nwt" localSheetId="8" hidden="1">1</definedName>
    <definedName name="solver_opt" localSheetId="3" hidden="1">'PCR Cycle 2'!$E$52</definedName>
    <definedName name="solver_opt" localSheetId="4" hidden="1">'PCR Cycle 3'!$F$52</definedName>
    <definedName name="solver_opt" localSheetId="7" hidden="1">'TDR Cycle 2'!#REF!</definedName>
    <definedName name="solver_opt" localSheetId="8" hidden="1">'TDR Cycle 3'!#REF!</definedName>
    <definedName name="solver_pre" localSheetId="3" hidden="1">0.000001</definedName>
    <definedName name="solver_pre" localSheetId="4" hidden="1">0.000001</definedName>
    <definedName name="solver_pre" localSheetId="7" hidden="1">0.000001</definedName>
    <definedName name="solver_pre" localSheetId="8" hidden="1">0.000001</definedName>
    <definedName name="solver_rbv" localSheetId="3" hidden="1">1</definedName>
    <definedName name="solver_rbv" localSheetId="4" hidden="1">1</definedName>
    <definedName name="solver_rbv" localSheetId="7" hidden="1">2</definedName>
    <definedName name="solver_rbv" localSheetId="8" hidden="1">2</definedName>
    <definedName name="solver_rlx" localSheetId="3" hidden="1">2</definedName>
    <definedName name="solver_rlx" localSheetId="4" hidden="1">2</definedName>
    <definedName name="solver_rlx" localSheetId="7" hidden="1">2</definedName>
    <definedName name="solver_rlx" localSheetId="8" hidden="1">2</definedName>
    <definedName name="solver_rsd" localSheetId="3" hidden="1">0</definedName>
    <definedName name="solver_rsd" localSheetId="4" hidden="1">0</definedName>
    <definedName name="solver_rsd" localSheetId="7" hidden="1">0</definedName>
    <definedName name="solver_rsd" localSheetId="8" hidden="1">0</definedName>
    <definedName name="solver_scl" localSheetId="3" hidden="1">1</definedName>
    <definedName name="solver_scl" localSheetId="4" hidden="1">1</definedName>
    <definedName name="solver_scl" localSheetId="7" hidden="1">2</definedName>
    <definedName name="solver_scl" localSheetId="8" hidden="1">2</definedName>
    <definedName name="solver_sho" localSheetId="3" hidden="1">2</definedName>
    <definedName name="solver_sho" localSheetId="4" hidden="1">2</definedName>
    <definedName name="solver_sho" localSheetId="7" hidden="1">2</definedName>
    <definedName name="solver_sho" localSheetId="8" hidden="1">2</definedName>
    <definedName name="solver_ssz" localSheetId="3" hidden="1">100</definedName>
    <definedName name="solver_ssz" localSheetId="4" hidden="1">100</definedName>
    <definedName name="solver_ssz" localSheetId="7" hidden="1">100</definedName>
    <definedName name="solver_ssz" localSheetId="8" hidden="1">100</definedName>
    <definedName name="solver_tim" localSheetId="3" hidden="1">2147483647</definedName>
    <definedName name="solver_tim" localSheetId="4" hidden="1">2147483647</definedName>
    <definedName name="solver_tim" localSheetId="7" hidden="1">2147483647</definedName>
    <definedName name="solver_tim" localSheetId="8" hidden="1">2147483647</definedName>
    <definedName name="solver_tol" localSheetId="3" hidden="1">0.01</definedName>
    <definedName name="solver_tol" localSheetId="4" hidden="1">0.01</definedName>
    <definedName name="solver_tol" localSheetId="7" hidden="1">0.01</definedName>
    <definedName name="solver_tol" localSheetId="8" hidden="1">0.01</definedName>
    <definedName name="solver_typ" localSheetId="3" hidden="1">3</definedName>
    <definedName name="solver_typ" localSheetId="4" hidden="1">3</definedName>
    <definedName name="solver_typ" localSheetId="7" hidden="1">3</definedName>
    <definedName name="solver_typ" localSheetId="8" hidden="1">3</definedName>
    <definedName name="solver_val" localSheetId="3" hidden="1">0</definedName>
    <definedName name="solver_val" localSheetId="4" hidden="1">0</definedName>
    <definedName name="solver_val" localSheetId="7" hidden="1">23888.44</definedName>
    <definedName name="solver_val" localSheetId="8" hidden="1">23888.44</definedName>
    <definedName name="solver_ver" localSheetId="3" hidden="1">3</definedName>
    <definedName name="solver_ver" localSheetId="4" hidden="1">3</definedName>
    <definedName name="solver_ver" localSheetId="7" hidden="1">3</definedName>
    <definedName name="solver_ver" localSheetId="8"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2" i="5" l="1"/>
  <c r="J4" i="5"/>
  <c r="E9" i="10" l="1"/>
  <c r="E74" i="8" l="1"/>
  <c r="E76" i="8" l="1"/>
  <c r="E75" i="8"/>
  <c r="L17" i="22" l="1"/>
  <c r="K17" i="22"/>
  <c r="L16" i="22"/>
  <c r="K16" i="22"/>
  <c r="L15" i="22"/>
  <c r="K15" i="22"/>
  <c r="L14" i="22"/>
  <c r="K14" i="22"/>
  <c r="D8" i="18"/>
  <c r="D7" i="18"/>
  <c r="D6" i="18"/>
  <c r="D5" i="18"/>
  <c r="B9" i="19" l="1"/>
  <c r="D9" i="19" l="1"/>
  <c r="B6" i="19" l="1"/>
  <c r="D6" i="19" l="1"/>
  <c r="B7" i="19"/>
  <c r="B8" i="19"/>
  <c r="D7" i="19" l="1"/>
  <c r="D8" i="19" l="1"/>
  <c r="E70" i="8" l="1"/>
  <c r="K22" i="24"/>
  <c r="L22" i="24"/>
  <c r="L28" i="24" l="1"/>
  <c r="K28" i="24"/>
  <c r="K21" i="24" l="1"/>
  <c r="L21" i="24"/>
  <c r="K23" i="24"/>
  <c r="L23" i="24"/>
  <c r="L27" i="24" l="1"/>
  <c r="K27" i="24"/>
  <c r="L29" i="24"/>
  <c r="K29" i="24"/>
  <c r="K24" i="24" l="1"/>
  <c r="L24" i="24"/>
  <c r="K30" i="24" l="1"/>
  <c r="L30" i="24"/>
  <c r="E24" i="24" l="1"/>
  <c r="E23" i="24"/>
  <c r="E21" i="24"/>
  <c r="F21" i="24" l="1"/>
  <c r="F24" i="24"/>
  <c r="F23" i="24"/>
  <c r="E30" i="24"/>
  <c r="E29" i="24"/>
  <c r="E22" i="24" l="1"/>
  <c r="E27" i="24"/>
  <c r="G23" i="24"/>
  <c r="G21" i="24"/>
  <c r="G24" i="24"/>
  <c r="F30" i="24"/>
  <c r="F22" i="24" l="1"/>
  <c r="H21" i="24"/>
  <c r="G27" i="24"/>
  <c r="H23" i="24"/>
  <c r="H24" i="24"/>
  <c r="G29" i="24"/>
  <c r="G30" i="24"/>
  <c r="G22" i="24" l="1"/>
  <c r="F27" i="24"/>
  <c r="F29" i="24"/>
  <c r="E28" i="24"/>
  <c r="I24" i="24"/>
  <c r="I21" i="24"/>
  <c r="H29" i="24"/>
  <c r="I23" i="24"/>
  <c r="H22" i="24" l="1"/>
  <c r="F28" i="24"/>
  <c r="I29" i="24"/>
  <c r="J23" i="24"/>
  <c r="J24" i="24"/>
  <c r="J21" i="24"/>
  <c r="I27" i="24"/>
  <c r="I22" i="24" l="1"/>
  <c r="I30" i="24"/>
  <c r="H30" i="24"/>
  <c r="H27" i="24"/>
  <c r="G28" i="24"/>
  <c r="J22" i="24" l="1"/>
  <c r="H28" i="24"/>
  <c r="J29" i="24"/>
  <c r="I28" i="24" l="1"/>
  <c r="J30" i="24"/>
  <c r="J27" i="24"/>
  <c r="J28" i="24" l="1"/>
  <c r="I19" i="13" l="1"/>
  <c r="I18" i="13"/>
  <c r="I18" i="29"/>
  <c r="I17" i="29"/>
  <c r="I16" i="29"/>
  <c r="I15" i="29"/>
  <c r="I21" i="23"/>
  <c r="I20" i="23"/>
  <c r="I19" i="23"/>
  <c r="I18" i="23"/>
  <c r="J18" i="24"/>
  <c r="J17" i="24"/>
  <c r="J16" i="24"/>
  <c r="J15" i="24"/>
  <c r="J21" i="16"/>
  <c r="J20" i="16"/>
  <c r="J19" i="16"/>
  <c r="J18" i="16"/>
  <c r="J29" i="22" l="1"/>
  <c r="J28" i="22"/>
  <c r="J27" i="22"/>
  <c r="J26" i="22"/>
  <c r="I29" i="15"/>
  <c r="I28" i="15"/>
  <c r="I27" i="15"/>
  <c r="I26" i="15"/>
  <c r="I47" i="15"/>
  <c r="I35" i="15" l="1"/>
  <c r="I34" i="15"/>
  <c r="I33" i="15"/>
  <c r="I32" i="15"/>
  <c r="J17" i="22"/>
  <c r="J16" i="22"/>
  <c r="J15" i="22"/>
  <c r="J14" i="22"/>
  <c r="D40" i="28" l="1"/>
  <c r="D44" i="28" l="1"/>
  <c r="D45" i="28" l="1"/>
  <c r="D46" i="28" l="1"/>
  <c r="D41" i="28" s="1"/>
  <c r="D42" i="28" s="1"/>
  <c r="C45" i="28" l="1"/>
  <c r="C46" i="28" l="1"/>
  <c r="C40" i="28"/>
  <c r="C44" i="28" l="1"/>
  <c r="C41" i="28" s="1"/>
  <c r="C42" i="28" s="1"/>
  <c r="E46" i="28" l="1"/>
  <c r="E40" i="28"/>
  <c r="E44" i="28" l="1"/>
  <c r="E45" i="28" l="1"/>
  <c r="E41" i="28" s="1"/>
  <c r="E42" i="28" s="1"/>
  <c r="E69" i="28" l="1"/>
  <c r="D69" i="28"/>
  <c r="C69" i="28"/>
  <c r="B69" i="28"/>
  <c r="F68" i="28"/>
  <c r="G68" i="28" s="1"/>
  <c r="F67" i="28"/>
  <c r="G67" i="28" s="1"/>
  <c r="F66" i="28"/>
  <c r="G66" i="28" s="1"/>
  <c r="E64" i="28"/>
  <c r="D64" i="28"/>
  <c r="C64" i="28"/>
  <c r="B64" i="28"/>
  <c r="F63" i="28"/>
  <c r="G63" i="28" s="1"/>
  <c r="F62" i="28"/>
  <c r="F64" i="28" s="1"/>
  <c r="E58" i="28"/>
  <c r="D58" i="28"/>
  <c r="C58" i="28"/>
  <c r="B58" i="28"/>
  <c r="F57" i="28"/>
  <c r="G57" i="28" s="1"/>
  <c r="F56" i="28"/>
  <c r="G56" i="28" s="1"/>
  <c r="F55" i="28"/>
  <c r="G55" i="28" s="1"/>
  <c r="E53" i="28"/>
  <c r="D53" i="28"/>
  <c r="C53" i="28"/>
  <c r="B53" i="28"/>
  <c r="F52" i="28"/>
  <c r="G52" i="28" s="1"/>
  <c r="F51" i="28"/>
  <c r="G51" i="28" s="1"/>
  <c r="G53" i="28" s="1"/>
  <c r="G62" i="28" l="1"/>
  <c r="G64" i="28" s="1"/>
  <c r="G58" i="28"/>
  <c r="G69" i="28"/>
  <c r="F69" i="28"/>
  <c r="F53" i="28"/>
  <c r="F58" i="28"/>
  <c r="E6" i="31" l="1"/>
  <c r="E5" i="31"/>
  <c r="I36" i="31"/>
  <c r="H36" i="31"/>
  <c r="G36" i="31"/>
  <c r="F36" i="31"/>
  <c r="E36" i="31"/>
  <c r="D36" i="31"/>
  <c r="C36" i="31"/>
  <c r="I35" i="31"/>
  <c r="H35" i="31"/>
  <c r="G35" i="31"/>
  <c r="F35" i="31"/>
  <c r="E35" i="31"/>
  <c r="D35" i="31"/>
  <c r="C35" i="31"/>
  <c r="D10" i="30"/>
  <c r="D9" i="30"/>
  <c r="C9" i="30"/>
  <c r="C10" i="30"/>
  <c r="B10" i="30"/>
  <c r="B9" i="30"/>
  <c r="H19" i="13" l="1"/>
  <c r="H18" i="13"/>
  <c r="G19" i="13"/>
  <c r="G18" i="13"/>
  <c r="F19" i="13"/>
  <c r="F18" i="13"/>
  <c r="H18" i="29"/>
  <c r="H17" i="29"/>
  <c r="H16" i="29"/>
  <c r="H15" i="29"/>
  <c r="G18" i="29"/>
  <c r="G17" i="29"/>
  <c r="G16" i="29"/>
  <c r="G15" i="29"/>
  <c r="F18" i="29"/>
  <c r="F17" i="29"/>
  <c r="F16" i="29"/>
  <c r="F15" i="29"/>
  <c r="E18" i="29"/>
  <c r="E17" i="29"/>
  <c r="E16" i="29"/>
  <c r="E15" i="29"/>
  <c r="D18" i="29"/>
  <c r="D17" i="29"/>
  <c r="D16" i="29"/>
  <c r="D15" i="29"/>
  <c r="D77" i="8"/>
  <c r="C77" i="8"/>
  <c r="B77" i="8"/>
  <c r="F76" i="8"/>
  <c r="G76" i="8" s="1"/>
  <c r="F75" i="8"/>
  <c r="G75" i="8" s="1"/>
  <c r="F74" i="8"/>
  <c r="G74" i="8" s="1"/>
  <c r="D72" i="8"/>
  <c r="D71" i="8"/>
  <c r="C71" i="8"/>
  <c r="C72" i="8" s="1"/>
  <c r="B71" i="8"/>
  <c r="B72" i="8" s="1"/>
  <c r="F70" i="8"/>
  <c r="G70" i="8" s="1"/>
  <c r="H21" i="23"/>
  <c r="H20" i="23"/>
  <c r="H19" i="23"/>
  <c r="H18" i="23"/>
  <c r="G21" i="23"/>
  <c r="G20" i="23"/>
  <c r="G19" i="23"/>
  <c r="G18" i="23"/>
  <c r="F21" i="23"/>
  <c r="F20" i="23"/>
  <c r="F19" i="23"/>
  <c r="F18" i="23"/>
  <c r="E21" i="23"/>
  <c r="E20" i="23"/>
  <c r="E19" i="23"/>
  <c r="E18" i="23"/>
  <c r="D21" i="23"/>
  <c r="D20" i="23"/>
  <c r="D19" i="23"/>
  <c r="D18" i="23"/>
  <c r="H18" i="24"/>
  <c r="H17" i="24"/>
  <c r="H16" i="24"/>
  <c r="H15" i="24"/>
  <c r="G18" i="24"/>
  <c r="G17" i="24"/>
  <c r="G16" i="24"/>
  <c r="G15" i="24"/>
  <c r="F18" i="24"/>
  <c r="F17" i="24"/>
  <c r="F16" i="24"/>
  <c r="F15" i="24"/>
  <c r="I18" i="24"/>
  <c r="I17" i="24"/>
  <c r="I16" i="24"/>
  <c r="I15" i="24"/>
  <c r="E18" i="24"/>
  <c r="E17" i="24"/>
  <c r="E16" i="24"/>
  <c r="E15" i="24"/>
  <c r="I21" i="16"/>
  <c r="I20" i="16"/>
  <c r="I19" i="16"/>
  <c r="I18" i="16"/>
  <c r="H21" i="16"/>
  <c r="H20" i="16"/>
  <c r="H19" i="16"/>
  <c r="H18" i="16"/>
  <c r="G21" i="16"/>
  <c r="G20" i="16"/>
  <c r="G19" i="16"/>
  <c r="G18" i="16"/>
  <c r="F21" i="16"/>
  <c r="F20" i="16"/>
  <c r="F19" i="16"/>
  <c r="F18" i="16"/>
  <c r="E21" i="16"/>
  <c r="E20" i="16"/>
  <c r="E19" i="16"/>
  <c r="E18" i="16"/>
  <c r="E77" i="8" l="1"/>
  <c r="F77" i="8"/>
  <c r="E71" i="8"/>
  <c r="E72" i="8" s="1"/>
  <c r="F71" i="8" l="1"/>
  <c r="F72" i="8" s="1"/>
  <c r="G71" i="8"/>
  <c r="G72" i="8" s="1"/>
  <c r="G77" i="8"/>
  <c r="I29" i="22" l="1"/>
  <c r="I28" i="22"/>
  <c r="I27" i="22"/>
  <c r="I26" i="22"/>
  <c r="H29" i="22"/>
  <c r="H28" i="22"/>
  <c r="H27" i="22"/>
  <c r="H26" i="22"/>
  <c r="G29" i="22"/>
  <c r="G28" i="22"/>
  <c r="G27" i="22"/>
  <c r="G26" i="22"/>
  <c r="F29" i="22"/>
  <c r="F28" i="22"/>
  <c r="F27" i="22"/>
  <c r="F26" i="22"/>
  <c r="E29" i="22"/>
  <c r="E28" i="22"/>
  <c r="E27" i="22"/>
  <c r="E26" i="22"/>
  <c r="H29" i="15" l="1"/>
  <c r="H28" i="15"/>
  <c r="H27" i="15"/>
  <c r="H26" i="15"/>
  <c r="G29" i="15"/>
  <c r="G28" i="15"/>
  <c r="G27" i="15"/>
  <c r="G26" i="15"/>
  <c r="F29" i="15"/>
  <c r="F28" i="15"/>
  <c r="F27" i="15"/>
  <c r="F26" i="15"/>
  <c r="E29" i="15"/>
  <c r="E28" i="15"/>
  <c r="E27" i="15"/>
  <c r="E26" i="15"/>
  <c r="D29" i="15"/>
  <c r="D28" i="15"/>
  <c r="D27" i="15"/>
  <c r="D26" i="15"/>
  <c r="H35" i="15"/>
  <c r="H34" i="15"/>
  <c r="H33" i="15"/>
  <c r="H32" i="15"/>
  <c r="G35" i="15"/>
  <c r="G34" i="15"/>
  <c r="G33" i="15"/>
  <c r="G32" i="15"/>
  <c r="F35" i="15"/>
  <c r="F34" i="15"/>
  <c r="F33" i="15"/>
  <c r="F32" i="15"/>
  <c r="E35" i="15"/>
  <c r="E34" i="15"/>
  <c r="E33" i="15"/>
  <c r="E32" i="15"/>
  <c r="D35" i="15"/>
  <c r="D34" i="15"/>
  <c r="D33" i="15"/>
  <c r="D32" i="15"/>
  <c r="L29" i="15" l="1"/>
  <c r="K29" i="15"/>
  <c r="L28" i="15"/>
  <c r="L22" i="31" s="1"/>
  <c r="L36" i="31" s="1"/>
  <c r="K28" i="15"/>
  <c r="K22" i="31" s="1"/>
  <c r="K36" i="31" s="1"/>
  <c r="L27" i="15"/>
  <c r="L21" i="31" s="1"/>
  <c r="L35" i="31" s="1"/>
  <c r="K27" i="15"/>
  <c r="K21" i="31" s="1"/>
  <c r="K35" i="31" s="1"/>
  <c r="L26" i="15"/>
  <c r="K26" i="15"/>
  <c r="J29" i="15"/>
  <c r="J28" i="15"/>
  <c r="J22" i="31" s="1"/>
  <c r="J27" i="15"/>
  <c r="J21" i="31" s="1"/>
  <c r="J26" i="15"/>
  <c r="B8" i="18"/>
  <c r="B7" i="18"/>
  <c r="B6" i="18"/>
  <c r="B5" i="18"/>
  <c r="D6" i="31" l="1"/>
  <c r="F6" i="31" s="1"/>
  <c r="J36" i="31"/>
  <c r="J35" i="31"/>
  <c r="D5" i="31"/>
  <c r="F5" i="31" s="1"/>
  <c r="E8" i="18"/>
  <c r="E7" i="18"/>
  <c r="E6" i="18"/>
  <c r="E5" i="18"/>
  <c r="E6" i="19" l="1"/>
  <c r="E9" i="19"/>
  <c r="E8" i="19" l="1"/>
  <c r="E7" i="19"/>
  <c r="E25" i="16" l="1"/>
  <c r="E27" i="16"/>
  <c r="E26" i="16" l="1"/>
  <c r="E31" i="16"/>
  <c r="E33" i="16"/>
  <c r="F26" i="16"/>
  <c r="F25" i="16"/>
  <c r="F27" i="16"/>
  <c r="E24" i="16"/>
  <c r="E32" i="16" l="1"/>
  <c r="F31" i="16"/>
  <c r="F33" i="16"/>
  <c r="F32" i="16"/>
  <c r="E30" i="16"/>
  <c r="G26" i="16"/>
  <c r="G25" i="16"/>
  <c r="G27" i="16"/>
  <c r="F24" i="16"/>
  <c r="G24" i="16"/>
  <c r="G33" i="16" l="1"/>
  <c r="G31" i="16"/>
  <c r="F30" i="16"/>
  <c r="G32" i="16"/>
  <c r="H25" i="16"/>
  <c r="H27" i="16"/>
  <c r="H26" i="16"/>
  <c r="H31" i="16" l="1"/>
  <c r="H32" i="16"/>
  <c r="G30" i="16"/>
  <c r="H33" i="16"/>
  <c r="I25" i="16"/>
  <c r="I26" i="16"/>
  <c r="I27" i="16"/>
  <c r="H24" i="16"/>
  <c r="I31" i="16" l="1"/>
  <c r="I33" i="16"/>
  <c r="I32" i="16"/>
  <c r="J27" i="16"/>
  <c r="J32" i="16"/>
  <c r="J26" i="16"/>
  <c r="J25" i="16"/>
  <c r="I24" i="16" l="1"/>
  <c r="H30" i="16"/>
  <c r="J31" i="16"/>
  <c r="K31" i="16"/>
  <c r="J33" i="16"/>
  <c r="K33" i="16"/>
  <c r="K27" i="16"/>
  <c r="K25" i="16"/>
  <c r="K26" i="16"/>
  <c r="J24" i="16" l="1"/>
  <c r="I30" i="16"/>
  <c r="K32" i="16"/>
  <c r="L31" i="16"/>
  <c r="L33" i="16"/>
  <c r="L27" i="16"/>
  <c r="L25" i="16"/>
  <c r="L32" i="16"/>
  <c r="L26" i="16"/>
  <c r="K24" i="16" l="1"/>
  <c r="J30" i="16"/>
  <c r="L24" i="16"/>
  <c r="K30" i="16" l="1"/>
  <c r="L30" i="16"/>
  <c r="B12" i="12" l="1"/>
  <c r="B11" i="12"/>
  <c r="B10" i="12"/>
  <c r="B6" i="12"/>
  <c r="C12" i="12"/>
  <c r="C11" i="12"/>
  <c r="C10" i="12"/>
  <c r="C6" i="12"/>
  <c r="I17" i="22"/>
  <c r="I16" i="22"/>
  <c r="I15" i="22"/>
  <c r="I14" i="22"/>
  <c r="H17" i="22"/>
  <c r="H16" i="22"/>
  <c r="H15" i="22"/>
  <c r="H14" i="22"/>
  <c r="G17" i="22"/>
  <c r="G16" i="22"/>
  <c r="G15" i="22"/>
  <c r="G14" i="22"/>
  <c r="F17" i="22"/>
  <c r="F16" i="22"/>
  <c r="F15" i="22"/>
  <c r="F14" i="22"/>
  <c r="E17" i="22"/>
  <c r="E16" i="22"/>
  <c r="E15" i="22"/>
  <c r="E14" i="22"/>
  <c r="H47" i="15" l="1"/>
  <c r="G47" i="15"/>
  <c r="F47" i="15"/>
  <c r="E47" i="15"/>
  <c r="D47" i="15"/>
  <c r="B33" i="13" l="1"/>
  <c r="C11" i="30"/>
  <c r="I37" i="31"/>
  <c r="H37" i="31"/>
  <c r="G37" i="31"/>
  <c r="F37" i="31"/>
  <c r="E37" i="31"/>
  <c r="D37" i="31"/>
  <c r="C37" i="31"/>
  <c r="I34" i="31"/>
  <c r="H34" i="31"/>
  <c r="G34" i="31"/>
  <c r="F34" i="31"/>
  <c r="E34" i="31"/>
  <c r="D34" i="31"/>
  <c r="C34" i="31"/>
  <c r="K17" i="31"/>
  <c r="J17" i="31"/>
  <c r="I17" i="31"/>
  <c r="H17" i="31"/>
  <c r="G17" i="31"/>
  <c r="F17" i="31"/>
  <c r="E17" i="31"/>
  <c r="D17" i="31"/>
  <c r="D16" i="31"/>
  <c r="E16" i="31" s="1"/>
  <c r="F16" i="31" s="1"/>
  <c r="G16" i="31" s="1"/>
  <c r="H16" i="31" s="1"/>
  <c r="I16" i="31" s="1"/>
  <c r="J16" i="31" s="1"/>
  <c r="K16" i="31" s="1"/>
  <c r="L16" i="31" s="1"/>
  <c r="C15" i="31"/>
  <c r="B15" i="31"/>
  <c r="E7" i="31"/>
  <c r="E4" i="31"/>
  <c r="A1" i="31"/>
  <c r="E10" i="30"/>
  <c r="D11" i="30"/>
  <c r="B7" i="30" s="1"/>
  <c r="B11" i="30"/>
  <c r="B5" i="30" s="1"/>
  <c r="A2" i="30"/>
  <c r="A1" i="30"/>
  <c r="E5" i="19"/>
  <c r="D5" i="19"/>
  <c r="B6" i="30" l="1"/>
  <c r="C12" i="30" s="1"/>
  <c r="B12" i="30"/>
  <c r="D12" i="30"/>
  <c r="E8" i="31"/>
  <c r="E9" i="30"/>
  <c r="E11" i="30" l="1"/>
  <c r="E12" i="30" s="1"/>
  <c r="F12" i="5"/>
  <c r="D29" i="28"/>
  <c r="G4" i="31" l="1"/>
  <c r="C40" i="31"/>
  <c r="D40" i="31" s="1"/>
  <c r="D33" i="28"/>
  <c r="D34" i="28" l="1"/>
  <c r="D35" i="28" l="1"/>
  <c r="D30" i="28" s="1"/>
  <c r="C34" i="28" l="1"/>
  <c r="C29" i="28"/>
  <c r="C35" i="28" l="1"/>
  <c r="C33" i="28" l="1"/>
  <c r="C30" i="28" s="1"/>
  <c r="E29" i="28" l="1"/>
  <c r="E35" i="28"/>
  <c r="E33" i="28" l="1"/>
  <c r="E34" i="28" l="1"/>
  <c r="E30" i="28" s="1"/>
  <c r="E64" i="8" l="1"/>
  <c r="E66" i="8" l="1"/>
  <c r="E65" i="8" l="1"/>
  <c r="E60" i="8" l="1"/>
  <c r="C8" i="18" l="1"/>
  <c r="D9" i="18"/>
  <c r="C7" i="18"/>
  <c r="E9" i="18"/>
  <c r="C6" i="18"/>
  <c r="C5" i="18"/>
  <c r="C8" i="10" l="1"/>
  <c r="B6" i="10" s="1"/>
  <c r="B8" i="10"/>
  <c r="B5" i="10" s="1"/>
  <c r="D9" i="10"/>
  <c r="D67" i="8"/>
  <c r="C67" i="8"/>
  <c r="B67" i="8"/>
  <c r="F66" i="8"/>
  <c r="G66" i="8" s="1"/>
  <c r="F65" i="8"/>
  <c r="G65" i="8" s="1"/>
  <c r="D61" i="8"/>
  <c r="D62" i="8" s="1"/>
  <c r="C61" i="8"/>
  <c r="C62" i="8" s="1"/>
  <c r="B61" i="8"/>
  <c r="B62" i="8" s="1"/>
  <c r="F60" i="8"/>
  <c r="G60" i="8" s="1"/>
  <c r="E67" i="8" l="1"/>
  <c r="D8" i="10"/>
  <c r="E61" i="8"/>
  <c r="E62" i="8" s="1"/>
  <c r="F64" i="8"/>
  <c r="G64" i="8" s="1"/>
  <c r="B32" i="13" l="1"/>
  <c r="B42" i="13" s="1"/>
  <c r="E8" i="10"/>
  <c r="E10" i="10" s="1"/>
  <c r="F61" i="8"/>
  <c r="F62" i="8" s="1"/>
  <c r="F67" i="8"/>
  <c r="G61" i="8" l="1"/>
  <c r="G62" i="8" s="1"/>
  <c r="G67" i="8"/>
  <c r="I45" i="31" l="1"/>
  <c r="H45" i="31"/>
  <c r="L23" i="31" l="1"/>
  <c r="L37" i="31" s="1"/>
  <c r="K23" i="31"/>
  <c r="K37" i="31" s="1"/>
  <c r="L20" i="31"/>
  <c r="L34" i="31" s="1"/>
  <c r="K20" i="31"/>
  <c r="K34" i="31" s="1"/>
  <c r="J20" i="31"/>
  <c r="D4" i="31" l="1"/>
  <c r="J34" i="31"/>
  <c r="J23" i="31"/>
  <c r="G45" i="31"/>
  <c r="F45" i="31"/>
  <c r="E45" i="31"/>
  <c r="D45" i="31"/>
  <c r="J37" i="31" l="1"/>
  <c r="D7" i="31"/>
  <c r="F7" i="31" s="1"/>
  <c r="F4" i="31"/>
  <c r="D47" i="31"/>
  <c r="G7" i="29"/>
  <c r="G6" i="29"/>
  <c r="G5" i="29"/>
  <c r="B49" i="29"/>
  <c r="C49" i="29" s="1"/>
  <c r="C32" i="29"/>
  <c r="C38" i="29" s="1"/>
  <c r="C31" i="29"/>
  <c r="C37" i="29" s="1"/>
  <c r="C30" i="29"/>
  <c r="C36" i="29" s="1"/>
  <c r="C29" i="29"/>
  <c r="C35" i="29" s="1"/>
  <c r="D11" i="29"/>
  <c r="E11" i="29" s="1"/>
  <c r="F11" i="29" s="1"/>
  <c r="G11" i="29" s="1"/>
  <c r="H11" i="29" s="1"/>
  <c r="I11" i="29" s="1"/>
  <c r="J11" i="29" s="1"/>
  <c r="K11" i="29" s="1"/>
  <c r="L11" i="29" s="1"/>
  <c r="C10" i="29"/>
  <c r="B10" i="29"/>
  <c r="G4" i="29"/>
  <c r="A1" i="29"/>
  <c r="L18" i="29"/>
  <c r="L32" i="29" s="1"/>
  <c r="K18" i="29"/>
  <c r="L17" i="29"/>
  <c r="L31" i="29" s="1"/>
  <c r="K17" i="29"/>
  <c r="L16" i="29"/>
  <c r="L30" i="29" s="1"/>
  <c r="K16" i="29"/>
  <c r="L15" i="29"/>
  <c r="L29" i="29" s="1"/>
  <c r="K15" i="29"/>
  <c r="J18" i="29"/>
  <c r="J17" i="29"/>
  <c r="J16" i="29"/>
  <c r="J15" i="29"/>
  <c r="D8" i="31" l="1"/>
  <c r="F8" i="31"/>
  <c r="E40" i="31"/>
  <c r="E47" i="31"/>
  <c r="D7" i="29"/>
  <c r="D5" i="29"/>
  <c r="D6" i="29"/>
  <c r="G8" i="29"/>
  <c r="D4" i="29"/>
  <c r="F47" i="31" l="1"/>
  <c r="F40" i="31"/>
  <c r="D8" i="29"/>
  <c r="G47" i="31" l="1"/>
  <c r="G40" i="31"/>
  <c r="H47" i="31" l="1"/>
  <c r="H40" i="31"/>
  <c r="E54" i="8"/>
  <c r="E56" i="8"/>
  <c r="I40" i="31" l="1"/>
  <c r="I47" i="31"/>
  <c r="E55" i="8"/>
  <c r="J40" i="31" l="1"/>
  <c r="E50" i="8"/>
  <c r="C51" i="8" l="1"/>
  <c r="B51" i="8"/>
  <c r="B52" i="8" s="1"/>
  <c r="B57" i="8"/>
  <c r="F56" i="8"/>
  <c r="F55" i="8"/>
  <c r="E57" i="8"/>
  <c r="D57" i="8"/>
  <c r="F54" i="8"/>
  <c r="D51" i="8"/>
  <c r="D52" i="8" s="1"/>
  <c r="G56" i="8" l="1"/>
  <c r="G55" i="8"/>
  <c r="G54" i="8"/>
  <c r="F57" i="8"/>
  <c r="E51" i="8"/>
  <c r="C57" i="8"/>
  <c r="F50" i="8"/>
  <c r="E52" i="8" l="1"/>
  <c r="G50" i="8"/>
  <c r="G51" i="8"/>
  <c r="G57" i="8"/>
  <c r="F51" i="8"/>
  <c r="F52" i="8" s="1"/>
  <c r="C52" i="8"/>
  <c r="G52" i="8" l="1"/>
  <c r="K10" i="15"/>
  <c r="K9" i="15"/>
  <c r="K8" i="15"/>
  <c r="J10" i="31" l="1"/>
  <c r="C14" i="30"/>
  <c r="J11" i="31"/>
  <c r="C15" i="30"/>
  <c r="B15" i="30" s="1"/>
  <c r="C16" i="30"/>
  <c r="B16" i="30" s="1"/>
  <c r="J12" i="31"/>
  <c r="I40" i="29"/>
  <c r="F15" i="5" l="1"/>
  <c r="F14" i="5"/>
  <c r="C17" i="30"/>
  <c r="B14" i="30"/>
  <c r="J13" i="31"/>
  <c r="H40" i="29"/>
  <c r="G40" i="29"/>
  <c r="F40" i="29"/>
  <c r="E40" i="29"/>
  <c r="D40" i="29"/>
  <c r="B17" i="30" l="1"/>
  <c r="F13" i="5"/>
  <c r="C42" i="31"/>
  <c r="G6" i="31"/>
  <c r="C43" i="31"/>
  <c r="G7" i="31"/>
  <c r="D18" i="28"/>
  <c r="D7" i="28" s="1"/>
  <c r="D43" i="31" l="1"/>
  <c r="D50" i="31"/>
  <c r="E43" i="31" s="1"/>
  <c r="D42" i="31"/>
  <c r="D49" i="31"/>
  <c r="G5" i="31"/>
  <c r="C41" i="31"/>
  <c r="B54" i="31"/>
  <c r="C54" i="31" s="1"/>
  <c r="D22" i="28"/>
  <c r="D11" i="28" s="1"/>
  <c r="D24" i="28"/>
  <c r="D13" i="28" s="1"/>
  <c r="D23" i="28"/>
  <c r="D12" i="28" s="1"/>
  <c r="D41" i="31" l="1"/>
  <c r="D48" i="31"/>
  <c r="G8" i="31"/>
  <c r="E49" i="31"/>
  <c r="E42" i="31"/>
  <c r="E50" i="31"/>
  <c r="F43" i="31" s="1"/>
  <c r="D14" i="28"/>
  <c r="C24" i="28"/>
  <c r="C13" i="28" s="1"/>
  <c r="C23" i="28"/>
  <c r="C12" i="28" s="1"/>
  <c r="F50" i="31" l="1"/>
  <c r="G43" i="31" s="1"/>
  <c r="E48" i="31"/>
  <c r="E52" i="31" s="1"/>
  <c r="D52" i="31"/>
  <c r="G50" i="31"/>
  <c r="H43" i="31" s="1"/>
  <c r="E41" i="31"/>
  <c r="F49" i="31"/>
  <c r="F42" i="31"/>
  <c r="D54" i="31"/>
  <c r="C18" i="28"/>
  <c r="C7" i="28" s="1"/>
  <c r="G42" i="31" l="1"/>
  <c r="G49" i="31"/>
  <c r="H50" i="31"/>
  <c r="I43" i="31" s="1"/>
  <c r="F41" i="31"/>
  <c r="F48" i="31"/>
  <c r="F52" i="31" s="1"/>
  <c r="D51" i="31"/>
  <c r="E54" i="31"/>
  <c r="C22" i="28"/>
  <c r="C11" i="28" s="1"/>
  <c r="C14" i="28" s="1"/>
  <c r="G41" i="31" l="1"/>
  <c r="G48" i="31"/>
  <c r="G52" i="31" s="1"/>
  <c r="H42" i="31"/>
  <c r="H49" i="31"/>
  <c r="I50" i="31"/>
  <c r="J43" i="31" s="1"/>
  <c r="F54" i="31"/>
  <c r="E51" i="31"/>
  <c r="E22" i="28"/>
  <c r="E11" i="28" s="1"/>
  <c r="E24" i="28"/>
  <c r="E13" i="28" s="1"/>
  <c r="I42" i="31" l="1"/>
  <c r="I49" i="31"/>
  <c r="H41" i="31"/>
  <c r="H48" i="31"/>
  <c r="H52" i="31" s="1"/>
  <c r="G54" i="31"/>
  <c r="F51" i="31"/>
  <c r="E18" i="28"/>
  <c r="E7" i="28" s="1"/>
  <c r="H54" i="31" l="1"/>
  <c r="G51" i="31"/>
  <c r="I41" i="31"/>
  <c r="I48" i="31"/>
  <c r="I52" i="31" s="1"/>
  <c r="J42" i="31"/>
  <c r="E23" i="28"/>
  <c r="E12" i="28" s="1"/>
  <c r="E14" i="28" s="1"/>
  <c r="J41" i="31" l="1"/>
  <c r="H51" i="31"/>
  <c r="I54" i="31"/>
  <c r="I51" i="31" s="1"/>
  <c r="E19" i="28"/>
  <c r="E8" i="28" s="1"/>
  <c r="E9" i="28" s="1"/>
  <c r="D19" i="28"/>
  <c r="D8" i="28" s="1"/>
  <c r="D9" i="28" s="1"/>
  <c r="C19" i="28"/>
  <c r="C8" i="28" s="1"/>
  <c r="C9" i="28" s="1"/>
  <c r="B18" i="28" l="1"/>
  <c r="B7" i="28" s="1"/>
  <c r="B24" i="28" l="1"/>
  <c r="B13" i="28" s="1"/>
  <c r="B23" i="28"/>
  <c r="B12" i="28" s="1"/>
  <c r="B22" i="28" l="1"/>
  <c r="B47" i="28"/>
  <c r="F46" i="28"/>
  <c r="G46" i="28" s="1"/>
  <c r="E47" i="28"/>
  <c r="D47" i="28"/>
  <c r="F44" i="28"/>
  <c r="G44" i="28" s="1"/>
  <c r="B42" i="28"/>
  <c r="E36" i="28"/>
  <c r="D36" i="28"/>
  <c r="F35" i="28"/>
  <c r="G35" i="28" s="1"/>
  <c r="F34" i="28"/>
  <c r="G34" i="28" s="1"/>
  <c r="F33" i="28"/>
  <c r="G33" i="28" s="1"/>
  <c r="C36" i="28"/>
  <c r="B36" i="28"/>
  <c r="E31" i="28"/>
  <c r="D31" i="28"/>
  <c r="F30" i="28"/>
  <c r="G30" i="28" s="1"/>
  <c r="C31" i="28"/>
  <c r="B31" i="28"/>
  <c r="E25" i="28"/>
  <c r="D25" i="28"/>
  <c r="D20" i="28"/>
  <c r="A2" i="28"/>
  <c r="A1" i="28"/>
  <c r="B19" i="28" l="1"/>
  <c r="B8" i="28" s="1"/>
  <c r="B9" i="28" s="1"/>
  <c r="B11" i="28"/>
  <c r="B14" i="28" s="1"/>
  <c r="B25" i="28"/>
  <c r="F11" i="28"/>
  <c r="F36" i="28"/>
  <c r="F7" i="28"/>
  <c r="G36" i="28"/>
  <c r="F41" i="28"/>
  <c r="G41" i="28" s="1"/>
  <c r="F12" i="28"/>
  <c r="F19" i="28"/>
  <c r="G19" i="28" s="1"/>
  <c r="F18" i="28"/>
  <c r="B20" i="28"/>
  <c r="F23" i="28"/>
  <c r="F45" i="28"/>
  <c r="G45" i="28" s="1"/>
  <c r="C47" i="28"/>
  <c r="F13" i="28"/>
  <c r="C20" i="28"/>
  <c r="C25" i="28"/>
  <c r="F24" i="28"/>
  <c r="F22" i="28"/>
  <c r="F29" i="28"/>
  <c r="G29" i="28" s="1"/>
  <c r="F40" i="28"/>
  <c r="G40" i="28" s="1"/>
  <c r="G18" i="28" l="1"/>
  <c r="G7" i="28" s="1"/>
  <c r="K21" i="29"/>
  <c r="F21" i="29"/>
  <c r="E21" i="29"/>
  <c r="J21" i="29"/>
  <c r="I21" i="29"/>
  <c r="H21" i="29"/>
  <c r="G22" i="28"/>
  <c r="G11" i="28" s="1"/>
  <c r="K22" i="29"/>
  <c r="J22" i="29"/>
  <c r="H22" i="29"/>
  <c r="I22" i="29"/>
  <c r="I30" i="29" s="1"/>
  <c r="E22" i="29"/>
  <c r="E30" i="29" s="1"/>
  <c r="F22" i="29"/>
  <c r="F30" i="29" s="1"/>
  <c r="G24" i="28"/>
  <c r="G13" i="28" s="1"/>
  <c r="K24" i="29"/>
  <c r="K32" i="29" s="1"/>
  <c r="F24" i="29"/>
  <c r="F32" i="29" s="1"/>
  <c r="J24" i="29"/>
  <c r="E24" i="29"/>
  <c r="E32" i="29" s="1"/>
  <c r="I24" i="29"/>
  <c r="I32" i="29" s="1"/>
  <c r="H24" i="29"/>
  <c r="H32" i="29" s="1"/>
  <c r="G23" i="28"/>
  <c r="G12" i="28" s="1"/>
  <c r="F23" i="29"/>
  <c r="F31" i="29" s="1"/>
  <c r="H23" i="29"/>
  <c r="H31" i="29" s="1"/>
  <c r="J23" i="29"/>
  <c r="E23" i="29"/>
  <c r="E31" i="29" s="1"/>
  <c r="K23" i="29"/>
  <c r="K31" i="29" s="1"/>
  <c r="I23" i="29"/>
  <c r="I31" i="29" s="1"/>
  <c r="G8" i="28"/>
  <c r="G22" i="29"/>
  <c r="D22" i="29"/>
  <c r="D30" i="29" s="1"/>
  <c r="G21" i="29"/>
  <c r="D21" i="29"/>
  <c r="G23" i="29"/>
  <c r="D23" i="29"/>
  <c r="D31" i="29" s="1"/>
  <c r="D24" i="29"/>
  <c r="D32" i="29" s="1"/>
  <c r="G24" i="29"/>
  <c r="H30" i="29"/>
  <c r="K30" i="29"/>
  <c r="F14" i="28"/>
  <c r="F25" i="28"/>
  <c r="F20" i="28"/>
  <c r="E20" i="28"/>
  <c r="F47" i="28"/>
  <c r="G31" i="28"/>
  <c r="F31" i="28"/>
  <c r="G42" i="28"/>
  <c r="F42" i="28"/>
  <c r="G47" i="28"/>
  <c r="E12" i="29" l="1"/>
  <c r="E29" i="29"/>
  <c r="F12" i="29"/>
  <c r="F29" i="29"/>
  <c r="D38" i="29"/>
  <c r="D45" i="29"/>
  <c r="D37" i="29"/>
  <c r="D44" i="29"/>
  <c r="D12" i="29"/>
  <c r="D29" i="29"/>
  <c r="D36" i="29"/>
  <c r="D43" i="29"/>
  <c r="E6" i="29"/>
  <c r="F6" i="29" s="1"/>
  <c r="G31" i="29"/>
  <c r="E7" i="29"/>
  <c r="F7" i="29" s="1"/>
  <c r="G32" i="29"/>
  <c r="J31" i="29"/>
  <c r="E5" i="29"/>
  <c r="F5" i="29" s="1"/>
  <c r="G30" i="29"/>
  <c r="E4" i="29"/>
  <c r="G29" i="29"/>
  <c r="G12" i="29"/>
  <c r="J32" i="29"/>
  <c r="H12" i="29"/>
  <c r="H29" i="29"/>
  <c r="K29" i="29"/>
  <c r="K12" i="29"/>
  <c r="I12" i="29"/>
  <c r="I29" i="29"/>
  <c r="J30" i="29"/>
  <c r="J12" i="29"/>
  <c r="J29" i="29"/>
  <c r="F8" i="28"/>
  <c r="F9" i="28" s="1"/>
  <c r="G20" i="28"/>
  <c r="G25" i="28"/>
  <c r="D35" i="29" l="1"/>
  <c r="D42" i="29"/>
  <c r="D47" i="29" s="1"/>
  <c r="E44" i="29"/>
  <c r="E37" i="29"/>
  <c r="E38" i="29"/>
  <c r="E45" i="29"/>
  <c r="E43" i="29"/>
  <c r="E36" i="29"/>
  <c r="F4" i="29"/>
  <c r="F8" i="29" s="1"/>
  <c r="E8" i="29"/>
  <c r="G14" i="28"/>
  <c r="G9" i="28"/>
  <c r="D49" i="29" l="1"/>
  <c r="D46" i="29" s="1"/>
  <c r="E35" i="29"/>
  <c r="E42" i="29"/>
  <c r="E47" i="29" s="1"/>
  <c r="F38" i="29"/>
  <c r="F45" i="29"/>
  <c r="F37" i="29"/>
  <c r="F44" i="29"/>
  <c r="F43" i="29"/>
  <c r="F36" i="29"/>
  <c r="D37" i="22"/>
  <c r="D36" i="22"/>
  <c r="D35" i="22"/>
  <c r="D34" i="22"/>
  <c r="E49" i="29" l="1"/>
  <c r="E46" i="29" s="1"/>
  <c r="G44" i="29"/>
  <c r="G37" i="29"/>
  <c r="G43" i="29"/>
  <c r="G36" i="29"/>
  <c r="F35" i="29"/>
  <c r="F42" i="29"/>
  <c r="F47" i="29" s="1"/>
  <c r="G38" i="29"/>
  <c r="G45" i="29"/>
  <c r="C10" i="10"/>
  <c r="B10" i="10"/>
  <c r="H45" i="29" l="1"/>
  <c r="H38" i="29"/>
  <c r="F49" i="29"/>
  <c r="H37" i="29"/>
  <c r="H44" i="29"/>
  <c r="G35" i="29"/>
  <c r="G42" i="29"/>
  <c r="G47" i="29" s="1"/>
  <c r="H36" i="29"/>
  <c r="H43" i="29"/>
  <c r="C11" i="10"/>
  <c r="B11" i="10"/>
  <c r="I37" i="29" l="1"/>
  <c r="I44" i="29"/>
  <c r="H35" i="29"/>
  <c r="H42" i="29"/>
  <c r="H47" i="29" s="1"/>
  <c r="F46" i="29"/>
  <c r="G49" i="29"/>
  <c r="I43" i="29"/>
  <c r="I36" i="29"/>
  <c r="I45" i="29"/>
  <c r="I38" i="29"/>
  <c r="E29" i="13"/>
  <c r="J38" i="29" l="1"/>
  <c r="G46" i="29"/>
  <c r="H49" i="29"/>
  <c r="I35" i="29"/>
  <c r="I42" i="29"/>
  <c r="I47" i="29" s="1"/>
  <c r="J37" i="29"/>
  <c r="J36" i="29"/>
  <c r="C29" i="8"/>
  <c r="J35" i="29" l="1"/>
  <c r="H46" i="29"/>
  <c r="I49" i="29"/>
  <c r="I46" i="29" s="1"/>
  <c r="D29" i="8"/>
  <c r="D34" i="8"/>
  <c r="C34" i="8"/>
  <c r="C35" i="8"/>
  <c r="D35" i="8" l="1"/>
  <c r="C33" i="8" l="1"/>
  <c r="C30" i="8" s="1"/>
  <c r="D33" i="8" l="1"/>
  <c r="D30" i="8" s="1"/>
  <c r="C22" i="8" l="1"/>
  <c r="C24" i="8"/>
  <c r="C23" i="8"/>
  <c r="C19" i="8" l="1"/>
  <c r="C18" i="8"/>
  <c r="D22" i="8" l="1"/>
  <c r="D24" i="8"/>
  <c r="D23" i="8"/>
  <c r="D19" i="8" l="1"/>
  <c r="D18" i="8"/>
  <c r="E24" i="8" l="1"/>
  <c r="E23" i="8"/>
  <c r="E22" i="8"/>
  <c r="E19" i="8" l="1"/>
  <c r="E18" i="8"/>
  <c r="E33" i="8" l="1"/>
  <c r="E34" i="8"/>
  <c r="E35" i="8" l="1"/>
  <c r="E30" i="8" l="1"/>
  <c r="E29" i="8" l="1"/>
  <c r="B42" i="8" l="1"/>
  <c r="B47" i="8" l="1"/>
  <c r="D40" i="8" l="1"/>
  <c r="D7" i="8" s="1"/>
  <c r="C40" i="8"/>
  <c r="C7" i="8" s="1"/>
  <c r="C46" i="8"/>
  <c r="C13" i="8" s="1"/>
  <c r="C45" i="8"/>
  <c r="C12" i="8" s="1"/>
  <c r="D45" i="8" l="1"/>
  <c r="D12" i="8" s="1"/>
  <c r="D46" i="8" l="1"/>
  <c r="D13" i="8" s="1"/>
  <c r="C44" i="8" l="1"/>
  <c r="C11" i="8" s="1"/>
  <c r="C14" i="8" s="1"/>
  <c r="D44" i="8" l="1"/>
  <c r="D11" i="8" s="1"/>
  <c r="D14" i="8" s="1"/>
  <c r="D41" i="8" l="1"/>
  <c r="D47" i="8"/>
  <c r="C41" i="8"/>
  <c r="C8" i="8" s="1"/>
  <c r="C9" i="8" s="1"/>
  <c r="C47" i="8"/>
  <c r="D42" i="8" l="1"/>
  <c r="D8" i="8"/>
  <c r="D9" i="8" s="1"/>
  <c r="C42" i="8"/>
  <c r="E44" i="8" l="1"/>
  <c r="E11" i="8" s="1"/>
  <c r="F44" i="8" l="1"/>
  <c r="G44" i="8" s="1"/>
  <c r="E45" i="8"/>
  <c r="E12" i="8" s="1"/>
  <c r="E46" i="8" l="1"/>
  <c r="E13" i="8" s="1"/>
  <c r="E14" i="8" s="1"/>
  <c r="F46" i="8" l="1"/>
  <c r="G46" i="8" s="1"/>
  <c r="E40" i="8"/>
  <c r="E7" i="8" s="1"/>
  <c r="F40" i="8" l="1"/>
  <c r="G40" i="8" s="1"/>
  <c r="F45" i="8" l="1"/>
  <c r="G45" i="8" s="1"/>
  <c r="E47" i="8"/>
  <c r="E41" i="8"/>
  <c r="E8" i="8" s="1"/>
  <c r="E9" i="8" s="1"/>
  <c r="F41" i="8" l="1"/>
  <c r="G41" i="8" s="1"/>
  <c r="E42" i="8"/>
  <c r="F47" i="8"/>
  <c r="G47" i="8" l="1"/>
  <c r="F42" i="8"/>
  <c r="G42" i="8" l="1"/>
  <c r="J23" i="22" l="1"/>
  <c r="J22" i="22"/>
  <c r="J21" i="22"/>
  <c r="J20" i="22"/>
  <c r="I23" i="22"/>
  <c r="I22" i="22"/>
  <c r="I21" i="22"/>
  <c r="I20" i="22"/>
  <c r="H23" i="22"/>
  <c r="H22" i="22"/>
  <c r="H21" i="22"/>
  <c r="H20" i="22"/>
  <c r="G23" i="22"/>
  <c r="G22" i="22"/>
  <c r="G21" i="22"/>
  <c r="G20" i="22"/>
  <c r="F23" i="22"/>
  <c r="F22" i="22"/>
  <c r="F21" i="22"/>
  <c r="F20" i="22"/>
  <c r="E23" i="22"/>
  <c r="E22" i="22"/>
  <c r="E21" i="22"/>
  <c r="E20" i="22"/>
  <c r="C15" i="5" l="1"/>
  <c r="C14" i="5"/>
  <c r="C13" i="5"/>
  <c r="C12" i="5"/>
  <c r="J8" i="13"/>
  <c r="L8" i="16"/>
  <c r="J10" i="23"/>
  <c r="C14" i="10"/>
  <c r="C13" i="10"/>
  <c r="C15" i="10" l="1"/>
  <c r="J9" i="13"/>
  <c r="J10" i="13"/>
  <c r="L9" i="16"/>
  <c r="L10" i="16"/>
  <c r="J8" i="23"/>
  <c r="J9" i="23"/>
  <c r="A1" i="13" l="1"/>
  <c r="A2" i="10"/>
  <c r="A1" i="10"/>
  <c r="A1" i="23"/>
  <c r="A2" i="8"/>
  <c r="A1" i="8"/>
  <c r="A1" i="24"/>
  <c r="A1" i="16"/>
  <c r="A1" i="19"/>
  <c r="A1" i="12"/>
  <c r="A1" i="22"/>
  <c r="A1" i="15"/>
  <c r="A1" i="5"/>
  <c r="A2" i="20" s="1"/>
  <c r="B35" i="8" l="1"/>
  <c r="B34" i="8"/>
  <c r="B33" i="8"/>
  <c r="B30" i="8"/>
  <c r="B29" i="8"/>
  <c r="B24" i="8"/>
  <c r="B13" i="8" s="1"/>
  <c r="B23" i="8"/>
  <c r="B22" i="8"/>
  <c r="B11" i="8" s="1"/>
  <c r="B19" i="8"/>
  <c r="B8" i="8" s="1"/>
  <c r="B18" i="8"/>
  <c r="B12" i="8" l="1"/>
  <c r="B14" i="8"/>
  <c r="B7" i="8"/>
  <c r="B9" i="8" s="1"/>
  <c r="B31" i="8"/>
  <c r="A2" i="12" l="1"/>
  <c r="G5" i="23" l="1"/>
  <c r="B52" i="23" l="1"/>
  <c r="B55" i="24"/>
  <c r="B54" i="22"/>
  <c r="G7" i="5" l="1"/>
  <c r="G6" i="5"/>
  <c r="G5" i="5"/>
  <c r="Z13" i="5" s="1"/>
  <c r="G4" i="5"/>
  <c r="V12" i="5" l="1"/>
  <c r="AA12" i="5"/>
  <c r="Z12" i="5"/>
  <c r="X14" i="5"/>
  <c r="Z14" i="5"/>
  <c r="X15" i="5"/>
  <c r="Z15" i="5"/>
  <c r="X13" i="5"/>
  <c r="B9" i="18"/>
  <c r="D39" i="16" l="1"/>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G15" i="16"/>
  <c r="I15" i="16" l="1"/>
  <c r="J15" i="16" l="1"/>
  <c r="K15" i="16" l="1"/>
  <c r="L15" i="16" l="1"/>
  <c r="N26" i="16" l="1"/>
  <c r="N25" i="16"/>
  <c r="J39" i="16" l="1"/>
  <c r="I39" i="16"/>
  <c r="H39" i="16"/>
  <c r="L34" i="15" l="1"/>
  <c r="L22" i="22"/>
  <c r="L28" i="22" s="1"/>
  <c r="L33" i="15"/>
  <c r="K33" i="15"/>
  <c r="L20" i="22"/>
  <c r="K21" i="22"/>
  <c r="K27" i="22" s="1"/>
  <c r="M21" i="22" l="1"/>
  <c r="M27" i="22" s="1"/>
  <c r="J33" i="15"/>
  <c r="L21" i="22"/>
  <c r="L27" i="22" s="1"/>
  <c r="J20" i="23"/>
  <c r="K17" i="24"/>
  <c r="K20" i="16"/>
  <c r="J21" i="23"/>
  <c r="K18" i="24"/>
  <c r="K21" i="16"/>
  <c r="K21" i="23"/>
  <c r="L18" i="24"/>
  <c r="L21" i="16"/>
  <c r="K34" i="15"/>
  <c r="K22" i="22"/>
  <c r="K28" i="22" s="1"/>
  <c r="L18" i="13"/>
  <c r="L18" i="23"/>
  <c r="M15" i="24"/>
  <c r="M35" i="24" s="1"/>
  <c r="M18" i="16"/>
  <c r="L20" i="23"/>
  <c r="M17" i="24"/>
  <c r="M37" i="24" s="1"/>
  <c r="M20" i="16"/>
  <c r="J34" i="15"/>
  <c r="J18" i="13"/>
  <c r="J18" i="23"/>
  <c r="K15" i="24"/>
  <c r="K18" i="16"/>
  <c r="K20" i="22"/>
  <c r="M22" i="22"/>
  <c r="M28" i="22" s="1"/>
  <c r="K23" i="22"/>
  <c r="K18" i="13"/>
  <c r="K18" i="23"/>
  <c r="L15" i="24"/>
  <c r="L18" i="16"/>
  <c r="L21" i="23"/>
  <c r="M18" i="24"/>
  <c r="M38" i="24" s="1"/>
  <c r="M21" i="16"/>
  <c r="K19" i="13"/>
  <c r="K19" i="23"/>
  <c r="L16" i="24"/>
  <c r="L19" i="16"/>
  <c r="L19" i="13"/>
  <c r="L19" i="23"/>
  <c r="M16" i="24"/>
  <c r="M36" i="24" s="1"/>
  <c r="M19" i="16"/>
  <c r="J19" i="13"/>
  <c r="J19" i="23"/>
  <c r="K16" i="24"/>
  <c r="K19" i="16"/>
  <c r="M20" i="22"/>
  <c r="L23" i="22"/>
  <c r="K20" i="23"/>
  <c r="L17" i="24"/>
  <c r="L20" i="16"/>
  <c r="M23" i="22"/>
  <c r="E5" i="16" l="1"/>
  <c r="D5" i="23"/>
  <c r="M39" i="16"/>
  <c r="E5" i="24"/>
  <c r="L39" i="16"/>
  <c r="K39" i="16"/>
  <c r="E6" i="24"/>
  <c r="I6" i="22" l="1"/>
  <c r="F6" i="22"/>
  <c r="E6" i="22"/>
  <c r="I5" i="22"/>
  <c r="F5" i="22"/>
  <c r="E5" i="22"/>
  <c r="M36" i="22" l="1"/>
  <c r="I36" i="22"/>
  <c r="H36" i="22"/>
  <c r="G36" i="22"/>
  <c r="F36" i="22"/>
  <c r="E36" i="22"/>
  <c r="C36" i="22"/>
  <c r="C42" i="22" s="1"/>
  <c r="D42" i="22" s="1"/>
  <c r="M35" i="22"/>
  <c r="I35" i="22"/>
  <c r="H35" i="22"/>
  <c r="G35" i="22"/>
  <c r="F35" i="22"/>
  <c r="E35" i="22"/>
  <c r="C35" i="22"/>
  <c r="C41" i="22" s="1"/>
  <c r="D41" i="22" s="1"/>
  <c r="E41" i="22" l="1"/>
  <c r="E42" i="22"/>
  <c r="L34" i="23"/>
  <c r="C34" i="23"/>
  <c r="C40" i="23" s="1"/>
  <c r="L33" i="23"/>
  <c r="C33" i="23"/>
  <c r="C39" i="23" s="1"/>
  <c r="C13" i="13"/>
  <c r="B13" i="13"/>
  <c r="C13" i="23"/>
  <c r="B13" i="23"/>
  <c r="C10" i="24"/>
  <c r="B10" i="24"/>
  <c r="C13" i="16"/>
  <c r="B13" i="16"/>
  <c r="C10" i="22"/>
  <c r="B10" i="22"/>
  <c r="J47" i="15" l="1"/>
  <c r="J45" i="31" s="1"/>
  <c r="J49" i="31" l="1"/>
  <c r="J48" i="31"/>
  <c r="J47" i="31"/>
  <c r="J50" i="31"/>
  <c r="K43" i="31" s="1"/>
  <c r="K47" i="15"/>
  <c r="J40" i="29"/>
  <c r="G39" i="16"/>
  <c r="F39" i="16"/>
  <c r="E39" i="16"/>
  <c r="K41" i="31" l="1"/>
  <c r="K42" i="31"/>
  <c r="K40" i="29"/>
  <c r="K45" i="31"/>
  <c r="K47" i="31" s="1"/>
  <c r="K50" i="31"/>
  <c r="H7" i="31" s="1"/>
  <c r="I7" i="31" s="1"/>
  <c r="J52" i="31"/>
  <c r="K40" i="31"/>
  <c r="J54" i="31"/>
  <c r="J43" i="29"/>
  <c r="J44" i="29"/>
  <c r="J45" i="29"/>
  <c r="J42" i="29"/>
  <c r="E15" i="16"/>
  <c r="K49" i="31" l="1"/>
  <c r="H6" i="31" s="1"/>
  <c r="I6" i="31" s="1"/>
  <c r="L49" i="31"/>
  <c r="K48" i="31"/>
  <c r="H5" i="31" s="1"/>
  <c r="I5" i="31" s="1"/>
  <c r="L43" i="31"/>
  <c r="J7" i="31" s="1"/>
  <c r="K52" i="31"/>
  <c r="H4" i="31"/>
  <c r="I4" i="31" s="1"/>
  <c r="J51" i="31"/>
  <c r="L47" i="31"/>
  <c r="L40" i="31"/>
  <c r="I10" i="31"/>
  <c r="I11" i="31"/>
  <c r="I12" i="31"/>
  <c r="L50" i="31"/>
  <c r="J49" i="29"/>
  <c r="J46" i="29" s="1"/>
  <c r="J47" i="29"/>
  <c r="K35" i="29"/>
  <c r="K42" i="29"/>
  <c r="K45" i="29"/>
  <c r="H7" i="29" s="1"/>
  <c r="I7" i="29" s="1"/>
  <c r="Z23" i="5" s="1"/>
  <c r="K38" i="29"/>
  <c r="K37" i="29"/>
  <c r="K44" i="29"/>
  <c r="H6" i="29" s="1"/>
  <c r="I6" i="29" s="1"/>
  <c r="Z22" i="5" s="1"/>
  <c r="K43" i="29"/>
  <c r="H5" i="29" s="1"/>
  <c r="I5" i="29" s="1"/>
  <c r="Z21" i="5" s="1"/>
  <c r="K36" i="29"/>
  <c r="N27" i="16"/>
  <c r="F5" i="16" s="1"/>
  <c r="L48" i="31" l="1"/>
  <c r="K54" i="31"/>
  <c r="H8" i="31"/>
  <c r="L42" i="31"/>
  <c r="L41" i="31"/>
  <c r="I13" i="31"/>
  <c r="L52" i="31"/>
  <c r="K51" i="31"/>
  <c r="L54" i="31"/>
  <c r="J4" i="31"/>
  <c r="I8" i="31"/>
  <c r="K49" i="29"/>
  <c r="K46" i="29" s="1"/>
  <c r="K47" i="29"/>
  <c r="L42" i="29"/>
  <c r="L35" i="29"/>
  <c r="L36" i="29"/>
  <c r="J5" i="29" s="1"/>
  <c r="L43" i="29"/>
  <c r="H4" i="29"/>
  <c r="L38" i="29"/>
  <c r="J7" i="29" s="1"/>
  <c r="L45" i="29"/>
  <c r="L44" i="29"/>
  <c r="L37" i="29"/>
  <c r="J6" i="29" s="1"/>
  <c r="C55" i="24"/>
  <c r="C41" i="24"/>
  <c r="E11" i="24"/>
  <c r="F11" i="24" s="1"/>
  <c r="G11" i="24" s="1"/>
  <c r="H11" i="24" s="1"/>
  <c r="I11" i="24" s="1"/>
  <c r="J11" i="24" s="1"/>
  <c r="K11" i="24" s="1"/>
  <c r="L11" i="24" s="1"/>
  <c r="M11" i="24" s="1"/>
  <c r="I7" i="24"/>
  <c r="I4" i="24"/>
  <c r="L51" i="31" l="1"/>
  <c r="L49" i="29"/>
  <c r="L46" i="29" s="1"/>
  <c r="L47" i="29"/>
  <c r="H8" i="29"/>
  <c r="I4" i="29"/>
  <c r="Z20" i="5" s="1"/>
  <c r="I8" i="24"/>
  <c r="E7" i="24"/>
  <c r="E4" i="24"/>
  <c r="J4" i="29" l="1"/>
  <c r="I8" i="29"/>
  <c r="E8" i="24"/>
  <c r="D14" i="13" l="1"/>
  <c r="D14" i="23"/>
  <c r="E14" i="23" s="1"/>
  <c r="F14" i="23" s="1"/>
  <c r="G14" i="23" s="1"/>
  <c r="H14" i="23" s="1"/>
  <c r="I14" i="23" s="1"/>
  <c r="J14" i="23" s="1"/>
  <c r="K14" i="23" s="1"/>
  <c r="L14" i="23" s="1"/>
  <c r="E14" i="16"/>
  <c r="E11" i="22"/>
  <c r="E14" i="15"/>
  <c r="F14" i="15" s="1"/>
  <c r="G14" i="15" s="1"/>
  <c r="H14" i="15" s="1"/>
  <c r="I14" i="15" s="1"/>
  <c r="J14" i="15" s="1"/>
  <c r="K14" i="15" s="1"/>
  <c r="L14" i="15" s="1"/>
  <c r="M11" i="22" s="1"/>
  <c r="C52" i="23"/>
  <c r="C35" i="23"/>
  <c r="C41" i="23" s="1"/>
  <c r="C32" i="23"/>
  <c r="C38" i="23" s="1"/>
  <c r="L35" i="23"/>
  <c r="L32" i="23"/>
  <c r="G4" i="23"/>
  <c r="G6" i="23" s="1"/>
  <c r="C38" i="16"/>
  <c r="C54" i="22"/>
  <c r="M52" i="22"/>
  <c r="M29" i="22"/>
  <c r="L29" i="22"/>
  <c r="K29" i="22"/>
  <c r="M26" i="22"/>
  <c r="L26" i="22"/>
  <c r="K26" i="22"/>
  <c r="C37" i="22"/>
  <c r="C43" i="22" s="1"/>
  <c r="D43" i="22" s="1"/>
  <c r="H37" i="22"/>
  <c r="G37" i="22"/>
  <c r="G34" i="22"/>
  <c r="F34" i="22"/>
  <c r="I7" i="22"/>
  <c r="I4" i="22"/>
  <c r="I8" i="22" l="1"/>
  <c r="M34" i="22"/>
  <c r="H34" i="22"/>
  <c r="I34" i="22"/>
  <c r="F37" i="22"/>
  <c r="I37" i="22"/>
  <c r="J11" i="23"/>
  <c r="F4" i="22"/>
  <c r="M37" i="22"/>
  <c r="F7" i="22"/>
  <c r="D4" i="23"/>
  <c r="F11" i="22"/>
  <c r="H11" i="22"/>
  <c r="G11" i="22"/>
  <c r="I11" i="22"/>
  <c r="J11" i="22"/>
  <c r="K11" i="22"/>
  <c r="L11" i="22"/>
  <c r="E37" i="22"/>
  <c r="E43" i="22" s="1"/>
  <c r="E7" i="22"/>
  <c r="E4" i="22"/>
  <c r="C34" i="22"/>
  <c r="C40" i="22" s="1"/>
  <c r="D40" i="22" s="1"/>
  <c r="E34" i="22"/>
  <c r="E40" i="22" l="1"/>
  <c r="D6" i="23"/>
  <c r="F8" i="22"/>
  <c r="E8" i="22"/>
  <c r="A2" i="19" l="1"/>
  <c r="AA23" i="5" l="1"/>
  <c r="AA15" i="5"/>
  <c r="AA22" i="5"/>
  <c r="AA14" i="5"/>
  <c r="E16" i="20" l="1"/>
  <c r="E15" i="20"/>
  <c r="D16" i="20"/>
  <c r="AA13" i="5"/>
  <c r="AA21" i="5"/>
  <c r="D15" i="20"/>
  <c r="J11" i="13"/>
  <c r="C16" i="10" l="1"/>
  <c r="D14" i="20"/>
  <c r="E14" i="20"/>
  <c r="K11" i="15"/>
  <c r="L11" i="16"/>
  <c r="B13" i="12" l="1"/>
  <c r="B7" i="12" s="1"/>
  <c r="B8" i="12" s="1"/>
  <c r="T15" i="5"/>
  <c r="T14" i="5"/>
  <c r="T13" i="5"/>
  <c r="C13" i="12" l="1"/>
  <c r="C7" i="12" s="1"/>
  <c r="D38" i="16" l="1"/>
  <c r="D15" i="16"/>
  <c r="B52" i="16" l="1"/>
  <c r="B54" i="15"/>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9" i="13" l="1"/>
  <c r="L28" i="13"/>
  <c r="K28" i="13"/>
  <c r="K29" i="13"/>
  <c r="J28" i="13" l="1"/>
  <c r="D4" i="13"/>
  <c r="J29" i="13"/>
  <c r="D5" i="13"/>
  <c r="F5" i="13" s="1"/>
  <c r="D6" i="13" l="1"/>
  <c r="F4" i="13"/>
  <c r="F6" i="13" l="1"/>
  <c r="C23" i="15" l="1"/>
  <c r="C41" i="15" s="1"/>
  <c r="C22" i="15"/>
  <c r="H46" i="24" l="1"/>
  <c r="G35" i="13"/>
  <c r="G43" i="23"/>
  <c r="H45" i="16"/>
  <c r="H45" i="22"/>
  <c r="E46" i="24"/>
  <c r="D35" i="13"/>
  <c r="E45" i="16"/>
  <c r="D43" i="23"/>
  <c r="E45" i="22"/>
  <c r="F46" i="24"/>
  <c r="E35" i="13"/>
  <c r="E43" i="23"/>
  <c r="F45" i="16"/>
  <c r="F45" i="22"/>
  <c r="G46" i="24"/>
  <c r="F35" i="13"/>
  <c r="F43" i="23"/>
  <c r="G45" i="16"/>
  <c r="G45" i="22"/>
  <c r="I46" i="24"/>
  <c r="H35" i="13"/>
  <c r="H43" i="23"/>
  <c r="I45" i="16"/>
  <c r="I45" i="22"/>
  <c r="E49" i="22" l="1"/>
  <c r="E48" i="22"/>
  <c r="E50" i="22"/>
  <c r="E47" i="22"/>
  <c r="D38" i="13"/>
  <c r="D37" i="13"/>
  <c r="J46" i="24"/>
  <c r="I43" i="23"/>
  <c r="J45" i="16"/>
  <c r="I35" i="13"/>
  <c r="J45" i="22"/>
  <c r="C52" i="16"/>
  <c r="D52" i="16" s="1"/>
  <c r="E54" i="22" l="1"/>
  <c r="E51" i="22" s="1"/>
  <c r="F42" i="22"/>
  <c r="F49" i="22"/>
  <c r="F41" i="22"/>
  <c r="F48" i="22"/>
  <c r="F47" i="22"/>
  <c r="E52" i="22"/>
  <c r="F40" i="22"/>
  <c r="E37" i="13"/>
  <c r="E32" i="13"/>
  <c r="D40" i="13"/>
  <c r="D42" i="13"/>
  <c r="D39" i="13" s="1"/>
  <c r="F50" i="22"/>
  <c r="F43" i="22"/>
  <c r="E33" i="13"/>
  <c r="E38" i="13"/>
  <c r="L35" i="15"/>
  <c r="K35" i="15"/>
  <c r="J35" i="15"/>
  <c r="L32" i="15"/>
  <c r="K32" i="15"/>
  <c r="J32" i="15"/>
  <c r="F54" i="22" l="1"/>
  <c r="F51" i="22" s="1"/>
  <c r="G42" i="22"/>
  <c r="G41" i="22"/>
  <c r="G48" i="22"/>
  <c r="G49" i="22"/>
  <c r="G47" i="22"/>
  <c r="G40" i="22"/>
  <c r="F52" i="22"/>
  <c r="F33" i="13"/>
  <c r="F38" i="13"/>
  <c r="F32" i="13"/>
  <c r="F37" i="13"/>
  <c r="G43" i="22"/>
  <c r="G50" i="22"/>
  <c r="E40" i="13"/>
  <c r="E42" i="13"/>
  <c r="E39" i="13" s="1"/>
  <c r="G38" i="13" l="1"/>
  <c r="G37" i="13"/>
  <c r="H49" i="22"/>
  <c r="G54" i="22"/>
  <c r="G51" i="22" s="1"/>
  <c r="H42" i="22"/>
  <c r="H41" i="22"/>
  <c r="H48" i="22"/>
  <c r="H50" i="22"/>
  <c r="H43" i="22"/>
  <c r="H40" i="22"/>
  <c r="H47" i="22"/>
  <c r="G33" i="13"/>
  <c r="G52" i="22"/>
  <c r="G32" i="13"/>
  <c r="F42" i="13"/>
  <c r="F39" i="13" s="1"/>
  <c r="F40" i="13"/>
  <c r="H37" i="13" l="1"/>
  <c r="H54" i="22"/>
  <c r="H51" i="22" s="1"/>
  <c r="I48" i="22"/>
  <c r="I41" i="22"/>
  <c r="I42" i="22"/>
  <c r="I49" i="22"/>
  <c r="H33" i="13"/>
  <c r="H38" i="13"/>
  <c r="I40" i="22"/>
  <c r="I47" i="22"/>
  <c r="G40" i="13"/>
  <c r="G42" i="13"/>
  <c r="G39" i="13" s="1"/>
  <c r="H32" i="13"/>
  <c r="H52" i="22"/>
  <c r="I50" i="22"/>
  <c r="I43" i="22"/>
  <c r="C43" i="16"/>
  <c r="D43" i="16" s="1"/>
  <c r="C42" i="16"/>
  <c r="D42" i="16" s="1"/>
  <c r="M38" i="16"/>
  <c r="F14" i="16"/>
  <c r="G14" i="16" s="1"/>
  <c r="H14" i="16" s="1"/>
  <c r="I14" i="16" s="1"/>
  <c r="J14" i="16" s="1"/>
  <c r="K14" i="16" s="1"/>
  <c r="L14" i="16" s="1"/>
  <c r="M14" i="16" s="1"/>
  <c r="I5" i="16"/>
  <c r="I4" i="16"/>
  <c r="C54" i="15"/>
  <c r="L52" i="15"/>
  <c r="C45" i="15"/>
  <c r="C40" i="15"/>
  <c r="C44" i="15" s="1"/>
  <c r="L23" i="15"/>
  <c r="L41" i="15" s="1"/>
  <c r="L22" i="15"/>
  <c r="H5" i="15"/>
  <c r="H4" i="15"/>
  <c r="I54" i="22" l="1"/>
  <c r="I51" i="22" s="1"/>
  <c r="I52" i="22"/>
  <c r="K46" i="24"/>
  <c r="J43" i="23"/>
  <c r="K45" i="16"/>
  <c r="J35" i="13"/>
  <c r="K45" i="22"/>
  <c r="I32" i="13"/>
  <c r="I37" i="13"/>
  <c r="H40" i="13"/>
  <c r="H42" i="13"/>
  <c r="H39" i="13" s="1"/>
  <c r="I33" i="13"/>
  <c r="I38" i="13"/>
  <c r="H6" i="15"/>
  <c r="I6" i="16"/>
  <c r="L40" i="15"/>
  <c r="E4" i="16"/>
  <c r="J38" i="13" l="1"/>
  <c r="J33" i="13"/>
  <c r="I42" i="13"/>
  <c r="I39" i="13" s="1"/>
  <c r="I40" i="13"/>
  <c r="J32" i="13"/>
  <c r="J37" i="13"/>
  <c r="E6" i="16"/>
  <c r="K33" i="13" l="1"/>
  <c r="J42" i="13"/>
  <c r="J39" i="13" s="1"/>
  <c r="K32" i="13"/>
  <c r="J40" i="13"/>
  <c r="L46" i="24" l="1"/>
  <c r="K43" i="23"/>
  <c r="K35" i="13"/>
  <c r="K37" i="13" s="1"/>
  <c r="L45" i="22"/>
  <c r="L45" i="16"/>
  <c r="K38" i="13" l="1"/>
  <c r="L33" i="13" s="1"/>
  <c r="H4" i="13"/>
  <c r="L32" i="13"/>
  <c r="L37" i="13"/>
  <c r="K40" i="13" l="1"/>
  <c r="H5" i="13"/>
  <c r="I5" i="13" s="1"/>
  <c r="I9" i="13" s="1"/>
  <c r="F22" i="5" s="1"/>
  <c r="K42" i="13"/>
  <c r="K39" i="13" s="1"/>
  <c r="L38" i="13"/>
  <c r="L40" i="13" s="1"/>
  <c r="I4" i="13"/>
  <c r="F20" i="5" s="1"/>
  <c r="L42" i="13" l="1"/>
  <c r="L39" i="13" s="1"/>
  <c r="J5" i="13"/>
  <c r="I8" i="13"/>
  <c r="I10" i="13"/>
  <c r="F23" i="5" s="1"/>
  <c r="H6" i="13"/>
  <c r="V22" i="5"/>
  <c r="I6" i="13"/>
  <c r="J4" i="13"/>
  <c r="V21" i="5" l="1"/>
  <c r="F21" i="5"/>
  <c r="V23" i="5"/>
  <c r="I11" i="13"/>
  <c r="AA20" i="5" l="1"/>
  <c r="V20" i="5"/>
  <c r="E13" i="20" l="1"/>
  <c r="D13" i="20"/>
  <c r="E5" i="20" l="1"/>
  <c r="E21" i="20" s="1"/>
  <c r="B15" i="10"/>
  <c r="B13" i="10"/>
  <c r="B14" i="10"/>
  <c r="D10" i="10"/>
  <c r="D11" i="10" s="1"/>
  <c r="V14" i="5" l="1"/>
  <c r="E7" i="20" s="1"/>
  <c r="E23" i="20" s="1"/>
  <c r="B16" i="10"/>
  <c r="V13" i="5"/>
  <c r="E6" i="20" s="1"/>
  <c r="E22" i="20" s="1"/>
  <c r="V15" i="5"/>
  <c r="E8" i="20" s="1"/>
  <c r="E24" i="20" s="1"/>
  <c r="F4" i="5"/>
  <c r="M4" i="5"/>
  <c r="V25" i="5" s="1"/>
  <c r="M7" i="5" l="1"/>
  <c r="F7" i="5"/>
  <c r="F5" i="5"/>
  <c r="M5" i="5"/>
  <c r="V26" i="5" s="1"/>
  <c r="F6" i="5"/>
  <c r="M6" i="5"/>
  <c r="E26" i="20"/>
  <c r="K23" i="15"/>
  <c r="K41" i="15" s="1"/>
  <c r="E28" i="20" l="1"/>
  <c r="V27" i="5"/>
  <c r="E29" i="20"/>
  <c r="V28" i="5"/>
  <c r="E27" i="20"/>
  <c r="J22" i="15"/>
  <c r="J40" i="15" l="1"/>
  <c r="K22" i="15" l="1"/>
  <c r="K40" i="15" l="1"/>
  <c r="J23" i="15" l="1"/>
  <c r="J41" i="15" s="1"/>
  <c r="K38" i="16" l="1"/>
  <c r="L38" i="16" l="1"/>
  <c r="T12" i="5" l="1"/>
  <c r="C8" i="12" l="1"/>
  <c r="E38" i="16" l="1"/>
  <c r="F38" i="16" l="1"/>
  <c r="E47" i="16"/>
  <c r="E42" i="16"/>
  <c r="F47" i="16" l="1"/>
  <c r="F42" i="16"/>
  <c r="G38" i="16"/>
  <c r="E48" i="16"/>
  <c r="E52" i="16" s="1"/>
  <c r="E43" i="16"/>
  <c r="E49" i="16" l="1"/>
  <c r="E50" i="16"/>
  <c r="H38" i="16"/>
  <c r="G42" i="16"/>
  <c r="G47" i="16"/>
  <c r="F48" i="16"/>
  <c r="F52" i="16" s="1"/>
  <c r="F43" i="16"/>
  <c r="N24" i="16"/>
  <c r="F4" i="16" s="1"/>
  <c r="F49" i="16" l="1"/>
  <c r="H47" i="16"/>
  <c r="H42" i="16"/>
  <c r="F6" i="16"/>
  <c r="I38" i="16"/>
  <c r="F50" i="16"/>
  <c r="G48" i="16"/>
  <c r="G50" i="16" s="1"/>
  <c r="G43" i="16"/>
  <c r="G52" i="16" l="1"/>
  <c r="G49" i="16" s="1"/>
  <c r="H43" i="16"/>
  <c r="H48" i="16"/>
  <c r="H50" i="16" s="1"/>
  <c r="J38" i="16"/>
  <c r="I47" i="16"/>
  <c r="I42" i="16"/>
  <c r="G4" i="16"/>
  <c r="H4" i="16" l="1"/>
  <c r="I48" i="16"/>
  <c r="I50" i="16" s="1"/>
  <c r="I43" i="16"/>
  <c r="H52" i="16"/>
  <c r="H49" i="16" s="1"/>
  <c r="H5" i="16"/>
  <c r="J42" i="16"/>
  <c r="J47" i="16"/>
  <c r="G6" i="16" l="1"/>
  <c r="J43" i="16"/>
  <c r="J48" i="16"/>
  <c r="J50" i="16" s="1"/>
  <c r="I52" i="16"/>
  <c r="I49" i="16" s="1"/>
  <c r="K47" i="16"/>
  <c r="K42" i="16"/>
  <c r="H6" i="16"/>
  <c r="J52" i="16" l="1"/>
  <c r="J49" i="16" s="1"/>
  <c r="L42" i="16"/>
  <c r="L47" i="16"/>
  <c r="J4" i="16" s="1"/>
  <c r="K43" i="16"/>
  <c r="K48" i="16"/>
  <c r="K52" i="16" l="1"/>
  <c r="L48" i="16"/>
  <c r="J5" i="16" s="1"/>
  <c r="L43" i="16"/>
  <c r="K4" i="16"/>
  <c r="K50" i="16"/>
  <c r="M47" i="16"/>
  <c r="M42" i="16"/>
  <c r="K5" i="16" l="1"/>
  <c r="L4" i="16"/>
  <c r="T20" i="5"/>
  <c r="J6" i="16"/>
  <c r="M43" i="16"/>
  <c r="M48" i="16"/>
  <c r="K49" i="16"/>
  <c r="L52" i="16"/>
  <c r="L50" i="16"/>
  <c r="C5" i="20" l="1"/>
  <c r="L5" i="16"/>
  <c r="K6" i="16"/>
  <c r="K8" i="16"/>
  <c r="T21" i="5" s="1"/>
  <c r="K9" i="16"/>
  <c r="T22" i="5" s="1"/>
  <c r="K10" i="16"/>
  <c r="T23" i="5" s="1"/>
  <c r="L49" i="16"/>
  <c r="M52" i="16"/>
  <c r="M49" i="16" s="1"/>
  <c r="M50" i="16"/>
  <c r="K11" i="16" l="1"/>
  <c r="C7" i="20" l="1"/>
  <c r="C6" i="20"/>
  <c r="C8" i="20"/>
  <c r="E5" i="15" l="1"/>
  <c r="E4" i="15" l="1"/>
  <c r="E6" i="15" s="1"/>
  <c r="D5" i="15" l="1"/>
  <c r="D4" i="15" l="1"/>
  <c r="D6" i="15" l="1"/>
  <c r="J37" i="22" l="1"/>
  <c r="J36" i="22" l="1"/>
  <c r="J43" i="22"/>
  <c r="J50" i="22"/>
  <c r="J34" i="22"/>
  <c r="J47" i="22" l="1"/>
  <c r="J40" i="22"/>
  <c r="J42" i="22"/>
  <c r="J49" i="22"/>
  <c r="J35" i="22" l="1"/>
  <c r="J48" i="22" l="1"/>
  <c r="J41" i="22"/>
  <c r="J52" i="22" l="1"/>
  <c r="J54" i="22"/>
  <c r="J51" i="22" s="1"/>
  <c r="F23" i="15" l="1"/>
  <c r="F41" i="15" s="1"/>
  <c r="D23" i="15"/>
  <c r="D41" i="15" s="1"/>
  <c r="G23" i="15"/>
  <c r="G41" i="15" s="1"/>
  <c r="D22" i="15"/>
  <c r="E23" i="15"/>
  <c r="E41" i="15" s="1"/>
  <c r="I22" i="15"/>
  <c r="I40" i="15" s="1"/>
  <c r="H22" i="15"/>
  <c r="H40" i="15" s="1"/>
  <c r="G22" i="15"/>
  <c r="G40" i="15" s="1"/>
  <c r="I23" i="15"/>
  <c r="I41" i="15" s="1"/>
  <c r="F22" i="15"/>
  <c r="F40" i="15" s="1"/>
  <c r="H23" i="15"/>
  <c r="H41" i="15" s="1"/>
  <c r="E22" i="15"/>
  <c r="E40" i="15" s="1"/>
  <c r="D45" i="15" l="1"/>
  <c r="D50" i="15"/>
  <c r="F5" i="15"/>
  <c r="G5" i="15" s="1"/>
  <c r="D40" i="15"/>
  <c r="F4" i="15"/>
  <c r="F6" i="15" l="1"/>
  <c r="G4" i="15"/>
  <c r="D49" i="15"/>
  <c r="D44" i="15"/>
  <c r="E50" i="15"/>
  <c r="E45" i="15"/>
  <c r="F45" i="15" l="1"/>
  <c r="F50" i="15"/>
  <c r="E44" i="15"/>
  <c r="E49" i="15"/>
  <c r="G6" i="15"/>
  <c r="D52" i="15"/>
  <c r="D54" i="15"/>
  <c r="D51" i="15" s="1"/>
  <c r="E52" i="15" l="1"/>
  <c r="E54" i="15"/>
  <c r="E51" i="15" s="1"/>
  <c r="F49" i="15"/>
  <c r="F44" i="15"/>
  <c r="G45" i="15"/>
  <c r="G50" i="15"/>
  <c r="G49" i="15" l="1"/>
  <c r="H45" i="15"/>
  <c r="H50" i="15"/>
  <c r="F52" i="15"/>
  <c r="F54" i="15"/>
  <c r="F51" i="15" s="1"/>
  <c r="G44" i="15"/>
  <c r="H44" i="15" l="1"/>
  <c r="H49" i="15"/>
  <c r="G52" i="15"/>
  <c r="G54" i="15"/>
  <c r="G51" i="15" s="1"/>
  <c r="I50" i="15"/>
  <c r="I45" i="15"/>
  <c r="J45" i="15" l="1"/>
  <c r="J50" i="15"/>
  <c r="H52" i="15"/>
  <c r="H54" i="15"/>
  <c r="H51" i="15" s="1"/>
  <c r="I44" i="15"/>
  <c r="I49" i="15"/>
  <c r="J44" i="15" l="1"/>
  <c r="J49" i="15"/>
  <c r="I52" i="15"/>
  <c r="I54" i="15"/>
  <c r="I51" i="15" s="1"/>
  <c r="K50" i="15"/>
  <c r="I5" i="15" s="1"/>
  <c r="J5" i="15" s="1"/>
  <c r="K45" i="15"/>
  <c r="J9" i="15" l="1"/>
  <c r="S22" i="5" s="1"/>
  <c r="J10" i="15"/>
  <c r="S23" i="5" s="1"/>
  <c r="J8" i="15"/>
  <c r="S21" i="5" s="1"/>
  <c r="L45" i="15"/>
  <c r="K5" i="15" s="1"/>
  <c r="J52" i="15"/>
  <c r="J54" i="15"/>
  <c r="J51" i="15" s="1"/>
  <c r="K49" i="15"/>
  <c r="K44" i="15"/>
  <c r="J11" i="15" l="1"/>
  <c r="K52" i="15"/>
  <c r="K54" i="15"/>
  <c r="L54" i="15" s="1"/>
  <c r="I4" i="15"/>
  <c r="L44" i="15"/>
  <c r="B7" i="20" l="1"/>
  <c r="L51" i="15"/>
  <c r="B8" i="20"/>
  <c r="I6" i="15"/>
  <c r="J4" i="15"/>
  <c r="S20" i="5" s="1"/>
  <c r="K51" i="15"/>
  <c r="B6" i="20"/>
  <c r="J6" i="15" l="1"/>
  <c r="K4" i="15"/>
  <c r="B5" i="20" l="1"/>
  <c r="L34" i="22" l="1"/>
  <c r="K34" i="22"/>
  <c r="G4" i="22"/>
  <c r="L37" i="22"/>
  <c r="L36" i="22"/>
  <c r="H4" i="22" l="1"/>
  <c r="K37" i="22"/>
  <c r="G7" i="22"/>
  <c r="H7" i="22" s="1"/>
  <c r="K36" i="22"/>
  <c r="G6" i="22"/>
  <c r="H6" i="22" s="1"/>
  <c r="K40" i="22"/>
  <c r="K47" i="22"/>
  <c r="K50" i="22" l="1"/>
  <c r="K43" i="22"/>
  <c r="L40" i="22"/>
  <c r="L47" i="22"/>
  <c r="K49" i="22"/>
  <c r="K42" i="22"/>
  <c r="L43" i="22" l="1"/>
  <c r="L50" i="22"/>
  <c r="J4" i="22"/>
  <c r="L35" i="22"/>
  <c r="M40" i="22"/>
  <c r="K35" i="22"/>
  <c r="G5" i="22"/>
  <c r="L49" i="22"/>
  <c r="L42" i="22"/>
  <c r="J7" i="22" l="1"/>
  <c r="K7" i="22" s="1"/>
  <c r="X23" i="5" s="1"/>
  <c r="M42" i="22"/>
  <c r="H5" i="22"/>
  <c r="G8" i="22"/>
  <c r="K4" i="22"/>
  <c r="X20" i="5" s="1"/>
  <c r="M43" i="22"/>
  <c r="J6" i="22"/>
  <c r="K6" i="22" s="1"/>
  <c r="K41" i="22"/>
  <c r="K48" i="22"/>
  <c r="C9" i="18"/>
  <c r="L7" i="22" l="1"/>
  <c r="C23" i="5"/>
  <c r="L4" i="22"/>
  <c r="C20" i="5"/>
  <c r="H8" i="22"/>
  <c r="K52" i="22"/>
  <c r="K54" i="22"/>
  <c r="K51" i="22" s="1"/>
  <c r="L41" i="22"/>
  <c r="L48" i="22"/>
  <c r="L6" i="22"/>
  <c r="X22" i="5"/>
  <c r="C22" i="5"/>
  <c r="J6" i="5" s="1"/>
  <c r="B16" i="20"/>
  <c r="B24" i="20" s="1"/>
  <c r="S27" i="5" l="1"/>
  <c r="J7" i="5"/>
  <c r="S28" i="5" s="1"/>
  <c r="C7" i="5"/>
  <c r="J5" i="22"/>
  <c r="L52" i="22"/>
  <c r="L54" i="22"/>
  <c r="M54" i="22" s="1"/>
  <c r="M41" i="22"/>
  <c r="B13" i="20"/>
  <c r="B21" i="20" s="1"/>
  <c r="C6" i="5"/>
  <c r="C4" i="5"/>
  <c r="B15" i="20"/>
  <c r="B23" i="20" s="1"/>
  <c r="S25" i="5" l="1"/>
  <c r="B29" i="20"/>
  <c r="B26" i="20"/>
  <c r="B28" i="20"/>
  <c r="M51" i="22"/>
  <c r="L51" i="22"/>
  <c r="J8" i="22"/>
  <c r="K5" i="22"/>
  <c r="L5" i="22" l="1"/>
  <c r="X21" i="5"/>
  <c r="C21" i="5"/>
  <c r="K8" i="22"/>
  <c r="J5" i="5" l="1"/>
  <c r="C5" i="5"/>
  <c r="B14" i="20"/>
  <c r="B22" i="20" s="1"/>
  <c r="S26" i="5" l="1"/>
  <c r="B27" i="20"/>
  <c r="B36" i="8" l="1"/>
  <c r="C31" i="8" l="1"/>
  <c r="C36" i="8"/>
  <c r="D36" i="8" l="1"/>
  <c r="D31" i="8"/>
  <c r="F33" i="8" l="1"/>
  <c r="F12" i="8"/>
  <c r="F34" i="8"/>
  <c r="E36" i="8"/>
  <c r="I26" i="23" l="1"/>
  <c r="H26" i="23"/>
  <c r="G26" i="23"/>
  <c r="K26" i="23"/>
  <c r="J26" i="23"/>
  <c r="G25" i="23"/>
  <c r="H25" i="23"/>
  <c r="I25" i="23"/>
  <c r="K25" i="23"/>
  <c r="J25" i="23"/>
  <c r="F26" i="23"/>
  <c r="F34" i="23" s="1"/>
  <c r="G34" i="8"/>
  <c r="G12" i="8" s="1"/>
  <c r="E26" i="23"/>
  <c r="E34" i="23" s="1"/>
  <c r="D26" i="23"/>
  <c r="D34" i="23" s="1"/>
  <c r="F25" i="23"/>
  <c r="F33" i="23" s="1"/>
  <c r="E25" i="23"/>
  <c r="E33" i="23" s="1"/>
  <c r="G33" i="8"/>
  <c r="G11" i="8" s="1"/>
  <c r="D25" i="23"/>
  <c r="D33" i="23" s="1"/>
  <c r="F13" i="8"/>
  <c r="F35" i="8"/>
  <c r="F11" i="8"/>
  <c r="K27" i="23" l="1"/>
  <c r="G27" i="23"/>
  <c r="J27" i="23"/>
  <c r="H27" i="23"/>
  <c r="I27" i="23"/>
  <c r="D27" i="23"/>
  <c r="D35" i="23" s="1"/>
  <c r="E27" i="23"/>
  <c r="E35" i="23" s="1"/>
  <c r="G35" i="8"/>
  <c r="G13" i="8" s="1"/>
  <c r="F27" i="23"/>
  <c r="F35" i="23" s="1"/>
  <c r="E14" i="5"/>
  <c r="E13" i="5"/>
  <c r="D40" i="23"/>
  <c r="D47" i="23"/>
  <c r="D39" i="23"/>
  <c r="D46" i="23"/>
  <c r="I33" i="23"/>
  <c r="H33" i="23"/>
  <c r="K33" i="23"/>
  <c r="J33" i="23"/>
  <c r="K34" i="23"/>
  <c r="G34" i="23"/>
  <c r="H34" i="23"/>
  <c r="I34" i="23"/>
  <c r="G33" i="23"/>
  <c r="F14" i="8"/>
  <c r="F36" i="8"/>
  <c r="U13" i="5" l="1"/>
  <c r="E15" i="5"/>
  <c r="D41" i="23"/>
  <c r="D48" i="23"/>
  <c r="E39" i="23"/>
  <c r="E46" i="23"/>
  <c r="E47" i="23"/>
  <c r="E40" i="23"/>
  <c r="U14" i="5"/>
  <c r="K35" i="23"/>
  <c r="H35" i="23"/>
  <c r="G35" i="23"/>
  <c r="I35" i="23"/>
  <c r="G36" i="8"/>
  <c r="J34" i="23"/>
  <c r="U15" i="5"/>
  <c r="G14" i="8"/>
  <c r="F47" i="23" l="1"/>
  <c r="F40" i="23"/>
  <c r="F39" i="23"/>
  <c r="F46" i="23"/>
  <c r="E48" i="23"/>
  <c r="E41" i="23"/>
  <c r="J35" i="23"/>
  <c r="E5" i="23"/>
  <c r="F5" i="23" s="1"/>
  <c r="E31" i="8"/>
  <c r="F29" i="8"/>
  <c r="F8" i="8"/>
  <c r="F30" i="8"/>
  <c r="H24" i="23" l="1"/>
  <c r="G24" i="23"/>
  <c r="K24" i="23"/>
  <c r="I24" i="23"/>
  <c r="J24" i="23"/>
  <c r="E24" i="23"/>
  <c r="G29" i="8"/>
  <c r="G7" i="8" s="1"/>
  <c r="D24" i="23"/>
  <c r="F24" i="23"/>
  <c r="G30" i="8"/>
  <c r="G8" i="8" s="1"/>
  <c r="G39" i="23"/>
  <c r="G46" i="23"/>
  <c r="G40" i="23"/>
  <c r="G47" i="23"/>
  <c r="F41" i="23"/>
  <c r="F48" i="23"/>
  <c r="F31" i="8"/>
  <c r="F7" i="8"/>
  <c r="F9" i="8" s="1"/>
  <c r="E12" i="5" l="1"/>
  <c r="E15" i="23"/>
  <c r="E32" i="23"/>
  <c r="G48" i="23"/>
  <c r="G41" i="23"/>
  <c r="H15" i="23"/>
  <c r="D32" i="23"/>
  <c r="D15" i="23"/>
  <c r="H47" i="23"/>
  <c r="H40" i="23"/>
  <c r="K15" i="23"/>
  <c r="F32" i="23"/>
  <c r="F15" i="23"/>
  <c r="J15" i="23"/>
  <c r="I32" i="23"/>
  <c r="H46" i="23"/>
  <c r="H39" i="23"/>
  <c r="G15" i="23"/>
  <c r="G32" i="23"/>
  <c r="G31" i="8"/>
  <c r="U12" i="5" l="1"/>
  <c r="J32" i="23"/>
  <c r="H41" i="23"/>
  <c r="H48" i="23"/>
  <c r="H32" i="23"/>
  <c r="I15" i="23"/>
  <c r="E4" i="23"/>
  <c r="E6" i="23" s="1"/>
  <c r="I39" i="23"/>
  <c r="I46" i="23"/>
  <c r="D38" i="23"/>
  <c r="D45" i="23"/>
  <c r="D50" i="23" s="1"/>
  <c r="K32" i="23"/>
  <c r="I40" i="23"/>
  <c r="I47" i="23"/>
  <c r="G9" i="8"/>
  <c r="J39" i="23" l="1"/>
  <c r="J46" i="23"/>
  <c r="F4" i="23"/>
  <c r="F6" i="23" s="1"/>
  <c r="J40" i="23"/>
  <c r="J47" i="23"/>
  <c r="D52" i="23"/>
  <c r="D49" i="23" s="1"/>
  <c r="E45" i="23"/>
  <c r="E38" i="23"/>
  <c r="I48" i="23"/>
  <c r="I41" i="23"/>
  <c r="F45" i="23" l="1"/>
  <c r="F38" i="23"/>
  <c r="E50" i="23"/>
  <c r="E52" i="23"/>
  <c r="E49" i="23" s="1"/>
  <c r="K47" i="23"/>
  <c r="K40" i="23"/>
  <c r="J41" i="23"/>
  <c r="J48" i="23"/>
  <c r="K39" i="23"/>
  <c r="K46" i="23"/>
  <c r="K41" i="23" l="1"/>
  <c r="K48" i="23"/>
  <c r="H5" i="23" s="1"/>
  <c r="I5" i="23" s="1"/>
  <c r="G45" i="23"/>
  <c r="G38" i="23"/>
  <c r="L40" i="23"/>
  <c r="L47" i="23"/>
  <c r="L39" i="23"/>
  <c r="L46" i="23"/>
  <c r="F50" i="23"/>
  <c r="F52" i="23"/>
  <c r="F49" i="23" s="1"/>
  <c r="E38" i="24"/>
  <c r="E37" i="24"/>
  <c r="H38" i="23" l="1"/>
  <c r="H45" i="23"/>
  <c r="G50" i="23"/>
  <c r="G52" i="23"/>
  <c r="G49" i="23" s="1"/>
  <c r="I8" i="23"/>
  <c r="U21" i="5" s="1"/>
  <c r="I10" i="23"/>
  <c r="U23" i="5" s="1"/>
  <c r="I9" i="23"/>
  <c r="U22" i="5" s="1"/>
  <c r="L41" i="23"/>
  <c r="J5" i="23" s="1"/>
  <c r="L48" i="23"/>
  <c r="D37" i="24"/>
  <c r="D43" i="24" s="1"/>
  <c r="D35" i="24"/>
  <c r="D41" i="24" s="1"/>
  <c r="F38" i="24"/>
  <c r="F37" i="24"/>
  <c r="E21" i="5" l="1"/>
  <c r="E22" i="5"/>
  <c r="E23" i="5"/>
  <c r="I11" i="23"/>
  <c r="H50" i="23"/>
  <c r="H52" i="23"/>
  <c r="H49" i="23" s="1"/>
  <c r="I45" i="23"/>
  <c r="I38" i="23"/>
  <c r="E35" i="24"/>
  <c r="E41" i="24" s="1"/>
  <c r="D38" i="24"/>
  <c r="D44" i="24" s="1"/>
  <c r="E43" i="24"/>
  <c r="E50" i="24"/>
  <c r="F35" i="24"/>
  <c r="G37" i="24"/>
  <c r="E36" i="24"/>
  <c r="G38" i="24"/>
  <c r="D8" i="20" l="1"/>
  <c r="L7" i="5"/>
  <c r="U28" i="5" s="1"/>
  <c r="E7" i="5"/>
  <c r="D6" i="20"/>
  <c r="J38" i="23"/>
  <c r="J45" i="23"/>
  <c r="L5" i="5"/>
  <c r="U26" i="5" s="1"/>
  <c r="E5" i="5"/>
  <c r="D7" i="20"/>
  <c r="I50" i="23"/>
  <c r="I52" i="23"/>
  <c r="I49" i="23" s="1"/>
  <c r="E6" i="5"/>
  <c r="L6" i="5"/>
  <c r="U27" i="5" s="1"/>
  <c r="E48" i="24"/>
  <c r="F48" i="24" s="1"/>
  <c r="E12" i="24"/>
  <c r="E44" i="24"/>
  <c r="E51" i="24"/>
  <c r="D36" i="24"/>
  <c r="D42" i="24" s="1"/>
  <c r="D55" i="24"/>
  <c r="G35" i="24"/>
  <c r="F50" i="24"/>
  <c r="F43" i="24"/>
  <c r="H37" i="24"/>
  <c r="H38" i="24"/>
  <c r="F6" i="20" l="1"/>
  <c r="D22" i="20"/>
  <c r="D27" i="20" s="1"/>
  <c r="D23" i="20"/>
  <c r="D28" i="20" s="1"/>
  <c r="F7" i="20"/>
  <c r="K45" i="23"/>
  <c r="H4" i="23" s="1"/>
  <c r="K38" i="23"/>
  <c r="F8" i="20"/>
  <c r="D24" i="20"/>
  <c r="D29" i="20" s="1"/>
  <c r="J50" i="23"/>
  <c r="J52" i="23"/>
  <c r="J49" i="23" s="1"/>
  <c r="F44" i="24"/>
  <c r="F41" i="24"/>
  <c r="G48" i="24" s="1"/>
  <c r="F36" i="24"/>
  <c r="F12" i="24"/>
  <c r="G50" i="24"/>
  <c r="G43" i="24"/>
  <c r="F51" i="24"/>
  <c r="E42" i="24"/>
  <c r="E49" i="24"/>
  <c r="E53" i="24" s="1"/>
  <c r="I38" i="24"/>
  <c r="I4" i="23" l="1"/>
  <c r="E20" i="5" s="1"/>
  <c r="H6" i="23"/>
  <c r="L38" i="23"/>
  <c r="L45" i="23"/>
  <c r="K52" i="23"/>
  <c r="K49" i="23" s="1"/>
  <c r="K50" i="23"/>
  <c r="G44" i="24"/>
  <c r="G41" i="24"/>
  <c r="G51" i="24"/>
  <c r="I35" i="24"/>
  <c r="H35" i="24"/>
  <c r="F49" i="24"/>
  <c r="F53" i="24" s="1"/>
  <c r="F42" i="24"/>
  <c r="G36" i="24"/>
  <c r="G12" i="24"/>
  <c r="H43" i="24"/>
  <c r="H50" i="24"/>
  <c r="E55" i="24"/>
  <c r="E52" i="24" s="1"/>
  <c r="J38" i="24"/>
  <c r="J37" i="24"/>
  <c r="H36" i="24"/>
  <c r="L50" i="23" l="1"/>
  <c r="L52" i="23"/>
  <c r="L49" i="23" s="1"/>
  <c r="J4" i="23"/>
  <c r="I6" i="23"/>
  <c r="U20" i="5"/>
  <c r="H48" i="24"/>
  <c r="H51" i="24"/>
  <c r="H44" i="24"/>
  <c r="H41" i="24"/>
  <c r="J35" i="24"/>
  <c r="H12" i="24"/>
  <c r="G42" i="24"/>
  <c r="G49" i="24"/>
  <c r="G53" i="24" s="1"/>
  <c r="I37" i="24"/>
  <c r="I43" i="24" s="1"/>
  <c r="F55" i="24"/>
  <c r="F52" i="24" s="1"/>
  <c r="D5" i="20" l="1"/>
  <c r="L4" i="5"/>
  <c r="U25" i="5" s="1"/>
  <c r="E4" i="5"/>
  <c r="I44" i="24"/>
  <c r="I51" i="24"/>
  <c r="I48" i="24"/>
  <c r="I41" i="24"/>
  <c r="H42" i="24"/>
  <c r="H49" i="24"/>
  <c r="H53" i="24" s="1"/>
  <c r="G55" i="24"/>
  <c r="G52" i="24" s="1"/>
  <c r="I36" i="24"/>
  <c r="I12" i="24"/>
  <c r="I50" i="24"/>
  <c r="J43" i="24" s="1"/>
  <c r="D21" i="20" l="1"/>
  <c r="D26" i="20" s="1"/>
  <c r="F5" i="20"/>
  <c r="J51" i="24"/>
  <c r="J44" i="24"/>
  <c r="J48" i="24"/>
  <c r="J41" i="24"/>
  <c r="J36" i="24"/>
  <c r="J12" i="24"/>
  <c r="H55" i="24"/>
  <c r="H52" i="24" s="1"/>
  <c r="I49" i="24"/>
  <c r="I53" i="24" s="1"/>
  <c r="I42" i="24"/>
  <c r="J50" i="24"/>
  <c r="I55" i="24" l="1"/>
  <c r="I52" i="24" s="1"/>
  <c r="J49" i="24"/>
  <c r="J53" i="24" s="1"/>
  <c r="J42" i="24"/>
  <c r="J55" i="24" l="1"/>
  <c r="J52" i="24" s="1"/>
  <c r="E10" i="19" l="1"/>
  <c r="K35" i="24" l="1"/>
  <c r="N21" i="24"/>
  <c r="F4" i="24" s="1"/>
  <c r="G4" i="24"/>
  <c r="H4" i="24" l="1"/>
  <c r="L35" i="24"/>
  <c r="K41" i="24"/>
  <c r="K48" i="24"/>
  <c r="L48" i="24" l="1"/>
  <c r="L41" i="24"/>
  <c r="M48" i="24" l="1"/>
  <c r="M41" i="24"/>
  <c r="J4" i="24"/>
  <c r="K4" i="24" l="1"/>
  <c r="Y20" i="5" l="1"/>
  <c r="L4" i="24"/>
  <c r="D20" i="5"/>
  <c r="C6" i="19" l="1"/>
  <c r="Y12" i="5" s="1"/>
  <c r="D12" i="5" l="1"/>
  <c r="D4" i="5" l="1"/>
  <c r="H4" i="5" s="1"/>
  <c r="K4" i="5"/>
  <c r="T25" i="5" s="1"/>
  <c r="C13" i="20"/>
  <c r="AB12" i="5"/>
  <c r="F13" i="20" l="1"/>
  <c r="C21" i="20"/>
  <c r="N4" i="5"/>
  <c r="F21" i="20" l="1"/>
  <c r="G21" i="20" s="1"/>
  <c r="C26" i="20"/>
  <c r="N22" i="24" l="1"/>
  <c r="F5" i="24" s="1"/>
  <c r="K12" i="24" l="1"/>
  <c r="N23" i="24"/>
  <c r="F6" i="24" s="1"/>
  <c r="K36" i="24"/>
  <c r="N24" i="24"/>
  <c r="F7" i="24" s="1"/>
  <c r="K38" i="24"/>
  <c r="C8" i="19"/>
  <c r="Y14" i="5" s="1"/>
  <c r="D14" i="5" l="1"/>
  <c r="K49" i="24"/>
  <c r="K42" i="24"/>
  <c r="K44" i="24"/>
  <c r="K51" i="24"/>
  <c r="F8" i="24"/>
  <c r="K37" i="24"/>
  <c r="K50" i="24" l="1"/>
  <c r="K43" i="24"/>
  <c r="L38" i="24"/>
  <c r="L44" i="24" s="1"/>
  <c r="G7" i="24"/>
  <c r="H7" i="24" s="1"/>
  <c r="L36" i="24"/>
  <c r="L42" i="24" s="1"/>
  <c r="G5" i="24"/>
  <c r="C9" i="19"/>
  <c r="Y15" i="5" s="1"/>
  <c r="L49" i="24" l="1"/>
  <c r="J5" i="24" s="1"/>
  <c r="D15" i="5"/>
  <c r="M42" i="24"/>
  <c r="H5" i="24"/>
  <c r="L37" i="24"/>
  <c r="L50" i="24" s="1"/>
  <c r="G6" i="24"/>
  <c r="H6" i="24" s="1"/>
  <c r="L12" i="24"/>
  <c r="K55" i="24"/>
  <c r="K52" i="24" s="1"/>
  <c r="L51" i="24"/>
  <c r="K53" i="24"/>
  <c r="H8" i="24" l="1"/>
  <c r="G8" i="24"/>
  <c r="J6" i="24"/>
  <c r="K6" i="24" s="1"/>
  <c r="L53" i="24"/>
  <c r="J7" i="24"/>
  <c r="K7" i="24" s="1"/>
  <c r="K5" i="24"/>
  <c r="L55" i="24"/>
  <c r="L43" i="24"/>
  <c r="M43" i="24" s="1"/>
  <c r="M44" i="24"/>
  <c r="M51" i="24"/>
  <c r="M53" i="24" s="1"/>
  <c r="J8" i="24" l="1"/>
  <c r="Y22" i="5"/>
  <c r="L6" i="24"/>
  <c r="D22" i="5"/>
  <c r="D21" i="5"/>
  <c r="Y21" i="5"/>
  <c r="K8" i="24"/>
  <c r="L5" i="24"/>
  <c r="Y23" i="5"/>
  <c r="D23" i="5"/>
  <c r="L7" i="24"/>
  <c r="L52" i="24"/>
  <c r="M55" i="24"/>
  <c r="M52" i="24" s="1"/>
  <c r="B10" i="19" l="1"/>
  <c r="D6" i="5"/>
  <c r="K6" i="5"/>
  <c r="T27" i="5" s="1"/>
  <c r="K7" i="5"/>
  <c r="T28" i="5" s="1"/>
  <c r="D7" i="5"/>
  <c r="C16" i="20"/>
  <c r="AB15" i="5"/>
  <c r="AB14" i="5"/>
  <c r="C15" i="20"/>
  <c r="F15" i="20" l="1"/>
  <c r="C23" i="20"/>
  <c r="H7" i="5"/>
  <c r="H6" i="5"/>
  <c r="F16" i="20"/>
  <c r="C24" i="20"/>
  <c r="N6" i="5" l="1"/>
  <c r="C29" i="20"/>
  <c r="F24" i="20"/>
  <c r="G24" i="20" s="1"/>
  <c r="N7" i="5"/>
  <c r="C28" i="20"/>
  <c r="F23" i="20"/>
  <c r="G23" i="20" s="1"/>
  <c r="C7" i="19" l="1"/>
  <c r="D10" i="19"/>
  <c r="Y13" i="5" l="1"/>
  <c r="D13" i="5"/>
  <c r="C10" i="19"/>
  <c r="D5" i="5" l="1"/>
  <c r="K5" i="5"/>
  <c r="T26" i="5" s="1"/>
  <c r="C14" i="20"/>
  <c r="AB13" i="5"/>
  <c r="C22" i="20" l="1"/>
  <c r="F14" i="20"/>
  <c r="H5" i="5"/>
  <c r="N5" i="5" l="1"/>
  <c r="F22" i="20"/>
  <c r="G22" i="20" s="1"/>
  <c r="C27" i="20"/>
</calcChain>
</file>

<file path=xl/sharedStrings.xml><?xml version="1.0" encoding="utf-8"?>
<sst xmlns="http://schemas.openxmlformats.org/spreadsheetml/2006/main" count="785" uniqueCount="231">
  <si>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</si>
  <si>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</si>
  <si>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</si>
  <si>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</si>
  <si>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</si>
  <si>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</si>
  <si>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</si>
  <si>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</si>
  <si>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</si>
  <si>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</si>
  <si>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</si>
  <si>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</si>
  <si>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</si>
  <si>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</si>
  <si>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</si>
  <si>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</si>
  <si>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</si>
  <si>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</si>
  <si>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</si>
  <si>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</si>
  <si>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</si>
  <si>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</si>
  <si>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</si>
  <si>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</si>
  <si>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</si>
  <si>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</si>
  <si>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</si>
  <si>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</si>
  <si>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</si>
  <si>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</si>
  <si>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</si>
  <si>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</si>
  <si>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</si>
  <si>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</si>
  <si>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</si>
  <si>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</si>
  <si>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</si>
  <si>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</si>
  <si>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</si>
  <si>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</si>
  <si>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</si>
  <si>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</si>
  <si>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</si>
  <si>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</si>
  <si>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</si>
  <si>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</si>
  <si>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</si>
  <si>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</si>
  <si>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</si>
  <si>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</si>
  <si>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</si>
  <si>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</si>
  <si>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</si>
  <si>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</si>
  <si>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</si>
  <si>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</si>
  <si>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</si>
  <si>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</si>
  <si>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</si>
  <si>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</si>
  <si>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</si>
  <si>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</si>
  <si>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</si>
  <si>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</si>
  <si>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</si>
  <si>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</si>
  <si>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</si>
  <si>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</si>
  <si>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</si>
  <si>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</si>
  <si>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</si>
  <si>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</si>
  <si>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</si>
  <si>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</si>
  <si>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</si>
  <si>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</si>
  <si>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</si>
  <si>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</si>
  <si>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</si>
  <si>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</si>
  <si>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</si>
  <si>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</si>
  <si>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</si>
  <si>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</si>
  <si>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</si>
  <si>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</si>
  <si>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</si>
  <si>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</si>
  <si>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</si>
  <si>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</si>
  <si>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</si>
  <si>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</si>
  <si>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</si>
  <si>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</si>
  <si>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</si>
  <si>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</si>
  <si>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</si>
  <si>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</si>
  <si>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</si>
  <si>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</si>
  <si>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</si>
  <si>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</si>
  <si>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</si>
  <si>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</si>
  <si>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</si>
  <si>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</si>
  <si>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</si>
  <si>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</si>
  <si>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</si>
  <si>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</si>
  <si>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</si>
  <si>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</si>
  <si>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</si>
  <si>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</si>
  <si>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</si>
  <si>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</si>
  <si>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</si>
  <si>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</si>
  <si>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</si>
  <si>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</si>
  <si>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</si>
  <si>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</si>
  <si>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</si>
  <si>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</si>
  <si>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</si>
  <si>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</si>
  <si>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</si>
  <si>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</si>
  <si>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</si>
  <si>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</si>
  <si>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</si>
  <si>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</si>
  <si>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</si>
  <si>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</si>
  <si>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</si>
  <si>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</si>
  <si>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</si>
  <si>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</si>
  <si>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</si>
  <si>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</si>
  <si>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</si>
  <si>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</si>
  <si>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</si>
  <si>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</si>
  <si>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</si>
  <si>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</si>
  <si>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</si>
  <si>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</si>
  <si>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</si>
  <si>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</si>
  <si>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</si>
  <si>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</si>
  <si>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</si>
  <si>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LGS</t>
  </si>
  <si>
    <t>LPS</t>
  </si>
  <si>
    <t>7. Cycle 2 kWh Participation - Source: None</t>
  </si>
  <si>
    <t>Cycle 2 - Total</t>
  </si>
  <si>
    <t>1. Total Earnings Opportunity - Source: Missouri West EO Calculation PY1-PY3 v2.xlsx, Missouri West EO Calculation PY4.xlsx</t>
  </si>
  <si>
    <t>5. Total Earnings Opportunity plus Carrying Costs - Source: Sum of Columns 1. through 4.</t>
  </si>
  <si>
    <t>1.  Actual monthly EO - Source: Sum of Line 3.
    Forecasted monthly EO - Source: Sum of Line 3.</t>
  </si>
  <si>
    <t>3. Actual/Forecasted EO Amortization - Source:  EO Cycle 2 tab column G divided by remaining months on EO Cycle 2 tab line 6.</t>
  </si>
  <si>
    <t>Cycle 3 Earnings Opportunity (EO) Calculation</t>
  </si>
  <si>
    <t>Cycle 3 - Total</t>
  </si>
  <si>
    <t>6. Amortization Over 12 Month Recovery Period</t>
  </si>
  <si>
    <t>Cycle 3 - EO TD Adjustments ??</t>
  </si>
  <si>
    <t>2. EO TD Ex Post Gross Adjustment -  Source: Missouri West Cycle 3 PY1 EO TD Adj Calc.xlsx</t>
  </si>
  <si>
    <t>1. Total Earnings Opportunity - Source: Missouri West EO Calculated Cycle 3 PY1.xlsx</t>
  </si>
  <si>
    <t>3. EO TD NTG Adjustment -  Source: Missouri West Cycle 3 PY1 EO TD Adj Calc.xlsx</t>
  </si>
  <si>
    <t>4. Carrying Costs @ AFUDC Rate -  Source: Missouri West Cycle 3 PY1 EO TD Adj Calc.xlsx</t>
  </si>
  <si>
    <t>1. Actual monthly program costs by allocation bucket Residential, Non-Residential, Income-Eligible, Common/General) - Source: None
    Forecasted monthly program costs by allocation bucket - Source: None</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</si>
  <si>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</si>
  <si>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</si>
  <si>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</si>
  <si>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</si>
  <si>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</si>
  <si>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</si>
  <si>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</si>
  <si>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2. Actual monthly billed revenues by Residential/Non-Residential (program cost revenues only) - Source: None
Forecasted monthly billed revenues by Residential/Non-Residential (program cost revenues only) - Source: calculated = Forecasted billed kWh sales X tariff rate</t>
  </si>
  <si>
    <t>4. Total monthly interest - Source: None</t>
  </si>
  <si>
    <t>2. Forecasted program costs by customer class - Source: sum of 3. and 4.</t>
  </si>
  <si>
    <t>4. Forecasted program costs by customer class - Source: Evergy MC3 Extension Appendix A settlement.xlsx</t>
  </si>
  <si>
    <t>3. Actual monthly billed revenues by Residential/Non-Residential (program cost revenues only) - Missouri West MEEIA 2022 Revenue Analysis.xlsx
    Forecasted monthly billed revenues by Residential/Non-Residential (program cost revenues only) - Source: calculated = Forecasted billed kWh sales X tariff rate</t>
  </si>
  <si>
    <t>2. Forecasted Throughput Disincentive -Sum of 3. and 4.</t>
  </si>
  <si>
    <t>4. Forecasted Throughput Disincentive - Source: MO West Cycle 3 Monthly TD Calc Extension 835 NTG.xlsx</t>
  </si>
  <si>
    <t>2. Actual monthly billed revenues by Residential/Non-Residential (TD revenues only) - Missouri West MEEIA 2022 Revenue Analysis.xlsx
Forecasted monthly billed revenues by Residential/Non-Residential (TD revenues only) - Source: calculated = Forecasted billed kWh sales X tariff rate</t>
  </si>
  <si>
    <t>2. Actual monthly billed revenues by Residential/Non-Residential (EO revenues only) - Missouri West MEEIA 2022 Revenue Analysis.xlsx
Forecasted monthly billed revenues by Residential/Non-Residential (EO revenues only) - Source: calculated = Forecasted billed kWh sales X tariff rate</t>
  </si>
  <si>
    <t>1. Ordered Adjustment - Source: Missouri West Cycle 2 OA Carrying Costs.xlsx</t>
  </si>
  <si>
    <t>2. Carrying Costs on OA - Source: Missouri West Cycle 2 OA Carrying Costs.xlsx</t>
  </si>
  <si>
    <t>1. &amp; 3. Actual monthly Ordered Adjustments - Source: None</t>
  </si>
  <si>
    <t>Cycle 3 - Program Year 1 EO TD Adjustments November 2021 - April 2022 (Amortize August 2022 - July 2023)</t>
  </si>
  <si>
    <t>Projections for Cycle 3 January 2023 - December 2023 DSIM</t>
  </si>
  <si>
    <t>3. Cycle 3 Forecast - January 2023 - December 2023</t>
  </si>
  <si>
    <t>4. Cycle 3 Extension - January 2023 - December 2023</t>
  </si>
  <si>
    <t>Cumulative Over/Under Carryover From 06/01/2022 Filing</t>
  </si>
  <si>
    <t>Reverse May 2022 - October 2022  Forecast From 06/01/2022 Filing</t>
  </si>
  <si>
    <t>Cycle 3 Ordered Adjustment (OA) Calculation</t>
  </si>
  <si>
    <t>1. Ordered Adjustment - Program Costs</t>
  </si>
  <si>
    <t>2. Ordered Adjustment - Throughput Disincentive</t>
  </si>
  <si>
    <t>3. Carrying Costs on OA</t>
  </si>
  <si>
    <t>Cycle 3 Ordered Adjustments Reconciliation (OAR) Calculation</t>
  </si>
  <si>
    <t>1. Forecasted Residential/Non-Residential kWh savings  - Source: None, TD reset effective December 2022</t>
  </si>
  <si>
    <t>2. Forecasted Throughput Disincentive - Source: None, TD reset effective December 2022</t>
  </si>
  <si>
    <t>5. Monthly Short-Term Borrowing Rate - Source: Missouri West Short-Term Borrowing Rate May 2022 - October 2022.xlsx</t>
  </si>
  <si>
    <t>6. Monthly Short-Term Borrowing Rate - Source: Missouri West Short-Term Borrowing Rate May 2022 - October 2022.xlsx</t>
  </si>
  <si>
    <t>1. Forecasted kWh by Residential/Non-Residential (Reduced for Opt-Out) - Source: Billed kWh Budget Missouri West 2023-2024.xlsx</t>
  </si>
  <si>
    <t>2. Actual monthly kWh billed sales by Residential/Non-Residential (reduced for opt-out) - Source: Missouri West MEEIA 2022 Revenue Analysis.xlsx
    Forecasted monthly kWh billed sales by Residential/Non-Residential (reduced for opt-out) - Source: Billed kWh Budget Missouri West 2023-2024.xlsx</t>
  </si>
  <si>
    <t>Cycle 3 - Program Year 1 EO TD Adjustments May 2022 - November 2022 (Amortize February 2023 - January 2024)</t>
  </si>
  <si>
    <t>Cycle 3 - Program Year 2 (including EO TD Adjustments through October 2022) (Amortize February 2023-January 2024)</t>
  </si>
  <si>
    <t>1. Ordered Adjustment - Program Costs - Source: Missouri West Cycle 3 OA Carrying Costs.xlsx</t>
  </si>
  <si>
    <t>2. Ordered Adjustment - Throughput Disincentive - Source: Missouri West Cycle 3 OA Carrying Costs.xlsx</t>
  </si>
  <si>
    <t>3. Carrying Costs on OA - Source: Missouri West Cycle 3 OA Carrying Costs.xlsx</t>
  </si>
  <si>
    <t>Allocation</t>
  </si>
  <si>
    <t>3. Forecasted program costs by customer class - Source: MEEIA Cycle 3 Forecast MO West 102022 11152022.xlsx</t>
  </si>
  <si>
    <t>7. Cycle 2 kWh Participation - Source: Missouri West Cycle 2 Monthly TD Calc 102022 11062022.xlsx</t>
  </si>
  <si>
    <t>1. Actual monthly program costs by allocation bucket Residential, Non-Residential, Income-Eligible, Common/General) - Source: 05 2022 MO West Spend Allocations Worksheet.xlsx, 06 2022 MO West Spend Allocations Worksheet.xlsx, 07 2022 MO West Spend Allocations Worksheet.xlsx, 08 2022 MO West Spend Allocations Worksheet.xlsx, 09 2022 MO West Spend Allocations Worksheet.xlsx, 10 2022 MO West Spend Allocations Worksheet.xlsx
    Forecasted monthly program costs by allocation bucket - Source: MEEIA Cycle 3 Forecast MO West 102022 11152022.xlsx</t>
  </si>
  <si>
    <t>1. Forecasted Residential/Non-Residential kWh savings  - Source: MEEIA Cycle 3 Forecast MO West 102022 11152022.xlsx, MO West Cycle 3 Monthly TD Calc Extension 835 NTG.xlsx</t>
  </si>
  <si>
    <t>3. Forecasted Throughput Disincentive - Source: MEEIA Cycle 3 Forecast MO West 102022 11152022.xlsx</t>
  </si>
  <si>
    <t>1. &amp; 4. Actual monthly TD - Source: Missouri West Cycle 2 Monthly TD Calc 102022 11062022.xlsx
    Forecasted monthly TD - Source: Missouri West Cycle 2 Monthly TD Calc 102022 11062022.xlsx</t>
  </si>
  <si>
    <t>3. Actual kWh Sales Impact - Source:  Missouri West Cycle 2 Monthly TD Calc 102022 11152022.xlsx
    Forecasted kWh Sales Impact - Source: Missouri West Cycle 2 Monthly TD Calc 102022 11152022.xlsx</t>
  </si>
  <si>
    <t>8. Cycle 2 kWh Participation - Source: Missouri West Cycle 2 Monthly TD Calc 102022 11152022.xlsx</t>
  </si>
  <si>
    <t>1. &amp; 4. Actual monthly TD - Source: Missouri West Cycle 3 TD Calc 102022 11092022.xlsx
    Forecasted monthly TD - Source: MEEIA Cycle 3 Forecast MO West 102022 11152022.xlsx</t>
  </si>
  <si>
    <t>3. Actual monthly TD - Source: Missouri West Cycle 3 TD Calc 102022 11092022.xlsx
    Forecasted monthly TD - Source: MEEIA Cycle 3 Forecast MO West 102022 11152022.xlsx</t>
  </si>
  <si>
    <t>2. EO TD Ex Post Gross Adjustment -  Source: TD Model Missouri West PY1-3 102022.xlsx, TD Model Missouri West PY4 102022.xlsx</t>
  </si>
  <si>
    <t>3. EO TD NTG Adjustment -  Source: TD Model Missouri West PY1-3 102022.xlsx, TD Model Missouri West PY4 102022.xlsx</t>
  </si>
  <si>
    <t>4. Carrying Costs @ AFUDC Rate -  Source: TD Model Missouri West PY1-3 102022.xlsx, TD Model Missouri West PY4 102022.xlsx</t>
  </si>
  <si>
    <t>7. Cycle 2 kWh Participation - Source: Missouri West Cycle 2 Monthly TD Calc 102022 11152022.xlsx</t>
  </si>
  <si>
    <t>Cycle 2 - EO TD Adjustments Carrying Costs May 2022 - November 2022 (Amortize February 2023-January 2025)</t>
  </si>
  <si>
    <t>6. Amortization Over 24 Month Recovery Period - Source: Column 5  PY 1 - 3 divided by 24 times 0 months remaining recovery, PY 4 Column 5 divided by 24 times 1, EO TD Adjustments January - November 2022 Column 5 divided by 24 times 12, EO TD Adjustments Carrying Costs May - October 2022 Column 5 divided by 24 times 7, EO TD Adjustments Carrying Costs November 2021 - April 2022 Column 5 divided by 24 times 12, EO TD Adjustments Carrying Costs May 2022 - November 2022 Column 5 divided by 24 times 11</t>
  </si>
  <si>
    <t>6. Amortization Over 12 Month Recovery Period - Source: Column 5  PY 1 EO and EO TD Adjustments divided by 12 times 1 months in forecast period, Program Year 1 EO TD Adjustments November 2021 - April 2022 divided by 12 times 7 months in forecast period, Program Year 1 EO TD Adjustments May 2022 - November 2022 divided by 12 times 11 months in forecast period</t>
  </si>
  <si>
    <t>Amortization Over 12 Month Recovery Period</t>
  </si>
  <si>
    <t>Evergy Missouri West, Inc. - DSIM Rider Update Filed 12/02/2022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</si>
</sst>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_);_(&quot;$&quot;* \(#,##0.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25">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0" fontId="8" fillId="0" borderId="0" xfId="0" applyFont="1" applyFill="1" applyAlignment="1">
      <alignment horizontal="left" vertical="center" wrapText="1"/>
    </xf>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6" fontId="0" fillId="0" borderId="0" xfId="1" applyNumberFormat="1" applyFont="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41" fontId="5" fillId="5" borderId="80" xfId="6" applyNumberFormat="1" applyBorder="1"/>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70" fontId="38" fillId="0" borderId="0" xfId="0" applyNumberFormat="1" applyFont="1"/>
    <xf numFmtId="178"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170" fontId="40" fillId="0" borderId="5" xfId="0" applyNumberFormat="1" applyFont="1" applyFill="1" applyBorder="1" applyAlignment="1">
      <alignment vertical="center"/>
    </xf>
    <xf numFmtId="172" fontId="40" fillId="0" borderId="6" xfId="0" applyNumberFormat="1" applyFont="1" applyBorder="1" applyAlignment="1">
      <alignment horizontal="right"/>
    </xf>
    <xf numFmtId="170" fontId="36" fillId="0" borderId="3" xfId="0" applyNumberFormat="1" applyFont="1" applyFill="1" applyBorder="1" applyAlignment="1">
      <alignment vertical="center"/>
    </xf>
    <xf numFmtId="0" fontId="8" fillId="0" borderId="0" xfId="0" applyFont="1" applyFill="1" applyAlignment="1">
      <alignment horizontal="left" wrapText="1"/>
    </xf>
    <xf numFmtId="0" fontId="9" fillId="0" borderId="0" xfId="0" applyFont="1" applyAlignment="1">
      <alignment horizontal="center"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8" fillId="0" borderId="0" xfId="0" applyFont="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ustomXml" Target="../customXml/item1.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Billed%20kWh%20Budget%20Missouri%20West%202023-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08%202022%20MO%20West%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09%202022%20MO%20West%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10%202022%20MO%20West%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3%20Monthly%20TD%20Calc%20Extension%20835%20NTG.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3%20Monthly%20TD%20Calc%20102022%201109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EO%20Calculation%20PY1-PY3%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TD%20Model%20Missouri%20West%20PY1-3%2010202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EO%20Calculation%20PY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TD%20Model%20Missouri%20West%20PY4%201020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TD%20Model%20Missouri%20West%20PY1-3%20102022%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EEIA%20Cycle%203%20Forecast%20MO%20West%20102022%201115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TD%20Model%20Missouri%20West%20PY4%20102022%20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EO%20Calculated%20Cycle%203%20PY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3%20PY1%20EO%20TD%20Adj%20Cal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2%20OA%20Carrying%20Cost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3%20OA%20Carrying%20Costs%20Calcul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CorpAcctg\MEEIA\Metro%20MEEIA%20DSIM%20RIDER\20220601%20Filing\Evergy%20MC3%20Extension%20Appendix%20A%20settl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Cycle%202%20Monthly%20TD%20Calc%20102022%201106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MEEIA%202022%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Missouri%20West%20Short-Term%20Borrowing%20Rate%20May%202022%20-%20October%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05%202022%20MO%20West%20Spend%20Allocations%20Workshee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06%202022%20MO%20West%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CorpAcctg\MEEIA\Missouri%20West%20MEEIA%20DSIM%20Rider\20221201%20Filing\07%202022%20MO%20West%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5">
          <cell r="O25">
            <v>226677610</v>
          </cell>
          <cell r="P25">
            <v>315283024</v>
          </cell>
          <cell r="Q25">
            <v>397130985.75999999</v>
          </cell>
        </row>
        <row r="26">
          <cell r="O26">
            <v>89920050</v>
          </cell>
          <cell r="P26">
            <v>93068306</v>
          </cell>
          <cell r="Q26">
            <v>97586132</v>
          </cell>
        </row>
        <row r="27">
          <cell r="O27">
            <v>86303817</v>
          </cell>
          <cell r="P27">
            <v>89325463</v>
          </cell>
          <cell r="Q27">
            <v>93661600</v>
          </cell>
        </row>
        <row r="28">
          <cell r="O28">
            <v>63507935</v>
          </cell>
          <cell r="P28">
            <v>65731458</v>
          </cell>
          <cell r="Q28">
            <v>68922268</v>
          </cell>
        </row>
        <row r="34">
          <cell r="E34">
            <v>1749471871.9399998</v>
          </cell>
          <cell r="F34">
            <v>1897843243.9299998</v>
          </cell>
        </row>
        <row r="35">
          <cell r="E35">
            <v>562552356</v>
          </cell>
          <cell r="F35">
            <v>588499725</v>
          </cell>
        </row>
        <row r="36">
          <cell r="E36">
            <v>539928702</v>
          </cell>
          <cell r="F36">
            <v>564832569</v>
          </cell>
        </row>
        <row r="37">
          <cell r="E37">
            <v>397314489</v>
          </cell>
          <cell r="F37">
            <v>415640367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82022 09072022"/>
      <sheetName val="Input"/>
      <sheetName val="Program Descriptions"/>
    </sheetNames>
    <sheetDataSet>
      <sheetData sheetId="0">
        <row r="27">
          <cell r="N27">
            <v>840824.26</v>
          </cell>
          <cell r="O27">
            <v>164219.66000000003</v>
          </cell>
          <cell r="Q27">
            <v>588286.49</v>
          </cell>
          <cell r="R27">
            <v>72700.190000000192</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92022 10072022"/>
      <sheetName val="Input"/>
      <sheetName val="Program Descriptions"/>
    </sheetNames>
    <sheetDataSet>
      <sheetData sheetId="0">
        <row r="27">
          <cell r="N27">
            <v>716017.63</v>
          </cell>
          <cell r="O27">
            <v>102064.84</v>
          </cell>
          <cell r="Q27">
            <v>502293.86</v>
          </cell>
          <cell r="R27">
            <v>27568.279999999882</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02022 11042022"/>
      <sheetName val="Input"/>
      <sheetName val="Program Descriptions"/>
    </sheetNames>
    <sheetDataSet>
      <sheetData sheetId="0">
        <row r="27">
          <cell r="N27">
            <v>1051717.4099999999</v>
          </cell>
          <cell r="O27">
            <v>142346.63</v>
          </cell>
          <cell r="Q27">
            <v>508021.12</v>
          </cell>
          <cell r="R27">
            <v>45656.810000000063</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sheetData sheetId="1"/>
      <sheetData sheetId="2">
        <row r="460">
          <cell r="AO460">
            <v>278265.45507243171</v>
          </cell>
          <cell r="AP460">
            <v>352858.89009492623</v>
          </cell>
          <cell r="AQ460">
            <v>464712.96217243222</v>
          </cell>
          <cell r="AR460">
            <v>539967.12909082905</v>
          </cell>
          <cell r="AS460">
            <v>678568.53590171586</v>
          </cell>
          <cell r="AT460">
            <v>977347.28166846302</v>
          </cell>
          <cell r="AU460">
            <v>1597680.5240665989</v>
          </cell>
          <cell r="AV460">
            <v>1664025.0940078429</v>
          </cell>
          <cell r="AW460">
            <v>1116156.0480246895</v>
          </cell>
          <cell r="AX460">
            <v>1112503.7632638493</v>
          </cell>
          <cell r="AY460">
            <v>1154102.6847673093</v>
          </cell>
          <cell r="AZ460">
            <v>1244889.3899766051</v>
          </cell>
        </row>
        <row r="461">
          <cell r="AO461">
            <v>32750.453988949906</v>
          </cell>
          <cell r="AP461">
            <v>88828.333352063244</v>
          </cell>
          <cell r="AQ461">
            <v>164322.302754017</v>
          </cell>
          <cell r="AR461">
            <v>219178.57741021249</v>
          </cell>
          <cell r="AS461">
            <v>296071.75173977826</v>
          </cell>
          <cell r="AT461">
            <v>348172.37890362414</v>
          </cell>
          <cell r="AU461">
            <v>422656.41139869194</v>
          </cell>
          <cell r="AV461">
            <v>496670.33981498564</v>
          </cell>
          <cell r="AW461">
            <v>524438.43738566199</v>
          </cell>
          <cell r="AX461">
            <v>624690.27141096164</v>
          </cell>
          <cell r="AY461">
            <v>653065.83075312723</v>
          </cell>
          <cell r="AZ461">
            <v>716673.23236334033</v>
          </cell>
        </row>
        <row r="463">
          <cell r="AO463">
            <v>56451.491634870334</v>
          </cell>
          <cell r="AP463">
            <v>153105.92565628741</v>
          </cell>
          <cell r="AQ463">
            <v>282891.59145293589</v>
          </cell>
          <cell r="AR463">
            <v>377873.36356055114</v>
          </cell>
          <cell r="AS463">
            <v>509732.66694543534</v>
          </cell>
          <cell r="AT463">
            <v>598484.85640177992</v>
          </cell>
          <cell r="AU463">
            <v>726615.83995992597</v>
          </cell>
          <cell r="AV463">
            <v>853898.81323524297</v>
          </cell>
          <cell r="AW463">
            <v>902624.51301641122</v>
          </cell>
          <cell r="AX463">
            <v>1077152.3707134731</v>
          </cell>
          <cell r="AY463">
            <v>1126639.4817730517</v>
          </cell>
          <cell r="AZ463">
            <v>1237297.1700987325</v>
          </cell>
        </row>
        <row r="464">
          <cell r="AO464">
            <v>27317.280570754479</v>
          </cell>
          <cell r="AP464">
            <v>74080.897958315036</v>
          </cell>
          <cell r="AQ464">
            <v>136969.39310569467</v>
          </cell>
          <cell r="AR464">
            <v>182964.67205191933</v>
          </cell>
          <cell r="AS464">
            <v>246814.31530727143</v>
          </cell>
          <cell r="AT464">
            <v>290274.11998971936</v>
          </cell>
          <cell r="AU464">
            <v>352435.04742348456</v>
          </cell>
          <cell r="AV464">
            <v>414091.41834581533</v>
          </cell>
          <cell r="AW464">
            <v>437730.69234497775</v>
          </cell>
          <cell r="AX464">
            <v>521594.65451744554</v>
          </cell>
          <cell r="AY464">
            <v>545602.23522625654</v>
          </cell>
          <cell r="AZ464">
            <v>598816.55393370148</v>
          </cell>
        </row>
        <row r="562">
          <cell r="AO562">
            <v>10657.98</v>
          </cell>
          <cell r="AP562">
            <v>14381.239999999998</v>
          </cell>
          <cell r="AQ562">
            <v>19929.489999999998</v>
          </cell>
          <cell r="AR562">
            <v>23228.95</v>
          </cell>
          <cell r="AS562">
            <v>31746.869999999995</v>
          </cell>
          <cell r="AT562">
            <v>75487.86</v>
          </cell>
          <cell r="AU562">
            <v>125041.73999999999</v>
          </cell>
          <cell r="AV562">
            <v>130234.16000000002</v>
          </cell>
          <cell r="AW562">
            <v>86432.790000000008</v>
          </cell>
          <cell r="AX562">
            <v>50004.87</v>
          </cell>
          <cell r="AY562">
            <v>53021.440000000002</v>
          </cell>
          <cell r="AZ562">
            <v>52909.68</v>
          </cell>
        </row>
        <row r="563">
          <cell r="AO563">
            <v>1158.21</v>
          </cell>
          <cell r="AP563">
            <v>3162.9300000000003</v>
          </cell>
          <cell r="AQ563">
            <v>5900.5099999999993</v>
          </cell>
          <cell r="AR563">
            <v>8574.4700000000012</v>
          </cell>
          <cell r="AS563">
            <v>11740.570000000002</v>
          </cell>
          <cell r="AT563">
            <v>21820.940000000002</v>
          </cell>
          <cell r="AU563">
            <v>26045.56</v>
          </cell>
          <cell r="AV563">
            <v>30697.11</v>
          </cell>
          <cell r="AW563">
            <v>32576.560000000001</v>
          </cell>
          <cell r="AX563">
            <v>24531.14</v>
          </cell>
          <cell r="AY563">
            <v>25828.44</v>
          </cell>
          <cell r="AZ563">
            <v>25687.43</v>
          </cell>
        </row>
        <row r="565">
          <cell r="AO565">
            <v>1353.03</v>
          </cell>
          <cell r="AP565">
            <v>3879.6200000000003</v>
          </cell>
          <cell r="AQ565">
            <v>7238.12</v>
          </cell>
          <cell r="AR565">
            <v>9580.19</v>
          </cell>
          <cell r="AS565">
            <v>13616.620000000003</v>
          </cell>
          <cell r="AT565">
            <v>19013.809999999998</v>
          </cell>
          <cell r="AU565">
            <v>22284.1</v>
          </cell>
          <cell r="AV565">
            <v>26479.919999999998</v>
          </cell>
          <cell r="AW565">
            <v>28339.690000000002</v>
          </cell>
          <cell r="AX565">
            <v>27634.579999999998</v>
          </cell>
          <cell r="AY565">
            <v>29712.959999999999</v>
          </cell>
          <cell r="AZ565">
            <v>31118.069999999996</v>
          </cell>
        </row>
        <row r="566">
          <cell r="AO566">
            <v>302.94000000000005</v>
          </cell>
          <cell r="AP566">
            <v>812.2</v>
          </cell>
          <cell r="AQ566">
            <v>1524.67</v>
          </cell>
          <cell r="AR566">
            <v>1929.8700000000001</v>
          </cell>
          <cell r="AS566">
            <v>2733.03</v>
          </cell>
          <cell r="AT566">
            <v>4050.4199999999996</v>
          </cell>
          <cell r="AU566">
            <v>4890.7000000000007</v>
          </cell>
          <cell r="AV566">
            <v>5726.8600000000006</v>
          </cell>
          <cell r="AW566">
            <v>6175.04</v>
          </cell>
          <cell r="AX566">
            <v>5515.2900000000009</v>
          </cell>
          <cell r="AY566">
            <v>5827.13</v>
          </cell>
          <cell r="AZ566">
            <v>6731.1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460">
          <cell r="AG460">
            <v>8026377.2756715454</v>
          </cell>
          <cell r="AH460">
            <v>7646792.0236792583</v>
          </cell>
          <cell r="AI460">
            <v>9143783.3831370194</v>
          </cell>
          <cell r="AJ460">
            <v>7874355.3278410137</v>
          </cell>
          <cell r="AK460">
            <v>6692759.1104118004</v>
          </cell>
          <cell r="AL460">
            <v>7451724.8329568505</v>
          </cell>
        </row>
        <row r="461">
          <cell r="AG461">
            <v>1248615.4300899154</v>
          </cell>
          <cell r="AH461">
            <v>1232699.7958355902</v>
          </cell>
          <cell r="AI461">
            <v>1317794.1079470678</v>
          </cell>
          <cell r="AJ461">
            <v>1367006.3233401456</v>
          </cell>
          <cell r="AK461">
            <v>1278459.2018725718</v>
          </cell>
          <cell r="AL461">
            <v>1391774.0381549313</v>
          </cell>
        </row>
        <row r="463">
          <cell r="AG463">
            <v>2167706.3617175319</v>
          </cell>
          <cell r="AH463">
            <v>2105329.3808307657</v>
          </cell>
          <cell r="AI463">
            <v>2183817.4717358137</v>
          </cell>
          <cell r="AJ463">
            <v>2355496.3782926891</v>
          </cell>
          <cell r="AK463">
            <v>2421548.9069532542</v>
          </cell>
          <cell r="AL463">
            <v>2805431.0681680948</v>
          </cell>
        </row>
        <row r="464">
          <cell r="AG464">
            <v>1336212.1453938775</v>
          </cell>
          <cell r="AH464">
            <v>1525671.1100649403</v>
          </cell>
          <cell r="AI464">
            <v>1576427.9245366182</v>
          </cell>
          <cell r="AJ464">
            <v>1606544.8738100473</v>
          </cell>
          <cell r="AK464">
            <v>1501071.3382335389</v>
          </cell>
          <cell r="AL464">
            <v>1606600.5772200932</v>
          </cell>
        </row>
        <row r="562">
          <cell r="AG562">
            <v>307944.58999999997</v>
          </cell>
          <cell r="AH562">
            <v>499121.54999999993</v>
          </cell>
          <cell r="AI562">
            <v>624103.18000000005</v>
          </cell>
          <cell r="AJ562">
            <v>501470.76</v>
          </cell>
          <cell r="AK562">
            <v>390307.02</v>
          </cell>
          <cell r="AL562">
            <v>249398.11</v>
          </cell>
        </row>
        <row r="563">
          <cell r="AG563">
            <v>55043.810000000005</v>
          </cell>
          <cell r="AH563">
            <v>85960.37</v>
          </cell>
          <cell r="AI563">
            <v>90443.01</v>
          </cell>
          <cell r="AJ563">
            <v>94116.87999999999</v>
          </cell>
          <cell r="AK563">
            <v>88388.55</v>
          </cell>
          <cell r="AL563">
            <v>60749.9</v>
          </cell>
        </row>
        <row r="565">
          <cell r="AG565">
            <v>61261.430000000008</v>
          </cell>
          <cell r="AH565">
            <v>71223.069999999992</v>
          </cell>
          <cell r="AI565">
            <v>71420.77</v>
          </cell>
          <cell r="AJ565">
            <v>77565.400000000009</v>
          </cell>
          <cell r="AK565">
            <v>80087.69</v>
          </cell>
          <cell r="AL565">
            <v>75125.840000000011</v>
          </cell>
        </row>
        <row r="566">
          <cell r="AG566">
            <v>15516.970000000001</v>
          </cell>
          <cell r="AH566">
            <v>21789.56</v>
          </cell>
          <cell r="AI566">
            <v>22407.55</v>
          </cell>
          <cell r="AJ566">
            <v>22826.5</v>
          </cell>
          <cell r="AK566">
            <v>21789.649999999998</v>
          </cell>
          <cell r="AL566">
            <v>17479.71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5181939.6500000004</v>
          </cell>
          <cell r="T18">
            <v>5060008.6900000004</v>
          </cell>
          <cell r="W18">
            <v>1943830.0499999998</v>
          </cell>
          <cell r="Y18">
            <v>2196160.9099999997</v>
          </cell>
          <cell r="Z18">
            <v>920017.71000000008</v>
          </cell>
        </row>
      </sheetData>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ow r="370">
          <cell r="AL370">
            <v>-722286.32999999984</v>
          </cell>
          <cell r="BE370">
            <v>-925665.90999999992</v>
          </cell>
          <cell r="BS370">
            <v>-501622.58999999991</v>
          </cell>
          <cell r="CD370">
            <v>-475790.98</v>
          </cell>
        </row>
        <row r="371">
          <cell r="AL371">
            <v>62654.269999999968</v>
          </cell>
          <cell r="BE371">
            <v>97800.22000000003</v>
          </cell>
          <cell r="BS371">
            <v>68174.790000000008</v>
          </cell>
          <cell r="CD371">
            <v>55453.740000000013</v>
          </cell>
        </row>
        <row r="373">
          <cell r="AL373">
            <v>122990.04999999997</v>
          </cell>
          <cell r="BE373">
            <v>137525.56000000003</v>
          </cell>
          <cell r="BS373">
            <v>97159.740000000034</v>
          </cell>
          <cell r="CD373">
            <v>78391.820000000022</v>
          </cell>
        </row>
        <row r="374">
          <cell r="AL374">
            <v>8441.0300000000061</v>
          </cell>
          <cell r="BE374">
            <v>13480.959999999997</v>
          </cell>
          <cell r="BS374">
            <v>9530.5999999999967</v>
          </cell>
          <cell r="CD374">
            <v>7715.4</v>
          </cell>
        </row>
      </sheetData>
      <sheetData sheetId="3">
        <row r="384">
          <cell r="AL384">
            <v>574414.55000000005</v>
          </cell>
          <cell r="BE384">
            <v>-742448.70000000007</v>
          </cell>
          <cell r="BS384">
            <v>-502875.4</v>
          </cell>
          <cell r="CD384">
            <v>-411835.76000000007</v>
          </cell>
        </row>
        <row r="385">
          <cell r="AL385">
            <v>289519.26000000007</v>
          </cell>
          <cell r="BE385">
            <v>-190303.54000000007</v>
          </cell>
          <cell r="BS385">
            <v>-129086.91000000005</v>
          </cell>
          <cell r="CD385">
            <v>-106679.1</v>
          </cell>
        </row>
        <row r="387">
          <cell r="AL387">
            <v>233118.96000000005</v>
          </cell>
          <cell r="BE387">
            <v>-142627.82999999999</v>
          </cell>
          <cell r="BS387">
            <v>-101888.86000000002</v>
          </cell>
          <cell r="CD387">
            <v>-81685.770000000019</v>
          </cell>
        </row>
        <row r="388">
          <cell r="AL388">
            <v>39682.919999999976</v>
          </cell>
          <cell r="BE388">
            <v>-22699.809999999994</v>
          </cell>
          <cell r="BS388">
            <v>-16566.279999999995</v>
          </cell>
          <cell r="CD388">
            <v>-13153.759999999998</v>
          </cell>
        </row>
      </sheetData>
      <sheetData sheetId="4" refreshError="1"/>
      <sheetData sheetId="5">
        <row r="63">
          <cell r="AL63">
            <v>2229.4899999999998</v>
          </cell>
          <cell r="BE63">
            <v>-48233.87</v>
          </cell>
          <cell r="BK63">
            <v>-23257.07</v>
          </cell>
        </row>
        <row r="64">
          <cell r="AL64">
            <v>9487.8299999999981</v>
          </cell>
          <cell r="BE64">
            <v>16083.199999999999</v>
          </cell>
          <cell r="BK64">
            <v>1530.75</v>
          </cell>
        </row>
        <row r="66">
          <cell r="AL66">
            <v>9593.3099999999977</v>
          </cell>
          <cell r="BE66">
            <v>18434.950000000004</v>
          </cell>
          <cell r="BK66">
            <v>2747.2700000000004</v>
          </cell>
        </row>
        <row r="67">
          <cell r="AL67">
            <v>1337.2200000000003</v>
          </cell>
          <cell r="BE67">
            <v>2282.4499999999998</v>
          </cell>
          <cell r="BK67">
            <v>249.56000000000003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1398635.9100000001</v>
          </cell>
          <cell r="T18">
            <v>1081480.3199999998</v>
          </cell>
          <cell r="W18">
            <v>456620.65</v>
          </cell>
          <cell r="Y18">
            <v>487216.32</v>
          </cell>
          <cell r="Z18">
            <v>137643.35</v>
          </cell>
        </row>
      </sheetData>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ow r="370">
          <cell r="BE370">
            <v>269103.8600000001</v>
          </cell>
          <cell r="BS370">
            <v>357077.41000000003</v>
          </cell>
          <cell r="CD370">
            <v>287595.16000000003</v>
          </cell>
        </row>
        <row r="371">
          <cell r="BE371">
            <v>34433.140000000014</v>
          </cell>
          <cell r="BS371">
            <v>38305.360000000022</v>
          </cell>
          <cell r="CD371">
            <v>31944.280000000013</v>
          </cell>
        </row>
        <row r="373">
          <cell r="BE373">
            <v>12418.56</v>
          </cell>
          <cell r="BS373">
            <v>13981.689999999995</v>
          </cell>
          <cell r="CD373">
            <v>11316.46</v>
          </cell>
        </row>
        <row r="374">
          <cell r="BE374">
            <v>879.93000000000166</v>
          </cell>
          <cell r="BS374">
            <v>660.39000000000124</v>
          </cell>
          <cell r="CD374">
            <v>526.54000000000178</v>
          </cell>
        </row>
      </sheetData>
      <sheetData sheetId="3">
        <row r="384">
          <cell r="BE384">
            <v>6347.9600000000064</v>
          </cell>
          <cell r="BS384">
            <v>-135883.22999999998</v>
          </cell>
          <cell r="CD384">
            <v>-108354.64999999997</v>
          </cell>
        </row>
        <row r="385">
          <cell r="BE385">
            <v>32265.51</v>
          </cell>
          <cell r="BS385">
            <v>36285.759999999995</v>
          </cell>
          <cell r="CD385">
            <v>30292.95</v>
          </cell>
        </row>
        <row r="387">
          <cell r="BE387">
            <v>-350.19999999999027</v>
          </cell>
          <cell r="BS387">
            <v>-3922.2199999999793</v>
          </cell>
          <cell r="CD387">
            <v>-2936.9499999999898</v>
          </cell>
        </row>
        <row r="388">
          <cell r="BE388">
            <v>1230.5099999999979</v>
          </cell>
          <cell r="BS388">
            <v>1213.9799999999987</v>
          </cell>
          <cell r="CD388">
            <v>1032.0599999999977</v>
          </cell>
        </row>
      </sheetData>
      <sheetData sheetId="4" refreshError="1"/>
      <sheetData sheetId="5">
        <row r="63">
          <cell r="BE63">
            <v>5812.1900000000005</v>
          </cell>
          <cell r="BK63">
            <v>3865.7400000000002</v>
          </cell>
        </row>
        <row r="64">
          <cell r="BE64">
            <v>904.36</v>
          </cell>
          <cell r="BK64">
            <v>959.68999999999994</v>
          </cell>
        </row>
        <row r="66">
          <cell r="BE66">
            <v>241.7</v>
          </cell>
          <cell r="BK66">
            <v>168.43</v>
          </cell>
        </row>
        <row r="67">
          <cell r="BE67">
            <v>44.26</v>
          </cell>
          <cell r="BK67">
            <v>29.639999999999997</v>
          </cell>
        </row>
      </sheetData>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-1995.98</v>
          </cell>
          <cell r="BM55">
            <v>-1957.65</v>
          </cell>
          <cell r="BN55">
            <v>-2110.5</v>
          </cell>
          <cell r="BO55">
            <v>-2388.31</v>
          </cell>
          <cell r="BP55">
            <v>-2521.9899999999998</v>
          </cell>
          <cell r="BQ55">
            <v>-2668.34</v>
          </cell>
          <cell r="BR55">
            <v>-2763.82</v>
          </cell>
          <cell r="BS55">
            <v>-2767.77</v>
          </cell>
          <cell r="BT55">
            <v>-3508.49</v>
          </cell>
          <cell r="BU55">
            <v>-3205.54</v>
          </cell>
          <cell r="BV55">
            <v>-2990.38</v>
          </cell>
          <cell r="BW55">
            <v>-417.51</v>
          </cell>
          <cell r="BX55">
            <v>-434.18</v>
          </cell>
          <cell r="BY55">
            <v>-478.87</v>
          </cell>
          <cell r="BZ55">
            <v>-644.07000000000005</v>
          </cell>
          <cell r="CA55">
            <v>-801.48</v>
          </cell>
          <cell r="CB55">
            <v>-917.64</v>
          </cell>
          <cell r="CC55">
            <v>-935.81</v>
          </cell>
          <cell r="CD55">
            <v>-777.32</v>
          </cell>
        </row>
        <row r="56">
          <cell r="BL56">
            <v>81.38</v>
          </cell>
          <cell r="BM56">
            <v>63.61</v>
          </cell>
          <cell r="BN56">
            <v>46.46</v>
          </cell>
          <cell r="BO56">
            <v>28.09</v>
          </cell>
          <cell r="BP56">
            <v>9.7100000000000009</v>
          </cell>
          <cell r="BQ56">
            <v>-8.8000000000000007</v>
          </cell>
          <cell r="BR56">
            <v>-29.35</v>
          </cell>
          <cell r="BS56">
            <v>-52.44</v>
          </cell>
          <cell r="BT56">
            <v>-100.89</v>
          </cell>
          <cell r="BU56">
            <v>-130.18</v>
          </cell>
          <cell r="BV56">
            <v>-164.91</v>
          </cell>
          <cell r="BW56">
            <v>-30.7</v>
          </cell>
          <cell r="BX56">
            <v>-42.02</v>
          </cell>
          <cell r="BY56">
            <v>-57.84</v>
          </cell>
          <cell r="BZ56">
            <v>-88.84</v>
          </cell>
          <cell r="CA56">
            <v>-121.95</v>
          </cell>
          <cell r="CB56">
            <v>-159.26</v>
          </cell>
          <cell r="CC56">
            <v>-198.26</v>
          </cell>
          <cell r="CD56">
            <v>-212.93</v>
          </cell>
        </row>
        <row r="58">
          <cell r="BL58">
            <v>189.98</v>
          </cell>
          <cell r="BM58">
            <v>170.11</v>
          </cell>
          <cell r="BN58">
            <v>159.05000000000001</v>
          </cell>
          <cell r="BO58">
            <v>152.5</v>
          </cell>
          <cell r="BP58">
            <v>140</v>
          </cell>
          <cell r="BQ58">
            <v>129.97</v>
          </cell>
          <cell r="BR58">
            <v>115.99</v>
          </cell>
          <cell r="BS58">
            <v>94.55</v>
          </cell>
          <cell r="BT58">
            <v>87.59</v>
          </cell>
          <cell r="BU58">
            <v>44.58</v>
          </cell>
          <cell r="BV58">
            <v>0.92</v>
          </cell>
          <cell r="BW58">
            <v>-6.98</v>
          </cell>
          <cell r="BX58">
            <v>-16.66</v>
          </cell>
          <cell r="BY58">
            <v>-29.72</v>
          </cell>
          <cell r="BZ58">
            <v>-52.53</v>
          </cell>
          <cell r="CA58">
            <v>-79.069999999999993</v>
          </cell>
          <cell r="CB58">
            <v>-111.02</v>
          </cell>
          <cell r="CC58">
            <v>-148.21</v>
          </cell>
          <cell r="CD58">
            <v>-169.9</v>
          </cell>
        </row>
        <row r="59">
          <cell r="BL59">
            <v>13.92</v>
          </cell>
          <cell r="BM59">
            <v>11.52</v>
          </cell>
          <cell r="BN59">
            <v>9.73</v>
          </cell>
          <cell r="BO59">
            <v>8.0500000000000007</v>
          </cell>
          <cell r="BP59">
            <v>6.12</v>
          </cell>
          <cell r="BQ59">
            <v>3.98</v>
          </cell>
          <cell r="BR59">
            <v>1.22</v>
          </cell>
          <cell r="BS59">
            <v>-2.16</v>
          </cell>
          <cell r="BT59">
            <v>-7.95</v>
          </cell>
          <cell r="BU59">
            <v>-13</v>
          </cell>
          <cell r="BV59">
            <v>-18.649999999999999</v>
          </cell>
          <cell r="BW59">
            <v>-3.73</v>
          </cell>
          <cell r="BX59">
            <v>-5.34</v>
          </cell>
          <cell r="BY59">
            <v>-7.44</v>
          </cell>
          <cell r="BZ59">
            <v>-11.3</v>
          </cell>
          <cell r="CA59">
            <v>-15.33</v>
          </cell>
          <cell r="CB59">
            <v>-19.96</v>
          </cell>
          <cell r="CC59">
            <v>-25.16</v>
          </cell>
          <cell r="CD59">
            <v>-27.57</v>
          </cell>
        </row>
        <row r="81">
          <cell r="BJ81">
            <v>109.26999999999998</v>
          </cell>
          <cell r="BK81">
            <v>256.23</v>
          </cell>
        </row>
        <row r="82">
          <cell r="BJ82">
            <v>5.519999999999996</v>
          </cell>
          <cell r="BK82">
            <v>12.930000000000007</v>
          </cell>
        </row>
        <row r="84">
          <cell r="BJ84">
            <v>-0.34000000000000341</v>
          </cell>
          <cell r="BK84">
            <v>-0.80999999999997385</v>
          </cell>
        </row>
        <row r="85">
          <cell r="BJ85">
            <v>0.5600000000000005</v>
          </cell>
          <cell r="BK85">
            <v>1.3100000000000005</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Summary"/>
      <sheetName val="Monthly Program Costs"/>
      <sheetName val="Monthly TD Calc"/>
      <sheetName val="EO Ex Post TD Calc"/>
      <sheetName val="EO NTG TD Calc"/>
      <sheetName val="EMV Results"/>
      <sheetName val="Monthly kWh-kW"/>
      <sheetName val="ICF SOW Amdt 2"/>
      <sheetName val="TRC SOW Amdt 1"/>
      <sheetName val="MO West EO Matrix @Meter"/>
      <sheetName val="MO West EO Table"/>
      <sheetName val="PAYS"/>
      <sheetName val="Mktg Forecast"/>
      <sheetName val="MEEIA Labor Alloc"/>
      <sheetName val="Other Admin"/>
      <sheetName val="EMV Costs"/>
      <sheetName val="Implementer Contract Rates"/>
      <sheetName val="Billed kWh Sales"/>
      <sheetName val="DSIM Revenue"/>
    </sheetNames>
    <sheetDataSet>
      <sheetData sheetId="0" refreshError="1"/>
      <sheetData sheetId="1" refreshError="1"/>
      <sheetData sheetId="2" refreshError="1"/>
      <sheetData sheetId="3">
        <row r="290">
          <cell r="AP290">
            <v>1459353.83</v>
          </cell>
          <cell r="AQ290">
            <v>987803.13</v>
          </cell>
          <cell r="AR290">
            <v>9107.0600000000013</v>
          </cell>
          <cell r="AS290">
            <v>9107.0800000000017</v>
          </cell>
          <cell r="AT290">
            <v>9107.07</v>
          </cell>
          <cell r="AU290">
            <v>9107.08</v>
          </cell>
          <cell r="AV290">
            <v>9107.0499999999993</v>
          </cell>
          <cell r="AW290">
            <v>9107.08</v>
          </cell>
          <cell r="AX290">
            <v>0</v>
          </cell>
          <cell r="AY290">
            <v>0</v>
          </cell>
          <cell r="AZ290">
            <v>0</v>
          </cell>
          <cell r="BA290">
            <v>0</v>
          </cell>
          <cell r="BB290">
            <v>0</v>
          </cell>
          <cell r="BC290">
            <v>0</v>
          </cell>
        </row>
        <row r="291">
          <cell r="AP291">
            <v>489702.25</v>
          </cell>
          <cell r="AQ291">
            <v>512989.56</v>
          </cell>
          <cell r="AR291">
            <v>59786.459999999992</v>
          </cell>
          <cell r="AS291">
            <v>14133.710000000003</v>
          </cell>
          <cell r="AT291">
            <v>14133.710000000003</v>
          </cell>
          <cell r="AU291">
            <v>14133.710000000003</v>
          </cell>
          <cell r="AV291">
            <v>14133.730000000001</v>
          </cell>
          <cell r="AW291">
            <v>14133.710000000003</v>
          </cell>
          <cell r="AX291">
            <v>0</v>
          </cell>
          <cell r="AY291">
            <v>0</v>
          </cell>
          <cell r="AZ291">
            <v>0</v>
          </cell>
          <cell r="BA291">
            <v>0</v>
          </cell>
          <cell r="BB291">
            <v>0</v>
          </cell>
          <cell r="BC291">
            <v>0</v>
          </cell>
        </row>
        <row r="293">
          <cell r="AP293">
            <v>495686.08999999991</v>
          </cell>
          <cell r="AQ293">
            <v>529407.41</v>
          </cell>
          <cell r="AR293">
            <v>61379.840000000004</v>
          </cell>
          <cell r="AS293">
            <v>13078.920000000002</v>
          </cell>
          <cell r="AT293">
            <v>13078.920000000002</v>
          </cell>
          <cell r="AU293">
            <v>13078.930000000002</v>
          </cell>
          <cell r="AV293">
            <v>13078.920000000002</v>
          </cell>
          <cell r="AW293">
            <v>13078.930000000002</v>
          </cell>
          <cell r="AX293">
            <v>0</v>
          </cell>
          <cell r="AY293">
            <v>0</v>
          </cell>
          <cell r="AZ293">
            <v>0</v>
          </cell>
          <cell r="BA293">
            <v>0</v>
          </cell>
          <cell r="BB293">
            <v>0</v>
          </cell>
          <cell r="BC293">
            <v>0</v>
          </cell>
        </row>
        <row r="294">
          <cell r="AP294">
            <v>351384.21</v>
          </cell>
          <cell r="AQ294">
            <v>375174.95</v>
          </cell>
          <cell r="AR294">
            <v>42857.009999999995</v>
          </cell>
          <cell r="AS294">
            <v>8692.0199999999986</v>
          </cell>
          <cell r="AT294">
            <v>8692.0300000000007</v>
          </cell>
          <cell r="AU294">
            <v>8692.0199999999986</v>
          </cell>
          <cell r="AV294">
            <v>8692.02</v>
          </cell>
          <cell r="AW294">
            <v>8692.0299999999988</v>
          </cell>
          <cell r="AX294">
            <v>0</v>
          </cell>
          <cell r="AY294">
            <v>0</v>
          </cell>
          <cell r="AZ294">
            <v>0</v>
          </cell>
          <cell r="BA294">
            <v>0</v>
          </cell>
          <cell r="BB294">
            <v>0</v>
          </cell>
          <cell r="BC294">
            <v>0</v>
          </cell>
        </row>
      </sheetData>
      <sheetData sheetId="4">
        <row r="461">
          <cell r="AM461">
            <v>8843983.2991499696</v>
          </cell>
          <cell r="AN461">
            <v>3554401.6474243421</v>
          </cell>
          <cell r="AO461">
            <v>2372472.1531725083</v>
          </cell>
          <cell r="AP461">
            <v>2139179.8063061256</v>
          </cell>
          <cell r="AQ461">
            <v>2110665.6537698433</v>
          </cell>
          <cell r="AR461">
            <v>2033329.2270454834</v>
          </cell>
          <cell r="AS461">
            <v>2143502.7634850387</v>
          </cell>
          <cell r="AT461">
            <v>1980835.363465697</v>
          </cell>
          <cell r="AU461">
            <v>2438283.554995344</v>
          </cell>
          <cell r="AV461">
            <v>2346987.0448563905</v>
          </cell>
          <cell r="AW461">
            <v>1922806.1982011665</v>
          </cell>
          <cell r="AX461">
            <v>2052875.4556450138</v>
          </cell>
          <cell r="AY461">
            <v>1977568.4570902083</v>
          </cell>
          <cell r="AZ461">
            <v>2367221.6270682262</v>
          </cell>
        </row>
        <row r="462">
          <cell r="AM462">
            <v>1609645.3629677589</v>
          </cell>
          <cell r="AN462">
            <v>674313.85308471322</v>
          </cell>
          <cell r="AO462">
            <v>795836.54884612304</v>
          </cell>
          <cell r="AP462">
            <v>719606.94856981572</v>
          </cell>
          <cell r="AQ462">
            <v>797906.97944553802</v>
          </cell>
          <cell r="AR462">
            <v>760307.047741191</v>
          </cell>
          <cell r="AS462">
            <v>798642.01955591794</v>
          </cell>
          <cell r="AT462">
            <v>766617.19855470594</v>
          </cell>
          <cell r="AU462">
            <v>793529.59852544544</v>
          </cell>
          <cell r="AV462">
            <v>807484.86502194626</v>
          </cell>
          <cell r="AW462">
            <v>747425.28202095127</v>
          </cell>
          <cell r="AX462">
            <v>798296.36852107372</v>
          </cell>
          <cell r="AY462">
            <v>755049.28569373966</v>
          </cell>
          <cell r="AZ462">
            <v>757219.62334901397</v>
          </cell>
        </row>
        <row r="464">
          <cell r="AM464">
            <v>2910418.2641265937</v>
          </cell>
          <cell r="AN464">
            <v>1099704.4874130751</v>
          </cell>
          <cell r="AO464">
            <v>1248311.2060925066</v>
          </cell>
          <cell r="AP464">
            <v>1128606.5021412398</v>
          </cell>
          <cell r="AQ464">
            <v>1250563.6969344134</v>
          </cell>
          <cell r="AR464">
            <v>1193337.4030758764</v>
          </cell>
          <cell r="AS464">
            <v>1251828.2451963509</v>
          </cell>
          <cell r="AT464">
            <v>1201237.215292301</v>
          </cell>
          <cell r="AU464">
            <v>1234030.0859246808</v>
          </cell>
          <cell r="AV464">
            <v>1256979.6505579904</v>
          </cell>
          <cell r="AW464">
            <v>1172514.3855455366</v>
          </cell>
          <cell r="AX464">
            <v>1253217.1915471302</v>
          </cell>
          <cell r="AY464">
            <v>1185967.7015382238</v>
          </cell>
          <cell r="AZ464">
            <v>1189702.381798001</v>
          </cell>
        </row>
        <row r="465">
          <cell r="AM465">
            <v>1770947.1334448706</v>
          </cell>
          <cell r="AN465">
            <v>447433.11252428975</v>
          </cell>
          <cell r="AO465">
            <v>536329.55176398717</v>
          </cell>
          <cell r="AP465">
            <v>484936.02461275342</v>
          </cell>
          <cell r="AQ465">
            <v>537720.94016292389</v>
          </cell>
          <cell r="AR465">
            <v>512504.25865034148</v>
          </cell>
          <cell r="AS465">
            <v>538230.65209223027</v>
          </cell>
          <cell r="AT465">
            <v>516809.16318610992</v>
          </cell>
          <cell r="AU465">
            <v>530849.96395111084</v>
          </cell>
          <cell r="AV465">
            <v>540742.16173145839</v>
          </cell>
          <cell r="AW465">
            <v>503950.69702935836</v>
          </cell>
          <cell r="AX465">
            <v>538138.95474298124</v>
          </cell>
          <cell r="AY465">
            <v>509039.1477002828</v>
          </cell>
          <cell r="AZ465">
            <v>510455.4661140758</v>
          </cell>
        </row>
        <row r="563">
          <cell r="AM563">
            <v>328783.84999999998</v>
          </cell>
          <cell r="AN563">
            <v>140153.93</v>
          </cell>
          <cell r="AO563">
            <v>67825.08</v>
          </cell>
          <cell r="AP563">
            <v>65063.94</v>
          </cell>
          <cell r="AQ563">
            <v>68209.06</v>
          </cell>
          <cell r="AR563">
            <v>65865.72</v>
          </cell>
          <cell r="AS563">
            <v>75782.7</v>
          </cell>
          <cell r="AT563">
            <v>119057.8</v>
          </cell>
          <cell r="AU563">
            <v>158262.56</v>
          </cell>
          <cell r="AV563">
            <v>150957.48000000001</v>
          </cell>
          <cell r="AW563">
            <v>113883.16</v>
          </cell>
          <cell r="AX563">
            <v>69679.67</v>
          </cell>
          <cell r="AY563">
            <v>68553.509999999995</v>
          </cell>
          <cell r="AZ563">
            <v>75057.659999999989</v>
          </cell>
        </row>
        <row r="564">
          <cell r="AM564">
            <v>70489.97</v>
          </cell>
          <cell r="AN564">
            <v>26660.52</v>
          </cell>
          <cell r="AO564">
            <v>30984.28</v>
          </cell>
          <cell r="AP564">
            <v>28193.55</v>
          </cell>
          <cell r="AQ564">
            <v>31510.449999999997</v>
          </cell>
          <cell r="AR564">
            <v>32735.79</v>
          </cell>
          <cell r="AS564">
            <v>34834.14</v>
          </cell>
          <cell r="AT564">
            <v>52800.04</v>
          </cell>
          <cell r="AU564">
            <v>53745.460000000006</v>
          </cell>
          <cell r="AV564">
            <v>54854.19</v>
          </cell>
          <cell r="AW564">
            <v>51006.049999999996</v>
          </cell>
          <cell r="AX564">
            <v>34485.19</v>
          </cell>
          <cell r="AY564">
            <v>32841.22</v>
          </cell>
          <cell r="AZ564">
            <v>29843.540000000005</v>
          </cell>
        </row>
        <row r="566">
          <cell r="AM566">
            <v>80781.099999999991</v>
          </cell>
          <cell r="AN566">
            <v>29180.34</v>
          </cell>
          <cell r="AO566">
            <v>31636.58</v>
          </cell>
          <cell r="AP566">
            <v>30240.249999999996</v>
          </cell>
          <cell r="AQ566">
            <v>33821.609999999993</v>
          </cell>
          <cell r="AR566">
            <v>31967.949999999997</v>
          </cell>
          <cell r="AS566">
            <v>35334.700000000004</v>
          </cell>
          <cell r="AT566">
            <v>40158.71</v>
          </cell>
          <cell r="AU566">
            <v>39796.83</v>
          </cell>
          <cell r="AV566">
            <v>41003.060000000005</v>
          </cell>
          <cell r="AW566">
            <v>38726.32</v>
          </cell>
          <cell r="AX566">
            <v>33962.090000000004</v>
          </cell>
          <cell r="AY566">
            <v>33035.949999999997</v>
          </cell>
          <cell r="AZ566">
            <v>31616</v>
          </cell>
        </row>
        <row r="567">
          <cell r="AM567">
            <v>19564.68</v>
          </cell>
          <cell r="AN567">
            <v>5475.39</v>
          </cell>
          <cell r="AO567">
            <v>6473.67</v>
          </cell>
          <cell r="AP567">
            <v>5780.92</v>
          </cell>
          <cell r="AQ567">
            <v>6496.5399999999991</v>
          </cell>
          <cell r="AR567">
            <v>5858.46</v>
          </cell>
          <cell r="AS567">
            <v>6455.5099999999993</v>
          </cell>
          <cell r="AT567">
            <v>7718.0299999999988</v>
          </cell>
          <cell r="AU567">
            <v>7877.38</v>
          </cell>
          <cell r="AV567">
            <v>8001.2199999999993</v>
          </cell>
          <cell r="AW567">
            <v>7612.2</v>
          </cell>
          <cell r="AX567">
            <v>6159.9400000000005</v>
          </cell>
          <cell r="AY567">
            <v>5882.21</v>
          </cell>
          <cell r="AZ567">
            <v>6232.2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Sheet1"/>
      <sheetName val="EO TD Carrying Costs"/>
      <sheetName val="Jnl Import"/>
      <sheetName val="EM&amp;V Inputs"/>
      <sheetName val="kW Actuals (Gross)"/>
    </sheetNames>
    <sheetDataSet>
      <sheetData sheetId="0" refreshError="1"/>
      <sheetData sheetId="1" refreshError="1"/>
      <sheetData sheetId="2" refreshError="1"/>
      <sheetData sheetId="3" refreshError="1"/>
      <sheetData sheetId="4" refreshError="1"/>
      <sheetData sheetId="5">
        <row r="55">
          <cell r="BL55">
            <v>360.96</v>
          </cell>
          <cell r="BM55">
            <v>355.07</v>
          </cell>
          <cell r="BN55">
            <v>374.05</v>
          </cell>
          <cell r="BO55">
            <v>411.83</v>
          </cell>
          <cell r="BP55">
            <v>430.83</v>
          </cell>
          <cell r="BQ55">
            <v>461.07</v>
          </cell>
          <cell r="BR55">
            <v>486.35</v>
          </cell>
          <cell r="BS55">
            <v>499.41</v>
          </cell>
          <cell r="BT55">
            <v>653.13</v>
          </cell>
          <cell r="BU55">
            <v>617.51</v>
          </cell>
          <cell r="BV55">
            <v>598.26</v>
          </cell>
          <cell r="BW55">
            <v>87.21</v>
          </cell>
          <cell r="BX55">
            <v>95.23</v>
          </cell>
          <cell r="BY55">
            <v>106.65</v>
          </cell>
          <cell r="BZ55">
            <v>136.82</v>
          </cell>
          <cell r="CA55">
            <v>160.16</v>
          </cell>
          <cell r="CB55">
            <v>180.65</v>
          </cell>
          <cell r="CC55">
            <v>191.53</v>
          </cell>
          <cell r="CD55">
            <v>170.73</v>
          </cell>
        </row>
        <row r="56">
          <cell r="BL56">
            <v>91.83</v>
          </cell>
          <cell r="BM56">
            <v>91.85</v>
          </cell>
          <cell r="BN56">
            <v>98.97</v>
          </cell>
          <cell r="BO56">
            <v>111.14</v>
          </cell>
          <cell r="BP56">
            <v>121.3</v>
          </cell>
          <cell r="BQ56">
            <v>134.94</v>
          </cell>
          <cell r="BR56">
            <v>147.91999999999999</v>
          </cell>
          <cell r="BS56">
            <v>157.13999999999999</v>
          </cell>
          <cell r="BT56">
            <v>212.56</v>
          </cell>
          <cell r="BU56">
            <v>209.06</v>
          </cell>
          <cell r="BV56">
            <v>212.1</v>
          </cell>
          <cell r="BW56">
            <v>32.74</v>
          </cell>
          <cell r="BX56">
            <v>38.04</v>
          </cell>
          <cell r="BY56">
            <v>45.57</v>
          </cell>
          <cell r="BZ56">
            <v>62.43</v>
          </cell>
          <cell r="CA56">
            <v>77.64</v>
          </cell>
          <cell r="CB56">
            <v>93.13</v>
          </cell>
          <cell r="CC56">
            <v>106.5</v>
          </cell>
          <cell r="CD56">
            <v>104.6</v>
          </cell>
        </row>
        <row r="58">
          <cell r="BL58">
            <v>15.81</v>
          </cell>
          <cell r="BM58">
            <v>15.68</v>
          </cell>
          <cell r="BN58">
            <v>16.649999999999999</v>
          </cell>
          <cell r="BO58">
            <v>18.41</v>
          </cell>
          <cell r="BP58">
            <v>19.78</v>
          </cell>
          <cell r="BQ58">
            <v>21.73</v>
          </cell>
          <cell r="BR58">
            <v>23.61</v>
          </cell>
          <cell r="BS58">
            <v>24.91</v>
          </cell>
          <cell r="BT58">
            <v>33.479999999999997</v>
          </cell>
          <cell r="BU58">
            <v>32.67</v>
          </cell>
          <cell r="BV58">
            <v>32.97</v>
          </cell>
          <cell r="BW58">
            <v>5.07</v>
          </cell>
          <cell r="BX58">
            <v>5.86</v>
          </cell>
          <cell r="BY58">
            <v>6.95</v>
          </cell>
          <cell r="BZ58">
            <v>9.3800000000000008</v>
          </cell>
          <cell r="CA58">
            <v>11.5</v>
          </cell>
          <cell r="CB58">
            <v>13.58</v>
          </cell>
          <cell r="CC58">
            <v>15.31</v>
          </cell>
          <cell r="CD58">
            <v>14.84</v>
          </cell>
        </row>
        <row r="59">
          <cell r="BL59">
            <v>2.77</v>
          </cell>
          <cell r="BM59">
            <v>2.75</v>
          </cell>
          <cell r="BN59">
            <v>2.94</v>
          </cell>
          <cell r="BO59">
            <v>3.27</v>
          </cell>
          <cell r="BP59">
            <v>3.53</v>
          </cell>
          <cell r="BQ59">
            <v>3.89</v>
          </cell>
          <cell r="BR59">
            <v>4.22</v>
          </cell>
          <cell r="BS59">
            <v>4.46</v>
          </cell>
          <cell r="BT59">
            <v>6.01</v>
          </cell>
          <cell r="BU59">
            <v>5.87</v>
          </cell>
          <cell r="BV59">
            <v>5.92</v>
          </cell>
          <cell r="BW59">
            <v>0.91</v>
          </cell>
          <cell r="BX59">
            <v>1.05</v>
          </cell>
          <cell r="BY59">
            <v>1.24</v>
          </cell>
          <cell r="BZ59">
            <v>1.69</v>
          </cell>
          <cell r="CA59">
            <v>2.08</v>
          </cell>
          <cell r="CB59">
            <v>2.4700000000000002</v>
          </cell>
          <cell r="CC59">
            <v>2.8</v>
          </cell>
          <cell r="CD59">
            <v>2.71</v>
          </cell>
        </row>
        <row r="73">
          <cell r="BJ73">
            <v>-19.949999999999989</v>
          </cell>
          <cell r="BK73">
            <v>-46.770000000000039</v>
          </cell>
        </row>
        <row r="74">
          <cell r="BJ74">
            <v>-5.7000000000000028</v>
          </cell>
          <cell r="BK74">
            <v>-13.36</v>
          </cell>
        </row>
        <row r="76">
          <cell r="BJ76">
            <v>-0.89000000000000057</v>
          </cell>
          <cell r="BK76">
            <v>-2.0799999999999983</v>
          </cell>
        </row>
        <row r="77">
          <cell r="BJ77">
            <v>-0.16000000000000014</v>
          </cell>
          <cell r="BK77">
            <v>-0.37999999999999989</v>
          </cell>
        </row>
      </sheetData>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136.68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70.02</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28.98</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-2.02</v>
          </cell>
        </row>
      </sheetData>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 Cycle 2"/>
    </sheetNames>
    <sheetDataSet>
      <sheetData sheetId="0">
        <row r="107">
          <cell r="E107">
            <v>116664.99999999997</v>
          </cell>
          <cell r="K107">
            <v>11757.390000000001</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West Program Cycle 3"/>
      <sheetName val="MOWest TD Cycle 3"/>
    </sheetNames>
    <sheetDataSet>
      <sheetData sheetId="0">
        <row r="52">
          <cell r="E52">
            <v>-12096.349999999999</v>
          </cell>
          <cell r="K52">
            <v>-384.03000000000003</v>
          </cell>
          <cell r="R52">
            <v>-2699.3</v>
          </cell>
          <cell r="X52">
            <v>-58.64</v>
          </cell>
        </row>
      </sheetData>
      <sheetData sheetId="1">
        <row r="52">
          <cell r="E52">
            <v>-407673.99999999994</v>
          </cell>
          <cell r="K52">
            <v>-6775.29</v>
          </cell>
          <cell r="R52">
            <v>0</v>
          </cell>
          <cell r="X5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lement Proposal Budget"/>
    </sheetNames>
    <sheetDataSet>
      <sheetData sheetId="0">
        <row r="22">
          <cell r="P22">
            <v>8643800.1000000015</v>
          </cell>
          <cell r="Q22">
            <v>2567679.15</v>
          </cell>
          <cell r="S22">
            <v>3534412.94</v>
          </cell>
          <cell r="T22">
            <v>1940963.15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0.39209287804949344</v>
          </cell>
          <cell r="DA44">
            <v>0.45435908608374953</v>
          </cell>
          <cell r="DB44">
            <v>0.15354803586675725</v>
          </cell>
        </row>
        <row r="285">
          <cell r="BX285">
            <v>3622617.1364313252</v>
          </cell>
          <cell r="BY285">
            <v>3848808.3791743834</v>
          </cell>
          <cell r="BZ285">
            <v>4524482.8033801541</v>
          </cell>
          <cell r="CA285">
            <v>4254139.1572805867</v>
          </cell>
          <cell r="CB285">
            <v>3438765.3625207683</v>
          </cell>
          <cell r="CC285">
            <v>3350801.0955900047</v>
          </cell>
          <cell r="CD285">
            <v>3200897.113468044</v>
          </cell>
          <cell r="CE285">
            <v>0</v>
          </cell>
        </row>
        <row r="286">
          <cell r="BX286">
            <v>1929862.7740866141</v>
          </cell>
          <cell r="BY286">
            <v>1927873.9189463556</v>
          </cell>
          <cell r="BZ286">
            <v>1997647.6114853616</v>
          </cell>
          <cell r="CA286">
            <v>2027066.2414548299</v>
          </cell>
          <cell r="CB286">
            <v>1834054.3366449273</v>
          </cell>
          <cell r="CC286">
            <v>1888743.4323475384</v>
          </cell>
          <cell r="CD286">
            <v>1783272.6144496959</v>
          </cell>
          <cell r="CE286">
            <v>0</v>
          </cell>
        </row>
        <row r="288">
          <cell r="BX288">
            <v>2890409.8209900213</v>
          </cell>
          <cell r="BY288">
            <v>2832087.0570221478</v>
          </cell>
          <cell r="BZ288">
            <v>2914197.0369588025</v>
          </cell>
          <cell r="CA288">
            <v>2970935.0270213811</v>
          </cell>
          <cell r="CB288">
            <v>2715680.539241707</v>
          </cell>
          <cell r="CC288">
            <v>2862809.8842250369</v>
          </cell>
          <cell r="CD288">
            <v>2703012.0649789949</v>
          </cell>
          <cell r="CE288">
            <v>0</v>
          </cell>
        </row>
        <row r="289">
          <cell r="BX289">
            <v>1031776.4605094917</v>
          </cell>
          <cell r="BY289">
            <v>1010590.2203276039</v>
          </cell>
          <cell r="BZ289">
            <v>1039178.5305886413</v>
          </cell>
          <cell r="CA289">
            <v>1060465.2308712879</v>
          </cell>
          <cell r="CB289">
            <v>967808.71359927149</v>
          </cell>
          <cell r="CC289">
            <v>1022288.2013225708</v>
          </cell>
          <cell r="CD289">
            <v>964706.0990347442</v>
          </cell>
          <cell r="CE289">
            <v>0</v>
          </cell>
        </row>
        <row r="326">
          <cell r="BX326">
            <v>172528.95</v>
          </cell>
          <cell r="BY326">
            <v>302612.56</v>
          </cell>
          <cell r="BZ326">
            <v>360467.8</v>
          </cell>
          <cell r="CA326">
            <v>338929.39</v>
          </cell>
          <cell r="CB326">
            <v>271074.44</v>
          </cell>
          <cell r="CC326">
            <v>153317.57999999999</v>
          </cell>
          <cell r="CD326">
            <v>149696.35999999999</v>
          </cell>
          <cell r="CE326">
            <v>0</v>
          </cell>
        </row>
        <row r="327">
          <cell r="BX327">
            <v>80341.75</v>
          </cell>
          <cell r="BY327">
            <v>126296.86</v>
          </cell>
          <cell r="BZ327">
            <v>128643.41</v>
          </cell>
          <cell r="CA327">
            <v>130888.34</v>
          </cell>
          <cell r="CB327">
            <v>119321.89</v>
          </cell>
          <cell r="CC327">
            <v>77840.95</v>
          </cell>
          <cell r="CD327">
            <v>74091.149999999994</v>
          </cell>
          <cell r="CE327">
            <v>0</v>
          </cell>
        </row>
        <row r="329">
          <cell r="BX329">
            <v>81992.95</v>
          </cell>
          <cell r="BY329">
            <v>95655.97</v>
          </cell>
          <cell r="BZ329">
            <v>95158.56</v>
          </cell>
          <cell r="CA329">
            <v>97995.36</v>
          </cell>
          <cell r="CB329">
            <v>91010.55</v>
          </cell>
          <cell r="CC329">
            <v>77920.800000000003</v>
          </cell>
          <cell r="CD329">
            <v>75716.31</v>
          </cell>
          <cell r="CE329">
            <v>0</v>
          </cell>
        </row>
        <row r="330">
          <cell r="BX330">
            <v>14070.41</v>
          </cell>
          <cell r="BY330">
            <v>17501.97</v>
          </cell>
          <cell r="BZ330">
            <v>17971.36</v>
          </cell>
          <cell r="CA330">
            <v>18227.55</v>
          </cell>
          <cell r="CB330">
            <v>17181.66</v>
          </cell>
          <cell r="CC330">
            <v>13264.22</v>
          </cell>
          <cell r="CD330">
            <v>12740.14</v>
          </cell>
          <cell r="CE3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Aug 2021"/>
      <sheetName val="Mar 2021"/>
      <sheetName val="Apr 2021"/>
      <sheetName val="May 2021"/>
      <sheetName val="Jun 2021"/>
      <sheetName val="Jul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GMO DSIM Rate Table"/>
      <sheetName val="DSIM Rates - Tracker"/>
      <sheetName val="DSIM Rates - Initial RP Cycle 2"/>
      <sheetName val="DSIM RP2"/>
      <sheetName val="DSIM RP3"/>
      <sheetName val="DSIM RP4"/>
      <sheetName val="DSIM RP5"/>
      <sheetName val="DSIM RP6"/>
      <sheetName val="DSIM RP7"/>
      <sheetName val="DSIM R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6">
          <cell r="F36">
            <v>0</v>
          </cell>
        </row>
        <row r="37">
          <cell r="F37">
            <v>1186.1000000000001</v>
          </cell>
        </row>
        <row r="38">
          <cell r="F38">
            <v>918.5100000000001</v>
          </cell>
        </row>
        <row r="39">
          <cell r="F39">
            <v>-909.31999999999994</v>
          </cell>
        </row>
        <row r="44">
          <cell r="F44">
            <v>0</v>
          </cell>
        </row>
        <row r="45">
          <cell r="F45">
            <v>-7358.7134062586783</v>
          </cell>
        </row>
        <row r="46">
          <cell r="F46">
            <v>-8943.1805171767555</v>
          </cell>
        </row>
        <row r="47">
          <cell r="F47">
            <v>-3805.3460765645655</v>
          </cell>
        </row>
        <row r="52">
          <cell r="F52">
            <v>192737.72</v>
          </cell>
        </row>
        <row r="53">
          <cell r="F53">
            <v>97308.091670709167</v>
          </cell>
        </row>
        <row r="54">
          <cell r="F54">
            <v>87808.178357564073</v>
          </cell>
        </row>
        <row r="55">
          <cell r="F55">
            <v>18624.33997172676</v>
          </cell>
        </row>
        <row r="60">
          <cell r="F60">
            <v>4590.67</v>
          </cell>
        </row>
        <row r="61">
          <cell r="F61">
            <v>45733.293059485855</v>
          </cell>
        </row>
        <row r="62">
          <cell r="F62">
            <v>49013.12177381041</v>
          </cell>
        </row>
        <row r="63">
          <cell r="F63">
            <v>16236.805166703738</v>
          </cell>
        </row>
        <row r="68">
          <cell r="F68">
            <v>727366.38</v>
          </cell>
        </row>
        <row r="69">
          <cell r="F69">
            <v>202512.4</v>
          </cell>
        </row>
        <row r="70">
          <cell r="F70">
            <v>294607</v>
          </cell>
        </row>
        <row r="71">
          <cell r="F71">
            <v>224088.38</v>
          </cell>
        </row>
        <row r="75">
          <cell r="F75">
            <v>68830.89</v>
          </cell>
        </row>
        <row r="76">
          <cell r="F76">
            <v>-10995.83</v>
          </cell>
        </row>
        <row r="77">
          <cell r="F77">
            <v>44717.13</v>
          </cell>
        </row>
        <row r="78">
          <cell r="F78">
            <v>-42002.45</v>
          </cell>
        </row>
        <row r="82">
          <cell r="F82">
            <v>355652.19</v>
          </cell>
        </row>
        <row r="83">
          <cell r="F83">
            <v>56813.29</v>
          </cell>
        </row>
        <row r="84">
          <cell r="F84">
            <v>59622.84</v>
          </cell>
        </row>
        <row r="85">
          <cell r="F85">
            <v>12580.05</v>
          </cell>
        </row>
        <row r="89">
          <cell r="F89">
            <v>96367.34</v>
          </cell>
        </row>
        <row r="90">
          <cell r="F90">
            <v>23825.57</v>
          </cell>
        </row>
        <row r="91">
          <cell r="F91">
            <v>22796.97</v>
          </cell>
        </row>
        <row r="92">
          <cell r="F92">
            <v>18027.989999999998</v>
          </cell>
        </row>
        <row r="108">
          <cell r="F108">
            <v>229454498.07030001</v>
          </cell>
        </row>
        <row r="109">
          <cell r="F109">
            <v>91633685.374299988</v>
          </cell>
        </row>
        <row r="110">
          <cell r="F110">
            <v>87680650.619200021</v>
          </cell>
        </row>
        <row r="111">
          <cell r="F111">
            <v>63275362.390599996</v>
          </cell>
        </row>
      </sheetData>
      <sheetData sheetId="29">
        <row r="36">
          <cell r="F36">
            <v>0</v>
          </cell>
        </row>
        <row r="37">
          <cell r="F37">
            <v>1268.25</v>
          </cell>
        </row>
        <row r="38">
          <cell r="F38">
            <v>1180.22</v>
          </cell>
        </row>
        <row r="39">
          <cell r="F39">
            <v>256.59000000000003</v>
          </cell>
        </row>
        <row r="44">
          <cell r="F44">
            <v>0</v>
          </cell>
        </row>
        <row r="45">
          <cell r="F45">
            <v>-8294.51</v>
          </cell>
        </row>
        <row r="46">
          <cell r="F46">
            <v>-9821.4</v>
          </cell>
        </row>
        <row r="47">
          <cell r="F47">
            <v>-3155.74</v>
          </cell>
        </row>
        <row r="52">
          <cell r="F52">
            <v>247492.73</v>
          </cell>
        </row>
        <row r="53">
          <cell r="F53">
            <v>113785.12</v>
          </cell>
        </row>
        <row r="54">
          <cell r="F54">
            <v>99538.420000000013</v>
          </cell>
        </row>
        <row r="55">
          <cell r="F55">
            <v>19923.7</v>
          </cell>
        </row>
        <row r="60">
          <cell r="F60">
            <v>5892.96</v>
          </cell>
        </row>
        <row r="61">
          <cell r="F61">
            <v>53497.349528477542</v>
          </cell>
        </row>
        <row r="62">
          <cell r="F62">
            <v>56843.654682074892</v>
          </cell>
        </row>
        <row r="63">
          <cell r="F63">
            <v>15394.235789447563</v>
          </cell>
        </row>
        <row r="68">
          <cell r="F68">
            <v>933994.12</v>
          </cell>
        </row>
        <row r="69">
          <cell r="F69">
            <v>236755.13</v>
          </cell>
        </row>
        <row r="70">
          <cell r="F70">
            <v>334194.96000000002</v>
          </cell>
        </row>
        <row r="71">
          <cell r="F71">
            <v>230256.55</v>
          </cell>
        </row>
        <row r="75">
          <cell r="F75">
            <v>88388.239999999991</v>
          </cell>
        </row>
        <row r="76">
          <cell r="F76">
            <v>-12842.59</v>
          </cell>
        </row>
        <row r="77">
          <cell r="F77">
            <v>50287.27</v>
          </cell>
        </row>
        <row r="78">
          <cell r="F78">
            <v>-44255.44</v>
          </cell>
        </row>
        <row r="82">
          <cell r="F82">
            <v>456684.88</v>
          </cell>
        </row>
        <row r="83">
          <cell r="F83">
            <v>66413.89</v>
          </cell>
        </row>
        <row r="84">
          <cell r="F84">
            <v>67414.039999999994</v>
          </cell>
        </row>
        <row r="85">
          <cell r="F85">
            <v>12827.66</v>
          </cell>
        </row>
        <row r="89">
          <cell r="F89">
            <v>123746.16</v>
          </cell>
        </row>
        <row r="90">
          <cell r="F90">
            <v>27876.28</v>
          </cell>
        </row>
        <row r="91">
          <cell r="F91">
            <v>25565.15</v>
          </cell>
        </row>
        <row r="92">
          <cell r="F92">
            <v>19241.490000000002</v>
          </cell>
        </row>
        <row r="108">
          <cell r="F108">
            <v>294635684.40819997</v>
          </cell>
        </row>
        <row r="109">
          <cell r="F109">
            <v>107093370.54520001</v>
          </cell>
        </row>
        <row r="110">
          <cell r="F110">
            <v>100075987.48370002</v>
          </cell>
        </row>
        <row r="111">
          <cell r="F111">
            <v>64138314.741799995</v>
          </cell>
        </row>
      </sheetData>
      <sheetData sheetId="30">
        <row r="16">
          <cell r="F16">
            <v>0</v>
          </cell>
        </row>
        <row r="17">
          <cell r="F17">
            <v>0</v>
          </cell>
        </row>
        <row r="36">
          <cell r="F36">
            <v>0</v>
          </cell>
        </row>
        <row r="37">
          <cell r="F37">
            <v>1383.18</v>
          </cell>
        </row>
        <row r="38">
          <cell r="F38">
            <v>1228.54</v>
          </cell>
        </row>
        <row r="39">
          <cell r="F39">
            <v>252.48</v>
          </cell>
        </row>
        <row r="44">
          <cell r="F44">
            <v>0</v>
          </cell>
        </row>
        <row r="45">
          <cell r="F45">
            <v>-9742.6</v>
          </cell>
        </row>
        <row r="46">
          <cell r="F46">
            <v>-10984.949999999999</v>
          </cell>
        </row>
        <row r="47">
          <cell r="F47">
            <v>-3329.85</v>
          </cell>
        </row>
        <row r="52">
          <cell r="F52">
            <v>343653.9</v>
          </cell>
        </row>
        <row r="53">
          <cell r="F53">
            <v>133276.58000000002</v>
          </cell>
        </row>
        <row r="54">
          <cell r="F54">
            <v>112623.25</v>
          </cell>
        </row>
        <row r="55">
          <cell r="F55">
            <v>20991.469999999998</v>
          </cell>
        </row>
        <row r="60">
          <cell r="F60">
            <v>8176.4299999999994</v>
          </cell>
        </row>
        <row r="61">
          <cell r="F61">
            <v>62453.249267927742</v>
          </cell>
        </row>
        <row r="62">
          <cell r="F62">
            <v>63247.959776411612</v>
          </cell>
        </row>
        <row r="63">
          <cell r="F63">
            <v>16221.260955660651</v>
          </cell>
        </row>
        <row r="68">
          <cell r="F68">
            <v>1296892.6399999999</v>
          </cell>
        </row>
        <row r="69">
          <cell r="F69">
            <v>277243.45</v>
          </cell>
        </row>
        <row r="70">
          <cell r="F70">
            <v>378081.85</v>
          </cell>
        </row>
        <row r="71">
          <cell r="F71">
            <v>242627.55</v>
          </cell>
        </row>
        <row r="75">
          <cell r="F75">
            <v>122752.56</v>
          </cell>
        </row>
        <row r="76">
          <cell r="F76">
            <v>-15017.45</v>
          </cell>
        </row>
        <row r="77">
          <cell r="F77">
            <v>57298.25</v>
          </cell>
        </row>
        <row r="78">
          <cell r="F78">
            <v>-46633.15</v>
          </cell>
        </row>
        <row r="82">
          <cell r="F82">
            <v>634101.91</v>
          </cell>
        </row>
        <row r="83">
          <cell r="F83">
            <v>77772.63</v>
          </cell>
        </row>
        <row r="84">
          <cell r="F84">
            <v>76498.84</v>
          </cell>
        </row>
        <row r="85">
          <cell r="F85">
            <v>13516.86</v>
          </cell>
        </row>
        <row r="89">
          <cell r="F89">
            <v>171824.55</v>
          </cell>
        </row>
        <row r="90">
          <cell r="F90">
            <v>32701.94</v>
          </cell>
        </row>
        <row r="91">
          <cell r="F91">
            <v>29190.85</v>
          </cell>
        </row>
        <row r="92">
          <cell r="F92">
            <v>20275.28</v>
          </cell>
        </row>
        <row r="108">
          <cell r="F108">
            <v>409095948.52310002</v>
          </cell>
        </row>
        <row r="109">
          <cell r="F109">
            <v>125353962.28489998</v>
          </cell>
        </row>
        <row r="110">
          <cell r="F110">
            <v>112629562.63440001</v>
          </cell>
        </row>
        <row r="111">
          <cell r="F111">
            <v>67584276.436800003</v>
          </cell>
        </row>
      </sheetData>
      <sheetData sheetId="31">
        <row r="36">
          <cell r="F36">
            <v>0</v>
          </cell>
        </row>
        <row r="37">
          <cell r="F37">
            <v>1489.4099999999999</v>
          </cell>
        </row>
        <row r="38">
          <cell r="F38">
            <v>1299.4199999999998</v>
          </cell>
        </row>
        <row r="39">
          <cell r="F39">
            <v>258.62</v>
          </cell>
        </row>
        <row r="44">
          <cell r="F44">
            <v>0</v>
          </cell>
        </row>
        <row r="45">
          <cell r="F45">
            <v>-5956.5700000000006</v>
          </cell>
        </row>
        <row r="46">
          <cell r="F46">
            <v>-6240.13</v>
          </cell>
        </row>
        <row r="47">
          <cell r="F47">
            <v>-1933.5300000000002</v>
          </cell>
        </row>
        <row r="52">
          <cell r="F52">
            <v>161917.81999999998</v>
          </cell>
        </row>
        <row r="53">
          <cell r="F53">
            <v>71884.789999999994</v>
          </cell>
        </row>
        <row r="54">
          <cell r="F54">
            <v>57762.850000000006</v>
          </cell>
        </row>
        <row r="55">
          <cell r="F55">
            <v>10679.46</v>
          </cell>
        </row>
        <row r="60">
          <cell r="F60">
            <v>-15795.07</v>
          </cell>
        </row>
        <row r="64">
          <cell r="F64">
            <v>0</v>
          </cell>
        </row>
        <row r="68">
          <cell r="F68">
            <v>-19750.79</v>
          </cell>
        </row>
        <row r="69">
          <cell r="F69">
            <v>34166.338788526897</v>
          </cell>
        </row>
        <row r="70">
          <cell r="F70">
            <v>35800.658199182239</v>
          </cell>
        </row>
        <row r="71">
          <cell r="F71">
            <v>8630.2230122908659</v>
          </cell>
        </row>
        <row r="76">
          <cell r="F76">
            <v>1172835.6500000001</v>
          </cell>
        </row>
        <row r="77">
          <cell r="F77">
            <v>438495.47</v>
          </cell>
        </row>
        <row r="78">
          <cell r="F78">
            <v>436898.89</v>
          </cell>
        </row>
        <row r="79">
          <cell r="F79">
            <v>233960.98</v>
          </cell>
        </row>
        <row r="83">
          <cell r="F83">
            <v>-63164.82</v>
          </cell>
        </row>
        <row r="84">
          <cell r="F84">
            <v>22279.33</v>
          </cell>
        </row>
        <row r="85">
          <cell r="F85">
            <v>57608.83</v>
          </cell>
        </row>
        <row r="86">
          <cell r="F86">
            <v>-32264.240000000002</v>
          </cell>
        </row>
        <row r="90">
          <cell r="F90">
            <v>244850.06</v>
          </cell>
        </row>
        <row r="91">
          <cell r="F91">
            <v>65196.160000000003</v>
          </cell>
        </row>
        <row r="92">
          <cell r="F92">
            <v>55403.46</v>
          </cell>
        </row>
        <row r="93">
          <cell r="F93">
            <v>9221.83</v>
          </cell>
        </row>
        <row r="97">
          <cell r="F97">
            <v>94785.82</v>
          </cell>
        </row>
        <row r="98">
          <cell r="F98">
            <v>21291.759999999998</v>
          </cell>
        </row>
        <row r="99">
          <cell r="F99">
            <v>18474.2</v>
          </cell>
        </row>
        <row r="100">
          <cell r="F100">
            <v>11908.78</v>
          </cell>
        </row>
        <row r="116">
          <cell r="F116">
            <v>394888907.66869998</v>
          </cell>
        </row>
        <row r="117">
          <cell r="F117">
            <v>125296963.19490002</v>
          </cell>
        </row>
        <row r="118">
          <cell r="F118">
            <v>108646352.71389998</v>
          </cell>
        </row>
        <row r="119">
          <cell r="F119">
            <v>65348830.410700001</v>
          </cell>
        </row>
      </sheetData>
      <sheetData sheetId="32">
        <row r="36">
          <cell r="F36">
            <v>0</v>
          </cell>
        </row>
        <row r="37">
          <cell r="F37">
            <v>1593.39</v>
          </cell>
        </row>
        <row r="38">
          <cell r="F38">
            <v>1437.91</v>
          </cell>
        </row>
        <row r="39">
          <cell r="F39">
            <v>302.5</v>
          </cell>
        </row>
        <row r="44">
          <cell r="F44">
            <v>0</v>
          </cell>
        </row>
        <row r="45">
          <cell r="F45">
            <v>-5671.0700000000006</v>
          </cell>
        </row>
        <row r="46">
          <cell r="F46">
            <v>-6121.08</v>
          </cell>
        </row>
        <row r="47">
          <cell r="F47">
            <v>-2015.82</v>
          </cell>
        </row>
        <row r="52">
          <cell r="F52">
            <v>141334.24</v>
          </cell>
        </row>
        <row r="53">
          <cell r="F53">
            <v>68791.16</v>
          </cell>
        </row>
        <row r="54">
          <cell r="F54">
            <v>57020.89</v>
          </cell>
        </row>
        <row r="55">
          <cell r="F55">
            <v>11146.1</v>
          </cell>
        </row>
        <row r="60">
          <cell r="F60">
            <v>-13788.29</v>
          </cell>
        </row>
        <row r="64">
          <cell r="F64">
            <v>0</v>
          </cell>
        </row>
        <row r="68">
          <cell r="F68">
            <v>-17236.810000000001</v>
          </cell>
        </row>
        <row r="69">
          <cell r="F69">
            <v>32468.990058132247</v>
          </cell>
        </row>
        <row r="70">
          <cell r="F70">
            <v>35364.000294233309</v>
          </cell>
        </row>
        <row r="71">
          <cell r="F71">
            <v>9017.869647634443</v>
          </cell>
        </row>
        <row r="76">
          <cell r="F76">
            <v>1023805.17</v>
          </cell>
        </row>
        <row r="77">
          <cell r="F77">
            <v>423539.96</v>
          </cell>
        </row>
        <row r="78">
          <cell r="F78">
            <v>432339.35</v>
          </cell>
        </row>
        <row r="79">
          <cell r="F79">
            <v>249227.04</v>
          </cell>
        </row>
        <row r="83">
          <cell r="F83">
            <v>-55150.62</v>
          </cell>
        </row>
        <row r="84">
          <cell r="F84">
            <v>21717.38</v>
          </cell>
        </row>
        <row r="85">
          <cell r="F85">
            <v>56999.96</v>
          </cell>
        </row>
        <row r="86">
          <cell r="F86">
            <v>-34112.080000000002</v>
          </cell>
        </row>
        <row r="90">
          <cell r="F90">
            <v>213727.83000000002</v>
          </cell>
        </row>
        <row r="91">
          <cell r="F91">
            <v>62749.87</v>
          </cell>
        </row>
        <row r="92">
          <cell r="F92">
            <v>54849.02</v>
          </cell>
        </row>
        <row r="93">
          <cell r="F93">
            <v>9746.31</v>
          </cell>
        </row>
        <row r="97">
          <cell r="F97">
            <v>82734.02</v>
          </cell>
        </row>
        <row r="98">
          <cell r="F98">
            <v>20514.7</v>
          </cell>
        </row>
        <row r="99">
          <cell r="F99">
            <v>18283.009999999998</v>
          </cell>
        </row>
        <row r="100">
          <cell r="F100">
            <v>12530.97</v>
          </cell>
        </row>
        <row r="116">
          <cell r="F116">
            <v>344714484.33890009</v>
          </cell>
        </row>
        <row r="117">
          <cell r="F117">
            <v>120671398.91690005</v>
          </cell>
        </row>
        <row r="118">
          <cell r="F118">
            <v>107547101.61389999</v>
          </cell>
        </row>
        <row r="119">
          <cell r="F119">
            <v>69616491.926200002</v>
          </cell>
        </row>
      </sheetData>
      <sheetData sheetId="33">
        <row r="36">
          <cell r="F36">
            <v>0</v>
          </cell>
        </row>
        <row r="37">
          <cell r="F37">
            <v>1479.44</v>
          </cell>
        </row>
        <row r="38">
          <cell r="F38">
            <v>1436.88</v>
          </cell>
        </row>
        <row r="39">
          <cell r="F39">
            <v>253.78</v>
          </cell>
        </row>
        <row r="44">
          <cell r="F44">
            <v>0</v>
          </cell>
        </row>
        <row r="45">
          <cell r="F45">
            <v>-4687.03</v>
          </cell>
        </row>
        <row r="46">
          <cell r="F46">
            <v>-5451.22</v>
          </cell>
        </row>
        <row r="47">
          <cell r="F47">
            <v>-1593.03</v>
          </cell>
        </row>
        <row r="52">
          <cell r="F52">
            <v>99802.89</v>
          </cell>
        </row>
        <row r="53">
          <cell r="F53">
            <v>57281.46</v>
          </cell>
        </row>
        <row r="54">
          <cell r="F54">
            <v>51102.78</v>
          </cell>
        </row>
        <row r="55">
          <cell r="F55">
            <v>9040.9</v>
          </cell>
        </row>
        <row r="60">
          <cell r="F60">
            <v>-9738.7000000000007</v>
          </cell>
        </row>
        <row r="64">
          <cell r="F64">
            <v>0</v>
          </cell>
        </row>
        <row r="68">
          <cell r="F68">
            <v>-12182.93</v>
          </cell>
        </row>
        <row r="69">
          <cell r="F69">
            <v>27024.731180912258</v>
          </cell>
        </row>
        <row r="70">
          <cell r="F70">
            <v>31677.086016641806</v>
          </cell>
        </row>
        <row r="71">
          <cell r="F71">
            <v>6210.26280244594</v>
          </cell>
        </row>
        <row r="76">
          <cell r="F76">
            <v>723023.52</v>
          </cell>
        </row>
        <row r="77">
          <cell r="F77">
            <v>352740.13</v>
          </cell>
        </row>
        <row r="78">
          <cell r="F78">
            <v>387529.75</v>
          </cell>
        </row>
        <row r="79">
          <cell r="F79">
            <v>209150.4</v>
          </cell>
        </row>
        <row r="83">
          <cell r="F83">
            <v>-38958.199999999997</v>
          </cell>
        </row>
        <row r="84">
          <cell r="F84">
            <v>18086.009999999998</v>
          </cell>
        </row>
        <row r="85">
          <cell r="F85">
            <v>51092.23</v>
          </cell>
        </row>
        <row r="86">
          <cell r="F86">
            <v>-28474.73</v>
          </cell>
        </row>
        <row r="90">
          <cell r="F90">
            <v>150925.63</v>
          </cell>
        </row>
        <row r="91">
          <cell r="F91">
            <v>52261.54</v>
          </cell>
        </row>
        <row r="92">
          <cell r="F92">
            <v>49164.22</v>
          </cell>
        </row>
        <row r="93">
          <cell r="F93">
            <v>7865.34</v>
          </cell>
        </row>
        <row r="97">
          <cell r="F97">
            <v>58429.08</v>
          </cell>
        </row>
        <row r="98">
          <cell r="F98">
            <v>17085.48</v>
          </cell>
        </row>
        <row r="99">
          <cell r="F99">
            <v>16388.07</v>
          </cell>
        </row>
        <row r="100">
          <cell r="F100">
            <v>10662.4</v>
          </cell>
        </row>
        <row r="116">
          <cell r="F116">
            <v>243448562.98229998</v>
          </cell>
        </row>
        <row r="117">
          <cell r="F117">
            <v>100501324.66429998</v>
          </cell>
        </row>
        <row r="118">
          <cell r="F118">
            <v>96400433.28110002</v>
          </cell>
        </row>
        <row r="119">
          <cell r="F119">
            <v>57752852.030699998</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2022"/>
      <sheetName val="Jun 2022"/>
      <sheetName val="Jul 2022"/>
      <sheetName val="Aug 2022"/>
      <sheetName val="Sep 2022"/>
      <sheetName val="Oct 2022"/>
    </sheetNames>
    <sheetDataSet>
      <sheetData sheetId="0">
        <row r="43">
          <cell r="E43">
            <v>1.81941E-3</v>
          </cell>
        </row>
      </sheetData>
      <sheetData sheetId="1">
        <row r="42">
          <cell r="E42">
            <v>2.2438499999999999E-3</v>
          </cell>
        </row>
      </sheetData>
      <sheetData sheetId="2">
        <row r="43">
          <cell r="E43">
            <v>2.7832400000000002E-3</v>
          </cell>
        </row>
      </sheetData>
      <sheetData sheetId="3">
        <row r="43">
          <cell r="E43">
            <v>3.0573900000000001E-3</v>
          </cell>
        </row>
      </sheetData>
      <sheetData sheetId="4">
        <row r="42">
          <cell r="E42">
            <v>3.4681400000000002E-3</v>
          </cell>
        </row>
      </sheetData>
      <sheetData sheetId="5">
        <row r="43">
          <cell r="E43">
            <v>3.92758E-3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52022 06072022"/>
      <sheetName val="Input"/>
      <sheetName val="Program Descriptions"/>
    </sheetNames>
    <sheetDataSet>
      <sheetData sheetId="0">
        <row r="27">
          <cell r="N27">
            <v>506774.07</v>
          </cell>
          <cell r="O27">
            <v>132290.51</v>
          </cell>
          <cell r="Q27">
            <v>46132.23</v>
          </cell>
          <cell r="R27">
            <v>404759.33999999991</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62022 07072022"/>
      <sheetName val="Input"/>
      <sheetName val="Program Descriptions"/>
    </sheetNames>
    <sheetDataSet>
      <sheetData sheetId="0">
        <row r="27">
          <cell r="N27">
            <v>1084676.9100000001</v>
          </cell>
          <cell r="O27">
            <v>434121.11</v>
          </cell>
          <cell r="Q27">
            <v>258416.41</v>
          </cell>
          <cell r="R27">
            <v>105213.37999999996</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72022 08052022"/>
      <sheetName val="Input"/>
      <sheetName val="Program Descriptions"/>
    </sheetNames>
    <sheetDataSet>
      <sheetData sheetId="0">
        <row r="27">
          <cell r="N27">
            <v>931260.83999999985</v>
          </cell>
          <cell r="O27">
            <v>300012.66000000003</v>
          </cell>
          <cell r="Q27">
            <v>105303.01000000001</v>
          </cell>
          <cell r="R27">
            <v>70928.379999999961</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0"/>
  <sheetViews>
    <sheetView tabSelected="1" zoomScaleNormal="100" workbookViewId="0">
      <pane xSplit="2" ySplit="3" topLeftCell="C4" activePane="bottomRight" state="frozen"/>
      <selection activeCell="J8" sqref="J8"/>
      <selection pane="topRight" activeCell="J8" sqref="J8"/>
      <selection pane="bottomLeft" activeCell="J8" sqref="J8"/>
      <selection pane="bottomRight" activeCell="H22" sqref="H22"/>
    </sheetView>
  </sheetViews>
  <sheetFormatPr defaultRowHeight="14.5" outlineLevelCol="1" x14ac:dyDescent="0.35"/>
  <cols>
    <col min="2" max="2" width="25.1796875" customWidth="1"/>
    <col min="3" max="4" width="16.7265625" bestFit="1" customWidth="1"/>
    <col min="5" max="5" width="15.453125" bestFit="1" customWidth="1"/>
    <col min="6" max="6" width="14.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2" width="13.7265625" bestFit="1" customWidth="1"/>
    <col min="13" max="13" width="14.26953125" bestFit="1" customWidth="1"/>
    <col min="14" max="14" width="11.7265625" bestFit="1" customWidth="1"/>
    <col min="15" max="15" width="37.1796875" hidden="1" customWidth="1" outlineLevel="1"/>
    <col min="16" max="16" width="19.26953125" hidden="1" customWidth="1" outlineLevel="1"/>
    <col min="17" max="17" width="16" style="46" hidden="1" customWidth="1" outlineLevel="1"/>
    <col min="18" max="18" width="9.1796875" hidden="1" customWidth="1" outlineLevel="1"/>
    <col min="19" max="20" width="16.7265625" hidden="1" customWidth="1" outlineLevel="1"/>
    <col min="21" max="21" width="16.7265625" style="46" hidden="1" customWidth="1" outlineLevel="1"/>
    <col min="22" max="22" width="16.7265625" hidden="1" customWidth="1" outlineLevel="1"/>
    <col min="23" max="23" width="9.1796875" hidden="1" customWidth="1" outlineLevel="1"/>
    <col min="24" max="26" width="16.7265625" hidden="1" customWidth="1" outlineLevel="1"/>
    <col min="27" max="27" width="16" hidden="1" customWidth="1" outlineLevel="1"/>
    <col min="28" max="28" width="12" hidden="1" customWidth="1" outlineLevel="1"/>
    <col min="29" max="29" width="8.7265625" collapsed="1"/>
  </cols>
  <sheetData>
    <row r="1" spans="1:28" x14ac:dyDescent="0.35">
      <c r="A1" s="3" t="str">
        <f>+'PPC Cycle 3'!A1</f>
        <v>Evergy Missouri West, Inc. - DSIM Rider Update Filed 12/02/2022</v>
      </c>
    </row>
    <row r="2" spans="1:28" ht="15" thickBot="1" x14ac:dyDescent="0.4">
      <c r="H2" s="46"/>
      <c r="I2" s="46"/>
      <c r="J2" s="48"/>
      <c r="K2" s="48"/>
    </row>
    <row r="3" spans="1:28" ht="27.5" thickBot="1" x14ac:dyDescent="0.4">
      <c r="B3" s="87" t="s">
        <v>7</v>
      </c>
      <c r="C3" s="130" t="s">
        <v>19</v>
      </c>
      <c r="D3" s="130" t="s">
        <v>20</v>
      </c>
      <c r="E3" s="130" t="s">
        <v>57</v>
      </c>
      <c r="F3" s="130" t="s">
        <v>21</v>
      </c>
      <c r="G3" s="130" t="s">
        <v>38</v>
      </c>
      <c r="H3" s="89" t="s">
        <v>28</v>
      </c>
      <c r="I3" s="39"/>
      <c r="J3" s="88" t="s">
        <v>13</v>
      </c>
      <c r="K3" s="89" t="s">
        <v>56</v>
      </c>
      <c r="L3" s="89" t="s">
        <v>72</v>
      </c>
      <c r="M3" s="89" t="s">
        <v>73</v>
      </c>
    </row>
    <row r="4" spans="1:28" ht="15" thickBot="1" x14ac:dyDescent="0.4">
      <c r="B4" s="90" t="s">
        <v>24</v>
      </c>
      <c r="C4" s="128">
        <f t="shared" ref="C4:F7" si="0">C12+C20</f>
        <v>8512630.7323199995</v>
      </c>
      <c r="D4" s="129">
        <f t="shared" si="0"/>
        <v>2285496.9216472004</v>
      </c>
      <c r="E4" s="129">
        <f t="shared" si="0"/>
        <v>368042.3900655997</v>
      </c>
      <c r="F4" s="129">
        <f t="shared" si="0"/>
        <v>-491961.58520959987</v>
      </c>
      <c r="G4" s="132">
        <f>+'PPC Cycle 3'!B5</f>
        <v>3647315115.8699999</v>
      </c>
      <c r="H4" s="283">
        <f>ROUND(SUM(C4:F4)/G4,5)</f>
        <v>2.9299999999999999E-3</v>
      </c>
      <c r="I4" s="284"/>
      <c r="J4" s="305">
        <f>ROUND((C12+C20)/G4,5)</f>
        <v>2.33E-3</v>
      </c>
      <c r="K4" s="133">
        <f>ROUND((D12+D20)/G4,5)</f>
        <v>6.3000000000000003E-4</v>
      </c>
      <c r="L4" s="133">
        <f>ROUND((E12+E20)/G4,5)</f>
        <v>1E-4</v>
      </c>
      <c r="M4" s="133">
        <f>ROUND((F12+F20)/G4,5)</f>
        <v>-1.2999999999999999E-4</v>
      </c>
      <c r="N4" s="258">
        <f>+H4-SUM(J4:M4)</f>
        <v>0</v>
      </c>
      <c r="O4" s="266"/>
      <c r="P4" s="266"/>
      <c r="Q4" s="266"/>
      <c r="R4" s="266"/>
      <c r="S4" s="266"/>
    </row>
    <row r="5" spans="1:28" ht="15" thickBot="1" x14ac:dyDescent="0.4">
      <c r="B5" s="90" t="s">
        <v>107</v>
      </c>
      <c r="C5" s="128">
        <f t="shared" si="0"/>
        <v>1962192.5399999998</v>
      </c>
      <c r="D5" s="129">
        <f t="shared" si="0"/>
        <v>709047.55624000006</v>
      </c>
      <c r="E5" s="129">
        <f t="shared" si="0"/>
        <v>231078.09703999996</v>
      </c>
      <c r="F5" s="129">
        <f t="shared" si="0"/>
        <v>-1081.3699999999999</v>
      </c>
      <c r="G5" s="132">
        <f>+'PPC Cycle 3'!B6</f>
        <v>1151052081</v>
      </c>
      <c r="H5" s="283">
        <f>ROUND(SUM(C5:F5)/G5,5)</f>
        <v>2.5200000000000001E-3</v>
      </c>
      <c r="I5" s="284"/>
      <c r="J5" s="254">
        <f>ROUND((C13+C21)/G5,5)</f>
        <v>1.6999999999999999E-3</v>
      </c>
      <c r="K5" s="292">
        <f>ROUND((D13+D21)/G5,5)</f>
        <v>6.2E-4</v>
      </c>
      <c r="L5" s="133">
        <f>ROUND((E13+E21)/G5,5)</f>
        <v>2.0000000000000001E-4</v>
      </c>
      <c r="M5" s="133">
        <f>ROUND((F13+F21)/G5,5)</f>
        <v>0</v>
      </c>
      <c r="N5" s="258">
        <f t="shared" ref="N5:N7" si="1">+H5-SUM(J5:M5)</f>
        <v>0</v>
      </c>
      <c r="O5" s="266"/>
      <c r="P5" s="266"/>
      <c r="Q5" s="266"/>
      <c r="R5" s="266"/>
      <c r="S5" s="266"/>
    </row>
    <row r="6" spans="1:28" s="46" customFormat="1" ht="15" thickBot="1" x14ac:dyDescent="0.4">
      <c r="B6" s="90" t="s">
        <v>108</v>
      </c>
      <c r="C6" s="128">
        <f t="shared" si="0"/>
        <v>3730191.9899999998</v>
      </c>
      <c r="D6" s="129">
        <f t="shared" si="0"/>
        <v>893000.47120000015</v>
      </c>
      <c r="E6" s="129">
        <f t="shared" si="0"/>
        <v>252020.13039999999</v>
      </c>
      <c r="F6" s="129">
        <f t="shared" si="0"/>
        <v>-1253.0899999999999</v>
      </c>
      <c r="G6" s="132">
        <f>+'PPC Cycle 3'!B7</f>
        <v>1104761271</v>
      </c>
      <c r="H6" s="283">
        <f>ROUND(SUM(C6:F6)/G6,5)</f>
        <v>4.4099999999999999E-3</v>
      </c>
      <c r="I6" s="284"/>
      <c r="J6" s="303">
        <f>ROUND((C14+C22)/G6,5)-0.00001</f>
        <v>3.3700000000000002E-3</v>
      </c>
      <c r="K6" s="292">
        <f>ROUND((D14+D22)/G6,5)</f>
        <v>8.0999999999999996E-4</v>
      </c>
      <c r="L6" s="133">
        <f>ROUND((E14+E22)/G6,5)</f>
        <v>2.3000000000000001E-4</v>
      </c>
      <c r="M6" s="133">
        <f>ROUND((F14+F22)/G6,5)</f>
        <v>0</v>
      </c>
      <c r="N6" s="258">
        <f t="shared" si="1"/>
        <v>0</v>
      </c>
      <c r="O6" s="266"/>
      <c r="P6" s="266"/>
      <c r="Q6" s="266"/>
      <c r="R6" s="266"/>
      <c r="S6" s="266"/>
    </row>
    <row r="7" spans="1:28" s="46" customFormat="1" ht="15" thickBot="1" x14ac:dyDescent="0.4">
      <c r="B7" s="90" t="s">
        <v>109</v>
      </c>
      <c r="C7" s="128">
        <f t="shared" si="0"/>
        <v>1309533.8600000003</v>
      </c>
      <c r="D7" s="129">
        <f t="shared" si="0"/>
        <v>218636.57746</v>
      </c>
      <c r="E7" s="129">
        <f t="shared" si="0"/>
        <v>132707.63102</v>
      </c>
      <c r="F7" s="129">
        <f t="shared" si="0"/>
        <v>-423.48</v>
      </c>
      <c r="G7" s="132">
        <f>+'PPC Cycle 3'!B8</f>
        <v>812954856</v>
      </c>
      <c r="H7" s="283">
        <f>ROUND(SUM(C7:F7)/G7,5)</f>
        <v>2.0400000000000001E-3</v>
      </c>
      <c r="I7" s="284"/>
      <c r="J7" s="254">
        <f>ROUND((C15+C23)/G7,5)</f>
        <v>1.6100000000000001E-3</v>
      </c>
      <c r="K7" s="133">
        <f>ROUND((D15+D23)/G7,5)</f>
        <v>2.7E-4</v>
      </c>
      <c r="L7" s="133">
        <f>ROUND((E15+E23)/G7,5)</f>
        <v>1.6000000000000001E-4</v>
      </c>
      <c r="M7" s="133">
        <f>ROUND((F15+F23)/G7,5)</f>
        <v>0</v>
      </c>
      <c r="N7" s="258">
        <f t="shared" si="1"/>
        <v>0</v>
      </c>
      <c r="O7" s="266"/>
      <c r="P7" s="266"/>
      <c r="Q7" s="266"/>
      <c r="R7" s="266"/>
      <c r="S7" s="266"/>
    </row>
    <row r="8" spans="1:28" x14ac:dyDescent="0.35">
      <c r="C8" s="127"/>
      <c r="D8" s="127"/>
      <c r="E8" s="127"/>
      <c r="F8" s="127"/>
      <c r="G8" s="126"/>
      <c r="H8" s="285"/>
      <c r="I8" s="285"/>
      <c r="J8" s="285"/>
    </row>
    <row r="9" spans="1:28" x14ac:dyDescent="0.35">
      <c r="C9" s="127"/>
      <c r="D9" s="127"/>
      <c r="E9" s="127"/>
      <c r="F9" s="127"/>
      <c r="G9" s="126"/>
      <c r="H9" s="46"/>
      <c r="I9" s="46"/>
      <c r="J9" s="17"/>
      <c r="K9" s="17"/>
      <c r="L9" s="46"/>
      <c r="M9" s="46"/>
    </row>
    <row r="10" spans="1:28" ht="15" thickBot="1" x14ac:dyDescent="0.4">
      <c r="C10" s="127"/>
      <c r="D10" s="127"/>
      <c r="E10" s="127"/>
      <c r="F10" s="127"/>
      <c r="G10" s="126"/>
      <c r="H10" s="46"/>
      <c r="I10" s="46"/>
      <c r="J10" s="17"/>
      <c r="K10" s="17"/>
      <c r="L10" s="46"/>
      <c r="M10" s="46"/>
    </row>
    <row r="11" spans="1:28" ht="15" thickBot="1" x14ac:dyDescent="0.4">
      <c r="B11" s="87" t="s">
        <v>7</v>
      </c>
      <c r="C11" s="131" t="s">
        <v>6</v>
      </c>
      <c r="D11" s="131" t="s">
        <v>16</v>
      </c>
      <c r="E11" s="131" t="s">
        <v>58</v>
      </c>
      <c r="F11" s="131" t="s">
        <v>17</v>
      </c>
      <c r="G11" s="126"/>
      <c r="H11" s="46"/>
      <c r="I11" s="46"/>
      <c r="J11" s="17"/>
      <c r="K11" s="17"/>
      <c r="L11" s="46"/>
      <c r="M11" s="46"/>
      <c r="O11" s="131" t="s">
        <v>74</v>
      </c>
      <c r="P11" s="131" t="s">
        <v>75</v>
      </c>
      <c r="Q11" s="131" t="s">
        <v>82</v>
      </c>
      <c r="R11" s="46"/>
      <c r="S11" s="131" t="s">
        <v>76</v>
      </c>
      <c r="T11" s="131" t="s">
        <v>77</v>
      </c>
      <c r="U11" s="131" t="s">
        <v>103</v>
      </c>
      <c r="V11" s="131" t="s">
        <v>93</v>
      </c>
      <c r="X11" s="131" t="s">
        <v>114</v>
      </c>
      <c r="Y11" s="131" t="s">
        <v>115</v>
      </c>
      <c r="Z11" s="131" t="s">
        <v>116</v>
      </c>
      <c r="AA11" s="131" t="s">
        <v>117</v>
      </c>
    </row>
    <row r="12" spans="1:28" ht="15" thickBot="1" x14ac:dyDescent="0.4">
      <c r="B12" s="90" t="s">
        <v>24</v>
      </c>
      <c r="C12" s="129">
        <f>+'PPC Cycle 3'!C5</f>
        <v>8698442.5199999996</v>
      </c>
      <c r="D12" s="129">
        <f>'PTD Cycle 2'!C6+'PTD Cycle 3'!C6</f>
        <v>1771275.4100000001</v>
      </c>
      <c r="E12" s="129">
        <f>+'EO Cycle 2'!G7+'EO Cycle 3'!G7</f>
        <v>-59055.98000000001</v>
      </c>
      <c r="F12" s="128">
        <f>+'OA Cycle 3'!E9</f>
        <v>-426929.66999999993</v>
      </c>
      <c r="G12" s="126"/>
      <c r="H12" s="46"/>
      <c r="I12" s="46"/>
      <c r="J12" s="46"/>
      <c r="K12" s="46"/>
      <c r="L12" s="46"/>
      <c r="M12" s="46"/>
      <c r="O12" s="181">
        <v>0</v>
      </c>
      <c r="P12" s="181">
        <v>0</v>
      </c>
      <c r="Q12" s="223">
        <v>0</v>
      </c>
      <c r="R12" s="156"/>
      <c r="S12" s="155">
        <v>0</v>
      </c>
      <c r="T12" s="155">
        <f>ROUND(+'PTD Cycle 2'!C6/'tariff tables'!G4,5)</f>
        <v>0</v>
      </c>
      <c r="U12" s="155">
        <f>ROUND('EO Cycle 2'!G7/'tariff tables'!G4,5)</f>
        <v>-6.9999999999999994E-5</v>
      </c>
      <c r="V12" s="155">
        <f>ROUND(0/'tariff tables'!G4,5)</f>
        <v>0</v>
      </c>
      <c r="X12" s="188">
        <f>ROUND('PPC Cycle 3'!C5/'tariff tables'!$G4,5)</f>
        <v>2.3800000000000002E-3</v>
      </c>
      <c r="Y12" s="188">
        <f>ROUND('PTD Cycle 3'!C6/'tariff tables'!G4,5)</f>
        <v>4.8999999999999998E-4</v>
      </c>
      <c r="Z12" s="188">
        <f>ROUND('EO Cycle 3'!G7/'tariff tables'!G4,5)</f>
        <v>6.0000000000000002E-5</v>
      </c>
      <c r="AA12" s="188">
        <f>ROUND('OA Cycle 3'!E9/'tariff tables'!G4,5)</f>
        <v>-1.2E-4</v>
      </c>
      <c r="AB12" s="156">
        <f>SUM(O12:AA12,O20:AA20)</f>
        <v>2.9300000000000003E-3</v>
      </c>
    </row>
    <row r="13" spans="1:28" ht="15" thickBot="1" x14ac:dyDescent="0.4">
      <c r="B13" s="90" t="s">
        <v>107</v>
      </c>
      <c r="C13" s="129">
        <f>+'PPC Cycle 3'!C6</f>
        <v>2698134.1799999997</v>
      </c>
      <c r="D13" s="129">
        <f>'PTD Cycle 2'!C10+'PTD Cycle 3'!C7</f>
        <v>685557.77</v>
      </c>
      <c r="E13" s="129">
        <f>+'EO Cycle 2'!G11+'EO Cycle 3'!G11</f>
        <v>75246.789999999994</v>
      </c>
      <c r="F13" s="128">
        <f>+'OA Cycle 3'!B14</f>
        <v>-1081.3699999999999</v>
      </c>
      <c r="G13" s="126"/>
      <c r="H13" s="46"/>
      <c r="I13" s="46"/>
      <c r="J13" s="46"/>
      <c r="K13" s="46"/>
      <c r="L13" s="46"/>
      <c r="M13" s="46"/>
      <c r="O13" s="181">
        <v>0</v>
      </c>
      <c r="P13" s="181">
        <v>0</v>
      </c>
      <c r="Q13" s="223">
        <v>0</v>
      </c>
      <c r="R13" s="156"/>
      <c r="S13" s="155">
        <v>0</v>
      </c>
      <c r="T13" s="181">
        <f>ROUND(+'PTD Cycle 2'!C10/'tariff tables'!G5,5)</f>
        <v>0</v>
      </c>
      <c r="U13" s="223">
        <f>ROUND('EO Cycle 2'!G11/'tariff tables'!G5,5)</f>
        <v>2.0000000000000002E-5</v>
      </c>
      <c r="V13" s="181">
        <f>ROUND('OA Cycle 2'!B13/'tariff tables'!G5,5)</f>
        <v>0</v>
      </c>
      <c r="X13" s="188">
        <f>ROUND('PPC Cycle 3'!C6/'tariff tables'!$G5,5)</f>
        <v>2.3400000000000001E-3</v>
      </c>
      <c r="Y13" s="188">
        <f>ROUND('PTD Cycle 3'!C7/'tariff tables'!G5,5)</f>
        <v>5.9999999999999995E-4</v>
      </c>
      <c r="Z13" s="188">
        <f>ROUND('EO Cycle 3'!G11/'tariff tables'!G5,5)</f>
        <v>4.0000000000000003E-5</v>
      </c>
      <c r="AA13" s="188">
        <f>ROUND(0/'tariff tables'!G5,5)</f>
        <v>0</v>
      </c>
      <c r="AB13" s="156">
        <f>SUM(O13:AA13,O21:AA21)</f>
        <v>2.5200000000000001E-3</v>
      </c>
    </row>
    <row r="14" spans="1:28" s="46" customFormat="1" ht="15" thickBot="1" x14ac:dyDescent="0.4">
      <c r="B14" s="90" t="s">
        <v>108</v>
      </c>
      <c r="C14" s="129">
        <f>+'PPC Cycle 3'!C7</f>
        <v>3661187.4</v>
      </c>
      <c r="D14" s="129">
        <f>'PTD Cycle 2'!C11+'PTD Cycle 3'!C8</f>
        <v>641550.76</v>
      </c>
      <c r="E14" s="129">
        <f>+'EO Cycle 2'!G12+'EO Cycle 3'!G12</f>
        <v>61635.09</v>
      </c>
      <c r="F14" s="128">
        <f>+'OA Cycle 3'!B15</f>
        <v>-1253.0899999999999</v>
      </c>
      <c r="G14" s="126"/>
      <c r="O14" s="181">
        <v>0</v>
      </c>
      <c r="P14" s="181">
        <v>0</v>
      </c>
      <c r="Q14" s="238">
        <v>0</v>
      </c>
      <c r="R14" s="239"/>
      <c r="S14" s="188">
        <v>0</v>
      </c>
      <c r="T14" s="240">
        <f>ROUND(+'PTD Cycle 2'!C11/'tariff tables'!G6,5)</f>
        <v>0</v>
      </c>
      <c r="U14" s="238">
        <f>ROUND('EO Cycle 2'!G12/'tariff tables'!G6,5)</f>
        <v>2.0000000000000002E-5</v>
      </c>
      <c r="V14" s="181">
        <f>ROUND('OA Cycle 2'!B14/'tariff tables'!G6,5)</f>
        <v>0</v>
      </c>
      <c r="X14" s="304">
        <f>ROUND('PPC Cycle 3'!C7/'tariff tables'!$G6,5)-0.00001</f>
        <v>3.3E-3</v>
      </c>
      <c r="Y14" s="304">
        <f>ROUND('PTD Cycle 3'!C8/'tariff tables'!G6,5)+0.00001</f>
        <v>5.9000000000000003E-4</v>
      </c>
      <c r="Z14" s="188">
        <f>ROUND('EO Cycle 3'!G12/'tariff tables'!G6,5)+0.00001</f>
        <v>4.0000000000000003E-5</v>
      </c>
      <c r="AA14" s="188">
        <f>ROUND(0/'tariff tables'!G6,5)</f>
        <v>0</v>
      </c>
      <c r="AB14" s="156">
        <f>SUM(O14:AA14,O22:AA22)</f>
        <v>4.4100000000000016E-3</v>
      </c>
    </row>
    <row r="15" spans="1:28" s="46" customFormat="1" ht="15" thickBot="1" x14ac:dyDescent="0.4">
      <c r="B15" s="90" t="s">
        <v>109</v>
      </c>
      <c r="C15" s="129">
        <f>+'PPC Cycle 3'!C8</f>
        <v>2027280.2799999998</v>
      </c>
      <c r="D15" s="129">
        <f>'PTD Cycle 2'!C12+'PTD Cycle 3'!C9</f>
        <v>126767.53</v>
      </c>
      <c r="E15" s="129">
        <f>+'EO Cycle 2'!G13+'EO Cycle 3'!G13</f>
        <v>27354.950000000004</v>
      </c>
      <c r="F15" s="128">
        <f>+'OA Cycle 3'!B16</f>
        <v>-423.48</v>
      </c>
      <c r="G15" s="126"/>
      <c r="O15" s="181">
        <v>0</v>
      </c>
      <c r="P15" s="181">
        <v>0</v>
      </c>
      <c r="Q15" s="238">
        <v>0</v>
      </c>
      <c r="R15" s="239"/>
      <c r="S15" s="188">
        <v>0</v>
      </c>
      <c r="T15" s="240">
        <f>ROUND(+'PTD Cycle 2'!C12/'tariff tables'!G7,5)</f>
        <v>0</v>
      </c>
      <c r="U15" s="238">
        <f>ROUND('EO Cycle 2'!G13/'tariff tables'!G7,5)</f>
        <v>1.0000000000000001E-5</v>
      </c>
      <c r="V15" s="181">
        <f>ROUND('OA Cycle 2'!B15/'tariff tables'!G7,5)</f>
        <v>0</v>
      </c>
      <c r="X15" s="304">
        <f>ROUND('PPC Cycle 3'!C8/'tariff tables'!$G7,5)+0.00001</f>
        <v>2.5000000000000001E-3</v>
      </c>
      <c r="Y15" s="304">
        <f>ROUND('PTD Cycle 3'!C9/'tariff tables'!G7,5)-0.00001</f>
        <v>1.5000000000000001E-4</v>
      </c>
      <c r="Z15" s="188">
        <f>ROUND('EO Cycle 3'!G13/'tariff tables'!G7,5)-0.00001</f>
        <v>1.9999999999999998E-5</v>
      </c>
      <c r="AA15" s="188">
        <f>ROUND(0/'tariff tables'!G7,5)</f>
        <v>0</v>
      </c>
      <c r="AB15" s="156">
        <f>SUM(O15:AA15,O23:AA23)</f>
        <v>2.0400000000000001E-3</v>
      </c>
    </row>
    <row r="16" spans="1:28" x14ac:dyDescent="0.35">
      <c r="C16" s="127"/>
      <c r="D16" s="127"/>
      <c r="E16" s="127"/>
      <c r="F16" s="127"/>
      <c r="G16" s="126"/>
      <c r="J16" s="17"/>
      <c r="K16" s="17"/>
      <c r="O16" s="182"/>
      <c r="P16" s="182"/>
      <c r="Q16" s="241"/>
      <c r="R16" s="239"/>
      <c r="S16" s="239"/>
      <c r="T16" s="239"/>
      <c r="U16" s="239"/>
      <c r="V16" s="156"/>
      <c r="X16" s="239"/>
      <c r="Y16" s="239"/>
      <c r="Z16" s="239"/>
      <c r="AA16" s="239"/>
    </row>
    <row r="17" spans="2:27" x14ac:dyDescent="0.35">
      <c r="C17" s="127"/>
      <c r="D17" s="127"/>
      <c r="E17" s="127"/>
      <c r="F17" s="127"/>
      <c r="G17" s="126"/>
      <c r="J17" s="17"/>
      <c r="K17" s="17"/>
      <c r="O17" s="182"/>
      <c r="P17" s="182"/>
      <c r="Q17" s="241"/>
      <c r="R17" s="239"/>
      <c r="S17" s="239"/>
      <c r="T17" s="239"/>
      <c r="U17" s="239"/>
      <c r="V17" s="156"/>
      <c r="X17" s="239"/>
      <c r="Y17" s="239"/>
      <c r="Z17" s="239"/>
      <c r="AA17" s="239"/>
    </row>
    <row r="18" spans="2:27" ht="15" thickBot="1" x14ac:dyDescent="0.4">
      <c r="C18" s="127"/>
      <c r="D18" s="127"/>
      <c r="E18" s="127"/>
      <c r="F18" s="127"/>
      <c r="G18" s="126"/>
      <c r="J18" s="17"/>
      <c r="K18" s="17"/>
      <c r="O18" s="182"/>
      <c r="P18" s="182"/>
      <c r="Q18" s="241"/>
      <c r="R18" s="239"/>
      <c r="S18" s="239"/>
      <c r="T18" s="239"/>
      <c r="U18" s="239"/>
      <c r="V18" s="239"/>
      <c r="W18" s="285"/>
      <c r="X18" s="239"/>
      <c r="Y18" s="239"/>
      <c r="Z18" s="239"/>
      <c r="AA18" s="239"/>
    </row>
    <row r="19" spans="2:27" ht="15" thickBot="1" x14ac:dyDescent="0.4">
      <c r="B19" s="87" t="s">
        <v>7</v>
      </c>
      <c r="C19" s="131" t="s">
        <v>4</v>
      </c>
      <c r="D19" s="131" t="s">
        <v>9</v>
      </c>
      <c r="E19" s="131" t="s">
        <v>59</v>
      </c>
      <c r="F19" s="131" t="s">
        <v>18</v>
      </c>
      <c r="G19" s="126"/>
      <c r="O19" s="183" t="s">
        <v>78</v>
      </c>
      <c r="P19" s="183" t="s">
        <v>79</v>
      </c>
      <c r="Q19" s="242" t="s">
        <v>83</v>
      </c>
      <c r="R19" s="239"/>
      <c r="S19" s="243" t="s">
        <v>80</v>
      </c>
      <c r="T19" s="243" t="s">
        <v>81</v>
      </c>
      <c r="U19" s="242" t="s">
        <v>106</v>
      </c>
      <c r="V19" s="243" t="s">
        <v>94</v>
      </c>
      <c r="W19" s="285"/>
      <c r="X19" s="243" t="s">
        <v>118</v>
      </c>
      <c r="Y19" s="243" t="s">
        <v>119</v>
      </c>
      <c r="Z19" s="242" t="s">
        <v>120</v>
      </c>
      <c r="AA19" s="243" t="s">
        <v>121</v>
      </c>
    </row>
    <row r="20" spans="2:27" ht="15" thickBot="1" x14ac:dyDescent="0.4">
      <c r="B20" s="90" t="s">
        <v>24</v>
      </c>
      <c r="C20" s="129">
        <f>+'PCR Cycle 3'!K4+'PCR Cycle 2'!J4</f>
        <v>-185811.78768000074</v>
      </c>
      <c r="D20" s="129">
        <f>'TDR Cycle 3'!K4+'TDR Cycle 2'!K4</f>
        <v>514221.51164720033</v>
      </c>
      <c r="E20" s="129">
        <f>+'EOR Cycle 2'!I4+'EOR Cycle 3'!I4</f>
        <v>427098.37006559968</v>
      </c>
      <c r="F20" s="128">
        <f>+'OAR Cycle 2'!I4+'OAR Cycle 3'!I4-'OAR Cycle 3'!G4</f>
        <v>-65031.915209599945</v>
      </c>
      <c r="G20" s="126"/>
      <c r="O20" s="181">
        <v>0</v>
      </c>
      <c r="P20" s="181">
        <v>0</v>
      </c>
      <c r="Q20" s="240">
        <v>0</v>
      </c>
      <c r="R20" s="239"/>
      <c r="S20" s="188">
        <f>ROUND(+'PCR Cycle 2'!J4/'tariff tables'!G4,5)</f>
        <v>0</v>
      </c>
      <c r="T20" s="188">
        <f>ROUND(+'TDR Cycle 2'!K4/'tariff tables'!G4,5)</f>
        <v>2.0000000000000001E-4</v>
      </c>
      <c r="U20" s="188">
        <f>ROUND('EOR Cycle 2'!I4/'tariff tables'!G4,5)</f>
        <v>4.0000000000000003E-5</v>
      </c>
      <c r="V20" s="188">
        <f>ROUND('OAR Cycle 2'!I4/'tariff tables'!G4,5)</f>
        <v>-1.0000000000000001E-5</v>
      </c>
      <c r="W20" s="285"/>
      <c r="X20" s="240">
        <f>ROUND('PCR Cycle 3'!K4/'tariff tables'!G4,5)</f>
        <v>-5.0000000000000002E-5</v>
      </c>
      <c r="Y20" s="188">
        <f>ROUND('TDR Cycle 3'!K4/'tariff tables'!G4,5)</f>
        <v>-6.0000000000000002E-5</v>
      </c>
      <c r="Z20" s="188">
        <f>ROUND('EOR Cycle 3'!I4/'tariff tables'!G4,5)</f>
        <v>6.9999999999999994E-5</v>
      </c>
      <c r="AA20" s="188">
        <f>ROUND(0/'tariff tables'!G4,5)</f>
        <v>0</v>
      </c>
    </row>
    <row r="21" spans="2:27" ht="15" thickBot="1" x14ac:dyDescent="0.4">
      <c r="B21" s="90" t="s">
        <v>107</v>
      </c>
      <c r="C21" s="129">
        <f>'PCR Cycle 3'!K5+'PCR Cycle 2'!J8</f>
        <v>-735941.6399999999</v>
      </c>
      <c r="D21" s="129">
        <f>'TDR Cycle 3'!K5+'TDR Cycle 2'!K8</f>
        <v>23489.786240000103</v>
      </c>
      <c r="E21" s="129">
        <f>+'EOR Cycle 2'!I8+'EOR Cycle 3'!I5</f>
        <v>155831.30703999999</v>
      </c>
      <c r="F21" s="128">
        <f>+'OAR Cycle 2'!I8</f>
        <v>0</v>
      </c>
      <c r="G21" s="126"/>
      <c r="O21" s="181">
        <v>0</v>
      </c>
      <c r="P21" s="181">
        <v>0</v>
      </c>
      <c r="Q21" s="240">
        <v>0</v>
      </c>
      <c r="R21" s="239"/>
      <c r="S21" s="240">
        <f>ROUND(+'PCR Cycle 2'!J8/'tariff tables'!G5,5)</f>
        <v>-3.0000000000000001E-5</v>
      </c>
      <c r="T21" s="240">
        <f>ROUND(+'TDR Cycle 2'!K8/'tariff tables'!G5,5)</f>
        <v>1.9000000000000001E-4</v>
      </c>
      <c r="U21" s="240">
        <f>ROUND('EOR Cycle 2'!I8/'tariff tables'!G5,5)</f>
        <v>1E-4</v>
      </c>
      <c r="V21" s="188">
        <f>ROUND('OAR Cycle 2'!I8/'tariff tables'!G5,5)</f>
        <v>0</v>
      </c>
      <c r="W21" s="285"/>
      <c r="X21" s="240">
        <f>ROUND('PCR Cycle 3'!K5/'tariff tables'!G5,5)</f>
        <v>-6.0999999999999997E-4</v>
      </c>
      <c r="Y21" s="188">
        <f>ROUND('TDR Cycle 3'!K5/'tariff tables'!G5,5)</f>
        <v>-1.7000000000000001E-4</v>
      </c>
      <c r="Z21" s="188">
        <f>ROUND('EOR Cycle 3'!I5/'tariff tables'!G5,5)</f>
        <v>4.0000000000000003E-5</v>
      </c>
      <c r="AA21" s="188">
        <f>ROUND(0/'tariff tables'!G5,5)</f>
        <v>0</v>
      </c>
    </row>
    <row r="22" spans="2:27" s="46" customFormat="1" ht="15" thickBot="1" x14ac:dyDescent="0.4">
      <c r="B22" s="90" t="s">
        <v>108</v>
      </c>
      <c r="C22" s="129">
        <f>'PCR Cycle 3'!K6+'PCR Cycle 2'!J9</f>
        <v>69004.590000000069</v>
      </c>
      <c r="D22" s="129">
        <f>'TDR Cycle 3'!K6+'TDR Cycle 2'!K9</f>
        <v>251449.71120000014</v>
      </c>
      <c r="E22" s="129">
        <f>+'EOR Cycle 2'!I9+'EOR Cycle 3'!I6</f>
        <v>190385.0404</v>
      </c>
      <c r="F22" s="128">
        <f>+'OAR Cycle 2'!I9</f>
        <v>0</v>
      </c>
      <c r="G22" s="126"/>
      <c r="O22" s="181">
        <v>0</v>
      </c>
      <c r="P22" s="181">
        <v>0</v>
      </c>
      <c r="Q22" s="240">
        <v>0</v>
      </c>
      <c r="R22" s="239"/>
      <c r="S22" s="240">
        <f>ROUND(+'PCR Cycle 2'!J9/'tariff tables'!G6,5)</f>
        <v>-3.0000000000000001E-5</v>
      </c>
      <c r="T22" s="240">
        <f>ROUND(+'TDR Cycle 2'!K9/'tariff tables'!G6,5)</f>
        <v>2.3000000000000001E-4</v>
      </c>
      <c r="U22" s="240">
        <f>ROUND('EOR Cycle 2'!I9/'tariff tables'!G6,5)</f>
        <v>1.2E-4</v>
      </c>
      <c r="V22" s="188">
        <f>ROUND('OAR Cycle 2'!I9/'tariff tables'!G6,5)</f>
        <v>0</v>
      </c>
      <c r="W22" s="285"/>
      <c r="X22" s="240">
        <f>ROUND('PCR Cycle 3'!K6/'tariff tables'!G6,5)</f>
        <v>1E-4</v>
      </c>
      <c r="Y22" s="188">
        <f>ROUND('TDR Cycle 3'!K6/'tariff tables'!G6,5)</f>
        <v>-1.0000000000000001E-5</v>
      </c>
      <c r="Z22" s="188">
        <f>ROUND('EOR Cycle 3'!I6/'tariff tables'!G6,5)</f>
        <v>5.0000000000000002E-5</v>
      </c>
      <c r="AA22" s="188">
        <f>ROUND(0/'tariff tables'!G6,5)</f>
        <v>0</v>
      </c>
    </row>
    <row r="23" spans="2:27" s="46" customFormat="1" ht="15" thickBot="1" x14ac:dyDescent="0.4">
      <c r="B23" s="90" t="s">
        <v>109</v>
      </c>
      <c r="C23" s="129">
        <f>'PCR Cycle 3'!K7+'PCR Cycle 2'!J10</f>
        <v>-717746.41999999946</v>
      </c>
      <c r="D23" s="129">
        <f>'TDR Cycle 3'!K7+'TDR Cycle 2'!K10</f>
        <v>91869.047460000002</v>
      </c>
      <c r="E23" s="129">
        <f>+'EOR Cycle 2'!I10+'EOR Cycle 3'!I7</f>
        <v>105352.68102</v>
      </c>
      <c r="F23" s="128">
        <f>+'OAR Cycle 2'!I10</f>
        <v>0</v>
      </c>
      <c r="G23" s="126"/>
      <c r="O23" s="181">
        <v>0</v>
      </c>
      <c r="P23" s="181">
        <v>0</v>
      </c>
      <c r="Q23" s="240">
        <v>0</v>
      </c>
      <c r="R23" s="239"/>
      <c r="S23" s="240">
        <f>ROUND(+'PCR Cycle 2'!J10/'tariff tables'!G7,5)</f>
        <v>-2.0000000000000002E-5</v>
      </c>
      <c r="T23" s="240">
        <f>ROUND(+'TDR Cycle 2'!K10/'tariff tables'!G7,5)</f>
        <v>1.1E-4</v>
      </c>
      <c r="U23" s="240">
        <f>ROUND('EOR Cycle 2'!I10/'tariff tables'!G7,5)</f>
        <v>6.0000000000000002E-5</v>
      </c>
      <c r="V23" s="188">
        <f>ROUND('OAR Cycle 2'!I10/'tariff tables'!G7,5)</f>
        <v>0</v>
      </c>
      <c r="W23" s="285"/>
      <c r="X23" s="240">
        <f>ROUND('PCR Cycle 3'!K7/'tariff tables'!G7,5)</f>
        <v>-8.7000000000000001E-4</v>
      </c>
      <c r="Y23" s="188">
        <f>ROUND('TDR Cycle 3'!K7/'tariff tables'!G7,5)</f>
        <v>1.0000000000000001E-5</v>
      </c>
      <c r="Z23" s="188">
        <f>ROUND('EOR Cycle 3'!I7/'tariff tables'!G7,5)</f>
        <v>6.9999999999999994E-5</v>
      </c>
      <c r="AA23" s="188">
        <f>ROUND(0/'tariff tables'!G7,5)</f>
        <v>0</v>
      </c>
    </row>
    <row r="24" spans="2:27" x14ac:dyDescent="0.35">
      <c r="O24" s="46"/>
      <c r="P24" s="46"/>
      <c r="R24" s="46"/>
      <c r="S24" s="285"/>
      <c r="T24" s="285"/>
      <c r="U24" s="285"/>
      <c r="V24" s="285"/>
      <c r="W24" s="285"/>
      <c r="X24" s="285"/>
      <c r="Y24" s="285"/>
      <c r="Z24" s="285"/>
    </row>
    <row r="25" spans="2:27" x14ac:dyDescent="0.35">
      <c r="B25" s="93" t="s">
        <v>39</v>
      </c>
      <c r="R25" t="s">
        <v>151</v>
      </c>
      <c r="S25" s="286">
        <f t="shared" ref="S25:V28" si="2">+J4-O12-O20-S12-S20-X12-X20</f>
        <v>-1.2874900798265365E-19</v>
      </c>
      <c r="T25" s="286">
        <f t="shared" si="2"/>
        <v>6.0986372202309624E-20</v>
      </c>
      <c r="U25" s="286">
        <f t="shared" si="2"/>
        <v>0</v>
      </c>
      <c r="V25" s="286">
        <f t="shared" si="2"/>
        <v>1.3552527156068805E-20</v>
      </c>
      <c r="W25" s="285"/>
      <c r="X25" s="285"/>
      <c r="Y25" s="285"/>
      <c r="Z25" s="285"/>
    </row>
    <row r="26" spans="2:27" x14ac:dyDescent="0.35">
      <c r="B26" s="94" t="s">
        <v>40</v>
      </c>
      <c r="R26" t="s">
        <v>152</v>
      </c>
      <c r="S26" s="286">
        <f t="shared" si="2"/>
        <v>0</v>
      </c>
      <c r="T26" s="286">
        <f t="shared" si="2"/>
        <v>0</v>
      </c>
      <c r="U26" s="286">
        <f t="shared" si="2"/>
        <v>0</v>
      </c>
      <c r="V26" s="286">
        <f t="shared" si="2"/>
        <v>0</v>
      </c>
      <c r="W26" s="285"/>
      <c r="X26" s="285"/>
      <c r="Y26" s="285"/>
      <c r="Z26" s="285"/>
    </row>
    <row r="27" spans="2:27" x14ac:dyDescent="0.35">
      <c r="B27" s="94" t="s">
        <v>43</v>
      </c>
      <c r="R27" t="s">
        <v>153</v>
      </c>
      <c r="S27" s="154">
        <f t="shared" si="2"/>
        <v>2.574980159653073E-19</v>
      </c>
      <c r="T27" s="154">
        <f t="shared" si="2"/>
        <v>-2.541098841762901E-20</v>
      </c>
      <c r="U27" s="154">
        <f t="shared" si="2"/>
        <v>0</v>
      </c>
      <c r="V27" s="286">
        <f t="shared" si="2"/>
        <v>0</v>
      </c>
    </row>
    <row r="28" spans="2:27" x14ac:dyDescent="0.35">
      <c r="B28" s="94" t="s">
        <v>142</v>
      </c>
      <c r="R28" t="s">
        <v>154</v>
      </c>
      <c r="S28" s="154">
        <f t="shared" si="2"/>
        <v>0</v>
      </c>
      <c r="T28" s="154">
        <f t="shared" si="2"/>
        <v>-2.8799120206646212E-20</v>
      </c>
      <c r="U28" s="154">
        <f t="shared" si="2"/>
        <v>0</v>
      </c>
      <c r="V28" s="286">
        <f t="shared" si="2"/>
        <v>0</v>
      </c>
    </row>
    <row r="29" spans="2:27" x14ac:dyDescent="0.35">
      <c r="B29" s="94" t="s">
        <v>41</v>
      </c>
      <c r="R29" s="46"/>
      <c r="S29" s="46"/>
      <c r="T29" s="46"/>
    </row>
    <row r="30" spans="2:27" x14ac:dyDescent="0.35">
      <c r="B30" s="94" t="s">
        <v>147</v>
      </c>
      <c r="O30" s="259"/>
      <c r="P30" s="259"/>
      <c r="Q30" s="259"/>
      <c r="R30" s="149"/>
      <c r="S30" s="149"/>
      <c r="T30" s="46"/>
    </row>
    <row r="31" spans="2:27" x14ac:dyDescent="0.35">
      <c r="B31" s="94" t="s">
        <v>141</v>
      </c>
      <c r="O31" s="149"/>
      <c r="P31" s="149"/>
      <c r="Q31" s="260"/>
      <c r="R31" s="149"/>
      <c r="S31" s="149"/>
      <c r="T31" s="46"/>
    </row>
    <row r="32" spans="2:27" x14ac:dyDescent="0.35">
      <c r="B32" s="94" t="s">
        <v>48</v>
      </c>
      <c r="O32" s="261"/>
      <c r="P32" s="149"/>
      <c r="Q32" s="260"/>
      <c r="R32" s="149"/>
      <c r="S32" s="149"/>
      <c r="T32" s="46"/>
    </row>
    <row r="33" spans="2:20" x14ac:dyDescent="0.35">
      <c r="B33" s="94" t="s">
        <v>146</v>
      </c>
      <c r="O33" s="262"/>
      <c r="P33" s="263"/>
      <c r="Q33" s="260"/>
      <c r="R33" s="260"/>
      <c r="S33" s="149"/>
      <c r="T33" s="46"/>
    </row>
    <row r="34" spans="2:20" x14ac:dyDescent="0.35">
      <c r="B34" s="94" t="s">
        <v>143</v>
      </c>
      <c r="O34" s="262"/>
      <c r="P34" s="263"/>
      <c r="Q34" s="260"/>
      <c r="R34" s="260"/>
      <c r="S34" s="149"/>
      <c r="T34" s="46"/>
    </row>
    <row r="35" spans="2:20" x14ac:dyDescent="0.35">
      <c r="B35" s="94" t="s">
        <v>144</v>
      </c>
      <c r="O35" s="262"/>
      <c r="P35" s="263"/>
      <c r="Q35" s="260"/>
      <c r="R35" s="260"/>
      <c r="S35" s="149"/>
      <c r="T35" s="46"/>
    </row>
    <row r="36" spans="2:20" x14ac:dyDescent="0.35">
      <c r="B36" s="94" t="s">
        <v>148</v>
      </c>
      <c r="O36" s="262"/>
      <c r="P36" s="263"/>
      <c r="Q36" s="260"/>
      <c r="R36" s="260"/>
      <c r="S36" s="149"/>
      <c r="T36" s="46"/>
    </row>
    <row r="37" spans="2:20" x14ac:dyDescent="0.35">
      <c r="B37" s="94" t="s">
        <v>42</v>
      </c>
      <c r="O37" s="262"/>
      <c r="P37" s="263"/>
      <c r="Q37" s="260"/>
      <c r="R37" s="260"/>
      <c r="S37" s="149"/>
      <c r="T37" s="46"/>
    </row>
    <row r="38" spans="2:20" x14ac:dyDescent="0.35">
      <c r="B38" s="94" t="s">
        <v>145</v>
      </c>
      <c r="O38" s="262"/>
      <c r="P38" s="263"/>
      <c r="Q38" s="260"/>
      <c r="R38" s="260"/>
      <c r="S38" s="149"/>
      <c r="T38" s="46"/>
    </row>
    <row r="39" spans="2:20" x14ac:dyDescent="0.35">
      <c r="B39" s="94" t="s">
        <v>149</v>
      </c>
      <c r="O39" s="264"/>
      <c r="P39" s="263"/>
      <c r="Q39" s="260"/>
      <c r="R39" s="260"/>
      <c r="S39" s="149"/>
      <c r="T39" s="46"/>
    </row>
    <row r="40" spans="2:20" x14ac:dyDescent="0.35">
      <c r="B40" s="94" t="s">
        <v>150</v>
      </c>
      <c r="O40" s="149"/>
      <c r="P40" s="265"/>
      <c r="Q40" s="260"/>
      <c r="R40" s="260"/>
      <c r="S40" s="149"/>
      <c r="T40" s="46"/>
    </row>
    <row r="41" spans="2:20" x14ac:dyDescent="0.35">
      <c r="O41" s="261"/>
      <c r="P41" s="149"/>
      <c r="Q41" s="260"/>
      <c r="R41" s="260"/>
      <c r="S41" s="149"/>
      <c r="T41" s="46"/>
    </row>
    <row r="42" spans="2:20" x14ac:dyDescent="0.35">
      <c r="O42" s="262"/>
      <c r="P42" s="263"/>
      <c r="Q42" s="260"/>
      <c r="R42" s="260"/>
      <c r="S42" s="149"/>
      <c r="T42" s="46"/>
    </row>
    <row r="43" spans="2:20" x14ac:dyDescent="0.35">
      <c r="O43" s="262"/>
      <c r="P43" s="263"/>
      <c r="Q43" s="260"/>
      <c r="R43" s="260"/>
      <c r="S43" s="149"/>
      <c r="T43" s="46"/>
    </row>
    <row r="44" spans="2:20" x14ac:dyDescent="0.35">
      <c r="O44" s="262"/>
      <c r="P44" s="263"/>
      <c r="Q44" s="260"/>
      <c r="R44" s="260"/>
      <c r="S44" s="149"/>
      <c r="T44" s="46"/>
    </row>
    <row r="45" spans="2:20" x14ac:dyDescent="0.35">
      <c r="O45" s="262"/>
      <c r="P45" s="263"/>
      <c r="Q45" s="260"/>
      <c r="R45" s="260"/>
      <c r="S45" s="149"/>
      <c r="T45" s="46"/>
    </row>
    <row r="46" spans="2:20" x14ac:dyDescent="0.35">
      <c r="O46" s="262"/>
      <c r="P46" s="263"/>
      <c r="Q46" s="260"/>
      <c r="R46" s="260"/>
      <c r="S46" s="149"/>
      <c r="T46" s="46"/>
    </row>
    <row r="47" spans="2:20" x14ac:dyDescent="0.35">
      <c r="O47" s="262"/>
      <c r="P47" s="263"/>
      <c r="Q47" s="260"/>
      <c r="R47" s="260"/>
      <c r="S47" s="149"/>
      <c r="T47" s="46"/>
    </row>
    <row r="48" spans="2:20" x14ac:dyDescent="0.35">
      <c r="O48" s="264"/>
      <c r="P48" s="263"/>
      <c r="Q48" s="260"/>
      <c r="R48" s="260"/>
      <c r="S48" s="149"/>
    </row>
    <row r="49" spans="15:19" x14ac:dyDescent="0.35">
      <c r="O49" s="149"/>
      <c r="P49" s="265"/>
      <c r="Q49" s="260"/>
      <c r="R49" s="260"/>
      <c r="S49" s="149"/>
    </row>
    <row r="50" spans="15:19" x14ac:dyDescent="0.35">
      <c r="O50" s="149"/>
      <c r="P50" s="149"/>
      <c r="Q50" s="260"/>
      <c r="R50" s="260"/>
      <c r="S50" s="149"/>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7"/>
  <sheetViews>
    <sheetView workbookViewId="0">
      <pane xSplit="1" ySplit="4" topLeftCell="B5" activePane="bottomRight" state="frozen"/>
      <selection activeCell="K4" sqref="K4"/>
      <selection pane="topRight" activeCell="K4" sqref="K4"/>
      <selection pane="bottomLeft" activeCell="K4" sqref="K4"/>
      <selection pane="bottomRight" activeCell="C24" sqref="C24"/>
    </sheetView>
  </sheetViews>
  <sheetFormatPr defaultRowHeight="14.5" x14ac:dyDescent="0.35"/>
  <cols>
    <col min="1" max="1" width="23.7265625" customWidth="1"/>
    <col min="2" max="2" width="15.26953125" bestFit="1" customWidth="1"/>
    <col min="3" max="3" width="14.26953125" style="46"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3" t="str">
        <f>+'PPC Cycle 3'!A1</f>
        <v>Evergy Missouri West, Inc. - DSIM Rider Update Filed 12/02/2022</v>
      </c>
      <c r="B1" s="46"/>
      <c r="D1" s="46"/>
      <c r="E1" s="46"/>
    </row>
    <row r="2" spans="1:7" x14ac:dyDescent="0.35">
      <c r="A2" s="9" t="str">
        <f>+'PPC Cycle 3'!A2</f>
        <v>Projections for Cycle 3 January 2023 - December 2023 DSIM</v>
      </c>
      <c r="B2" s="46"/>
      <c r="D2" s="46"/>
      <c r="E2" s="46"/>
    </row>
    <row r="3" spans="1:7" ht="45.75" customHeight="1" x14ac:dyDescent="0.35">
      <c r="A3" s="46"/>
      <c r="B3" s="307" t="s">
        <v>98</v>
      </c>
      <c r="C3" s="307"/>
      <c r="D3" s="307"/>
      <c r="E3" s="46"/>
    </row>
    <row r="4" spans="1:7" ht="87" x14ac:dyDescent="0.35">
      <c r="A4" s="46"/>
      <c r="B4" s="70" t="s">
        <v>100</v>
      </c>
      <c r="C4" s="70" t="s">
        <v>101</v>
      </c>
      <c r="D4" s="70" t="s">
        <v>104</v>
      </c>
      <c r="E4" s="70" t="s">
        <v>102</v>
      </c>
      <c r="F4" s="70" t="s">
        <v>99</v>
      </c>
      <c r="G4" s="70" t="s">
        <v>105</v>
      </c>
    </row>
    <row r="5" spans="1:7" s="46" customFormat="1" x14ac:dyDescent="0.35">
      <c r="A5" s="20"/>
      <c r="B5" s="70"/>
      <c r="C5" s="70"/>
      <c r="D5" s="153"/>
    </row>
    <row r="6" spans="1:7" s="46" customFormat="1" x14ac:dyDescent="0.35">
      <c r="A6" s="255" t="s">
        <v>156</v>
      </c>
      <c r="B6" s="70"/>
      <c r="C6" s="70"/>
      <c r="D6" s="152"/>
    </row>
    <row r="7" spans="1:7" s="46" customFormat="1" x14ac:dyDescent="0.35">
      <c r="A7" s="20" t="s">
        <v>24</v>
      </c>
      <c r="B7" s="231">
        <f t="shared" ref="B7:E7" si="0">+B18+B29+B40+B50+B60+B70</f>
        <v>6580575.5600000005</v>
      </c>
      <c r="C7" s="231">
        <f t="shared" si="0"/>
        <v>-1711589.3800000001</v>
      </c>
      <c r="D7" s="231">
        <f t="shared" si="0"/>
        <v>-1320635.23</v>
      </c>
      <c r="E7" s="231">
        <f t="shared" si="0"/>
        <v>-87192.940000000017</v>
      </c>
      <c r="F7" s="231">
        <f>SUM(B7:E7)</f>
        <v>3461158.0100000007</v>
      </c>
      <c r="G7" s="231">
        <f>+G18+G29+G40+G50+G60+G70</f>
        <v>-260065.04</v>
      </c>
    </row>
    <row r="8" spans="1:7" s="46" customFormat="1" x14ac:dyDescent="0.35">
      <c r="A8" s="20" t="s">
        <v>25</v>
      </c>
      <c r="B8" s="231">
        <f t="shared" ref="B8:E8" si="1">+B19+B30+B41+B51+B61+B71</f>
        <v>6141489.0100000007</v>
      </c>
      <c r="C8" s="231">
        <f t="shared" si="1"/>
        <v>903784.52999999991</v>
      </c>
      <c r="D8" s="231">
        <f t="shared" si="1"/>
        <v>-147259.32</v>
      </c>
      <c r="E8" s="231">
        <f t="shared" si="1"/>
        <v>66038.429999999993</v>
      </c>
      <c r="F8" s="231">
        <f>SUM(B8:E8)</f>
        <v>6964052.6500000004</v>
      </c>
      <c r="G8" s="231">
        <f>+G19+G30+G41+G51+G61+G71</f>
        <v>52375.020000000004</v>
      </c>
    </row>
    <row r="9" spans="1:7" s="46" customFormat="1" x14ac:dyDescent="0.35">
      <c r="A9" s="20" t="s">
        <v>5</v>
      </c>
      <c r="B9" s="222">
        <f t="shared" ref="B9:E9" si="2">SUM(B7:B8)</f>
        <v>12722064.57</v>
      </c>
      <c r="C9" s="222">
        <f t="shared" si="2"/>
        <v>-807804.85000000021</v>
      </c>
      <c r="D9" s="222">
        <f t="shared" si="2"/>
        <v>-1467894.55</v>
      </c>
      <c r="E9" s="222">
        <f t="shared" si="2"/>
        <v>-21154.510000000024</v>
      </c>
      <c r="F9" s="222">
        <f t="shared" ref="F9:G9" si="3">SUM(F7:F8)</f>
        <v>10425210.66</v>
      </c>
      <c r="G9" s="222">
        <f t="shared" si="3"/>
        <v>-207690.02000000002</v>
      </c>
    </row>
    <row r="10" spans="1:7" s="46" customFormat="1" x14ac:dyDescent="0.35">
      <c r="B10" s="219"/>
      <c r="C10" s="219"/>
      <c r="D10" s="220"/>
    </row>
    <row r="11" spans="1:7" s="46" customFormat="1" x14ac:dyDescent="0.35">
      <c r="A11" s="20" t="s">
        <v>107</v>
      </c>
      <c r="B11" s="222">
        <f t="shared" ref="B11:E13" si="4">+B22+B33+B44+B54+B64+B74</f>
        <v>2400450.7000000002</v>
      </c>
      <c r="C11" s="222">
        <f t="shared" si="4"/>
        <v>388765.80000000005</v>
      </c>
      <c r="D11" s="222">
        <f t="shared" si="4"/>
        <v>-37706.069999999978</v>
      </c>
      <c r="E11" s="222">
        <f t="shared" si="4"/>
        <v>29945.559999999998</v>
      </c>
      <c r="F11" s="222">
        <f t="shared" ref="F11:F13" si="5">SUM(B11:E11)</f>
        <v>2781455.99</v>
      </c>
      <c r="G11" s="222">
        <f t="shared" ref="G11:G13" si="6">+G22+G33+G44+G54+G64+G74</f>
        <v>23671.199999999997</v>
      </c>
    </row>
    <row r="12" spans="1:7" s="46" customFormat="1" x14ac:dyDescent="0.35">
      <c r="A12" s="20" t="s">
        <v>108</v>
      </c>
      <c r="B12" s="222">
        <f t="shared" si="4"/>
        <v>2683377.23</v>
      </c>
      <c r="C12" s="222">
        <f t="shared" si="4"/>
        <v>473783.88</v>
      </c>
      <c r="D12" s="222">
        <f t="shared" si="4"/>
        <v>-100292.87</v>
      </c>
      <c r="E12" s="222">
        <f t="shared" si="4"/>
        <v>32190.880000000001</v>
      </c>
      <c r="F12" s="222">
        <f t="shared" si="5"/>
        <v>3089059.1199999996</v>
      </c>
      <c r="G12" s="222">
        <f t="shared" si="6"/>
        <v>24449.62</v>
      </c>
    </row>
    <row r="13" spans="1:7" s="46" customFormat="1" x14ac:dyDescent="0.35">
      <c r="A13" s="20" t="s">
        <v>109</v>
      </c>
      <c r="B13" s="222">
        <f t="shared" si="4"/>
        <v>1057661.06</v>
      </c>
      <c r="C13" s="222">
        <f t="shared" si="4"/>
        <v>41234.850000000006</v>
      </c>
      <c r="D13" s="222">
        <f t="shared" si="4"/>
        <v>-9260.380000000001</v>
      </c>
      <c r="E13" s="222">
        <f t="shared" si="4"/>
        <v>3901.9900000000002</v>
      </c>
      <c r="F13" s="222">
        <f t="shared" si="5"/>
        <v>1093537.5200000003</v>
      </c>
      <c r="G13" s="222">
        <f t="shared" si="6"/>
        <v>4254.2100000000009</v>
      </c>
    </row>
    <row r="14" spans="1:7" s="46" customFormat="1" x14ac:dyDescent="0.35">
      <c r="A14" s="30" t="s">
        <v>111</v>
      </c>
      <c r="B14" s="222">
        <f t="shared" ref="B14:E14" si="7">SUM(B11:B13)</f>
        <v>6141488.9900000002</v>
      </c>
      <c r="C14" s="222">
        <f t="shared" si="7"/>
        <v>903784.53</v>
      </c>
      <c r="D14" s="222">
        <f t="shared" si="7"/>
        <v>-147259.31999999998</v>
      </c>
      <c r="E14" s="222">
        <f t="shared" si="7"/>
        <v>66038.430000000008</v>
      </c>
      <c r="F14" s="222">
        <f t="shared" ref="F14:G14" si="8">SUM(F11:F13)</f>
        <v>6964052.6299999999</v>
      </c>
      <c r="G14" s="222">
        <f t="shared" si="8"/>
        <v>52375.029999999992</v>
      </c>
    </row>
    <row r="15" spans="1:7" s="46" customFormat="1" x14ac:dyDescent="0.35">
      <c r="A15" s="20"/>
      <c r="B15" s="70"/>
      <c r="C15" s="70"/>
      <c r="D15" s="152"/>
    </row>
    <row r="16" spans="1:7" s="46" customFormat="1" x14ac:dyDescent="0.35">
      <c r="A16" s="20"/>
      <c r="B16" s="70"/>
      <c r="C16" s="70"/>
      <c r="D16" s="152"/>
    </row>
    <row r="17" spans="1:7" s="46" customFormat="1" x14ac:dyDescent="0.35">
      <c r="A17" s="255" t="s">
        <v>170</v>
      </c>
      <c r="B17" s="70"/>
      <c r="C17" s="70"/>
      <c r="D17" s="152"/>
    </row>
    <row r="18" spans="1:7" s="46" customFormat="1" x14ac:dyDescent="0.35">
      <c r="A18" s="20" t="s">
        <v>24</v>
      </c>
      <c r="B18" s="25">
        <f>ROUND(+'[15]EO Matrix @Meter'!$S$18,2)</f>
        <v>5181939.6500000004</v>
      </c>
      <c r="C18" s="25">
        <f>ROUND(+'[16]TD EO Ex Post Gross Adj'!$AL$370,2)</f>
        <v>-722286.33</v>
      </c>
      <c r="D18" s="25">
        <f>ROUND(+'[16]TD EO NTG Adj'!$AL$384,2)</f>
        <v>574414.55000000005</v>
      </c>
      <c r="E18" s="246">
        <f>ROUND(+'[16]EO TD Carrying Costs'!$AL$63,2)</f>
        <v>2229.4899999999998</v>
      </c>
      <c r="F18" s="231">
        <f>SUM(B18:E18)</f>
        <v>5036297.3600000003</v>
      </c>
      <c r="G18" s="247">
        <f>ROUND(F18/24*0,2)</f>
        <v>0</v>
      </c>
    </row>
    <row r="19" spans="1:7" s="46" customFormat="1" x14ac:dyDescent="0.35">
      <c r="A19" s="20" t="s">
        <v>25</v>
      </c>
      <c r="B19" s="221">
        <f>ROUND(+'[15]EO Matrix @Meter'!$T$18,2)</f>
        <v>5060008.6900000004</v>
      </c>
      <c r="C19" s="221">
        <f>SUM(C22:C24)</f>
        <v>194085.35</v>
      </c>
      <c r="D19" s="221">
        <f t="shared" ref="D19:E19" si="9">SUM(D22:D24)</f>
        <v>562321.14</v>
      </c>
      <c r="E19" s="248">
        <f t="shared" si="9"/>
        <v>20418.36</v>
      </c>
      <c r="F19" s="231">
        <f>SUM(B19:E19)</f>
        <v>5836833.54</v>
      </c>
      <c r="G19" s="247">
        <f>ROUND(F19/24*0,2)</f>
        <v>0</v>
      </c>
    </row>
    <row r="20" spans="1:7" s="46" customFormat="1" x14ac:dyDescent="0.35">
      <c r="A20" s="20" t="s">
        <v>5</v>
      </c>
      <c r="B20" s="222">
        <f t="shared" ref="B20:G20" si="10">SUM(B18:B19)</f>
        <v>10241948.34</v>
      </c>
      <c r="C20" s="222">
        <f t="shared" si="10"/>
        <v>-528200.98</v>
      </c>
      <c r="D20" s="222">
        <f t="shared" si="10"/>
        <v>1136735.69</v>
      </c>
      <c r="E20" s="249">
        <f t="shared" si="10"/>
        <v>22647.85</v>
      </c>
      <c r="F20" s="222">
        <f t="shared" si="10"/>
        <v>10873130.9</v>
      </c>
      <c r="G20" s="250">
        <f t="shared" si="10"/>
        <v>0</v>
      </c>
    </row>
    <row r="21" spans="1:7" s="46" customFormat="1" x14ac:dyDescent="0.35">
      <c r="B21" s="219"/>
      <c r="C21" s="219"/>
      <c r="D21" s="220"/>
    </row>
    <row r="22" spans="1:7" x14ac:dyDescent="0.35">
      <c r="A22" s="20" t="s">
        <v>107</v>
      </c>
      <c r="B22" s="25">
        <f>ROUND(+'[15]EO Matrix @Meter'!$W$18,2)</f>
        <v>1943830.05</v>
      </c>
      <c r="C22" s="25">
        <f>ROUND(+'[16]TD EO Ex Post Gross Adj'!$AL371,2)</f>
        <v>62654.27</v>
      </c>
      <c r="D22" s="25">
        <f>ROUND(+'[16]TD EO NTG Adj'!$AL385,2)</f>
        <v>289519.26</v>
      </c>
      <c r="E22" s="221">
        <f>ROUND(+'[16]EO TD Carrying Costs'!$AL64,2)</f>
        <v>9487.83</v>
      </c>
      <c r="F22" s="222">
        <f t="shared" ref="F22:F24" si="11">SUM(B22:E22)</f>
        <v>2305491.41</v>
      </c>
      <c r="G22" s="257">
        <f>ROUND(F22/24*0,2)</f>
        <v>0</v>
      </c>
    </row>
    <row r="23" spans="1:7" x14ac:dyDescent="0.35">
      <c r="A23" s="20" t="s">
        <v>108</v>
      </c>
      <c r="B23" s="25">
        <f>ROUND(+'[15]EO Matrix @Meter'!$Y$18,2)</f>
        <v>2196160.91</v>
      </c>
      <c r="C23" s="25">
        <f>ROUND(+'[16]TD EO Ex Post Gross Adj'!$AL373,2)</f>
        <v>122990.05</v>
      </c>
      <c r="D23" s="25">
        <f>ROUND(+'[16]TD EO NTG Adj'!$AL387,2)</f>
        <v>233118.96</v>
      </c>
      <c r="E23" s="25">
        <f>ROUND(+'[16]EO TD Carrying Costs'!$AL66,2)</f>
        <v>9593.31</v>
      </c>
      <c r="F23" s="222">
        <f t="shared" si="11"/>
        <v>2561863.23</v>
      </c>
      <c r="G23" s="257">
        <f>ROUND(F23/24*0,2)</f>
        <v>0</v>
      </c>
    </row>
    <row r="24" spans="1:7" x14ac:dyDescent="0.35">
      <c r="A24" s="20" t="s">
        <v>109</v>
      </c>
      <c r="B24" s="221">
        <f>ROUND(+'[15]EO Matrix @Meter'!$Z$18,2)</f>
        <v>920017.71</v>
      </c>
      <c r="C24" s="221">
        <f>ROUND(+'[16]TD EO Ex Post Gross Adj'!$AL374,2)</f>
        <v>8441.0300000000007</v>
      </c>
      <c r="D24" s="221">
        <f>ROUND(+'[16]TD EO NTG Adj'!$AL388,2)</f>
        <v>39682.92</v>
      </c>
      <c r="E24" s="221">
        <f>ROUND(+'[16]EO TD Carrying Costs'!$AL67,2)</f>
        <v>1337.22</v>
      </c>
      <c r="F24" s="222">
        <f t="shared" si="11"/>
        <v>969478.88</v>
      </c>
      <c r="G24" s="257">
        <f>ROUND(F24/24*0,2)</f>
        <v>0</v>
      </c>
    </row>
    <row r="25" spans="1:7" x14ac:dyDescent="0.35">
      <c r="A25" s="30" t="s">
        <v>111</v>
      </c>
      <c r="B25" s="222">
        <f>SUM(B22:B24)</f>
        <v>5060008.67</v>
      </c>
      <c r="C25" s="222">
        <f>SUM(C22:C24)</f>
        <v>194085.35</v>
      </c>
      <c r="D25" s="222">
        <f t="shared" ref="D25:G25" si="12">SUM(D22:D24)</f>
        <v>562321.14</v>
      </c>
      <c r="E25" s="222">
        <f t="shared" si="12"/>
        <v>20418.36</v>
      </c>
      <c r="F25" s="222">
        <f t="shared" si="12"/>
        <v>5836833.5200000005</v>
      </c>
      <c r="G25" s="222">
        <f t="shared" si="12"/>
        <v>0</v>
      </c>
    </row>
    <row r="26" spans="1:7" s="39" customFormat="1" x14ac:dyDescent="0.35">
      <c r="A26" s="30"/>
      <c r="B26" s="256"/>
      <c r="C26" s="256"/>
      <c r="D26" s="256"/>
      <c r="E26" s="256"/>
      <c r="F26" s="256"/>
      <c r="G26" s="256"/>
    </row>
    <row r="27" spans="1:7" s="39" customFormat="1" x14ac:dyDescent="0.35">
      <c r="A27" s="30"/>
      <c r="B27" s="256"/>
      <c r="C27" s="256"/>
      <c r="D27" s="256"/>
      <c r="E27" s="256"/>
      <c r="F27" s="256"/>
      <c r="G27" s="256"/>
    </row>
    <row r="28" spans="1:7" s="46" customFormat="1" x14ac:dyDescent="0.35">
      <c r="A28" s="255" t="s">
        <v>171</v>
      </c>
      <c r="B28" s="70"/>
      <c r="C28" s="70"/>
      <c r="D28" s="152"/>
    </row>
    <row r="29" spans="1:7" s="46" customFormat="1" x14ac:dyDescent="0.35">
      <c r="A29" s="20" t="s">
        <v>24</v>
      </c>
      <c r="B29" s="25">
        <f>ROUND(+'[17]EO Matrix @Meter'!$S$18,2)</f>
        <v>1398635.91</v>
      </c>
      <c r="C29" s="25">
        <f>ROUND(+'[16]TD EO Ex Post Gross Adj'!$BE$370+'[16]TD EO Ex Post Gross Adj'!$BS$370+'[18]TD EO Ex Post Gross Adj'!$BE$370+'[18]TD EO Ex Post Gross Adj'!$BS$370,2)</f>
        <v>-801107.23</v>
      </c>
      <c r="D29" s="25">
        <f>ROUND(+'[16]TD EO NTG Adj'!$BE$384+'[16]TD EO NTG Adj'!$BS$384+'[18]TD EO NTG Adj'!$BE$384+'[18]TD EO NTG Adj'!$BS$384,2)</f>
        <v>-1374859.37</v>
      </c>
      <c r="E29" s="246">
        <f>ROUND(+'[16]EO TD Carrying Costs'!$BE$63+'[18]EO TD Carrying Costs'!$BE$63,2)</f>
        <v>-42421.68</v>
      </c>
      <c r="F29" s="231">
        <f>SUM(B29:E29)</f>
        <v>-819752.37000000023</v>
      </c>
      <c r="G29" s="247">
        <f>ROUND(F29/24*1,2)</f>
        <v>-34156.35</v>
      </c>
    </row>
    <row r="30" spans="1:7" s="46" customFormat="1" x14ac:dyDescent="0.35">
      <c r="A30" s="20" t="s">
        <v>25</v>
      </c>
      <c r="B30" s="221">
        <f>ROUND(+'[17]EO Matrix @Meter'!$T$18,2)</f>
        <v>1081480.32</v>
      </c>
      <c r="C30" s="221">
        <f>SUM(C33:C35)</f>
        <v>524350.93999999994</v>
      </c>
      <c r="D30" s="221">
        <f t="shared" ref="D30:E30" si="13">SUM(D33:D35)</f>
        <v>-536449.89</v>
      </c>
      <c r="E30" s="248">
        <f t="shared" si="13"/>
        <v>37990.920000000006</v>
      </c>
      <c r="F30" s="231">
        <f>SUM(B30:E30)</f>
        <v>1107372.29</v>
      </c>
      <c r="G30" s="247">
        <f>ROUND(F30/24*1,2)</f>
        <v>46140.51</v>
      </c>
    </row>
    <row r="31" spans="1:7" s="46" customFormat="1" x14ac:dyDescent="0.35">
      <c r="A31" s="20" t="s">
        <v>5</v>
      </c>
      <c r="B31" s="222">
        <f t="shared" ref="B31:G31" si="14">SUM(B29:B30)</f>
        <v>2480116.23</v>
      </c>
      <c r="C31" s="222">
        <f t="shared" si="14"/>
        <v>-276756.29000000004</v>
      </c>
      <c r="D31" s="222">
        <f t="shared" si="14"/>
        <v>-1911309.2600000002</v>
      </c>
      <c r="E31" s="249">
        <f t="shared" si="14"/>
        <v>-4430.7599999999948</v>
      </c>
      <c r="F31" s="222">
        <f t="shared" si="14"/>
        <v>287619.91999999981</v>
      </c>
      <c r="G31" s="250">
        <f t="shared" si="14"/>
        <v>11984.160000000003</v>
      </c>
    </row>
    <row r="32" spans="1:7" s="46" customFormat="1" x14ac:dyDescent="0.35">
      <c r="B32" s="219"/>
      <c r="C32" s="219"/>
      <c r="D32" s="220"/>
    </row>
    <row r="33" spans="1:7" s="46" customFormat="1" x14ac:dyDescent="0.35">
      <c r="A33" s="20" t="s">
        <v>107</v>
      </c>
      <c r="B33" s="25">
        <f>ROUND(+'[17]EO Matrix @Meter'!$W$18,2)</f>
        <v>456620.65</v>
      </c>
      <c r="C33" s="25">
        <f>ROUND(+'[16]TD EO Ex Post Gross Adj'!BE371+'[16]TD EO Ex Post Gross Adj'!BS371+'[18]TD EO Ex Post Gross Adj'!BE371+'[18]TD EO Ex Post Gross Adj'!BS371,2)</f>
        <v>238713.51</v>
      </c>
      <c r="D33" s="25">
        <f>ROUND(+'[16]TD EO NTG Adj'!BE385+'[16]TD EO NTG Adj'!BS385+'[18]TD EO NTG Adj'!BE385+'[18]TD EO NTG Adj'!BS385,2)</f>
        <v>-250839.18</v>
      </c>
      <c r="E33" s="221">
        <f>ROUND(+'[16]EO TD Carrying Costs'!BE64+'[18]EO TD Carrying Costs'!BE64,2)</f>
        <v>16987.560000000001</v>
      </c>
      <c r="F33" s="222">
        <f t="shared" ref="F33:F35" si="15">SUM(B33:E33)</f>
        <v>461482.54000000004</v>
      </c>
      <c r="G33" s="257">
        <f>ROUND(F33/24*1,2)</f>
        <v>19228.439999999999</v>
      </c>
    </row>
    <row r="34" spans="1:7" s="46" customFormat="1" x14ac:dyDescent="0.35">
      <c r="A34" s="20" t="s">
        <v>108</v>
      </c>
      <c r="B34" s="25">
        <f>ROUND(+'[17]EO Matrix @Meter'!$Y$18,2)</f>
        <v>487216.32</v>
      </c>
      <c r="C34" s="25">
        <f>ROUND(+'[16]TD EO Ex Post Gross Adj'!BE373+'[16]TD EO Ex Post Gross Adj'!BS373+'[18]TD EO Ex Post Gross Adj'!BE373+'[18]TD EO Ex Post Gross Adj'!BS373,2)</f>
        <v>261085.55</v>
      </c>
      <c r="D34" s="25">
        <f>ROUND(+'[16]TD EO NTG Adj'!BE387+'[16]TD EO NTG Adj'!BS387+'[18]TD EO NTG Adj'!BE387+'[18]TD EO NTG Adj'!BS387,2)</f>
        <v>-248789.11</v>
      </c>
      <c r="E34" s="25">
        <f>ROUND(+'[16]EO TD Carrying Costs'!BE66+'[18]EO TD Carrying Costs'!BE66,2)</f>
        <v>18676.650000000001</v>
      </c>
      <c r="F34" s="222">
        <f t="shared" si="15"/>
        <v>518189.41000000003</v>
      </c>
      <c r="G34" s="257">
        <f>ROUND(F34/24*1,2)</f>
        <v>21591.23</v>
      </c>
    </row>
    <row r="35" spans="1:7" s="46" customFormat="1" x14ac:dyDescent="0.35">
      <c r="A35" s="20" t="s">
        <v>109</v>
      </c>
      <c r="B35" s="221">
        <f>ROUND(+'[17]EO Matrix @Meter'!$Z$18,2)</f>
        <v>137643.35</v>
      </c>
      <c r="C35" s="221">
        <f>ROUND(+'[16]TD EO Ex Post Gross Adj'!BE374+'[16]TD EO Ex Post Gross Adj'!BS374+'[18]TD EO Ex Post Gross Adj'!BE374+'[18]TD EO Ex Post Gross Adj'!BS374,2)</f>
        <v>24551.88</v>
      </c>
      <c r="D35" s="221">
        <f>ROUND(+'[16]TD EO NTG Adj'!BE388+'[16]TD EO NTG Adj'!BS388+'[18]TD EO NTG Adj'!BE388+'[18]TD EO NTG Adj'!BS388,2)</f>
        <v>-36821.599999999999</v>
      </c>
      <c r="E35" s="221">
        <f>ROUND(+'[16]EO TD Carrying Costs'!BE67+'[18]EO TD Carrying Costs'!BE67,2)</f>
        <v>2326.71</v>
      </c>
      <c r="F35" s="222">
        <f t="shared" si="15"/>
        <v>127700.34000000001</v>
      </c>
      <c r="G35" s="257">
        <f>ROUND(F35/24*1,2)</f>
        <v>5320.85</v>
      </c>
    </row>
    <row r="36" spans="1:7" s="46" customFormat="1" x14ac:dyDescent="0.35">
      <c r="A36" s="30" t="s">
        <v>111</v>
      </c>
      <c r="B36" s="222">
        <f>SUM(B33:B35)</f>
        <v>1081480.32</v>
      </c>
      <c r="C36" s="222">
        <f>SUM(C33:C35)</f>
        <v>524350.93999999994</v>
      </c>
      <c r="D36" s="222">
        <f t="shared" ref="D36:G36" si="16">SUM(D33:D35)</f>
        <v>-536449.89</v>
      </c>
      <c r="E36" s="222">
        <f t="shared" si="16"/>
        <v>37990.920000000006</v>
      </c>
      <c r="F36" s="222">
        <f t="shared" si="16"/>
        <v>1107372.29</v>
      </c>
      <c r="G36" s="222">
        <f t="shared" si="16"/>
        <v>46140.52</v>
      </c>
    </row>
    <row r="37" spans="1:7" x14ac:dyDescent="0.35">
      <c r="A37" s="30"/>
      <c r="B37" s="251"/>
      <c r="C37" s="251"/>
      <c r="D37" s="251"/>
      <c r="E37" s="251"/>
      <c r="F37" s="251"/>
      <c r="G37" s="251"/>
    </row>
    <row r="38" spans="1:7" s="39" customFormat="1" x14ac:dyDescent="0.35">
      <c r="A38" s="30"/>
      <c r="B38" s="256"/>
      <c r="C38" s="256"/>
      <c r="D38" s="256"/>
      <c r="E38" s="256"/>
      <c r="F38" s="256"/>
      <c r="G38" s="256"/>
    </row>
    <row r="39" spans="1:7" s="46" customFormat="1" x14ac:dyDescent="0.35">
      <c r="A39" s="255" t="s">
        <v>172</v>
      </c>
      <c r="B39" s="70"/>
      <c r="C39" s="70"/>
      <c r="D39" s="152"/>
    </row>
    <row r="40" spans="1:7" s="46" customFormat="1" x14ac:dyDescent="0.35">
      <c r="A40" s="20" t="s">
        <v>24</v>
      </c>
      <c r="B40" s="25">
        <v>0</v>
      </c>
      <c r="C40" s="25">
        <f>ROUND('[16]TD EO Ex Post Gross Adj'!CD370+'[18]TD EO Ex Post Gross Adj'!CD370,2)</f>
        <v>-188195.82</v>
      </c>
      <c r="D40" s="25">
        <f>ROUND('[16]TD EO NTG Adj'!CD384+'[18]TD EO NTG Adj'!CD384,2)</f>
        <v>-520190.41</v>
      </c>
      <c r="E40" s="246">
        <f>ROUND('[16]EO TD Carrying Costs'!BK63+'[18]EO TD Carrying Costs'!BK63,2)</f>
        <v>-19391.330000000002</v>
      </c>
      <c r="F40" s="231">
        <f>SUM(B40:E40)</f>
        <v>-727777.55999999994</v>
      </c>
      <c r="G40" s="247">
        <f>ROUND(F40/24*7,2)</f>
        <v>-212268.46</v>
      </c>
    </row>
    <row r="41" spans="1:7" s="46" customFormat="1" x14ac:dyDescent="0.35">
      <c r="A41" s="20" t="s">
        <v>25</v>
      </c>
      <c r="B41" s="221">
        <v>0</v>
      </c>
      <c r="C41" s="221">
        <f>SUM(C44:C46)</f>
        <v>185348.24</v>
      </c>
      <c r="D41" s="221">
        <f>SUM(D44:D46)</f>
        <v>-173130.57</v>
      </c>
      <c r="E41" s="248">
        <f>SUM(E44:E46)</f>
        <v>5685.3399999999992</v>
      </c>
      <c r="F41" s="231">
        <f>SUM(B41:E41)</f>
        <v>17903.009999999984</v>
      </c>
      <c r="G41" s="247">
        <f>ROUND(F41/24*7,2)</f>
        <v>5221.71</v>
      </c>
    </row>
    <row r="42" spans="1:7" s="46" customFormat="1" x14ac:dyDescent="0.35">
      <c r="A42" s="20" t="s">
        <v>5</v>
      </c>
      <c r="B42" s="222">
        <f t="shared" ref="B42:G42" si="17">SUM(B40:B41)</f>
        <v>0</v>
      </c>
      <c r="C42" s="222">
        <f t="shared" si="17"/>
        <v>-2847.5800000000163</v>
      </c>
      <c r="D42" s="222">
        <f t="shared" si="17"/>
        <v>-693320.98</v>
      </c>
      <c r="E42" s="249">
        <f t="shared" si="17"/>
        <v>-13705.990000000002</v>
      </c>
      <c r="F42" s="222">
        <f t="shared" si="17"/>
        <v>-709874.54999999993</v>
      </c>
      <c r="G42" s="250">
        <f t="shared" si="17"/>
        <v>-207046.75</v>
      </c>
    </row>
    <row r="43" spans="1:7" s="46" customFormat="1" x14ac:dyDescent="0.35">
      <c r="B43" s="219"/>
      <c r="C43" s="219"/>
      <c r="D43" s="220"/>
    </row>
    <row r="44" spans="1:7" s="46" customFormat="1" x14ac:dyDescent="0.35">
      <c r="A44" s="20" t="s">
        <v>107</v>
      </c>
      <c r="B44" s="25">
        <v>0</v>
      </c>
      <c r="C44" s="25">
        <f>ROUND('[16]TD EO Ex Post Gross Adj'!CD371+'[18]TD EO Ex Post Gross Adj'!CD371,2)</f>
        <v>87398.02</v>
      </c>
      <c r="D44" s="25">
        <f>ROUND('[16]TD EO NTG Adj'!CD385+'[18]TD EO NTG Adj'!CD385,2)</f>
        <v>-76386.149999999994</v>
      </c>
      <c r="E44" s="221">
        <f>ROUND('[16]EO TD Carrying Costs'!BK64+'[18]EO TD Carrying Costs'!BK64,2)</f>
        <v>2490.44</v>
      </c>
      <c r="F44" s="222">
        <f t="shared" ref="F44:F46" si="18">SUM(B44:E44)</f>
        <v>13502.31000000001</v>
      </c>
      <c r="G44" s="257">
        <f>ROUND(F44/24*7,2)</f>
        <v>3938.17</v>
      </c>
    </row>
    <row r="45" spans="1:7" s="46" customFormat="1" x14ac:dyDescent="0.35">
      <c r="A45" s="20" t="s">
        <v>108</v>
      </c>
      <c r="B45" s="25">
        <v>0</v>
      </c>
      <c r="C45" s="25">
        <f>ROUND('[16]TD EO Ex Post Gross Adj'!CD373+'[18]TD EO Ex Post Gross Adj'!CD373,2)</f>
        <v>89708.28</v>
      </c>
      <c r="D45" s="25">
        <f>ROUND('[16]TD EO NTG Adj'!CD387+'[18]TD EO NTG Adj'!CD387,2)</f>
        <v>-84622.720000000001</v>
      </c>
      <c r="E45" s="25">
        <f>ROUND('[16]EO TD Carrying Costs'!BK66+'[18]EO TD Carrying Costs'!BK66,2)</f>
        <v>2915.7</v>
      </c>
      <c r="F45" s="222">
        <f t="shared" si="18"/>
        <v>8001.2599999999975</v>
      </c>
      <c r="G45" s="257">
        <f>ROUND(F45/24*7,2)</f>
        <v>2333.6999999999998</v>
      </c>
    </row>
    <row r="46" spans="1:7" s="46" customFormat="1" x14ac:dyDescent="0.35">
      <c r="A46" s="20" t="s">
        <v>109</v>
      </c>
      <c r="B46" s="221">
        <v>0</v>
      </c>
      <c r="C46" s="25">
        <f>ROUND('[16]TD EO Ex Post Gross Adj'!CD374+'[18]TD EO Ex Post Gross Adj'!CD374,2)</f>
        <v>8241.94</v>
      </c>
      <c r="D46" s="221">
        <f>ROUND('[16]TD EO NTG Adj'!CD388+'[18]TD EO NTG Adj'!CD388,2)</f>
        <v>-12121.7</v>
      </c>
      <c r="E46" s="221">
        <f>ROUND('[16]EO TD Carrying Costs'!BK67+'[18]EO TD Carrying Costs'!BK67,2)</f>
        <v>279.2</v>
      </c>
      <c r="F46" s="222">
        <f t="shared" si="18"/>
        <v>-3600.5600000000004</v>
      </c>
      <c r="G46" s="257">
        <f>ROUND(F46/24*7,2)</f>
        <v>-1050.1600000000001</v>
      </c>
    </row>
    <row r="47" spans="1:7" s="46" customFormat="1" x14ac:dyDescent="0.35">
      <c r="A47" s="30" t="s">
        <v>111</v>
      </c>
      <c r="B47" s="222">
        <f>SUM(B44:B46)</f>
        <v>0</v>
      </c>
      <c r="C47" s="222">
        <f>SUM(C44:C46)</f>
        <v>185348.24</v>
      </c>
      <c r="D47" s="222">
        <f t="shared" ref="D47:G47" si="19">SUM(D44:D46)</f>
        <v>-173130.57</v>
      </c>
      <c r="E47" s="222">
        <f t="shared" si="19"/>
        <v>5685.3399999999992</v>
      </c>
      <c r="F47" s="222">
        <f t="shared" si="19"/>
        <v>17903.010000000006</v>
      </c>
      <c r="G47" s="222">
        <f t="shared" si="19"/>
        <v>5221.71</v>
      </c>
    </row>
    <row r="48" spans="1:7" s="46" customFormat="1" x14ac:dyDescent="0.35">
      <c r="A48" s="30"/>
      <c r="B48" s="251"/>
      <c r="C48" s="251"/>
      <c r="D48" s="251"/>
      <c r="E48" s="251"/>
      <c r="F48" s="251"/>
      <c r="G48" s="251"/>
    </row>
    <row r="49" spans="1:7" s="46" customFormat="1" x14ac:dyDescent="0.35">
      <c r="A49" s="255" t="s">
        <v>174</v>
      </c>
      <c r="B49" s="70"/>
      <c r="C49" s="70"/>
      <c r="D49" s="152"/>
    </row>
    <row r="50" spans="1:7" s="46" customFormat="1" x14ac:dyDescent="0.35">
      <c r="A50" s="20" t="s">
        <v>24</v>
      </c>
      <c r="B50" s="25">
        <v>0</v>
      </c>
      <c r="C50" s="25">
        <v>0</v>
      </c>
      <c r="D50" s="25">
        <v>0</v>
      </c>
      <c r="E50" s="246">
        <f>ROUND(SUM('[19]EO TD Carrying Costs'!$BJ$81:$BK$81,'[19]EO TD Carrying Costs'!$BL$55:$BQ$55)+SUM('[20]EO TD Carrying Costs'!$BJ$73:$BK$73,'[20]EO TD Carrying Costs'!$BL$55:$BQ$55),2)</f>
        <v>-10950.18</v>
      </c>
      <c r="F50" s="231">
        <f>SUM(B50:E50)</f>
        <v>-10950.18</v>
      </c>
      <c r="G50" s="247">
        <f>ROUND(F50/24*12,2)</f>
        <v>-5475.09</v>
      </c>
    </row>
    <row r="51" spans="1:7" s="46" customFormat="1" x14ac:dyDescent="0.35">
      <c r="A51" s="20" t="s">
        <v>25</v>
      </c>
      <c r="B51" s="221">
        <f t="shared" ref="B51:C51" si="20">SUM(B54:B56)</f>
        <v>0</v>
      </c>
      <c r="C51" s="221">
        <f t="shared" si="20"/>
        <v>0</v>
      </c>
      <c r="D51" s="221">
        <f>SUM(D54:D56)</f>
        <v>0</v>
      </c>
      <c r="E51" s="248">
        <f>SUM(E54:E56)</f>
        <v>1989.22</v>
      </c>
      <c r="F51" s="231">
        <f>SUM(B51:E51)</f>
        <v>1989.22</v>
      </c>
      <c r="G51" s="247">
        <f>SUM(G54:G56)</f>
        <v>994.62</v>
      </c>
    </row>
    <row r="52" spans="1:7" s="46" customFormat="1" x14ac:dyDescent="0.35">
      <c r="A52" s="20" t="s">
        <v>5</v>
      </c>
      <c r="B52" s="222">
        <f t="shared" ref="B52:G52" si="21">SUM(B50:B51)</f>
        <v>0</v>
      </c>
      <c r="C52" s="222">
        <f t="shared" si="21"/>
        <v>0</v>
      </c>
      <c r="D52" s="222">
        <f t="shared" si="21"/>
        <v>0</v>
      </c>
      <c r="E52" s="249">
        <f t="shared" si="21"/>
        <v>-8960.9600000000009</v>
      </c>
      <c r="F52" s="222">
        <f t="shared" si="21"/>
        <v>-8960.9600000000009</v>
      </c>
      <c r="G52" s="250">
        <f t="shared" si="21"/>
        <v>-4480.47</v>
      </c>
    </row>
    <row r="53" spans="1:7" s="46" customFormat="1" x14ac:dyDescent="0.35">
      <c r="B53" s="219"/>
      <c r="C53" s="219"/>
      <c r="D53" s="220"/>
    </row>
    <row r="54" spans="1:7" s="46" customFormat="1" x14ac:dyDescent="0.35">
      <c r="A54" s="20" t="s">
        <v>107</v>
      </c>
      <c r="B54" s="25">
        <v>0</v>
      </c>
      <c r="C54" s="25">
        <v>0</v>
      </c>
      <c r="D54" s="25">
        <v>0</v>
      </c>
      <c r="E54" s="221">
        <f>ROUND(SUM('[19]EO TD Carrying Costs'!$BJ$82:$BK$82,'[19]EO TD Carrying Costs'!$BL$56:$BQ$56)+SUM('[20]EO TD Carrying Costs'!$BJ$74:$BK$74,'[20]EO TD Carrying Costs'!$BL$56:$BQ$56),2)</f>
        <v>869.87</v>
      </c>
      <c r="F54" s="222">
        <f t="shared" ref="F54:F56" si="22">SUM(B54:E54)</f>
        <v>869.87</v>
      </c>
      <c r="G54" s="257">
        <f>ROUND(F54/24*12,2)</f>
        <v>434.94</v>
      </c>
    </row>
    <row r="55" spans="1:7" s="46" customFormat="1" x14ac:dyDescent="0.35">
      <c r="A55" s="20" t="s">
        <v>108</v>
      </c>
      <c r="B55" s="25">
        <v>0</v>
      </c>
      <c r="C55" s="25">
        <v>0</v>
      </c>
      <c r="D55" s="25">
        <v>0</v>
      </c>
      <c r="E55" s="25">
        <f>ROUND(SUM('[19]EO TD Carrying Costs'!$BJ$84:$BK$84,'[19]EO TD Carrying Costs'!$BL$58:$BQ$58)+SUM('[20]EO TD Carrying Costs'!$BJ$76:$BK$76,'[20]EO TD Carrying Costs'!$BL$58:$BQ$58),2)</f>
        <v>1045.55</v>
      </c>
      <c r="F55" s="222">
        <f t="shared" si="22"/>
        <v>1045.55</v>
      </c>
      <c r="G55" s="257">
        <f>ROUND(F55/24*12,2)</f>
        <v>522.78</v>
      </c>
    </row>
    <row r="56" spans="1:7" s="46" customFormat="1" x14ac:dyDescent="0.35">
      <c r="A56" s="20" t="s">
        <v>109</v>
      </c>
      <c r="B56" s="221">
        <v>0</v>
      </c>
      <c r="C56" s="25">
        <v>0</v>
      </c>
      <c r="D56" s="221">
        <v>0</v>
      </c>
      <c r="E56" s="221">
        <f>ROUND(SUM('[19]EO TD Carrying Costs'!$BJ$85:$BK$85,'[19]EO TD Carrying Costs'!$BL$59:$BQ$59)+SUM('[20]EO TD Carrying Costs'!$BJ$77:$BK$77,'[20]EO TD Carrying Costs'!$BL$59:$BQ$59),2)</f>
        <v>73.8</v>
      </c>
      <c r="F56" s="222">
        <f t="shared" si="22"/>
        <v>73.8</v>
      </c>
      <c r="G56" s="257">
        <f>ROUND(F56/24*12,2)</f>
        <v>36.9</v>
      </c>
    </row>
    <row r="57" spans="1:7" s="46" customFormat="1" x14ac:dyDescent="0.35">
      <c r="A57" s="30" t="s">
        <v>111</v>
      </c>
      <c r="B57" s="222">
        <f>SUM(B54:B56)</f>
        <v>0</v>
      </c>
      <c r="C57" s="222">
        <f>SUM(C54:C56)</f>
        <v>0</v>
      </c>
      <c r="D57" s="222">
        <f t="shared" ref="D57:G57" si="23">SUM(D54:D56)</f>
        <v>0</v>
      </c>
      <c r="E57" s="222">
        <f t="shared" si="23"/>
        <v>1989.22</v>
      </c>
      <c r="F57" s="222">
        <f t="shared" si="23"/>
        <v>1989.22</v>
      </c>
      <c r="G57" s="222">
        <f t="shared" si="23"/>
        <v>994.62</v>
      </c>
    </row>
    <row r="58" spans="1:7" s="46" customFormat="1" x14ac:dyDescent="0.35">
      <c r="A58" s="30"/>
      <c r="B58" s="251"/>
      <c r="C58" s="251"/>
      <c r="D58" s="251"/>
      <c r="E58" s="251"/>
      <c r="F58" s="251"/>
      <c r="G58" s="251"/>
    </row>
    <row r="59" spans="1:7" s="46" customFormat="1" x14ac:dyDescent="0.35">
      <c r="A59" s="255" t="s">
        <v>176</v>
      </c>
      <c r="B59" s="70"/>
      <c r="C59" s="70"/>
      <c r="D59" s="152"/>
    </row>
    <row r="60" spans="1:7" s="46" customFormat="1" x14ac:dyDescent="0.35">
      <c r="A60" s="20" t="s">
        <v>24</v>
      </c>
      <c r="B60" s="25">
        <v>0</v>
      </c>
      <c r="C60" s="25">
        <v>0</v>
      </c>
      <c r="D60" s="25">
        <v>0</v>
      </c>
      <c r="E60" s="246">
        <f>ROUND(SUM('[19]EO TD Carrying Costs'!$BR$55:$BW$55)+SUM('[20]EO TD Carrying Costs'!$BR$55:$BW$55),2)</f>
        <v>-12711.64</v>
      </c>
      <c r="F60" s="231">
        <f>SUM(B60:E60)</f>
        <v>-12711.64</v>
      </c>
      <c r="G60" s="247">
        <f>ROUND(F60/24*12,2)</f>
        <v>-6355.82</v>
      </c>
    </row>
    <row r="61" spans="1:7" s="46" customFormat="1" x14ac:dyDescent="0.35">
      <c r="A61" s="20" t="s">
        <v>25</v>
      </c>
      <c r="B61" s="221">
        <f t="shared" ref="B61:C61" si="24">SUM(B64:B66)</f>
        <v>0</v>
      </c>
      <c r="C61" s="221">
        <f t="shared" si="24"/>
        <v>0</v>
      </c>
      <c r="D61" s="221">
        <f>SUM(D64:D66)</f>
        <v>0</v>
      </c>
      <c r="E61" s="248">
        <f>SUM(E64:E66)</f>
        <v>935.53000000000009</v>
      </c>
      <c r="F61" s="231">
        <f>SUM(B61:E61)</f>
        <v>935.53000000000009</v>
      </c>
      <c r="G61" s="247">
        <f>SUM(G64:G66)</f>
        <v>467.77000000000004</v>
      </c>
    </row>
    <row r="62" spans="1:7" s="46" customFormat="1" x14ac:dyDescent="0.35">
      <c r="A62" s="20" t="s">
        <v>5</v>
      </c>
      <c r="B62" s="222">
        <f t="shared" ref="B62:G62" si="25">SUM(B60:B61)</f>
        <v>0</v>
      </c>
      <c r="C62" s="222">
        <f t="shared" si="25"/>
        <v>0</v>
      </c>
      <c r="D62" s="222">
        <f t="shared" si="25"/>
        <v>0</v>
      </c>
      <c r="E62" s="249">
        <f t="shared" si="25"/>
        <v>-11776.109999999999</v>
      </c>
      <c r="F62" s="222">
        <f t="shared" si="25"/>
        <v>-11776.109999999999</v>
      </c>
      <c r="G62" s="250">
        <f t="shared" si="25"/>
        <v>-5888.0499999999993</v>
      </c>
    </row>
    <row r="63" spans="1:7" s="46" customFormat="1" x14ac:dyDescent="0.35">
      <c r="B63" s="219"/>
      <c r="C63" s="219"/>
      <c r="D63" s="220"/>
    </row>
    <row r="64" spans="1:7" s="46" customFormat="1" x14ac:dyDescent="0.35">
      <c r="A64" s="20" t="s">
        <v>107</v>
      </c>
      <c r="B64" s="25">
        <v>0</v>
      </c>
      <c r="C64" s="25">
        <v>0</v>
      </c>
      <c r="D64" s="25">
        <v>0</v>
      </c>
      <c r="E64" s="221">
        <f>ROUND(SUM('[19]EO TD Carrying Costs'!$BR$56:$BW$56)+SUM('[20]EO TD Carrying Costs'!$BR$56:$BW$56),2)</f>
        <v>463.05</v>
      </c>
      <c r="F64" s="222">
        <f t="shared" ref="F64:F66" si="26">SUM(B64:E64)</f>
        <v>463.05</v>
      </c>
      <c r="G64" s="257">
        <f>ROUND(F64/24*12,2)</f>
        <v>231.53</v>
      </c>
    </row>
    <row r="65" spans="1:7" s="46" customFormat="1" x14ac:dyDescent="0.35">
      <c r="A65" s="20" t="s">
        <v>108</v>
      </c>
      <c r="B65" s="25">
        <v>0</v>
      </c>
      <c r="C65" s="25">
        <v>0</v>
      </c>
      <c r="D65" s="25">
        <v>0</v>
      </c>
      <c r="E65" s="25">
        <f>ROUND(SUM('[19]EO TD Carrying Costs'!$BR$58:$BW$58)+SUM('[20]EO TD Carrying Costs'!$BR$58:$BW$58),2)</f>
        <v>489.36</v>
      </c>
      <c r="F65" s="222">
        <f t="shared" si="26"/>
        <v>489.36</v>
      </c>
      <c r="G65" s="257">
        <f>ROUND(F65/24*12,2)</f>
        <v>244.68</v>
      </c>
    </row>
    <row r="66" spans="1:7" s="46" customFormat="1" x14ac:dyDescent="0.35">
      <c r="A66" s="20" t="s">
        <v>109</v>
      </c>
      <c r="B66" s="221">
        <v>0</v>
      </c>
      <c r="C66" s="25">
        <v>0</v>
      </c>
      <c r="D66" s="221">
        <v>0</v>
      </c>
      <c r="E66" s="221">
        <f>ROUND(SUM('[19]EO TD Carrying Costs'!$BR$59:$BW$59)+SUM('[20]EO TD Carrying Costs'!$BR$59:$BW$59),2)</f>
        <v>-16.88</v>
      </c>
      <c r="F66" s="222">
        <f t="shared" si="26"/>
        <v>-16.88</v>
      </c>
      <c r="G66" s="257">
        <f>ROUND(F66/24*12,2)</f>
        <v>-8.44</v>
      </c>
    </row>
    <row r="67" spans="1:7" s="46" customFormat="1" x14ac:dyDescent="0.35">
      <c r="A67" s="30" t="s">
        <v>111</v>
      </c>
      <c r="B67" s="222">
        <f>SUM(B64:B66)</f>
        <v>0</v>
      </c>
      <c r="C67" s="222">
        <f>SUM(C64:C66)</f>
        <v>0</v>
      </c>
      <c r="D67" s="222">
        <f t="shared" ref="D67:G67" si="27">SUM(D64:D66)</f>
        <v>0</v>
      </c>
      <c r="E67" s="222">
        <f t="shared" si="27"/>
        <v>935.53000000000009</v>
      </c>
      <c r="F67" s="222">
        <f t="shared" si="27"/>
        <v>935.53000000000009</v>
      </c>
      <c r="G67" s="222">
        <f t="shared" si="27"/>
        <v>467.77000000000004</v>
      </c>
    </row>
    <row r="68" spans="1:7" s="46" customFormat="1" x14ac:dyDescent="0.35">
      <c r="A68" s="30"/>
      <c r="B68" s="251"/>
      <c r="C68" s="251"/>
      <c r="D68" s="251"/>
      <c r="E68" s="251"/>
      <c r="F68" s="251"/>
      <c r="G68" s="251"/>
    </row>
    <row r="69" spans="1:7" s="46" customFormat="1" x14ac:dyDescent="0.35">
      <c r="A69" s="300" t="s">
        <v>226</v>
      </c>
      <c r="B69" s="70"/>
      <c r="C69" s="70"/>
      <c r="D69" s="152"/>
    </row>
    <row r="70" spans="1:7" s="46" customFormat="1" x14ac:dyDescent="0.35">
      <c r="A70" s="20" t="s">
        <v>24</v>
      </c>
      <c r="B70" s="25">
        <v>0</v>
      </c>
      <c r="C70" s="25">
        <v>0</v>
      </c>
      <c r="D70" s="25">
        <v>0</v>
      </c>
      <c r="E70" s="246">
        <f>ROUND(SUM('[19]EO TD Carrying Costs'!$BX$55:$CD$55)+SUM('[20]EO TD Carrying Costs'!$BX$55:$CD$55),2)</f>
        <v>-3947.6</v>
      </c>
      <c r="F70" s="231">
        <f>SUM(B70:E70)</f>
        <v>-3947.6</v>
      </c>
      <c r="G70" s="247">
        <f>ROUND(F70/24*11,2)</f>
        <v>-1809.32</v>
      </c>
    </row>
    <row r="71" spans="1:7" s="46" customFormat="1" x14ac:dyDescent="0.35">
      <c r="A71" s="20" t="s">
        <v>25</v>
      </c>
      <c r="B71" s="221">
        <f t="shared" ref="B71:C71" si="28">SUM(B74:B76)</f>
        <v>0</v>
      </c>
      <c r="C71" s="221">
        <f t="shared" si="28"/>
        <v>0</v>
      </c>
      <c r="D71" s="221">
        <f>SUM(D74:D76)</f>
        <v>0</v>
      </c>
      <c r="E71" s="248">
        <f>SUM(E74:E76)</f>
        <v>-980.94</v>
      </c>
      <c r="F71" s="231">
        <f>SUM(B71:E71)</f>
        <v>-980.94</v>
      </c>
      <c r="G71" s="247">
        <f>SUM(G74:G76)</f>
        <v>-449.59</v>
      </c>
    </row>
    <row r="72" spans="1:7" s="46" customFormat="1" x14ac:dyDescent="0.35">
      <c r="A72" s="20" t="s">
        <v>5</v>
      </c>
      <c r="B72" s="222">
        <f t="shared" ref="B72:G72" si="29">SUM(B70:B71)</f>
        <v>0</v>
      </c>
      <c r="C72" s="222">
        <f t="shared" si="29"/>
        <v>0</v>
      </c>
      <c r="D72" s="222">
        <f t="shared" si="29"/>
        <v>0</v>
      </c>
      <c r="E72" s="249">
        <f t="shared" si="29"/>
        <v>-4928.54</v>
      </c>
      <c r="F72" s="222">
        <f t="shared" si="29"/>
        <v>-4928.54</v>
      </c>
      <c r="G72" s="250">
        <f t="shared" si="29"/>
        <v>-2258.91</v>
      </c>
    </row>
    <row r="73" spans="1:7" s="46" customFormat="1" x14ac:dyDescent="0.35">
      <c r="B73" s="219"/>
      <c r="C73" s="219"/>
      <c r="D73" s="220"/>
    </row>
    <row r="74" spans="1:7" s="46" customFormat="1" x14ac:dyDescent="0.35">
      <c r="A74" s="20" t="s">
        <v>107</v>
      </c>
      <c r="B74" s="25">
        <v>0</v>
      </c>
      <c r="C74" s="25">
        <v>0</v>
      </c>
      <c r="D74" s="25">
        <v>0</v>
      </c>
      <c r="E74" s="221">
        <f>ROUND(SUM('[19]EO TD Carrying Costs'!$BX$56:$CD$56)+SUM('[20]EO TD Carrying Costs'!$BX$56:$CD$56),2)</f>
        <v>-353.19</v>
      </c>
      <c r="F74" s="222">
        <f t="shared" ref="F74:F76" si="30">SUM(B74:E74)</f>
        <v>-353.19</v>
      </c>
      <c r="G74" s="257">
        <f>ROUND(F74/24*11,2)</f>
        <v>-161.88</v>
      </c>
    </row>
    <row r="75" spans="1:7" s="46" customFormat="1" x14ac:dyDescent="0.35">
      <c r="A75" s="20" t="s">
        <v>108</v>
      </c>
      <c r="B75" s="25">
        <v>0</v>
      </c>
      <c r="C75" s="25">
        <v>0</v>
      </c>
      <c r="D75" s="25">
        <v>0</v>
      </c>
      <c r="E75" s="25">
        <f>ROUND(SUM('[19]EO TD Carrying Costs'!$BX$58:$CD$58)+SUM('[20]EO TD Carrying Costs'!$BX$58:$CD$58),2)</f>
        <v>-529.69000000000005</v>
      </c>
      <c r="F75" s="222">
        <f t="shared" si="30"/>
        <v>-529.69000000000005</v>
      </c>
      <c r="G75" s="257">
        <f>ROUND(F75/24*11,2)</f>
        <v>-242.77</v>
      </c>
    </row>
    <row r="76" spans="1:7" s="46" customFormat="1" x14ac:dyDescent="0.35">
      <c r="A76" s="20" t="s">
        <v>109</v>
      </c>
      <c r="B76" s="221">
        <v>0</v>
      </c>
      <c r="C76" s="25">
        <v>0</v>
      </c>
      <c r="D76" s="221">
        <v>0</v>
      </c>
      <c r="E76" s="221">
        <f>ROUND(SUM('[19]EO TD Carrying Costs'!$BX$59:$CD$59)+SUM('[20]EO TD Carrying Costs'!$BX$59:$CD$59),2)</f>
        <v>-98.06</v>
      </c>
      <c r="F76" s="222">
        <f t="shared" si="30"/>
        <v>-98.06</v>
      </c>
      <c r="G76" s="257">
        <f>ROUND(F76/24*11,2)</f>
        <v>-44.94</v>
      </c>
    </row>
    <row r="77" spans="1:7" s="46" customFormat="1" x14ac:dyDescent="0.35">
      <c r="A77" s="30" t="s">
        <v>111</v>
      </c>
      <c r="B77" s="222">
        <f>SUM(B74:B76)</f>
        <v>0</v>
      </c>
      <c r="C77" s="222">
        <f>SUM(C74:C76)</f>
        <v>0</v>
      </c>
      <c r="D77" s="222">
        <f t="shared" ref="D77:G77" si="31">SUM(D74:D76)</f>
        <v>0</v>
      </c>
      <c r="E77" s="222">
        <f t="shared" si="31"/>
        <v>-980.94</v>
      </c>
      <c r="F77" s="222">
        <f t="shared" si="31"/>
        <v>-980.94</v>
      </c>
      <c r="G77" s="222">
        <f t="shared" si="31"/>
        <v>-449.59</v>
      </c>
    </row>
    <row r="78" spans="1:7" s="46" customFormat="1" x14ac:dyDescent="0.35">
      <c r="A78" s="30"/>
      <c r="B78" s="251"/>
      <c r="C78" s="251"/>
      <c r="D78" s="251"/>
      <c r="E78" s="251"/>
      <c r="F78" s="251"/>
      <c r="G78" s="251"/>
    </row>
    <row r="79" spans="1:7" x14ac:dyDescent="0.35">
      <c r="A79" s="3" t="s">
        <v>157</v>
      </c>
      <c r="B79" s="46"/>
      <c r="D79" s="46"/>
      <c r="E79" s="46"/>
      <c r="F79" s="46"/>
      <c r="G79" s="46"/>
    </row>
    <row r="80" spans="1:7" x14ac:dyDescent="0.35">
      <c r="A80" s="3" t="s">
        <v>222</v>
      </c>
      <c r="B80" s="46"/>
      <c r="D80" s="46"/>
      <c r="E80" s="46"/>
      <c r="F80" s="46"/>
      <c r="G80" s="46"/>
    </row>
    <row r="81" spans="1:7" x14ac:dyDescent="0.35">
      <c r="A81" s="3" t="s">
        <v>223</v>
      </c>
      <c r="B81" s="46"/>
      <c r="D81" s="46"/>
      <c r="E81" s="46"/>
      <c r="F81" s="46"/>
      <c r="G81" s="46"/>
    </row>
    <row r="82" spans="1:7" x14ac:dyDescent="0.35">
      <c r="A82" s="3" t="s">
        <v>224</v>
      </c>
      <c r="B82" s="46"/>
      <c r="D82" s="46"/>
      <c r="E82" s="46"/>
      <c r="F82" s="46"/>
      <c r="G82" s="46"/>
    </row>
    <row r="83" spans="1:7" s="46" customFormat="1" x14ac:dyDescent="0.35">
      <c r="A83" s="3" t="s">
        <v>158</v>
      </c>
    </row>
    <row r="84" spans="1:7" s="46" customFormat="1" ht="75" customHeight="1" x14ac:dyDescent="0.35">
      <c r="A84" s="306" t="s">
        <v>227</v>
      </c>
      <c r="B84" s="306"/>
      <c r="C84" s="306"/>
      <c r="D84" s="306"/>
      <c r="E84" s="306"/>
      <c r="F84" s="306"/>
      <c r="G84" s="306"/>
    </row>
    <row r="85" spans="1:7" x14ac:dyDescent="0.35">
      <c r="A85" s="3"/>
      <c r="B85" s="46"/>
      <c r="D85" s="46"/>
      <c r="E85" s="46"/>
    </row>
    <row r="86" spans="1:7" s="46" customFormat="1" x14ac:dyDescent="0.35">
      <c r="A86" s="3"/>
    </row>
    <row r="87" spans="1:7" x14ac:dyDescent="0.35">
      <c r="A87" s="3"/>
    </row>
  </sheetData>
  <mergeCells count="2">
    <mergeCell ref="B3:D3"/>
    <mergeCell ref="A84:G84"/>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G79"/>
  <sheetViews>
    <sheetView workbookViewId="0">
      <pane xSplit="1" ySplit="4" topLeftCell="B27" activePane="bottomRight" state="frozen"/>
      <selection activeCell="K4" sqref="K4"/>
      <selection pane="topRight" activeCell="K4" sqref="K4"/>
      <selection pane="bottomLeft" activeCell="K4" sqref="K4"/>
      <selection pane="bottomRight" activeCell="D24" sqref="D24"/>
    </sheetView>
  </sheetViews>
  <sheetFormatPr defaultColWidth="8.7265625" defaultRowHeight="14.5" outlineLevelRow="1" x14ac:dyDescent="0.35"/>
  <cols>
    <col min="1" max="1" width="23.7265625" style="46" customWidth="1"/>
    <col min="2" max="2" width="15.26953125" style="46" bestFit="1" customWidth="1"/>
    <col min="3" max="3" width="14.26953125" style="46" customWidth="1"/>
    <col min="4" max="4" width="13.26953125" style="46" bestFit="1" customWidth="1"/>
    <col min="5" max="5" width="9.7265625" style="46" bestFit="1" customWidth="1"/>
    <col min="6" max="6" width="12.54296875" style="46" bestFit="1" customWidth="1"/>
    <col min="7" max="7" width="13.1796875" style="46" customWidth="1"/>
    <col min="8" max="16384" width="8.7265625" style="46"/>
  </cols>
  <sheetData>
    <row r="1" spans="1:7" x14ac:dyDescent="0.35">
      <c r="A1" s="63" t="str">
        <f>+'PPC Cycle 3'!A1</f>
        <v>Evergy Missouri West, Inc. - DSIM Rider Update Filed 12/02/2022</v>
      </c>
    </row>
    <row r="2" spans="1:7" x14ac:dyDescent="0.35">
      <c r="A2" s="9" t="str">
        <f>+'PPC Cycle 3'!A2</f>
        <v>Projections for Cycle 3 January 2023 - December 2023 DSIM</v>
      </c>
    </row>
    <row r="3" spans="1:7" ht="45.75" customHeight="1" x14ac:dyDescent="0.35">
      <c r="B3" s="307" t="s">
        <v>161</v>
      </c>
      <c r="C3" s="307"/>
      <c r="D3" s="307"/>
    </row>
    <row r="4" spans="1:7" ht="87" x14ac:dyDescent="0.35">
      <c r="B4" s="70" t="s">
        <v>100</v>
      </c>
      <c r="C4" s="70" t="s">
        <v>101</v>
      </c>
      <c r="D4" s="70" t="s">
        <v>104</v>
      </c>
      <c r="E4" s="70" t="s">
        <v>102</v>
      </c>
      <c r="F4" s="70" t="s">
        <v>99</v>
      </c>
      <c r="G4" s="70" t="s">
        <v>163</v>
      </c>
    </row>
    <row r="5" spans="1:7" x14ac:dyDescent="0.35">
      <c r="A5" s="20"/>
      <c r="B5" s="70"/>
      <c r="C5" s="70"/>
      <c r="D5" s="153"/>
    </row>
    <row r="6" spans="1:7" x14ac:dyDescent="0.35">
      <c r="A6" s="255" t="s">
        <v>162</v>
      </c>
      <c r="B6" s="70"/>
      <c r="C6" s="70"/>
      <c r="D6" s="152"/>
    </row>
    <row r="7" spans="1:7" x14ac:dyDescent="0.35">
      <c r="A7" s="20" t="s">
        <v>24</v>
      </c>
      <c r="B7" s="231">
        <f t="shared" ref="B7:E7" si="0">+B18+B29+B40+B51+B62</f>
        <v>1600473.26</v>
      </c>
      <c r="C7" s="231">
        <f t="shared" si="0"/>
        <v>708879.77</v>
      </c>
      <c r="D7" s="231">
        <f t="shared" si="0"/>
        <v>-610325.69999999995</v>
      </c>
      <c r="E7" s="231">
        <f t="shared" si="0"/>
        <v>7418.26</v>
      </c>
      <c r="F7" s="231">
        <f>SUM(B7:E7)</f>
        <v>1706445.5900000003</v>
      </c>
      <c r="G7" s="231">
        <f>+G18+G29+G40+G51+G62</f>
        <v>201009.06</v>
      </c>
    </row>
    <row r="8" spans="1:7" x14ac:dyDescent="0.35">
      <c r="A8" s="20" t="s">
        <v>25</v>
      </c>
      <c r="B8" s="231">
        <f t="shared" ref="B8:E8" si="1">+B19+B30+B41+B52+B63</f>
        <v>893810.55</v>
      </c>
      <c r="C8" s="231">
        <f t="shared" si="1"/>
        <v>93531.72</v>
      </c>
      <c r="D8" s="231">
        <f t="shared" si="1"/>
        <v>-21111.759999999998</v>
      </c>
      <c r="E8" s="231">
        <f t="shared" si="1"/>
        <v>1177.47</v>
      </c>
      <c r="F8" s="231">
        <f>SUM(B8:E8)</f>
        <v>967407.98</v>
      </c>
      <c r="G8" s="231">
        <f>+G19+G30+G41+G52+G63</f>
        <v>111861.79000000001</v>
      </c>
    </row>
    <row r="9" spans="1:7" x14ac:dyDescent="0.35">
      <c r="A9" s="20" t="s">
        <v>5</v>
      </c>
      <c r="B9" s="222">
        <f t="shared" ref="B9:E9" si="2">SUM(B7:B8)</f>
        <v>2494283.81</v>
      </c>
      <c r="C9" s="222">
        <f t="shared" si="2"/>
        <v>802411.49</v>
      </c>
      <c r="D9" s="222">
        <f t="shared" si="2"/>
        <v>-631437.46</v>
      </c>
      <c r="E9" s="222">
        <f t="shared" si="2"/>
        <v>8595.73</v>
      </c>
      <c r="F9" s="222">
        <f t="shared" ref="F9:G9" si="3">SUM(F7:F8)</f>
        <v>2673853.5700000003</v>
      </c>
      <c r="G9" s="222">
        <f t="shared" si="3"/>
        <v>312870.84999999998</v>
      </c>
    </row>
    <row r="10" spans="1:7" x14ac:dyDescent="0.35">
      <c r="B10" s="219"/>
      <c r="C10" s="219"/>
      <c r="D10" s="220"/>
    </row>
    <row r="11" spans="1:7" x14ac:dyDescent="0.35">
      <c r="A11" s="20" t="s">
        <v>107</v>
      </c>
      <c r="B11" s="222">
        <f t="shared" ref="B11:E13" si="4">+B22+B33+B44+B55+B66</f>
        <v>310910.24</v>
      </c>
      <c r="C11" s="222">
        <f t="shared" si="4"/>
        <v>61152.880000000005</v>
      </c>
      <c r="D11" s="222">
        <f t="shared" si="4"/>
        <v>-9035.52</v>
      </c>
      <c r="E11" s="222">
        <f t="shared" si="4"/>
        <v>865.01</v>
      </c>
      <c r="F11" s="222">
        <f t="shared" ref="F11:F13" si="5">SUM(B11:E11)</f>
        <v>363892.61</v>
      </c>
      <c r="G11" s="222">
        <f t="shared" ref="G11:G13" si="6">+G22+G33+G44+G55+G66</f>
        <v>51575.59</v>
      </c>
    </row>
    <row r="12" spans="1:7" x14ac:dyDescent="0.35">
      <c r="A12" s="20" t="s">
        <v>108</v>
      </c>
      <c r="B12" s="222">
        <f t="shared" si="4"/>
        <v>318131.55</v>
      </c>
      <c r="C12" s="222">
        <f t="shared" si="4"/>
        <v>27840.550000000003</v>
      </c>
      <c r="D12" s="222">
        <f t="shared" si="4"/>
        <v>-6193.21</v>
      </c>
      <c r="E12" s="222">
        <f t="shared" si="4"/>
        <v>390.86</v>
      </c>
      <c r="F12" s="222">
        <f t="shared" si="5"/>
        <v>340169.74999999994</v>
      </c>
      <c r="G12" s="222">
        <f t="shared" si="6"/>
        <v>37185.47</v>
      </c>
    </row>
    <row r="13" spans="1:7" x14ac:dyDescent="0.35">
      <c r="A13" s="20" t="s">
        <v>109</v>
      </c>
      <c r="B13" s="222">
        <f t="shared" si="4"/>
        <v>264768.76</v>
      </c>
      <c r="C13" s="222">
        <f t="shared" si="4"/>
        <v>4538.29</v>
      </c>
      <c r="D13" s="222">
        <f t="shared" si="4"/>
        <v>-5883.03</v>
      </c>
      <c r="E13" s="222">
        <f t="shared" si="4"/>
        <v>-78.400000000000006</v>
      </c>
      <c r="F13" s="222">
        <f t="shared" si="5"/>
        <v>263345.61999999994</v>
      </c>
      <c r="G13" s="222">
        <f t="shared" si="6"/>
        <v>23100.74</v>
      </c>
    </row>
    <row r="14" spans="1:7" x14ac:dyDescent="0.35">
      <c r="A14" s="30" t="s">
        <v>111</v>
      </c>
      <c r="B14" s="222">
        <f t="shared" ref="B14:E14" si="7">SUM(B11:B13)</f>
        <v>893810.55</v>
      </c>
      <c r="C14" s="222">
        <f t="shared" si="7"/>
        <v>93531.72</v>
      </c>
      <c r="D14" s="222">
        <f t="shared" si="7"/>
        <v>-21111.759999999998</v>
      </c>
      <c r="E14" s="222">
        <f t="shared" si="7"/>
        <v>1177.4699999999998</v>
      </c>
      <c r="F14" s="222">
        <f t="shared" ref="F14:G14" si="8">SUM(F11:F13)</f>
        <v>967407.97999999975</v>
      </c>
      <c r="G14" s="222">
        <f t="shared" si="8"/>
        <v>111861.8</v>
      </c>
    </row>
    <row r="15" spans="1:7" x14ac:dyDescent="0.35">
      <c r="A15" s="20"/>
      <c r="B15" s="70"/>
      <c r="C15" s="70"/>
      <c r="D15" s="152"/>
    </row>
    <row r="16" spans="1:7" x14ac:dyDescent="0.35">
      <c r="A16" s="20"/>
      <c r="B16" s="70"/>
      <c r="C16" s="70"/>
      <c r="D16" s="152"/>
    </row>
    <row r="17" spans="1:7" x14ac:dyDescent="0.35">
      <c r="A17" s="255" t="s">
        <v>173</v>
      </c>
      <c r="B17" s="70"/>
      <c r="C17" s="70"/>
      <c r="D17" s="152"/>
    </row>
    <row r="18" spans="1:7" x14ac:dyDescent="0.35">
      <c r="A18" s="20" t="s">
        <v>24</v>
      </c>
      <c r="B18" s="25">
        <f>ROUND('[21]EO Matrix @Meter'!$R$20,2)</f>
        <v>1600473.26</v>
      </c>
      <c r="C18" s="25">
        <f>ROUND(SUM('[22]Ex Post Gross TD Calc'!$E$571:$Z$571),2)</f>
        <v>575236.4</v>
      </c>
      <c r="D18" s="25">
        <f>ROUND(SUM('[22]NTG TD Calc'!$E$436:$Z$436),2)</f>
        <v>-545792.23</v>
      </c>
      <c r="E18" s="246">
        <f>ROUND(SUM('[22]EO TD Carrying Costs'!$C$55:$X$55),2)</f>
        <v>6704.6</v>
      </c>
      <c r="F18" s="231">
        <f>SUM(B18:E18)</f>
        <v>1636622.0300000003</v>
      </c>
      <c r="G18" s="247">
        <f>ROUND(F18/12*1,2)</f>
        <v>136385.17000000001</v>
      </c>
    </row>
    <row r="19" spans="1:7" x14ac:dyDescent="0.35">
      <c r="A19" s="20" t="s">
        <v>25</v>
      </c>
      <c r="B19" s="221">
        <f>SUM(B22:B24)</f>
        <v>893810.55</v>
      </c>
      <c r="C19" s="221">
        <f t="shared" ref="C19:E19" si="9">SUM(C22:C24)</f>
        <v>48777.71</v>
      </c>
      <c r="D19" s="221">
        <f t="shared" si="9"/>
        <v>-18883.82</v>
      </c>
      <c r="E19" s="248">
        <f t="shared" si="9"/>
        <v>299.14999999999998</v>
      </c>
      <c r="F19" s="231">
        <f>SUM(B19:E19)</f>
        <v>924003.59000000008</v>
      </c>
      <c r="G19" s="247">
        <f>ROUND(F19/12*1,2)</f>
        <v>77000.3</v>
      </c>
    </row>
    <row r="20" spans="1:7" x14ac:dyDescent="0.35">
      <c r="A20" s="20" t="s">
        <v>5</v>
      </c>
      <c r="B20" s="222">
        <f t="shared" ref="B20:G20" si="10">SUM(B18:B19)</f>
        <v>2494283.81</v>
      </c>
      <c r="C20" s="222">
        <f t="shared" si="10"/>
        <v>624014.11</v>
      </c>
      <c r="D20" s="222">
        <f t="shared" si="10"/>
        <v>-564676.04999999993</v>
      </c>
      <c r="E20" s="249">
        <f t="shared" si="10"/>
        <v>7003.75</v>
      </c>
      <c r="F20" s="222">
        <f t="shared" si="10"/>
        <v>2560625.62</v>
      </c>
      <c r="G20" s="250">
        <f t="shared" si="10"/>
        <v>213385.47000000003</v>
      </c>
    </row>
    <row r="21" spans="1:7" x14ac:dyDescent="0.35">
      <c r="B21" s="219"/>
      <c r="C21" s="219"/>
      <c r="D21" s="220"/>
    </row>
    <row r="22" spans="1:7" x14ac:dyDescent="0.35">
      <c r="A22" s="20" t="s">
        <v>107</v>
      </c>
      <c r="B22" s="25">
        <f>ROUND('[21]EO Matrix @Meter'!$V$20,2)</f>
        <v>310910.24</v>
      </c>
      <c r="C22" s="25">
        <f>ROUND(SUM('[22]Ex Post Gross TD Calc'!$E$572:$Z$572),2)</f>
        <v>31691.65</v>
      </c>
      <c r="D22" s="25">
        <f>ROUND(SUM('[22]NTG TD Calc'!$E$437:$Z$437),2)</f>
        <v>-8282.43</v>
      </c>
      <c r="E22" s="221">
        <f>ROUND(SUM('[22]EO TD Carrying Costs'!$C$56:$X$56),2)</f>
        <v>207.66</v>
      </c>
      <c r="F22" s="222">
        <f t="shared" ref="F22:F24" si="11">SUM(B22:E22)</f>
        <v>334527.12</v>
      </c>
      <c r="G22" s="257">
        <f>ROUND(F22/12*1,2)</f>
        <v>27877.26</v>
      </c>
    </row>
    <row r="23" spans="1:7" x14ac:dyDescent="0.35">
      <c r="A23" s="20" t="s">
        <v>108</v>
      </c>
      <c r="B23" s="25">
        <f>ROUND('[21]EO Matrix @Meter'!$X$20,2)</f>
        <v>318131.55</v>
      </c>
      <c r="C23" s="25">
        <f>ROUND(SUM('[22]Ex Post Gross TD Calc'!$E$574:$Z$574),2)</f>
        <v>14779.57</v>
      </c>
      <c r="D23" s="25">
        <f>ROUND(SUM('[22]NTG TD Calc'!$E$439:$Z$439),2)</f>
        <v>-5434.16</v>
      </c>
      <c r="E23" s="25">
        <f>ROUND(SUM('[22]EO TD Carrying Costs'!$C$58:$X$58),2)</f>
        <v>118.71</v>
      </c>
      <c r="F23" s="222">
        <f t="shared" si="11"/>
        <v>327595.67000000004</v>
      </c>
      <c r="G23" s="257">
        <f t="shared" ref="G23:G24" si="12">ROUND(F23/12*1,2)</f>
        <v>27299.64</v>
      </c>
    </row>
    <row r="24" spans="1:7" x14ac:dyDescent="0.35">
      <c r="A24" s="20" t="s">
        <v>109</v>
      </c>
      <c r="B24" s="221">
        <f>ROUND('[21]EO Matrix @Meter'!$Y$20,2)</f>
        <v>264768.76</v>
      </c>
      <c r="C24" s="221">
        <f>ROUND(SUM('[22]Ex Post Gross TD Calc'!$E$575:$Z$575),2)</f>
        <v>2306.4899999999998</v>
      </c>
      <c r="D24" s="221">
        <f>ROUND(SUM('[22]NTG TD Calc'!$E$440:$Z$440),2)</f>
        <v>-5167.2299999999996</v>
      </c>
      <c r="E24" s="221">
        <f>ROUND(SUM('[22]EO TD Carrying Costs'!$C$59:$X$59),2)</f>
        <v>-27.22</v>
      </c>
      <c r="F24" s="222">
        <f t="shared" si="11"/>
        <v>261880.8</v>
      </c>
      <c r="G24" s="257">
        <f t="shared" si="12"/>
        <v>21823.4</v>
      </c>
    </row>
    <row r="25" spans="1:7" x14ac:dyDescent="0.35">
      <c r="A25" s="30" t="s">
        <v>111</v>
      </c>
      <c r="B25" s="222">
        <f>SUM(B22:B24)</f>
        <v>893810.55</v>
      </c>
      <c r="C25" s="222">
        <f>SUM(C22:C24)</f>
        <v>48777.71</v>
      </c>
      <c r="D25" s="222">
        <f t="shared" ref="D25:G25" si="13">SUM(D22:D24)</f>
        <v>-18883.82</v>
      </c>
      <c r="E25" s="222">
        <f t="shared" si="13"/>
        <v>299.14999999999998</v>
      </c>
      <c r="F25" s="222">
        <f t="shared" si="13"/>
        <v>924003.59000000008</v>
      </c>
      <c r="G25" s="222">
        <f t="shared" si="13"/>
        <v>77000.299999999988</v>
      </c>
    </row>
    <row r="26" spans="1:7" s="39" customFormat="1" x14ac:dyDescent="0.35">
      <c r="A26" s="30"/>
      <c r="B26" s="256"/>
      <c r="C26" s="256"/>
      <c r="D26" s="256"/>
      <c r="E26" s="256"/>
      <c r="F26" s="256"/>
      <c r="G26" s="256"/>
    </row>
    <row r="27" spans="1:7" s="39" customFormat="1" x14ac:dyDescent="0.35">
      <c r="A27" s="30"/>
      <c r="B27" s="256"/>
      <c r="C27" s="256"/>
      <c r="D27" s="256"/>
      <c r="E27" s="256"/>
      <c r="F27" s="256"/>
      <c r="G27" s="256"/>
    </row>
    <row r="28" spans="1:7" x14ac:dyDescent="0.35">
      <c r="A28" s="296" t="s">
        <v>189</v>
      </c>
      <c r="B28" s="70"/>
      <c r="C28" s="70"/>
      <c r="D28" s="152"/>
    </row>
    <row r="29" spans="1:7" x14ac:dyDescent="0.35">
      <c r="A29" s="20" t="s">
        <v>24</v>
      </c>
      <c r="B29" s="25"/>
      <c r="C29" s="25">
        <f>ROUND(SUM('[22]Ex Post Gross TD Calc'!$AA$571:$AF$571),2)</f>
        <v>62492.85</v>
      </c>
      <c r="D29" s="25">
        <f>ROUND(SUM('[22]NTG TD Calc'!$AA$436:$AF$436),2)</f>
        <v>-64533.46</v>
      </c>
      <c r="E29" s="246">
        <f>ROUND(SUM('[22]EO TD Carrying Costs'!$Y$55:$AD$55),2)</f>
        <v>183.74</v>
      </c>
      <c r="F29" s="231">
        <f>SUM(B29:E29)</f>
        <v>-1856.8700000000006</v>
      </c>
      <c r="G29" s="247">
        <f>ROUND(F29/12*7,2)</f>
        <v>-1083.17</v>
      </c>
    </row>
    <row r="30" spans="1:7" x14ac:dyDescent="0.35">
      <c r="A30" s="20" t="s">
        <v>25</v>
      </c>
      <c r="B30" s="221"/>
      <c r="C30" s="221">
        <f t="shared" ref="C30:E30" si="14">SUM(C33:C35)</f>
        <v>16556.97</v>
      </c>
      <c r="D30" s="221">
        <f t="shared" si="14"/>
        <v>-2227.92</v>
      </c>
      <c r="E30" s="248">
        <f t="shared" si="14"/>
        <v>448.56</v>
      </c>
      <c r="F30" s="231">
        <f>SUM(B30:E30)</f>
        <v>14777.61</v>
      </c>
      <c r="G30" s="247">
        <f>ROUND(F30/12*7,2)</f>
        <v>8620.27</v>
      </c>
    </row>
    <row r="31" spans="1:7" x14ac:dyDescent="0.35">
      <c r="A31" s="20" t="s">
        <v>5</v>
      </c>
      <c r="B31" s="222">
        <f t="shared" ref="B31:G31" si="15">SUM(B29:B30)</f>
        <v>0</v>
      </c>
      <c r="C31" s="222">
        <f t="shared" si="15"/>
        <v>79049.820000000007</v>
      </c>
      <c r="D31" s="222">
        <f t="shared" si="15"/>
        <v>-66761.38</v>
      </c>
      <c r="E31" s="249">
        <f t="shared" si="15"/>
        <v>632.29999999999995</v>
      </c>
      <c r="F31" s="222">
        <f t="shared" si="15"/>
        <v>12920.74</v>
      </c>
      <c r="G31" s="250">
        <f t="shared" si="15"/>
        <v>7537.1</v>
      </c>
    </row>
    <row r="32" spans="1:7" x14ac:dyDescent="0.35">
      <c r="B32" s="219"/>
      <c r="C32" s="219"/>
      <c r="D32" s="220"/>
    </row>
    <row r="33" spans="1:7" x14ac:dyDescent="0.35">
      <c r="A33" s="20" t="s">
        <v>107</v>
      </c>
      <c r="B33" s="25"/>
      <c r="C33" s="25">
        <f>ROUND(SUM('[22]Ex Post Gross TD Calc'!$AA$572:$AF$572),2)</f>
        <v>10068.67</v>
      </c>
      <c r="D33" s="25">
        <f>ROUND(SUM('[22]NTG TD Calc'!$AA$437:$AF$437),2)</f>
        <v>-753.09</v>
      </c>
      <c r="E33" s="221">
        <f>ROUND(SUM('[22]EO TD Carrying Costs'!$Y$56:$AD$56),2)</f>
        <v>344.55</v>
      </c>
      <c r="F33" s="222">
        <f t="shared" ref="F33:F35" si="16">SUM(B33:E33)</f>
        <v>9660.1299999999992</v>
      </c>
      <c r="G33" s="257">
        <f>ROUND(F33/12*7,2)</f>
        <v>5635.08</v>
      </c>
    </row>
    <row r="34" spans="1:7" x14ac:dyDescent="0.35">
      <c r="A34" s="20" t="s">
        <v>108</v>
      </c>
      <c r="B34" s="25"/>
      <c r="C34" s="25">
        <f>ROUND(SUM('[22]Ex Post Gross TD Calc'!$AA$574:$AF$574),2)</f>
        <v>5538.26</v>
      </c>
      <c r="D34" s="25">
        <f>ROUND(SUM('[22]NTG TD Calc'!$AA$439:$AF$439),2)</f>
        <v>-759.03</v>
      </c>
      <c r="E34" s="25">
        <f>ROUND(SUM('[22]EO TD Carrying Costs'!$Y$58:$AD$58),2)</f>
        <v>142</v>
      </c>
      <c r="F34" s="222">
        <f t="shared" si="16"/>
        <v>4921.2300000000005</v>
      </c>
      <c r="G34" s="257">
        <f t="shared" ref="G34:G35" si="17">ROUND(F34/12*7,2)</f>
        <v>2870.72</v>
      </c>
    </row>
    <row r="35" spans="1:7" x14ac:dyDescent="0.35">
      <c r="A35" s="20" t="s">
        <v>109</v>
      </c>
      <c r="B35" s="221"/>
      <c r="C35" s="221">
        <f>ROUND(SUM('[22]Ex Post Gross TD Calc'!$AA$575:$AF$575),2)</f>
        <v>950.04</v>
      </c>
      <c r="D35" s="221">
        <f>ROUND(SUM('[22]NTG TD Calc'!$AA$440:$AF$440),2)</f>
        <v>-715.8</v>
      </c>
      <c r="E35" s="221">
        <f>ROUND(SUM('[22]EO TD Carrying Costs'!$Y$59:$AD$59),2)</f>
        <v>-37.99</v>
      </c>
      <c r="F35" s="222">
        <f t="shared" si="16"/>
        <v>196.25</v>
      </c>
      <c r="G35" s="257">
        <f t="shared" si="17"/>
        <v>114.48</v>
      </c>
    </row>
    <row r="36" spans="1:7" x14ac:dyDescent="0.35">
      <c r="A36" s="30" t="s">
        <v>111</v>
      </c>
      <c r="B36" s="222">
        <f>SUM(B33:B35)</f>
        <v>0</v>
      </c>
      <c r="C36" s="222">
        <f>SUM(C33:C35)</f>
        <v>16556.97</v>
      </c>
      <c r="D36" s="222">
        <f t="shared" ref="D36:G36" si="18">SUM(D33:D35)</f>
        <v>-2227.92</v>
      </c>
      <c r="E36" s="222">
        <f t="shared" si="18"/>
        <v>448.56</v>
      </c>
      <c r="F36" s="222">
        <f t="shared" si="18"/>
        <v>14777.61</v>
      </c>
      <c r="G36" s="222">
        <f t="shared" si="18"/>
        <v>8620.2799999999988</v>
      </c>
    </row>
    <row r="37" spans="1:7" x14ac:dyDescent="0.35">
      <c r="A37" s="30"/>
      <c r="B37" s="251"/>
      <c r="C37" s="251"/>
      <c r="D37" s="251"/>
      <c r="E37" s="251"/>
      <c r="F37" s="251"/>
      <c r="G37" s="251"/>
    </row>
    <row r="38" spans="1:7" s="39" customFormat="1" x14ac:dyDescent="0.35">
      <c r="A38" s="30"/>
      <c r="B38" s="256"/>
      <c r="C38" s="256"/>
      <c r="D38" s="256"/>
      <c r="E38" s="256"/>
      <c r="F38" s="256"/>
      <c r="G38" s="256"/>
    </row>
    <row r="39" spans="1:7" x14ac:dyDescent="0.35">
      <c r="A39" s="301" t="s">
        <v>206</v>
      </c>
      <c r="B39" s="70"/>
      <c r="C39" s="70"/>
      <c r="D39" s="152"/>
    </row>
    <row r="40" spans="1:7" x14ac:dyDescent="0.35">
      <c r="A40" s="20" t="s">
        <v>24</v>
      </c>
      <c r="B40" s="25">
        <v>0</v>
      </c>
      <c r="C40" s="25">
        <f>ROUND(SUM('[22]Ex Post Gross TD Calc'!$AG$571:$AM$571),2)</f>
        <v>71150.52</v>
      </c>
      <c r="D40" s="25">
        <f>ROUND(SUM('[22]NTG TD Calc'!$AG$436:$AM$436),2)</f>
        <v>-0.01</v>
      </c>
      <c r="E40" s="246">
        <f>ROUND(SUM('[22]EO TD Carrying Costs'!$AE$55:$AK$55),2)</f>
        <v>529.91999999999996</v>
      </c>
      <c r="F40" s="231">
        <f>SUM(B40:E40)</f>
        <v>71680.430000000008</v>
      </c>
      <c r="G40" s="247">
        <f>ROUND(F40/12*11,2)</f>
        <v>65707.06</v>
      </c>
    </row>
    <row r="41" spans="1:7" x14ac:dyDescent="0.35">
      <c r="A41" s="20" t="s">
        <v>25</v>
      </c>
      <c r="B41" s="221">
        <v>0</v>
      </c>
      <c r="C41" s="221">
        <f t="shared" ref="C41:E41" si="19">SUM(C44:C46)</f>
        <v>28197.040000000001</v>
      </c>
      <c r="D41" s="221">
        <f t="shared" si="19"/>
        <v>-0.02</v>
      </c>
      <c r="E41" s="248">
        <f t="shared" si="19"/>
        <v>429.76000000000005</v>
      </c>
      <c r="F41" s="231">
        <f>SUM(B41:E41)</f>
        <v>28626.78</v>
      </c>
      <c r="G41" s="247">
        <f>ROUND(F41/12*11,2)</f>
        <v>26241.22</v>
      </c>
    </row>
    <row r="42" spans="1:7" x14ac:dyDescent="0.35">
      <c r="A42" s="20" t="s">
        <v>5</v>
      </c>
      <c r="B42" s="222">
        <f t="shared" ref="B42:G42" si="20">SUM(B40:B41)</f>
        <v>0</v>
      </c>
      <c r="C42" s="222">
        <f t="shared" si="20"/>
        <v>99347.56</v>
      </c>
      <c r="D42" s="222">
        <f t="shared" si="20"/>
        <v>-0.03</v>
      </c>
      <c r="E42" s="249">
        <f t="shared" si="20"/>
        <v>959.68000000000006</v>
      </c>
      <c r="F42" s="222">
        <f t="shared" si="20"/>
        <v>100307.21</v>
      </c>
      <c r="G42" s="250">
        <f t="shared" si="20"/>
        <v>91948.28</v>
      </c>
    </row>
    <row r="43" spans="1:7" x14ac:dyDescent="0.35">
      <c r="B43" s="219"/>
      <c r="C43" s="219"/>
      <c r="D43" s="220"/>
    </row>
    <row r="44" spans="1:7" x14ac:dyDescent="0.35">
      <c r="A44" s="20" t="s">
        <v>107</v>
      </c>
      <c r="B44" s="25">
        <v>0</v>
      </c>
      <c r="C44" s="25">
        <f>ROUND(SUM('[22]Ex Post Gross TD Calc'!$AG$572:$AM$572),2)</f>
        <v>19392.560000000001</v>
      </c>
      <c r="D44" s="25">
        <f>ROUND(SUM('[22]NTG TD Calc'!$AG$437:$AM$437),2)</f>
        <v>0</v>
      </c>
      <c r="E44" s="221">
        <f>ROUND(SUM('[22]EO TD Carrying Costs'!$AE$56:$AK$56),2)</f>
        <v>312.8</v>
      </c>
      <c r="F44" s="222">
        <f t="shared" ref="F44:F46" si="21">SUM(B44:E44)</f>
        <v>19705.36</v>
      </c>
      <c r="G44" s="257">
        <f t="shared" ref="G44:G46" si="22">ROUND(F44/12*11,2)</f>
        <v>18063.25</v>
      </c>
    </row>
    <row r="45" spans="1:7" x14ac:dyDescent="0.35">
      <c r="A45" s="20" t="s">
        <v>108</v>
      </c>
      <c r="B45" s="25">
        <v>0</v>
      </c>
      <c r="C45" s="25">
        <f>ROUND(SUM('[22]Ex Post Gross TD Calc'!$AG$574:$AM$574),2)</f>
        <v>7522.72</v>
      </c>
      <c r="D45" s="25">
        <f>ROUND(SUM('[22]NTG TD Calc'!$AG$439:$AM$439),2)</f>
        <v>-0.02</v>
      </c>
      <c r="E45" s="25">
        <f>ROUND(SUM('[22]EO TD Carrying Costs'!$AE$58:$AK$58),2)</f>
        <v>130.15</v>
      </c>
      <c r="F45" s="222">
        <f t="shared" si="21"/>
        <v>7652.8499999999995</v>
      </c>
      <c r="G45" s="257">
        <f t="shared" si="22"/>
        <v>7015.11</v>
      </c>
    </row>
    <row r="46" spans="1:7" x14ac:dyDescent="0.35">
      <c r="A46" s="20" t="s">
        <v>109</v>
      </c>
      <c r="B46" s="221">
        <v>0</v>
      </c>
      <c r="C46" s="221">
        <f>ROUND(SUM('[22]Ex Post Gross TD Calc'!$AG$575:$AM$575),2)</f>
        <v>1281.76</v>
      </c>
      <c r="D46" s="221">
        <f>ROUND(SUM('[22]NTG TD Calc'!$AG$440:$AM$440),2)</f>
        <v>0</v>
      </c>
      <c r="E46" s="221">
        <f>ROUND(SUM('[22]EO TD Carrying Costs'!$AE$59:$AK$59),2)</f>
        <v>-13.19</v>
      </c>
      <c r="F46" s="222">
        <f t="shared" si="21"/>
        <v>1268.57</v>
      </c>
      <c r="G46" s="257">
        <f t="shared" si="22"/>
        <v>1162.8599999999999</v>
      </c>
    </row>
    <row r="47" spans="1:7" x14ac:dyDescent="0.35">
      <c r="A47" s="30" t="s">
        <v>111</v>
      </c>
      <c r="B47" s="222">
        <f>SUM(B44:B46)</f>
        <v>0</v>
      </c>
      <c r="C47" s="222">
        <f>SUM(C44:C46)</f>
        <v>28197.040000000001</v>
      </c>
      <c r="D47" s="222">
        <f t="shared" ref="D47:G47" si="23">SUM(D44:D46)</f>
        <v>-0.02</v>
      </c>
      <c r="E47" s="222">
        <f t="shared" si="23"/>
        <v>429.76000000000005</v>
      </c>
      <c r="F47" s="222">
        <f t="shared" si="23"/>
        <v>28626.78</v>
      </c>
      <c r="G47" s="222">
        <f t="shared" si="23"/>
        <v>26241.22</v>
      </c>
    </row>
    <row r="48" spans="1:7" x14ac:dyDescent="0.35">
      <c r="A48" s="30"/>
      <c r="B48" s="251"/>
      <c r="C48" s="251"/>
      <c r="D48" s="251"/>
      <c r="E48" s="251"/>
      <c r="F48" s="251"/>
      <c r="G48" s="251"/>
    </row>
    <row r="49" spans="1:7" s="39" customFormat="1" x14ac:dyDescent="0.35">
      <c r="A49" s="30"/>
      <c r="B49" s="256"/>
      <c r="C49" s="256"/>
      <c r="D49" s="256"/>
      <c r="E49" s="256"/>
      <c r="F49" s="256"/>
      <c r="G49" s="256"/>
    </row>
    <row r="50" spans="1:7" hidden="1" outlineLevel="1" x14ac:dyDescent="0.35">
      <c r="A50" s="301" t="s">
        <v>207</v>
      </c>
      <c r="B50" s="70"/>
      <c r="C50" s="70"/>
      <c r="D50" s="152"/>
    </row>
    <row r="51" spans="1:7" hidden="1" outlineLevel="1" x14ac:dyDescent="0.35">
      <c r="A51" s="20" t="s">
        <v>24</v>
      </c>
      <c r="B51" s="25">
        <v>0</v>
      </c>
      <c r="C51" s="25"/>
      <c r="D51" s="25"/>
      <c r="E51" s="246"/>
      <c r="F51" s="231">
        <f>SUM(B51:E51)</f>
        <v>0</v>
      </c>
      <c r="G51" s="247">
        <f>ROUND(F51/12*11,2)</f>
        <v>0</v>
      </c>
    </row>
    <row r="52" spans="1:7" hidden="1" outlineLevel="1" x14ac:dyDescent="0.35">
      <c r="A52" s="20" t="s">
        <v>25</v>
      </c>
      <c r="B52" s="221">
        <v>0</v>
      </c>
      <c r="C52" s="221"/>
      <c r="D52" s="221"/>
      <c r="E52" s="248"/>
      <c r="F52" s="231">
        <f>SUM(B52:E52)</f>
        <v>0</v>
      </c>
      <c r="G52" s="247">
        <f>ROUND(F52/12*11,2)</f>
        <v>0</v>
      </c>
    </row>
    <row r="53" spans="1:7" hidden="1" outlineLevel="1" x14ac:dyDescent="0.35">
      <c r="A53" s="20" t="s">
        <v>5</v>
      </c>
      <c r="B53" s="222">
        <f t="shared" ref="B53:G53" si="24">SUM(B51:B52)</f>
        <v>0</v>
      </c>
      <c r="C53" s="222">
        <f t="shared" si="24"/>
        <v>0</v>
      </c>
      <c r="D53" s="222">
        <f t="shared" si="24"/>
        <v>0</v>
      </c>
      <c r="E53" s="249">
        <f t="shared" si="24"/>
        <v>0</v>
      </c>
      <c r="F53" s="222">
        <f t="shared" si="24"/>
        <v>0</v>
      </c>
      <c r="G53" s="250">
        <f t="shared" si="24"/>
        <v>0</v>
      </c>
    </row>
    <row r="54" spans="1:7" hidden="1" outlineLevel="1" x14ac:dyDescent="0.35">
      <c r="B54" s="219"/>
      <c r="C54" s="219"/>
      <c r="D54" s="220"/>
    </row>
    <row r="55" spans="1:7" hidden="1" outlineLevel="1" x14ac:dyDescent="0.35">
      <c r="A55" s="20" t="s">
        <v>107</v>
      </c>
      <c r="B55" s="25">
        <v>0</v>
      </c>
      <c r="C55" s="25"/>
      <c r="D55" s="25"/>
      <c r="E55" s="221"/>
      <c r="F55" s="222">
        <f t="shared" ref="F55:F57" si="25">SUM(B55:E55)</f>
        <v>0</v>
      </c>
      <c r="G55" s="257">
        <f t="shared" ref="G55:G57" si="26">ROUND(F55/12*11,2)</f>
        <v>0</v>
      </c>
    </row>
    <row r="56" spans="1:7" hidden="1" outlineLevel="1" x14ac:dyDescent="0.35">
      <c r="A56" s="20" t="s">
        <v>108</v>
      </c>
      <c r="B56" s="25">
        <v>0</v>
      </c>
      <c r="C56" s="25"/>
      <c r="D56" s="25"/>
      <c r="E56" s="25"/>
      <c r="F56" s="222">
        <f t="shared" si="25"/>
        <v>0</v>
      </c>
      <c r="G56" s="257">
        <f t="shared" si="26"/>
        <v>0</v>
      </c>
    </row>
    <row r="57" spans="1:7" hidden="1" outlineLevel="1" x14ac:dyDescent="0.35">
      <c r="A57" s="20" t="s">
        <v>109</v>
      </c>
      <c r="B57" s="221">
        <v>0</v>
      </c>
      <c r="C57" s="25"/>
      <c r="D57" s="221"/>
      <c r="E57" s="221"/>
      <c r="F57" s="222">
        <f t="shared" si="25"/>
        <v>0</v>
      </c>
      <c r="G57" s="257">
        <f t="shared" si="26"/>
        <v>0</v>
      </c>
    </row>
    <row r="58" spans="1:7" hidden="1" outlineLevel="1" x14ac:dyDescent="0.35">
      <c r="A58" s="30" t="s">
        <v>111</v>
      </c>
      <c r="B58" s="222">
        <f>SUM(B55:B57)</f>
        <v>0</v>
      </c>
      <c r="C58" s="222">
        <f>SUM(C55:C57)</f>
        <v>0</v>
      </c>
      <c r="D58" s="222">
        <f t="shared" ref="D58:G58" si="27">SUM(D55:D57)</f>
        <v>0</v>
      </c>
      <c r="E58" s="222">
        <f t="shared" si="27"/>
        <v>0</v>
      </c>
      <c r="F58" s="222">
        <f t="shared" si="27"/>
        <v>0</v>
      </c>
      <c r="G58" s="222">
        <f t="shared" si="27"/>
        <v>0</v>
      </c>
    </row>
    <row r="59" spans="1:7" hidden="1" outlineLevel="1" x14ac:dyDescent="0.35">
      <c r="A59" s="30"/>
      <c r="B59" s="251"/>
      <c r="C59" s="251"/>
      <c r="D59" s="251"/>
      <c r="E59" s="251"/>
      <c r="F59" s="251"/>
      <c r="G59" s="251"/>
    </row>
    <row r="60" spans="1:7" s="39" customFormat="1" hidden="1" outlineLevel="1" x14ac:dyDescent="0.35">
      <c r="A60" s="30"/>
      <c r="B60" s="256"/>
      <c r="C60" s="256"/>
      <c r="D60" s="256"/>
      <c r="E60" s="256"/>
      <c r="F60" s="256"/>
      <c r="G60" s="256"/>
    </row>
    <row r="61" spans="1:7" hidden="1" outlineLevel="1" x14ac:dyDescent="0.35">
      <c r="A61" s="301" t="s">
        <v>164</v>
      </c>
      <c r="B61" s="70"/>
      <c r="C61" s="70"/>
      <c r="D61" s="152"/>
    </row>
    <row r="62" spans="1:7" hidden="1" outlineLevel="1" x14ac:dyDescent="0.35">
      <c r="A62" s="20" t="s">
        <v>24</v>
      </c>
      <c r="B62" s="25">
        <v>0</v>
      </c>
      <c r="C62" s="25"/>
      <c r="D62" s="25"/>
      <c r="E62" s="246"/>
      <c r="F62" s="231">
        <f>SUM(B62:E62)</f>
        <v>0</v>
      </c>
      <c r="G62" s="247">
        <f>ROUND(F62/12*11,2)</f>
        <v>0</v>
      </c>
    </row>
    <row r="63" spans="1:7" hidden="1" outlineLevel="1" x14ac:dyDescent="0.35">
      <c r="A63" s="20" t="s">
        <v>25</v>
      </c>
      <c r="B63" s="221">
        <v>0</v>
      </c>
      <c r="C63" s="221"/>
      <c r="D63" s="221"/>
      <c r="E63" s="248"/>
      <c r="F63" s="231">
        <f>SUM(B63:E63)</f>
        <v>0</v>
      </c>
      <c r="G63" s="247">
        <f>ROUND(F63/12*11,2)</f>
        <v>0</v>
      </c>
    </row>
    <row r="64" spans="1:7" hidden="1" outlineLevel="1" x14ac:dyDescent="0.35">
      <c r="A64" s="20" t="s">
        <v>5</v>
      </c>
      <c r="B64" s="222">
        <f t="shared" ref="B64:G64" si="28">SUM(B62:B63)</f>
        <v>0</v>
      </c>
      <c r="C64" s="222">
        <f t="shared" si="28"/>
        <v>0</v>
      </c>
      <c r="D64" s="222">
        <f t="shared" si="28"/>
        <v>0</v>
      </c>
      <c r="E64" s="249">
        <f t="shared" si="28"/>
        <v>0</v>
      </c>
      <c r="F64" s="222">
        <f t="shared" si="28"/>
        <v>0</v>
      </c>
      <c r="G64" s="250">
        <f t="shared" si="28"/>
        <v>0</v>
      </c>
    </row>
    <row r="65" spans="1:7" hidden="1" outlineLevel="1" x14ac:dyDescent="0.35">
      <c r="B65" s="219"/>
      <c r="C65" s="219"/>
      <c r="D65" s="220"/>
    </row>
    <row r="66" spans="1:7" hidden="1" outlineLevel="1" x14ac:dyDescent="0.35">
      <c r="A66" s="20" t="s">
        <v>107</v>
      </c>
      <c r="B66" s="25">
        <v>0</v>
      </c>
      <c r="C66" s="25"/>
      <c r="D66" s="25"/>
      <c r="E66" s="221"/>
      <c r="F66" s="222">
        <f t="shared" ref="F66:F68" si="29">SUM(B66:E66)</f>
        <v>0</v>
      </c>
      <c r="G66" s="257">
        <f t="shared" ref="G66:G68" si="30">ROUND(F66/12*11,2)</f>
        <v>0</v>
      </c>
    </row>
    <row r="67" spans="1:7" hidden="1" outlineLevel="1" x14ac:dyDescent="0.35">
      <c r="A67" s="20" t="s">
        <v>108</v>
      </c>
      <c r="B67" s="25">
        <v>0</v>
      </c>
      <c r="C67" s="25"/>
      <c r="D67" s="25"/>
      <c r="E67" s="25"/>
      <c r="F67" s="222">
        <f t="shared" si="29"/>
        <v>0</v>
      </c>
      <c r="G67" s="257">
        <f t="shared" si="30"/>
        <v>0</v>
      </c>
    </row>
    <row r="68" spans="1:7" hidden="1" outlineLevel="1" x14ac:dyDescent="0.35">
      <c r="A68" s="20" t="s">
        <v>109</v>
      </c>
      <c r="B68" s="221">
        <v>0</v>
      </c>
      <c r="C68" s="25"/>
      <c r="D68" s="221"/>
      <c r="E68" s="221"/>
      <c r="F68" s="222">
        <f t="shared" si="29"/>
        <v>0</v>
      </c>
      <c r="G68" s="257">
        <f t="shared" si="30"/>
        <v>0</v>
      </c>
    </row>
    <row r="69" spans="1:7" hidden="1" outlineLevel="1" x14ac:dyDescent="0.35">
      <c r="A69" s="30" t="s">
        <v>111</v>
      </c>
      <c r="B69" s="222">
        <f>SUM(B66:B68)</f>
        <v>0</v>
      </c>
      <c r="C69" s="222">
        <f>SUM(C66:C68)</f>
        <v>0</v>
      </c>
      <c r="D69" s="222">
        <f t="shared" ref="D69:G69" si="31">SUM(D66:D68)</f>
        <v>0</v>
      </c>
      <c r="E69" s="222">
        <f t="shared" si="31"/>
        <v>0</v>
      </c>
      <c r="F69" s="222">
        <f t="shared" si="31"/>
        <v>0</v>
      </c>
      <c r="G69" s="222">
        <f t="shared" si="31"/>
        <v>0</v>
      </c>
    </row>
    <row r="70" spans="1:7" collapsed="1" x14ac:dyDescent="0.35">
      <c r="A70" s="30"/>
      <c r="B70" s="251"/>
      <c r="C70" s="251"/>
      <c r="D70" s="251"/>
      <c r="E70" s="251"/>
      <c r="F70" s="251"/>
      <c r="G70" s="251"/>
    </row>
    <row r="71" spans="1:7" x14ac:dyDescent="0.35">
      <c r="A71" s="3" t="s">
        <v>166</v>
      </c>
    </row>
    <row r="72" spans="1:7" x14ac:dyDescent="0.35">
      <c r="A72" s="3" t="s">
        <v>165</v>
      </c>
    </row>
    <row r="73" spans="1:7" x14ac:dyDescent="0.35">
      <c r="A73" s="3" t="s">
        <v>167</v>
      </c>
    </row>
    <row r="74" spans="1:7" x14ac:dyDescent="0.35">
      <c r="A74" s="3" t="s">
        <v>168</v>
      </c>
    </row>
    <row r="75" spans="1:7" x14ac:dyDescent="0.35">
      <c r="A75" s="3" t="s">
        <v>158</v>
      </c>
    </row>
    <row r="76" spans="1:7" ht="60" customHeight="1" x14ac:dyDescent="0.35">
      <c r="A76" s="306" t="s">
        <v>228</v>
      </c>
      <c r="B76" s="306"/>
      <c r="C76" s="306"/>
      <c r="D76" s="306"/>
      <c r="E76" s="306"/>
      <c r="F76" s="306"/>
      <c r="G76" s="306"/>
    </row>
    <row r="77" spans="1:7" x14ac:dyDescent="0.35">
      <c r="A77" s="3"/>
    </row>
    <row r="78" spans="1:7" x14ac:dyDescent="0.35">
      <c r="A78" s="3"/>
    </row>
    <row r="79" spans="1:7" x14ac:dyDescent="0.35">
      <c r="A79" s="3"/>
    </row>
  </sheetData>
  <mergeCells count="2">
    <mergeCell ref="B3:D3"/>
    <mergeCell ref="A76:G76"/>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H63"/>
  <sheetViews>
    <sheetView topLeftCell="F10" workbookViewId="0">
      <selection activeCell="O1"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12/02/2022</v>
      </c>
      <c r="B1" s="3"/>
      <c r="C1" s="3"/>
    </row>
    <row r="2" spans="1:34" x14ac:dyDescent="0.35">
      <c r="D2" s="3" t="s">
        <v>140</v>
      </c>
    </row>
    <row r="3" spans="1:34" ht="29" x14ac:dyDescent="0.35">
      <c r="D3" s="48" t="s">
        <v>46</v>
      </c>
      <c r="E3" s="70" t="s">
        <v>58</v>
      </c>
      <c r="F3" s="48" t="s">
        <v>3</v>
      </c>
      <c r="G3" s="70" t="s">
        <v>55</v>
      </c>
      <c r="H3" s="48" t="s">
        <v>10</v>
      </c>
      <c r="I3" s="48" t="s">
        <v>59</v>
      </c>
      <c r="R3" s="48"/>
    </row>
    <row r="4" spans="1:34" x14ac:dyDescent="0.35">
      <c r="A4" s="20" t="s">
        <v>24</v>
      </c>
      <c r="B4" s="20"/>
      <c r="C4" s="20"/>
      <c r="D4" s="22">
        <f>SUM(C18:L18)</f>
        <v>-96011.496408000006</v>
      </c>
      <c r="E4" s="22">
        <f>SUM(C24:K24)</f>
        <v>-392268.27</v>
      </c>
      <c r="F4" s="22">
        <f>E4-D4</f>
        <v>-296256.77359200001</v>
      </c>
      <c r="G4" s="22">
        <f>+B38</f>
        <v>448798.79239999986</v>
      </c>
      <c r="H4" s="22">
        <f>SUM(C45:K45)</f>
        <v>6413.79</v>
      </c>
      <c r="I4" s="25">
        <f>SUM(F4:H4)</f>
        <v>158955.80880799986</v>
      </c>
      <c r="J4" s="47">
        <f>+I4-L38</f>
        <v>0</v>
      </c>
      <c r="M4" s="47"/>
    </row>
    <row r="5" spans="1:34" ht="15" thickBot="1" x14ac:dyDescent="0.4">
      <c r="A5" s="20" t="s">
        <v>25</v>
      </c>
      <c r="B5" s="20"/>
      <c r="C5" s="20"/>
      <c r="D5" s="22">
        <f>SUM(C19:L21)</f>
        <v>451949.70513000007</v>
      </c>
      <c r="E5" s="22">
        <f>SUM(C25:K27)</f>
        <v>282011.06000000006</v>
      </c>
      <c r="F5" s="22">
        <f>E5-D5</f>
        <v>-169938.64513000002</v>
      </c>
      <c r="G5" s="22">
        <f>SUM(B39:B41)</f>
        <v>452853.55620000017</v>
      </c>
      <c r="H5" s="22">
        <f>SUM(C46:K48)</f>
        <v>9261.2000000000007</v>
      </c>
      <c r="I5" s="25">
        <f>SUM(F5:H5)</f>
        <v>292176.11107000016</v>
      </c>
      <c r="J5" s="47">
        <f>+I5-SUM(L39:L41)</f>
        <v>0</v>
      </c>
      <c r="M5" s="47"/>
    </row>
    <row r="6" spans="1:34" ht="15.5" thickTop="1" thickBot="1" x14ac:dyDescent="0.4">
      <c r="D6" s="27">
        <f t="shared" ref="D6:I6" si="0">SUM(D4:D5)</f>
        <v>355938.20872200007</v>
      </c>
      <c r="E6" s="27">
        <f t="shared" si="0"/>
        <v>-110257.20999999996</v>
      </c>
      <c r="F6" s="27">
        <f t="shared" si="0"/>
        <v>-466195.41872200003</v>
      </c>
      <c r="G6" s="27">
        <f t="shared" si="0"/>
        <v>901652.34860000003</v>
      </c>
      <c r="H6" s="27">
        <f t="shared" si="0"/>
        <v>15674.990000000002</v>
      </c>
      <c r="I6" s="27">
        <f t="shared" si="0"/>
        <v>451131.91987800004</v>
      </c>
      <c r="S6" s="5"/>
    </row>
    <row r="7" spans="1:34" ht="44" thickTop="1" x14ac:dyDescent="0.35">
      <c r="I7" s="227"/>
      <c r="J7" s="226" t="s">
        <v>122</v>
      </c>
    </row>
    <row r="8" spans="1:34" ht="17.25" customHeight="1" x14ac:dyDescent="0.35">
      <c r="A8" s="20" t="s">
        <v>107</v>
      </c>
      <c r="I8" s="25">
        <f>ROUND($I$5*J8,2)</f>
        <v>114560.17</v>
      </c>
      <c r="J8" s="224">
        <f>+'PCR Cycle 2'!K8</f>
        <v>0.39209287804949344</v>
      </c>
    </row>
    <row r="9" spans="1:34" ht="17.25" customHeight="1" x14ac:dyDescent="0.35">
      <c r="A9" s="20" t="s">
        <v>108</v>
      </c>
      <c r="I9" s="25">
        <f t="shared" ref="I9:I10" si="1">ROUND($I$5*J9,2)</f>
        <v>132752.87</v>
      </c>
      <c r="J9" s="224">
        <f>+'PCR Cycle 2'!K9</f>
        <v>0.45435908608374953</v>
      </c>
    </row>
    <row r="10" spans="1:34" ht="17.25" customHeight="1" thickBot="1" x14ac:dyDescent="0.4">
      <c r="A10" s="20" t="s">
        <v>109</v>
      </c>
      <c r="I10" s="25">
        <f t="shared" si="1"/>
        <v>44863.07</v>
      </c>
      <c r="J10" s="224">
        <f>+'PCR Cycle 2'!K10</f>
        <v>0.15354803586675725</v>
      </c>
    </row>
    <row r="11" spans="1:34" ht="17.25" customHeight="1" thickTop="1" thickBot="1" x14ac:dyDescent="0.4">
      <c r="A11" s="20" t="s">
        <v>111</v>
      </c>
      <c r="I11" s="27">
        <f>SUM(I8:I10)</f>
        <v>292176.11</v>
      </c>
      <c r="J11" s="225">
        <f>SUM(J8:J10)</f>
        <v>1.0000000000000002</v>
      </c>
    </row>
    <row r="12" spans="1:34" ht="15.5" thickTop="1" thickBot="1" x14ac:dyDescent="0.4">
      <c r="U12" s="4"/>
      <c r="V12" s="5"/>
    </row>
    <row r="13" spans="1:34" ht="102" thickBot="1" x14ac:dyDescent="0.4">
      <c r="B13" s="118" t="str">
        <f>+'PCR Cycle 2'!B13</f>
        <v>Cumulative Over/Under Carryover From 06/01/2022 Filing</v>
      </c>
      <c r="C13" s="151" t="str">
        <f>+'PCR Cycle 2'!C13</f>
        <v>Reverse May 2022 - October 2022  Forecast From 06/01/2022 Filing</v>
      </c>
      <c r="D13" s="323" t="s">
        <v>33</v>
      </c>
      <c r="E13" s="312"/>
      <c r="F13" s="313"/>
      <c r="G13" s="320" t="s">
        <v>33</v>
      </c>
      <c r="H13" s="321"/>
      <c r="I13" s="322"/>
      <c r="J13" s="308" t="s">
        <v>8</v>
      </c>
      <c r="K13" s="309"/>
      <c r="L13" s="310"/>
    </row>
    <row r="14" spans="1:34" x14ac:dyDescent="0.35">
      <c r="A14" s="46" t="s">
        <v>86</v>
      </c>
      <c r="C14" s="105"/>
      <c r="D14" s="19">
        <f>+'PCR Cycle 2'!D14</f>
        <v>44712</v>
      </c>
      <c r="E14" s="19">
        <f t="shared" ref="E14:L14" si="2">EOMONTH(D14,1)</f>
        <v>44742</v>
      </c>
      <c r="F14" s="19">
        <f t="shared" si="2"/>
        <v>44773</v>
      </c>
      <c r="G14" s="14">
        <f t="shared" si="2"/>
        <v>44804</v>
      </c>
      <c r="H14" s="19">
        <f t="shared" si="2"/>
        <v>44834</v>
      </c>
      <c r="I14" s="15">
        <f t="shared" si="2"/>
        <v>44865</v>
      </c>
      <c r="J14" s="19">
        <f t="shared" si="2"/>
        <v>44895</v>
      </c>
      <c r="K14" s="19">
        <f t="shared" si="2"/>
        <v>44926</v>
      </c>
      <c r="L14" s="15">
        <f t="shared" si="2"/>
        <v>44957</v>
      </c>
      <c r="Y14" s="1"/>
      <c r="Z14" s="1"/>
      <c r="AA14" s="1"/>
      <c r="AB14" s="1"/>
      <c r="AC14" s="1"/>
      <c r="AD14" s="1"/>
      <c r="AE14" s="1"/>
      <c r="AF14" s="1"/>
      <c r="AG14" s="1"/>
      <c r="AH14" s="1"/>
    </row>
    <row r="15" spans="1:34" x14ac:dyDescent="0.35">
      <c r="A15" s="46" t="s">
        <v>5</v>
      </c>
      <c r="C15" s="97">
        <v>35934.619999999995</v>
      </c>
      <c r="D15" s="109">
        <f t="shared" ref="D15:K15" si="3">SUM(D24:D27)</f>
        <v>-17967.309999999998</v>
      </c>
      <c r="E15" s="109">
        <f t="shared" si="3"/>
        <v>-17967.309999999998</v>
      </c>
      <c r="F15" s="110">
        <f t="shared" si="3"/>
        <v>-17967.309999999998</v>
      </c>
      <c r="G15" s="16">
        <f t="shared" si="3"/>
        <v>-18457.98</v>
      </c>
      <c r="H15" s="55">
        <f t="shared" si="3"/>
        <v>-18457.98</v>
      </c>
      <c r="I15" s="164">
        <f t="shared" si="3"/>
        <v>-18457.98</v>
      </c>
      <c r="J15" s="157">
        <f t="shared" si="3"/>
        <v>-18457.98</v>
      </c>
      <c r="K15" s="78">
        <f t="shared" si="3"/>
        <v>-18457.98</v>
      </c>
      <c r="L15" s="79"/>
    </row>
    <row r="16" spans="1:34" x14ac:dyDescent="0.35">
      <c r="C16" s="99"/>
      <c r="D16" s="17"/>
      <c r="E16" s="17"/>
      <c r="F16" s="17"/>
      <c r="G16" s="10"/>
      <c r="H16" s="17"/>
      <c r="I16" s="11"/>
      <c r="J16" s="31"/>
      <c r="K16" s="31"/>
      <c r="L16" s="29"/>
    </row>
    <row r="17" spans="1:14" x14ac:dyDescent="0.35">
      <c r="A17" s="46" t="s">
        <v>87</v>
      </c>
      <c r="C17" s="99"/>
      <c r="D17" s="18"/>
      <c r="E17" s="18"/>
      <c r="F17" s="18"/>
      <c r="G17" s="91"/>
      <c r="H17" s="18"/>
      <c r="I17" s="165"/>
      <c r="J17" s="31"/>
      <c r="K17" s="31"/>
      <c r="L17" s="29"/>
      <c r="M17" s="3" t="s">
        <v>50</v>
      </c>
      <c r="N17" s="39"/>
    </row>
    <row r="18" spans="1:14" x14ac:dyDescent="0.35">
      <c r="A18" s="46" t="s">
        <v>24</v>
      </c>
      <c r="C18" s="97">
        <v>-18546.445419999996</v>
      </c>
      <c r="D18" s="134">
        <f>ROUND('[5]May 2022'!$F60,2)</f>
        <v>4590.67</v>
      </c>
      <c r="E18" s="134">
        <f>ROUND('[5]Jun 2022'!$F60,2)</f>
        <v>5892.96</v>
      </c>
      <c r="F18" s="134">
        <f>ROUND('[5]Jul 2022'!$F60,2)</f>
        <v>8176.43</v>
      </c>
      <c r="G18" s="185">
        <f>ROUND('[5]Aug 2022'!$F68,2)</f>
        <v>-19750.79</v>
      </c>
      <c r="H18" s="121">
        <f>ROUND('[5]Sep 2022'!$F68,2)</f>
        <v>-17236.810000000001</v>
      </c>
      <c r="I18" s="166">
        <f>ROUND('[5]Oct 2022'!$F68,2)</f>
        <v>-12182.93</v>
      </c>
      <c r="J18" s="123">
        <f>'PCR Cycle 2'!J26*$M18</f>
        <v>-11333.880500000003</v>
      </c>
      <c r="K18" s="41">
        <f>'PCR Cycle 2'!K26*$M18</f>
        <v>-15764.151200000002</v>
      </c>
      <c r="L18" s="61">
        <f>'PCR Cycle 2'!L26*$M18</f>
        <v>-19856.549288000002</v>
      </c>
      <c r="M18" s="72">
        <v>-5.0000000000000009E-5</v>
      </c>
      <c r="N18" s="4"/>
    </row>
    <row r="19" spans="1:14" x14ac:dyDescent="0.35">
      <c r="A19" s="46" t="s">
        <v>134</v>
      </c>
      <c r="C19" s="97">
        <v>-139783.74400000001</v>
      </c>
      <c r="D19" s="134">
        <f>ROUND('[5]May 2022'!$F61,2)</f>
        <v>45733.29</v>
      </c>
      <c r="E19" s="134">
        <f>ROUND('[5]Jun 2022'!$F61,2)</f>
        <v>53497.35</v>
      </c>
      <c r="F19" s="134">
        <f>ROUND('[5]Jul 2022'!$F61,2)</f>
        <v>62453.25</v>
      </c>
      <c r="G19" s="185">
        <f>ROUND('[5]Aug 2022'!$F69,2)</f>
        <v>34166.339999999997</v>
      </c>
      <c r="H19" s="121">
        <f>ROUND('[5]Sep 2022'!$F69,2)</f>
        <v>32468.99</v>
      </c>
      <c r="I19" s="166">
        <f>ROUND('[5]Oct 2022'!$F69,2)</f>
        <v>27024.73</v>
      </c>
      <c r="J19" s="123">
        <f>'PCR Cycle 2'!J27*$M19</f>
        <v>24278.413499999999</v>
      </c>
      <c r="K19" s="41">
        <f>'PCR Cycle 2'!K27*$M19</f>
        <v>25128.442620000002</v>
      </c>
      <c r="L19" s="61">
        <f>'PCR Cycle 2'!L27*$M19</f>
        <v>26348.255639999999</v>
      </c>
      <c r="M19" s="72">
        <v>2.7E-4</v>
      </c>
      <c r="N19" s="4"/>
    </row>
    <row r="20" spans="1:14" x14ac:dyDescent="0.35">
      <c r="A20" s="46" t="s">
        <v>135</v>
      </c>
      <c r="C20" s="97">
        <v>-150261.65167999998</v>
      </c>
      <c r="D20" s="134">
        <f>ROUND('[5]May 2022'!$F62,2)</f>
        <v>49013.120000000003</v>
      </c>
      <c r="E20" s="134">
        <f>ROUND('[5]Jun 2022'!$F62,2)</f>
        <v>56843.65</v>
      </c>
      <c r="F20" s="134">
        <f>ROUND('[5]Jul 2022'!$F62,2)</f>
        <v>63247.96</v>
      </c>
      <c r="G20" s="185">
        <f>ROUND('[5]Aug 2022'!$F70,2)</f>
        <v>35800.660000000003</v>
      </c>
      <c r="H20" s="121">
        <f>ROUND('[5]Sep 2022'!$F70,2)</f>
        <v>35364</v>
      </c>
      <c r="I20" s="166">
        <f>ROUND('[5]Oct 2022'!$F70,2)</f>
        <v>31677.09</v>
      </c>
      <c r="J20" s="123">
        <f>'PCR Cycle 2'!J28*$M20</f>
        <v>28480.259610000001</v>
      </c>
      <c r="K20" s="41">
        <f>'PCR Cycle 2'!K28*$M20</f>
        <v>29477.40279</v>
      </c>
      <c r="L20" s="61">
        <f>'PCR Cycle 2'!L28*$M20</f>
        <v>30908.328000000001</v>
      </c>
      <c r="M20" s="72">
        <v>3.3E-4</v>
      </c>
      <c r="N20" s="4"/>
    </row>
    <row r="21" spans="1:14" x14ac:dyDescent="0.35">
      <c r="A21" s="46" t="s">
        <v>136</v>
      </c>
      <c r="C21" s="97">
        <v>-47388.107279999997</v>
      </c>
      <c r="D21" s="134">
        <f>ROUND('[5]May 2022'!$F63,2)</f>
        <v>16236.81</v>
      </c>
      <c r="E21" s="134">
        <f>ROUND('[5]Jun 2022'!$F63,2)</f>
        <v>15394.24</v>
      </c>
      <c r="F21" s="134">
        <f>ROUND('[5]Jul 2022'!$F63,2)</f>
        <v>16221.26</v>
      </c>
      <c r="G21" s="185">
        <f>ROUND('[5]Aug 2022'!$F71,2)</f>
        <v>8630.2199999999993</v>
      </c>
      <c r="H21" s="121">
        <f>ROUND('[5]Sep 2022'!$F71,2)</f>
        <v>9017.8700000000008</v>
      </c>
      <c r="I21" s="166">
        <f>ROUND('[5]Oct 2022'!$F71,2)</f>
        <v>6210.26</v>
      </c>
      <c r="J21" s="123">
        <f>'PCR Cycle 2'!J29*$M21</f>
        <v>8256.0315500000015</v>
      </c>
      <c r="K21" s="41">
        <f>'PCR Cycle 2'!K29*$M21</f>
        <v>8545.0895400000009</v>
      </c>
      <c r="L21" s="61">
        <f>'PCR Cycle 2'!L29*$M21</f>
        <v>8959.8948400000008</v>
      </c>
      <c r="M21" s="72">
        <v>1.3000000000000002E-4</v>
      </c>
      <c r="N21" s="4"/>
    </row>
    <row r="22" spans="1:14" x14ac:dyDescent="0.35">
      <c r="C22" s="67"/>
      <c r="D22" s="68"/>
      <c r="E22" s="68"/>
      <c r="F22" s="68"/>
      <c r="G22" s="67"/>
      <c r="H22" s="68"/>
      <c r="I22" s="167"/>
      <c r="J22" s="56"/>
      <c r="K22" s="56"/>
      <c r="L22" s="13"/>
      <c r="N22" s="4"/>
    </row>
    <row r="23" spans="1:14" x14ac:dyDescent="0.35">
      <c r="A23" s="46" t="s">
        <v>89</v>
      </c>
      <c r="C23" s="36"/>
      <c r="D23" s="37"/>
      <c r="E23" s="37"/>
      <c r="F23" s="37"/>
      <c r="G23" s="36"/>
      <c r="H23" s="37"/>
      <c r="I23" s="170"/>
      <c r="J23" s="52"/>
      <c r="K23" s="52"/>
      <c r="L23" s="38"/>
    </row>
    <row r="24" spans="1:14" x14ac:dyDescent="0.35">
      <c r="A24" s="46" t="s">
        <v>24</v>
      </c>
      <c r="C24" s="97">
        <v>129873.34</v>
      </c>
      <c r="D24" s="109">
        <f>ROUND(+'EO Cycle 2'!$F$29/24+'EO Cycle 2'!$F$40/24+'EO Cycle 2'!$F$50/24,2)</f>
        <v>-64936.67</v>
      </c>
      <c r="E24" s="109">
        <f>ROUND(+'EO Cycle 2'!$F$29/24+'EO Cycle 2'!$F$40/24+'EO Cycle 2'!$F$50/24,2)</f>
        <v>-64936.67</v>
      </c>
      <c r="F24" s="110">
        <f>ROUND(+'EO Cycle 2'!$F$29/24+'EO Cycle 2'!$F$40/24+'EO Cycle 2'!$F$50/24,2)</f>
        <v>-64936.67</v>
      </c>
      <c r="G24" s="16">
        <f>ROUND(+'EO Cycle 2'!$F$29/24+'EO Cycle 2'!$F$40/24+'EO Cycle 2'!$F$50/24+'EO Cycle 2'!$F$60/24,2)</f>
        <v>-65466.32</v>
      </c>
      <c r="H24" s="55">
        <f>ROUND(+'EO Cycle 2'!$F$29/24+'EO Cycle 2'!$F$40/24+'EO Cycle 2'!$F$50/24+'EO Cycle 2'!$F$60/24,2)</f>
        <v>-65466.32</v>
      </c>
      <c r="I24" s="164">
        <f>ROUND(+'EO Cycle 2'!$F$29/24+'EO Cycle 2'!$F$40/24+'EO Cycle 2'!$F$50/24+'EO Cycle 2'!$F$60/24,2)</f>
        <v>-65466.32</v>
      </c>
      <c r="J24" s="159">
        <f>ROUND(+'EO Cycle 2'!$F$29/24+'EO Cycle 2'!$F$40/24+'EO Cycle 2'!$F$50/24+'EO Cycle 2'!$F$60/24,2)</f>
        <v>-65466.32</v>
      </c>
      <c r="K24" s="141">
        <f>ROUND(+'EO Cycle 2'!$F$29/24+'EO Cycle 2'!$F$40/24+'EO Cycle 2'!$F$50/24+'EO Cycle 2'!$F$60/24,2)</f>
        <v>-65466.32</v>
      </c>
      <c r="L24" s="79"/>
    </row>
    <row r="25" spans="1:14" x14ac:dyDescent="0.35">
      <c r="A25" s="46" t="s">
        <v>134</v>
      </c>
      <c r="C25" s="97">
        <v>-39654.559999999998</v>
      </c>
      <c r="D25" s="109">
        <f>ROUND(+'EO Cycle 2'!$F$33/24+'EO Cycle 2'!$F$44/24+'EO Cycle 2'!$F$54/24,2)</f>
        <v>19827.28</v>
      </c>
      <c r="E25" s="109">
        <f>ROUND(+'EO Cycle 2'!$F$33/24+'EO Cycle 2'!$F$44/24+'EO Cycle 2'!$F$54/24,2)</f>
        <v>19827.28</v>
      </c>
      <c r="F25" s="110">
        <f>ROUND(+'EO Cycle 2'!$F$33/24+'EO Cycle 2'!$F$44/24+'EO Cycle 2'!$F$54/24,2)</f>
        <v>19827.28</v>
      </c>
      <c r="G25" s="16">
        <f>ROUND(+'EO Cycle 2'!$F33/24+'EO Cycle 2'!$F44/24+'EO Cycle 2'!$F54/24+'EO Cycle 2'!$F64/24,2)</f>
        <v>19846.57</v>
      </c>
      <c r="H25" s="55">
        <f>ROUND(+'EO Cycle 2'!$F33/24+'EO Cycle 2'!$F44/24+'EO Cycle 2'!$F54/24+'EO Cycle 2'!$F64/24,2)</f>
        <v>19846.57</v>
      </c>
      <c r="I25" s="164">
        <f>ROUND(+'EO Cycle 2'!$F33/24+'EO Cycle 2'!$F44/24+'EO Cycle 2'!$F54/24+'EO Cycle 2'!$F64/24,2)</f>
        <v>19846.57</v>
      </c>
      <c r="J25" s="159">
        <f>ROUND(+'EO Cycle 2'!$F33/24+'EO Cycle 2'!$F44/24+'EO Cycle 2'!$F54/24+'EO Cycle 2'!$F64/24,2)</f>
        <v>19846.57</v>
      </c>
      <c r="K25" s="141">
        <f>ROUND(+'EO Cycle 2'!$F33/24+'EO Cycle 2'!$F44/24+'EO Cycle 2'!$F54/24+'EO Cycle 2'!$F64/24,2)</f>
        <v>19846.57</v>
      </c>
      <c r="L25" s="79"/>
    </row>
    <row r="26" spans="1:14" x14ac:dyDescent="0.35">
      <c r="A26" s="46" t="s">
        <v>135</v>
      </c>
      <c r="C26" s="97">
        <v>-43936.36</v>
      </c>
      <c r="D26" s="109">
        <f>ROUND(+'EO Cycle 2'!$F$34/24+'EO Cycle 2'!$F$45/24+'EO Cycle 2'!$F$55/24,2)</f>
        <v>21968.18</v>
      </c>
      <c r="E26" s="109">
        <f>ROUND(+'EO Cycle 2'!$F$34/24+'EO Cycle 2'!$F$45/24+'EO Cycle 2'!$F$55/24,2)</f>
        <v>21968.18</v>
      </c>
      <c r="F26" s="110">
        <f>ROUND(+'EO Cycle 2'!$F$34/24+'EO Cycle 2'!$F$45/24+'EO Cycle 2'!$F$55/24,2)</f>
        <v>21968.18</v>
      </c>
      <c r="G26" s="16">
        <f>ROUND(+'EO Cycle 2'!$F34/24+'EO Cycle 2'!$F45/24+'EO Cycle 2'!$F55/24+'EO Cycle 2'!$F65/24,2)</f>
        <v>21988.57</v>
      </c>
      <c r="H26" s="55">
        <f>ROUND(+'EO Cycle 2'!$F34/24+'EO Cycle 2'!$F45/24+'EO Cycle 2'!$F55/24+'EO Cycle 2'!$F65/24,2)</f>
        <v>21988.57</v>
      </c>
      <c r="I26" s="164">
        <f>ROUND(+'EO Cycle 2'!$F34/24+'EO Cycle 2'!$F45/24+'EO Cycle 2'!$F55/24+'EO Cycle 2'!$F65/24,2)</f>
        <v>21988.57</v>
      </c>
      <c r="J26" s="159">
        <f>ROUND(+'EO Cycle 2'!$F34/24+'EO Cycle 2'!$F45/24+'EO Cycle 2'!$F55/24+'EO Cycle 2'!$F65/24,2)</f>
        <v>21988.57</v>
      </c>
      <c r="K26" s="141">
        <f>ROUND(+'EO Cycle 2'!$F34/24+'EO Cycle 2'!$F45/24+'EO Cycle 2'!$F55/24+'EO Cycle 2'!$F65/24,2)</f>
        <v>21988.57</v>
      </c>
      <c r="L26" s="79"/>
    </row>
    <row r="27" spans="1:14" x14ac:dyDescent="0.35">
      <c r="A27" s="46" t="s">
        <v>136</v>
      </c>
      <c r="C27" s="97">
        <v>-10347.799999999999</v>
      </c>
      <c r="D27" s="109">
        <f>ROUND(+'EO Cycle 2'!$F$35/24+'EO Cycle 2'!$F$46/24+'EO Cycle 2'!$F$56/24,2)</f>
        <v>5173.8999999999996</v>
      </c>
      <c r="E27" s="109">
        <f>ROUND(+'EO Cycle 2'!$F$35/24+'EO Cycle 2'!$F$46/24+'EO Cycle 2'!$F$56/24,2)</f>
        <v>5173.8999999999996</v>
      </c>
      <c r="F27" s="110">
        <f>ROUND(+'EO Cycle 2'!$F$35/24+'EO Cycle 2'!$F$46/24+'EO Cycle 2'!$F$56/24,2)</f>
        <v>5173.8999999999996</v>
      </c>
      <c r="G27" s="16">
        <f>ROUND(+'EO Cycle 2'!$F35/24+'EO Cycle 2'!$F46/24+'EO Cycle 2'!$F56/24+'EO Cycle 2'!$F66/24,2)</f>
        <v>5173.2</v>
      </c>
      <c r="H27" s="55">
        <f>ROUND(+'EO Cycle 2'!$F35/24+'EO Cycle 2'!$F46/24+'EO Cycle 2'!$F56/24+'EO Cycle 2'!$F66/24,2)</f>
        <v>5173.2</v>
      </c>
      <c r="I27" s="164">
        <f>ROUND(+'EO Cycle 2'!$F35/24+'EO Cycle 2'!$F46/24+'EO Cycle 2'!$F56/24+'EO Cycle 2'!$F66/24,2)</f>
        <v>5173.2</v>
      </c>
      <c r="J27" s="159">
        <f>ROUND(+'EO Cycle 2'!$F35/24+'EO Cycle 2'!$F46/24+'EO Cycle 2'!$F56/24+'EO Cycle 2'!$F66/24,2)</f>
        <v>5173.2</v>
      </c>
      <c r="K27" s="141">
        <f>ROUND(+'EO Cycle 2'!$F35/24+'EO Cycle 2'!$F46/24+'EO Cycle 2'!$F56/24+'EO Cycle 2'!$F66/24,2)</f>
        <v>5173.2</v>
      </c>
      <c r="L27" s="79"/>
      <c r="N27" s="47"/>
    </row>
    <row r="28" spans="1:14" x14ac:dyDescent="0.35">
      <c r="C28" s="99"/>
      <c r="D28" s="18"/>
      <c r="E28" s="18"/>
      <c r="F28" s="18"/>
      <c r="G28" s="91"/>
      <c r="H28" s="18"/>
      <c r="I28" s="165"/>
      <c r="J28" s="56"/>
      <c r="K28" s="56"/>
      <c r="L28" s="13"/>
    </row>
    <row r="29" spans="1:14" ht="15" thickBot="1" x14ac:dyDescent="0.4">
      <c r="A29" s="3" t="s">
        <v>14</v>
      </c>
      <c r="B29" s="3"/>
      <c r="C29" s="103">
        <v>-3568.42</v>
      </c>
      <c r="D29" s="134">
        <v>2225.56</v>
      </c>
      <c r="E29" s="134">
        <v>2432.0699999999997</v>
      </c>
      <c r="F29" s="135">
        <v>2581.41</v>
      </c>
      <c r="G29" s="26">
        <v>2468.48</v>
      </c>
      <c r="H29" s="122">
        <v>2539.25</v>
      </c>
      <c r="I29" s="171">
        <v>2592.48</v>
      </c>
      <c r="J29" s="160">
        <v>2329.06</v>
      </c>
      <c r="K29" s="143">
        <v>2075.1</v>
      </c>
      <c r="L29" s="82"/>
    </row>
    <row r="30" spans="1:14" x14ac:dyDescent="0.35">
      <c r="C30" s="64"/>
      <c r="D30" s="147"/>
      <c r="E30" s="147"/>
      <c r="F30" s="148"/>
      <c r="G30" s="64"/>
      <c r="H30" s="33"/>
      <c r="I30" s="172"/>
      <c r="J30" s="34"/>
      <c r="K30" s="34"/>
      <c r="L30" s="60"/>
    </row>
    <row r="31" spans="1:14" x14ac:dyDescent="0.35">
      <c r="A31" s="46" t="s">
        <v>52</v>
      </c>
      <c r="C31" s="65"/>
      <c r="D31" s="148"/>
      <c r="E31" s="148"/>
      <c r="F31" s="148"/>
      <c r="G31" s="65"/>
      <c r="H31" s="35"/>
      <c r="I31" s="173"/>
      <c r="J31" s="34"/>
      <c r="K31" s="34"/>
      <c r="L31" s="60"/>
    </row>
    <row r="32" spans="1:14" x14ac:dyDescent="0.35">
      <c r="A32" s="46" t="s">
        <v>24</v>
      </c>
      <c r="C32" s="100">
        <f t="shared" ref="C32:L32" si="4">C24-C18</f>
        <v>148419.78542</v>
      </c>
      <c r="D32" s="41">
        <f t="shared" si="4"/>
        <v>-69527.34</v>
      </c>
      <c r="E32" s="41">
        <f t="shared" si="4"/>
        <v>-70829.63</v>
      </c>
      <c r="F32" s="108">
        <f t="shared" si="4"/>
        <v>-73113.100000000006</v>
      </c>
      <c r="G32" s="40">
        <f t="shared" si="4"/>
        <v>-45715.53</v>
      </c>
      <c r="H32" s="41">
        <f t="shared" si="4"/>
        <v>-48229.509999999995</v>
      </c>
      <c r="I32" s="61">
        <f t="shared" si="4"/>
        <v>-53283.39</v>
      </c>
      <c r="J32" s="123">
        <f t="shared" si="4"/>
        <v>-54132.439499999993</v>
      </c>
      <c r="K32" s="41">
        <f t="shared" si="4"/>
        <v>-49702.168799999999</v>
      </c>
      <c r="L32" s="61">
        <f t="shared" si="4"/>
        <v>19856.549288000002</v>
      </c>
    </row>
    <row r="33" spans="1:12" x14ac:dyDescent="0.35">
      <c r="A33" s="46" t="s">
        <v>134</v>
      </c>
      <c r="C33" s="100">
        <f t="shared" ref="C33:L33" si="5">C25-C19</f>
        <v>100129.18400000001</v>
      </c>
      <c r="D33" s="41">
        <f t="shared" si="5"/>
        <v>-25906.010000000002</v>
      </c>
      <c r="E33" s="41">
        <f t="shared" si="5"/>
        <v>-33670.07</v>
      </c>
      <c r="F33" s="108">
        <f t="shared" si="5"/>
        <v>-42625.97</v>
      </c>
      <c r="G33" s="40">
        <f t="shared" si="5"/>
        <v>-14319.769999999997</v>
      </c>
      <c r="H33" s="41">
        <f t="shared" si="5"/>
        <v>-12622.420000000002</v>
      </c>
      <c r="I33" s="61">
        <f t="shared" si="5"/>
        <v>-7178.16</v>
      </c>
      <c r="J33" s="123">
        <f t="shared" si="5"/>
        <v>-4431.843499999999</v>
      </c>
      <c r="K33" s="41">
        <f t="shared" si="5"/>
        <v>-5281.8726200000019</v>
      </c>
      <c r="L33" s="61">
        <f t="shared" si="5"/>
        <v>-26348.255639999999</v>
      </c>
    </row>
    <row r="34" spans="1:12" x14ac:dyDescent="0.35">
      <c r="A34" s="46" t="s">
        <v>135</v>
      </c>
      <c r="C34" s="100">
        <f t="shared" ref="C34:L34" si="6">C26-C20</f>
        <v>106325.29167999998</v>
      </c>
      <c r="D34" s="41">
        <f t="shared" si="6"/>
        <v>-27044.940000000002</v>
      </c>
      <c r="E34" s="41">
        <f t="shared" si="6"/>
        <v>-34875.47</v>
      </c>
      <c r="F34" s="108">
        <f t="shared" si="6"/>
        <v>-41279.78</v>
      </c>
      <c r="G34" s="40">
        <f t="shared" si="6"/>
        <v>-13812.090000000004</v>
      </c>
      <c r="H34" s="41">
        <f t="shared" si="6"/>
        <v>-13375.43</v>
      </c>
      <c r="I34" s="61">
        <f t="shared" si="6"/>
        <v>-9688.52</v>
      </c>
      <c r="J34" s="123">
        <f t="shared" si="6"/>
        <v>-6491.6896100000013</v>
      </c>
      <c r="K34" s="41">
        <f t="shared" si="6"/>
        <v>-7488.8327900000004</v>
      </c>
      <c r="L34" s="61">
        <f t="shared" si="6"/>
        <v>-30908.328000000001</v>
      </c>
    </row>
    <row r="35" spans="1:12" x14ac:dyDescent="0.35">
      <c r="A35" s="46" t="s">
        <v>136</v>
      </c>
      <c r="C35" s="100">
        <f t="shared" ref="C35:L35" si="7">C27-C21</f>
        <v>37040.307279999994</v>
      </c>
      <c r="D35" s="41">
        <f t="shared" si="7"/>
        <v>-11062.91</v>
      </c>
      <c r="E35" s="41">
        <f t="shared" si="7"/>
        <v>-10220.34</v>
      </c>
      <c r="F35" s="108">
        <f t="shared" si="7"/>
        <v>-11047.36</v>
      </c>
      <c r="G35" s="40">
        <f t="shared" si="7"/>
        <v>-3457.0199999999995</v>
      </c>
      <c r="H35" s="41">
        <f t="shared" si="7"/>
        <v>-3844.670000000001</v>
      </c>
      <c r="I35" s="61">
        <f t="shared" si="7"/>
        <v>-1037.0600000000004</v>
      </c>
      <c r="J35" s="123">
        <f t="shared" si="7"/>
        <v>-3082.8315500000017</v>
      </c>
      <c r="K35" s="41">
        <f t="shared" si="7"/>
        <v>-3371.889540000001</v>
      </c>
      <c r="L35" s="61">
        <f t="shared" si="7"/>
        <v>-8959.8948400000008</v>
      </c>
    </row>
    <row r="36" spans="1:12" x14ac:dyDescent="0.35">
      <c r="C36" s="99"/>
      <c r="D36" s="17"/>
      <c r="E36" s="17"/>
      <c r="F36" s="17"/>
      <c r="G36" s="10"/>
      <c r="H36" s="17"/>
      <c r="I36" s="11"/>
      <c r="J36" s="17"/>
      <c r="K36" s="17"/>
      <c r="L36" s="11"/>
    </row>
    <row r="37" spans="1:12" ht="15" thickBot="1" x14ac:dyDescent="0.4">
      <c r="A37" s="46" t="s">
        <v>53</v>
      </c>
      <c r="C37" s="99"/>
      <c r="D37" s="17"/>
      <c r="E37" s="17"/>
      <c r="F37" s="17"/>
      <c r="G37" s="10"/>
      <c r="H37" s="17"/>
      <c r="I37" s="11"/>
      <c r="J37" s="17"/>
      <c r="K37" s="17"/>
      <c r="L37" s="11"/>
    </row>
    <row r="38" spans="1:12" x14ac:dyDescent="0.35">
      <c r="A38" s="46" t="s">
        <v>24</v>
      </c>
      <c r="B38" s="116">
        <v>448798.79239999986</v>
      </c>
      <c r="C38" s="100">
        <f t="shared" ref="C38:L38" si="8">B38+C32+B45</f>
        <v>597218.57781999989</v>
      </c>
      <c r="D38" s="41">
        <f t="shared" si="8"/>
        <v>526071.06781999988</v>
      </c>
      <c r="E38" s="41">
        <f t="shared" si="8"/>
        <v>456261.82781999989</v>
      </c>
      <c r="F38" s="108">
        <f t="shared" si="8"/>
        <v>384251.97781999991</v>
      </c>
      <c r="G38" s="40">
        <f t="shared" si="8"/>
        <v>339707.65781999991</v>
      </c>
      <c r="H38" s="41">
        <f t="shared" si="8"/>
        <v>292586.6478199999</v>
      </c>
      <c r="I38" s="61">
        <f t="shared" si="8"/>
        <v>240401.61781999987</v>
      </c>
      <c r="J38" s="123">
        <f t="shared" si="8"/>
        <v>187318.00831999988</v>
      </c>
      <c r="K38" s="41">
        <f t="shared" si="8"/>
        <v>138457.84951999987</v>
      </c>
      <c r="L38" s="61">
        <f t="shared" si="8"/>
        <v>158955.80880799989</v>
      </c>
    </row>
    <row r="39" spans="1:12" x14ac:dyDescent="0.35">
      <c r="A39" s="46" t="s">
        <v>134</v>
      </c>
      <c r="B39" s="244">
        <v>-268119.77039999986</v>
      </c>
      <c r="C39" s="100">
        <f t="shared" ref="C39:L39" si="9">B39+C33+B46</f>
        <v>-167990.58639999985</v>
      </c>
      <c r="D39" s="41">
        <f t="shared" si="9"/>
        <v>-193302.60639999987</v>
      </c>
      <c r="E39" s="41">
        <f t="shared" si="9"/>
        <v>-227300.80639999988</v>
      </c>
      <c r="F39" s="108">
        <f t="shared" si="9"/>
        <v>-270399.02639999986</v>
      </c>
      <c r="G39" s="40">
        <f t="shared" si="9"/>
        <v>-285412.06639999989</v>
      </c>
      <c r="H39" s="41">
        <f t="shared" si="9"/>
        <v>-298885.21639999986</v>
      </c>
      <c r="I39" s="61">
        <f t="shared" si="9"/>
        <v>-307078.06639999984</v>
      </c>
      <c r="J39" s="123">
        <f t="shared" si="9"/>
        <v>-312701.88989999983</v>
      </c>
      <c r="K39" s="41">
        <f t="shared" si="9"/>
        <v>-319203.22251999984</v>
      </c>
      <c r="L39" s="61">
        <f t="shared" si="9"/>
        <v>-346794.79815999983</v>
      </c>
    </row>
    <row r="40" spans="1:12" x14ac:dyDescent="0.35">
      <c r="A40" s="46" t="s">
        <v>135</v>
      </c>
      <c r="B40" s="244">
        <v>544308.79327999998</v>
      </c>
      <c r="C40" s="100">
        <f t="shared" ref="C40:L40" si="10">B40+C34+B47</f>
        <v>650634.08496000001</v>
      </c>
      <c r="D40" s="41">
        <f t="shared" si="10"/>
        <v>621672.2149599999</v>
      </c>
      <c r="E40" s="41">
        <f t="shared" si="10"/>
        <v>587952.42495999997</v>
      </c>
      <c r="F40" s="108">
        <f t="shared" si="10"/>
        <v>548031.04495999997</v>
      </c>
      <c r="G40" s="40">
        <f t="shared" si="10"/>
        <v>535801.70496</v>
      </c>
      <c r="H40" s="41">
        <f t="shared" si="10"/>
        <v>524085.54496000003</v>
      </c>
      <c r="I40" s="61">
        <f t="shared" si="10"/>
        <v>516237.82496</v>
      </c>
      <c r="J40" s="123">
        <f t="shared" si="10"/>
        <v>511792.72535000002</v>
      </c>
      <c r="K40" s="41">
        <f t="shared" si="10"/>
        <v>506326.75255999999</v>
      </c>
      <c r="L40" s="61">
        <f t="shared" si="10"/>
        <v>477421.77455999999</v>
      </c>
    </row>
    <row r="41" spans="1:12" ht="15" thickBot="1" x14ac:dyDescent="0.4">
      <c r="A41" s="46" t="s">
        <v>136</v>
      </c>
      <c r="B41" s="117">
        <v>176664.53332000005</v>
      </c>
      <c r="C41" s="100">
        <f t="shared" ref="C41:L41" si="11">B41+C35+B48</f>
        <v>213704.84060000005</v>
      </c>
      <c r="D41" s="41">
        <f t="shared" si="11"/>
        <v>202016.62060000005</v>
      </c>
      <c r="E41" s="41">
        <f t="shared" si="11"/>
        <v>192173.90060000005</v>
      </c>
      <c r="F41" s="108">
        <f t="shared" si="11"/>
        <v>181569.22060000006</v>
      </c>
      <c r="G41" s="40">
        <f t="shared" si="11"/>
        <v>178632.92060000007</v>
      </c>
      <c r="H41" s="41">
        <f t="shared" si="11"/>
        <v>175339.69060000006</v>
      </c>
      <c r="I41" s="61">
        <f t="shared" si="11"/>
        <v>174917.40060000005</v>
      </c>
      <c r="J41" s="123">
        <f t="shared" si="11"/>
        <v>172523.60905000006</v>
      </c>
      <c r="K41" s="41">
        <f t="shared" si="11"/>
        <v>169835.36951000005</v>
      </c>
      <c r="L41" s="61">
        <f t="shared" si="11"/>
        <v>161549.13467000006</v>
      </c>
    </row>
    <row r="42" spans="1:12" x14ac:dyDescent="0.35">
      <c r="C42" s="99"/>
      <c r="D42" s="17"/>
      <c r="E42" s="17"/>
      <c r="F42" s="17"/>
      <c r="G42" s="10"/>
      <c r="H42" s="17"/>
      <c r="I42" s="11"/>
      <c r="J42" s="17"/>
      <c r="K42" s="17"/>
      <c r="L42" s="11"/>
    </row>
    <row r="43" spans="1:12" x14ac:dyDescent="0.35">
      <c r="A43" s="39" t="s">
        <v>88</v>
      </c>
      <c r="B43" s="39"/>
      <c r="C43" s="104"/>
      <c r="D43" s="83">
        <f>+'PCR Cycle 2'!D47</f>
        <v>1.81941E-3</v>
      </c>
      <c r="E43" s="83">
        <f>+'PCR Cycle 2'!E47</f>
        <v>2.2438499999999999E-3</v>
      </c>
      <c r="F43" s="83">
        <f>+'PCR Cycle 2'!F47</f>
        <v>2.7832400000000002E-3</v>
      </c>
      <c r="G43" s="84">
        <f>+'PCR Cycle 2'!G47</f>
        <v>3.0573900000000001E-3</v>
      </c>
      <c r="H43" s="83">
        <f>+'PCR Cycle 2'!H47</f>
        <v>3.4681400000000002E-3</v>
      </c>
      <c r="I43" s="92">
        <f>+'PCR Cycle 2'!I47</f>
        <v>3.92758E-3</v>
      </c>
      <c r="J43" s="83">
        <f>+'PCR Cycle 2'!J47</f>
        <v>3.92758E-3</v>
      </c>
      <c r="K43" s="83">
        <f>+'PCR Cycle 2'!K47</f>
        <v>3.92758E-3</v>
      </c>
      <c r="L43" s="85"/>
    </row>
    <row r="44" spans="1:12" x14ac:dyDescent="0.35">
      <c r="A44" s="39" t="s">
        <v>37</v>
      </c>
      <c r="B44" s="39"/>
      <c r="C44" s="106"/>
      <c r="D44" s="83"/>
      <c r="E44" s="83"/>
      <c r="F44" s="83"/>
      <c r="G44" s="84"/>
      <c r="H44" s="83"/>
      <c r="I44" s="85"/>
      <c r="J44" s="83"/>
      <c r="K44" s="83"/>
      <c r="L44" s="85"/>
    </row>
    <row r="45" spans="1:12" x14ac:dyDescent="0.35">
      <c r="A45" s="46" t="s">
        <v>24</v>
      </c>
      <c r="C45" s="100">
        <v>-1620.17</v>
      </c>
      <c r="D45" s="41">
        <f t="shared" ref="D45:L45" si="12">ROUND((C38+C45+D32/2)*D$43,2)</f>
        <v>1020.39</v>
      </c>
      <c r="E45" s="41">
        <f t="shared" si="12"/>
        <v>1103.25</v>
      </c>
      <c r="F45" s="108">
        <f t="shared" si="12"/>
        <v>1171.21</v>
      </c>
      <c r="G45" s="40">
        <f t="shared" si="12"/>
        <v>1108.5</v>
      </c>
      <c r="H45" s="123">
        <f t="shared" si="12"/>
        <v>1098.3599999999999</v>
      </c>
      <c r="I45" s="49">
        <f t="shared" si="12"/>
        <v>1048.83</v>
      </c>
      <c r="J45" s="161">
        <f t="shared" si="12"/>
        <v>842.01</v>
      </c>
      <c r="K45" s="108">
        <f t="shared" si="12"/>
        <v>641.41</v>
      </c>
      <c r="L45" s="61">
        <f t="shared" si="12"/>
        <v>0</v>
      </c>
    </row>
    <row r="46" spans="1:12" x14ac:dyDescent="0.35">
      <c r="A46" s="46" t="s">
        <v>134</v>
      </c>
      <c r="C46" s="100">
        <v>593.99</v>
      </c>
      <c r="D46" s="41">
        <f t="shared" ref="D46:L46" si="13">ROUND((C39+C46+D33/2)*D$43,2)</f>
        <v>-328.13</v>
      </c>
      <c r="E46" s="41">
        <f t="shared" si="13"/>
        <v>-472.25</v>
      </c>
      <c r="F46" s="108">
        <f t="shared" si="13"/>
        <v>-693.27</v>
      </c>
      <c r="G46" s="40">
        <f t="shared" si="13"/>
        <v>-850.73</v>
      </c>
      <c r="H46" s="123">
        <f t="shared" si="13"/>
        <v>-1014.69</v>
      </c>
      <c r="I46" s="49">
        <f t="shared" si="13"/>
        <v>-1191.98</v>
      </c>
      <c r="J46" s="161">
        <f t="shared" si="13"/>
        <v>-1219.46</v>
      </c>
      <c r="K46" s="108">
        <f t="shared" si="13"/>
        <v>-1243.32</v>
      </c>
      <c r="L46" s="61">
        <f t="shared" si="13"/>
        <v>0</v>
      </c>
    </row>
    <row r="47" spans="1:12" x14ac:dyDescent="0.35">
      <c r="A47" s="46" t="s">
        <v>135</v>
      </c>
      <c r="C47" s="100">
        <v>-1916.93</v>
      </c>
      <c r="D47" s="41">
        <f t="shared" ref="D47:L47" si="14">ROUND((C40+C47+D34/2)*D$43,2)</f>
        <v>1155.68</v>
      </c>
      <c r="E47" s="41">
        <f t="shared" si="14"/>
        <v>1358.4</v>
      </c>
      <c r="F47" s="108">
        <f t="shared" si="14"/>
        <v>1582.75</v>
      </c>
      <c r="G47" s="40">
        <f t="shared" si="14"/>
        <v>1659.27</v>
      </c>
      <c r="H47" s="123">
        <f t="shared" si="14"/>
        <v>1840.8</v>
      </c>
      <c r="I47" s="49">
        <f t="shared" si="14"/>
        <v>2046.59</v>
      </c>
      <c r="J47" s="161">
        <f t="shared" si="14"/>
        <v>2022.86</v>
      </c>
      <c r="K47" s="108">
        <f t="shared" si="14"/>
        <v>2003.35</v>
      </c>
      <c r="L47" s="61">
        <f t="shared" si="14"/>
        <v>0</v>
      </c>
    </row>
    <row r="48" spans="1:12" ht="15" thickBot="1" x14ac:dyDescent="0.4">
      <c r="A48" s="46" t="s">
        <v>136</v>
      </c>
      <c r="C48" s="100">
        <v>-625.30999999999995</v>
      </c>
      <c r="D48" s="41">
        <f t="shared" ref="D48:L48" si="15">ROUND((C41+C48+D35/2)*D$43,2)</f>
        <v>377.62</v>
      </c>
      <c r="E48" s="41">
        <f t="shared" si="15"/>
        <v>442.68</v>
      </c>
      <c r="F48" s="108">
        <f t="shared" si="15"/>
        <v>520.72</v>
      </c>
      <c r="G48" s="40">
        <f t="shared" si="15"/>
        <v>551.44000000000005</v>
      </c>
      <c r="H48" s="123">
        <f t="shared" si="15"/>
        <v>614.77</v>
      </c>
      <c r="I48" s="49">
        <f t="shared" si="15"/>
        <v>689.04</v>
      </c>
      <c r="J48" s="161">
        <f t="shared" si="15"/>
        <v>683.65</v>
      </c>
      <c r="K48" s="108">
        <f t="shared" si="15"/>
        <v>673.66</v>
      </c>
      <c r="L48" s="61">
        <f t="shared" si="15"/>
        <v>0</v>
      </c>
    </row>
    <row r="49" spans="1:12" ht="15.5" thickTop="1" thickBot="1" x14ac:dyDescent="0.4">
      <c r="A49" s="54" t="s">
        <v>22</v>
      </c>
      <c r="B49" s="54"/>
      <c r="C49" s="107">
        <v>0</v>
      </c>
      <c r="D49" s="42">
        <f t="shared" ref="D49:L49" si="16">SUM(D45:D48)+SUM(D38:D41)-D52</f>
        <v>0</v>
      </c>
      <c r="E49" s="42">
        <f t="shared" si="16"/>
        <v>0</v>
      </c>
      <c r="F49" s="50">
        <f t="shared" si="16"/>
        <v>0</v>
      </c>
      <c r="G49" s="145">
        <f t="shared" si="16"/>
        <v>0</v>
      </c>
      <c r="H49" s="50">
        <f t="shared" si="16"/>
        <v>0</v>
      </c>
      <c r="I49" s="62">
        <f t="shared" si="16"/>
        <v>0</v>
      </c>
      <c r="J49" s="162">
        <f t="shared" si="16"/>
        <v>0</v>
      </c>
      <c r="K49" s="50">
        <f t="shared" si="16"/>
        <v>0</v>
      </c>
      <c r="L49" s="62">
        <f t="shared" si="16"/>
        <v>0</v>
      </c>
    </row>
    <row r="50" spans="1:12" ht="15.5" thickTop="1" thickBot="1" x14ac:dyDescent="0.4">
      <c r="A50" s="54" t="s">
        <v>23</v>
      </c>
      <c r="B50" s="54"/>
      <c r="C50" s="107">
        <v>0</v>
      </c>
      <c r="D50" s="42">
        <f t="shared" ref="D50:L50" si="17">SUM(D45:D48)-D29</f>
        <v>0</v>
      </c>
      <c r="E50" s="42">
        <f t="shared" si="17"/>
        <v>1.0000000000218279E-2</v>
      </c>
      <c r="F50" s="50">
        <f t="shared" si="17"/>
        <v>0</v>
      </c>
      <c r="G50" s="145">
        <f t="shared" si="17"/>
        <v>0</v>
      </c>
      <c r="H50" s="50">
        <f t="shared" si="17"/>
        <v>-1.0000000000218279E-2</v>
      </c>
      <c r="I50" s="62">
        <f t="shared" si="17"/>
        <v>0</v>
      </c>
      <c r="J50" s="163">
        <f t="shared" si="17"/>
        <v>0</v>
      </c>
      <c r="K50" s="42">
        <f t="shared" si="17"/>
        <v>0</v>
      </c>
      <c r="L50" s="42">
        <f t="shared" si="17"/>
        <v>0</v>
      </c>
    </row>
    <row r="51" spans="1:12" ht="15.5" thickTop="1" thickBot="1" x14ac:dyDescent="0.4">
      <c r="C51" s="99"/>
      <c r="D51" s="17"/>
      <c r="E51" s="17"/>
      <c r="F51" s="17"/>
      <c r="G51" s="10"/>
      <c r="H51" s="17"/>
      <c r="I51" s="11"/>
      <c r="J51" s="17"/>
      <c r="K51" s="17"/>
      <c r="L51" s="11"/>
    </row>
    <row r="52" spans="1:12" ht="15" thickBot="1" x14ac:dyDescent="0.4">
      <c r="A52" s="46" t="s">
        <v>36</v>
      </c>
      <c r="B52" s="119">
        <f>SUM(B38:B41)</f>
        <v>901652.34860000003</v>
      </c>
      <c r="C52" s="100">
        <f t="shared" ref="C52:L52" si="18">(C15-SUM(C18:C21))+SUM(C45:C48)+B52</f>
        <v>1289998.4969800001</v>
      </c>
      <c r="D52" s="41">
        <f t="shared" si="18"/>
        <v>1158682.8569800002</v>
      </c>
      <c r="E52" s="41">
        <f t="shared" si="18"/>
        <v>1011519.4269800002</v>
      </c>
      <c r="F52" s="108">
        <f t="shared" si="18"/>
        <v>846034.62698000018</v>
      </c>
      <c r="G52" s="40">
        <f t="shared" si="18"/>
        <v>771198.69698000012</v>
      </c>
      <c r="H52" s="41">
        <f t="shared" si="18"/>
        <v>695665.90698000009</v>
      </c>
      <c r="I52" s="61">
        <f t="shared" si="18"/>
        <v>627071.25698000006</v>
      </c>
      <c r="J52" s="161">
        <f t="shared" si="18"/>
        <v>561261.51282000006</v>
      </c>
      <c r="K52" s="108">
        <f t="shared" si="18"/>
        <v>497491.84907000005</v>
      </c>
      <c r="L52" s="61">
        <f t="shared" si="18"/>
        <v>451131.91987800004</v>
      </c>
    </row>
    <row r="53" spans="1:12" x14ac:dyDescent="0.35">
      <c r="A53" s="46" t="s">
        <v>12</v>
      </c>
      <c r="C53" s="120"/>
      <c r="D53" s="17"/>
      <c r="E53" s="17"/>
      <c r="F53" s="17"/>
      <c r="G53" s="10"/>
      <c r="H53" s="17"/>
      <c r="I53" s="11"/>
      <c r="J53" s="17"/>
      <c r="K53" s="17"/>
      <c r="L53" s="11"/>
    </row>
    <row r="54" spans="1:12" ht="15" thickBot="1" x14ac:dyDescent="0.4">
      <c r="A54" s="37"/>
      <c r="B54" s="37"/>
      <c r="C54" s="146"/>
      <c r="D54" s="44"/>
      <c r="E54" s="44"/>
      <c r="F54" s="44"/>
      <c r="G54" s="43"/>
      <c r="H54" s="44"/>
      <c r="I54" s="45"/>
      <c r="J54" s="44"/>
      <c r="K54" s="44"/>
      <c r="L54" s="45"/>
    </row>
    <row r="56" spans="1:12" x14ac:dyDescent="0.35">
      <c r="A56" s="69" t="s">
        <v>11</v>
      </c>
      <c r="B56" s="69"/>
      <c r="C56" s="69"/>
    </row>
    <row r="57" spans="1:12" ht="31.5" customHeight="1" x14ac:dyDescent="0.35">
      <c r="A57" s="311" t="s">
        <v>159</v>
      </c>
      <c r="B57" s="311"/>
      <c r="C57" s="311"/>
      <c r="D57" s="311"/>
      <c r="E57" s="311"/>
      <c r="F57" s="311"/>
      <c r="G57" s="311"/>
      <c r="H57" s="311"/>
      <c r="I57" s="311"/>
      <c r="J57" s="233"/>
      <c r="K57" s="233"/>
      <c r="L57" s="233"/>
    </row>
    <row r="58" spans="1:12" ht="45" customHeight="1" x14ac:dyDescent="0.35">
      <c r="A58" s="311" t="s">
        <v>185</v>
      </c>
      <c r="B58" s="311"/>
      <c r="C58" s="311"/>
      <c r="D58" s="311"/>
      <c r="E58" s="311"/>
      <c r="F58" s="311"/>
      <c r="G58" s="311"/>
      <c r="H58" s="311"/>
      <c r="I58" s="311"/>
      <c r="J58" s="233"/>
      <c r="K58" s="233"/>
    </row>
    <row r="59" spans="1:12" ht="18.75" customHeight="1" x14ac:dyDescent="0.35">
      <c r="A59" s="311" t="s">
        <v>160</v>
      </c>
      <c r="B59" s="311"/>
      <c r="C59" s="311"/>
      <c r="D59" s="311"/>
      <c r="E59" s="311"/>
      <c r="F59" s="311"/>
      <c r="G59" s="311"/>
      <c r="H59" s="311"/>
      <c r="I59" s="311"/>
      <c r="J59" s="233"/>
      <c r="K59" s="233"/>
      <c r="L59" s="233"/>
    </row>
    <row r="60" spans="1:12" x14ac:dyDescent="0.35">
      <c r="A60" s="63" t="s">
        <v>31</v>
      </c>
      <c r="B60" s="63"/>
      <c r="C60" s="63"/>
      <c r="D60" s="39"/>
      <c r="E60" s="39"/>
      <c r="F60" s="39"/>
      <c r="G60" s="39"/>
      <c r="H60" s="39"/>
      <c r="I60" s="39"/>
    </row>
    <row r="61" spans="1:12" x14ac:dyDescent="0.35">
      <c r="A61" s="63" t="s">
        <v>202</v>
      </c>
      <c r="B61" s="63"/>
      <c r="C61" s="63"/>
      <c r="D61" s="39"/>
      <c r="E61" s="39"/>
      <c r="F61" s="39"/>
      <c r="G61" s="39"/>
      <c r="H61" s="39"/>
      <c r="I61" s="39"/>
    </row>
    <row r="62" spans="1:12" x14ac:dyDescent="0.35">
      <c r="A62" s="63" t="s">
        <v>95</v>
      </c>
      <c r="B62" s="63"/>
      <c r="C62" s="63"/>
      <c r="D62" s="39"/>
      <c r="E62" s="39"/>
      <c r="F62" s="39"/>
      <c r="G62" s="39"/>
      <c r="H62" s="39"/>
      <c r="I62" s="39"/>
    </row>
    <row r="63" spans="1:12" x14ac:dyDescent="0.35">
      <c r="A63" s="3" t="s">
        <v>225</v>
      </c>
      <c r="B63" s="3"/>
      <c r="C63" s="3"/>
    </row>
  </sheetData>
  <mergeCells count="6">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H60"/>
  <sheetViews>
    <sheetView topLeftCell="E1" workbookViewId="0">
      <selection activeCell="O1" sqref="O1:O1048576"/>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5.26953125" style="46" bestFit="1" customWidth="1"/>
    <col min="16" max="16" width="17.453125" style="46" bestFit="1" customWidth="1"/>
    <col min="17" max="17" width="16.26953125" style="46" bestFit="1" customWidth="1"/>
    <col min="18" max="18" width="15.26953125" style="46" bestFit="1" customWidth="1"/>
    <col min="19" max="19" width="12.453125" style="46" customWidth="1"/>
    <col min="20" max="21" width="14.26953125" style="46" bestFit="1" customWidth="1"/>
    <col min="22" max="16384" width="9.1796875" style="46"/>
  </cols>
  <sheetData>
    <row r="1" spans="1:34" x14ac:dyDescent="0.35">
      <c r="A1" s="3" t="str">
        <f>+'PPC Cycle 3'!A1</f>
        <v>Evergy Missouri West, Inc. - DSIM Rider Update Filed 12/02/2022</v>
      </c>
      <c r="B1" s="3"/>
      <c r="C1" s="3"/>
    </row>
    <row r="2" spans="1:34" x14ac:dyDescent="0.35">
      <c r="D2" s="3" t="s">
        <v>175</v>
      </c>
    </row>
    <row r="3" spans="1:34" ht="29" x14ac:dyDescent="0.35">
      <c r="D3" s="48" t="s">
        <v>46</v>
      </c>
      <c r="E3" s="70" t="s">
        <v>58</v>
      </c>
      <c r="F3" s="48" t="s">
        <v>3</v>
      </c>
      <c r="G3" s="70" t="s">
        <v>55</v>
      </c>
      <c r="H3" s="48" t="s">
        <v>10</v>
      </c>
      <c r="I3" s="48" t="s">
        <v>59</v>
      </c>
      <c r="R3" s="48"/>
    </row>
    <row r="4" spans="1:34" x14ac:dyDescent="0.35">
      <c r="A4" s="20" t="s">
        <v>24</v>
      </c>
      <c r="B4" s="20"/>
      <c r="C4" s="20"/>
      <c r="D4" s="22">
        <f>SUM(C15:L15)</f>
        <v>463793.60492240003</v>
      </c>
      <c r="E4" s="22">
        <f>SUM(C21:K21)</f>
        <v>817537.31999999983</v>
      </c>
      <c r="F4" s="22">
        <f>E4-D4</f>
        <v>353743.7150775998</v>
      </c>
      <c r="G4" s="22">
        <f>+B35</f>
        <v>-89457.443819999986</v>
      </c>
      <c r="H4" s="22">
        <f>SUM(C42:K42)</f>
        <v>3856.29</v>
      </c>
      <c r="I4" s="25">
        <f>SUM(F4:H4)</f>
        <v>268142.56125759979</v>
      </c>
      <c r="J4" s="47">
        <f>+I4-L35</f>
        <v>0</v>
      </c>
      <c r="M4" s="47"/>
    </row>
    <row r="5" spans="1:34" x14ac:dyDescent="0.35">
      <c r="A5" s="20" t="s">
        <v>107</v>
      </c>
      <c r="B5" s="20"/>
      <c r="C5" s="20"/>
      <c r="D5" s="22">
        <f t="shared" ref="D5:D7" si="0">SUM(C16:L16)</f>
        <v>118305.84608</v>
      </c>
      <c r="E5" s="22">
        <f t="shared" ref="E5:E7" si="1">SUM(C22:K22)</f>
        <v>171288.61</v>
      </c>
      <c r="F5" s="22">
        <f t="shared" ref="F5:F7" si="2">E5-D5</f>
        <v>52982.763919999983</v>
      </c>
      <c r="G5" s="22">
        <f t="shared" ref="G5:G7" si="3">+B36</f>
        <v>-12259.736880000004</v>
      </c>
      <c r="H5" s="22">
        <f t="shared" ref="H5:H7" si="4">SUM(C43:K43)</f>
        <v>548.11</v>
      </c>
      <c r="I5" s="25">
        <f t="shared" ref="I5:I7" si="5">SUM(F5:H5)</f>
        <v>41271.13703999998</v>
      </c>
      <c r="J5" s="47">
        <f>+I5-L36</f>
        <v>0</v>
      </c>
      <c r="M5" s="47"/>
    </row>
    <row r="6" spans="1:34" x14ac:dyDescent="0.35">
      <c r="A6" s="20" t="s">
        <v>108</v>
      </c>
      <c r="B6" s="20"/>
      <c r="C6" s="20"/>
      <c r="D6" s="22">
        <f t="shared" si="0"/>
        <v>106713.36132</v>
      </c>
      <c r="E6" s="22">
        <f t="shared" si="1"/>
        <v>165848.34</v>
      </c>
      <c r="F6" s="22">
        <f t="shared" si="2"/>
        <v>59134.97868</v>
      </c>
      <c r="G6" s="22">
        <f t="shared" si="3"/>
        <v>-2381.4382799999939</v>
      </c>
      <c r="H6" s="22">
        <f t="shared" si="4"/>
        <v>878.63</v>
      </c>
      <c r="I6" s="25">
        <f t="shared" si="5"/>
        <v>57632.170400000003</v>
      </c>
      <c r="J6" s="47">
        <f>+I6-L37</f>
        <v>0</v>
      </c>
      <c r="M6" s="47"/>
    </row>
    <row r="7" spans="1:34" ht="15" thickBot="1" x14ac:dyDescent="0.4">
      <c r="A7" s="20" t="s">
        <v>109</v>
      </c>
      <c r="B7" s="20"/>
      <c r="C7" s="20"/>
      <c r="D7" s="22">
        <f t="shared" si="0"/>
        <v>69080.874880000003</v>
      </c>
      <c r="E7" s="22">
        <f t="shared" si="1"/>
        <v>131022.15</v>
      </c>
      <c r="F7" s="22">
        <f t="shared" si="2"/>
        <v>61941.275119999991</v>
      </c>
      <c r="G7" s="22">
        <f t="shared" si="3"/>
        <v>-2403.9940999999922</v>
      </c>
      <c r="H7" s="22">
        <f t="shared" si="4"/>
        <v>952.33</v>
      </c>
      <c r="I7" s="25">
        <f t="shared" si="5"/>
        <v>60489.611020000004</v>
      </c>
      <c r="J7" s="47">
        <f>+I7-L38</f>
        <v>0</v>
      </c>
      <c r="M7" s="47"/>
    </row>
    <row r="8" spans="1:34" ht="15.5" thickTop="1" thickBot="1" x14ac:dyDescent="0.4">
      <c r="D8" s="27">
        <f t="shared" ref="D8:I8" si="6">SUM(D4:D7)</f>
        <v>757893.68720240006</v>
      </c>
      <c r="E8" s="27">
        <f t="shared" si="6"/>
        <v>1285696.4199999997</v>
      </c>
      <c r="F8" s="27">
        <f t="shared" si="6"/>
        <v>527802.73279759975</v>
      </c>
      <c r="G8" s="27">
        <f t="shared" si="6"/>
        <v>-106502.61307999998</v>
      </c>
      <c r="H8" s="27">
        <f t="shared" si="6"/>
        <v>6235.36</v>
      </c>
      <c r="I8" s="27">
        <f t="shared" si="6"/>
        <v>427535.47971759981</v>
      </c>
      <c r="S8" s="5"/>
    </row>
    <row r="9" spans="1:34" ht="15.5" thickTop="1" thickBot="1" x14ac:dyDescent="0.4">
      <c r="U9" s="4"/>
      <c r="V9" s="5"/>
    </row>
    <row r="10" spans="1:34" ht="102" thickBot="1" x14ac:dyDescent="0.4">
      <c r="B10" s="118" t="str">
        <f>+'PCR Cycle 2'!B13</f>
        <v>Cumulative Over/Under Carryover From 06/01/2022 Filing</v>
      </c>
      <c r="C10" s="151" t="str">
        <f>+'PCR Cycle 2'!C13</f>
        <v>Reverse May 2022 - October 2022  Forecast From 06/01/2022 Filing</v>
      </c>
      <c r="D10" s="323" t="s">
        <v>33</v>
      </c>
      <c r="E10" s="312"/>
      <c r="F10" s="313"/>
      <c r="G10" s="320" t="s">
        <v>33</v>
      </c>
      <c r="H10" s="321"/>
      <c r="I10" s="322"/>
      <c r="J10" s="308" t="s">
        <v>8</v>
      </c>
      <c r="K10" s="309"/>
      <c r="L10" s="310"/>
    </row>
    <row r="11" spans="1:34" x14ac:dyDescent="0.35">
      <c r="A11" s="46" t="s">
        <v>86</v>
      </c>
      <c r="C11" s="105"/>
      <c r="D11" s="19">
        <f>+'PCR Cycle 2'!D14</f>
        <v>44712</v>
      </c>
      <c r="E11" s="19">
        <f t="shared" ref="E11:L11" si="7">EOMONTH(D11,1)</f>
        <v>44742</v>
      </c>
      <c r="F11" s="19">
        <f t="shared" si="7"/>
        <v>44773</v>
      </c>
      <c r="G11" s="14">
        <f t="shared" si="7"/>
        <v>44804</v>
      </c>
      <c r="H11" s="19">
        <f t="shared" si="7"/>
        <v>44834</v>
      </c>
      <c r="I11" s="15">
        <f t="shared" si="7"/>
        <v>44865</v>
      </c>
      <c r="J11" s="19">
        <f t="shared" si="7"/>
        <v>44895</v>
      </c>
      <c r="K11" s="19">
        <f t="shared" si="7"/>
        <v>44926</v>
      </c>
      <c r="L11" s="15">
        <f t="shared" si="7"/>
        <v>44957</v>
      </c>
      <c r="Y11" s="1"/>
      <c r="Z11" s="1"/>
      <c r="AA11" s="1"/>
      <c r="AB11" s="1"/>
      <c r="AC11" s="1"/>
      <c r="AD11" s="1"/>
      <c r="AE11" s="1"/>
      <c r="AF11" s="1"/>
      <c r="AG11" s="1"/>
      <c r="AH11" s="1"/>
    </row>
    <row r="12" spans="1:34" x14ac:dyDescent="0.35">
      <c r="A12" s="46" t="s">
        <v>5</v>
      </c>
      <c r="C12" s="97">
        <v>-426770.94</v>
      </c>
      <c r="D12" s="109">
        <f t="shared" ref="D12:K12" si="8">SUM(D21:D24)</f>
        <v>213385.47</v>
      </c>
      <c r="E12" s="109">
        <f t="shared" si="8"/>
        <v>213385.47</v>
      </c>
      <c r="F12" s="110">
        <f t="shared" si="8"/>
        <v>213385.47</v>
      </c>
      <c r="G12" s="16">
        <f t="shared" si="8"/>
        <v>214462.18999999997</v>
      </c>
      <c r="H12" s="55">
        <f t="shared" si="8"/>
        <v>214462.18999999997</v>
      </c>
      <c r="I12" s="164">
        <f t="shared" si="8"/>
        <v>214462.18999999997</v>
      </c>
      <c r="J12" s="157">
        <f t="shared" si="8"/>
        <v>214462.18999999997</v>
      </c>
      <c r="K12" s="78">
        <f t="shared" si="8"/>
        <v>214462.18999999997</v>
      </c>
      <c r="L12" s="79"/>
    </row>
    <row r="13" spans="1:34" x14ac:dyDescent="0.35">
      <c r="C13" s="99"/>
      <c r="D13" s="17"/>
      <c r="E13" s="17"/>
      <c r="F13" s="17"/>
      <c r="G13" s="10"/>
      <c r="H13" s="17"/>
      <c r="I13" s="11"/>
      <c r="J13" s="31"/>
      <c r="K13" s="31"/>
      <c r="L13" s="29"/>
    </row>
    <row r="14" spans="1:34" x14ac:dyDescent="0.35">
      <c r="A14" s="46" t="s">
        <v>87</v>
      </c>
      <c r="C14" s="99"/>
      <c r="D14" s="18"/>
      <c r="E14" s="18"/>
      <c r="F14" s="18"/>
      <c r="G14" s="91"/>
      <c r="H14" s="18"/>
      <c r="I14" s="165"/>
      <c r="J14" s="31"/>
      <c r="K14" s="31"/>
      <c r="L14" s="29"/>
      <c r="M14" s="3" t="s">
        <v>50</v>
      </c>
      <c r="N14" s="39"/>
    </row>
    <row r="15" spans="1:34" x14ac:dyDescent="0.35">
      <c r="A15" s="46" t="s">
        <v>24</v>
      </c>
      <c r="C15" s="97">
        <v>-389475.35382000002</v>
      </c>
      <c r="D15" s="134">
        <f>ROUND('[5]May 2022'!$F89,2)</f>
        <v>96367.34</v>
      </c>
      <c r="E15" s="134">
        <f>ROUND('[5]Jun 2022'!$F89,2)</f>
        <v>123746.16</v>
      </c>
      <c r="F15" s="134">
        <f>ROUND('[5]Jul 2022'!$F89,2)</f>
        <v>171824.55</v>
      </c>
      <c r="G15" s="185">
        <f>ROUND('[5]Aug 2022'!$F97,2)</f>
        <v>94785.82</v>
      </c>
      <c r="H15" s="121">
        <f>ROUND('[5]Sep 2022'!$F97,2)</f>
        <v>82734.02</v>
      </c>
      <c r="I15" s="166">
        <f>ROUND('[5]Oct 2022'!$F97,2)</f>
        <v>58429.08</v>
      </c>
      <c r="J15" s="123">
        <f>'PCR Cycle 2'!J26*$M15</f>
        <v>54402.626399999994</v>
      </c>
      <c r="K15" s="41">
        <f>'PCR Cycle 2'!K26*$M15</f>
        <v>75667.925759999998</v>
      </c>
      <c r="L15" s="61">
        <f>'PCR Cycle 2'!L26*$M15</f>
        <v>95311.436582399983</v>
      </c>
      <c r="M15" s="72">
        <v>2.3999999999999998E-4</v>
      </c>
      <c r="N15" s="4"/>
    </row>
    <row r="16" spans="1:34" x14ac:dyDescent="0.35">
      <c r="A16" s="46" t="s">
        <v>134</v>
      </c>
      <c r="C16" s="97">
        <v>-72687.546879999994</v>
      </c>
      <c r="D16" s="134">
        <f>ROUND('[5]May 2022'!$F90,2)</f>
        <v>23825.57</v>
      </c>
      <c r="E16" s="134">
        <f>ROUND('[5]Jun 2022'!$F90,2)</f>
        <v>27876.28</v>
      </c>
      <c r="F16" s="134">
        <f>ROUND('[5]Jul 2022'!$F90,2)</f>
        <v>32701.94</v>
      </c>
      <c r="G16" s="185">
        <f>ROUND('[5]Aug 2022'!$F98,2)</f>
        <v>21291.759999999998</v>
      </c>
      <c r="H16" s="121">
        <f>ROUND('[5]Sep 2022'!$F98,2)</f>
        <v>20514.7</v>
      </c>
      <c r="I16" s="166">
        <f>ROUND('[5]Oct 2022'!$F98,2)</f>
        <v>17085.48</v>
      </c>
      <c r="J16" s="123">
        <f>'PCR Cycle 2'!J27*$M16</f>
        <v>15286.408500000001</v>
      </c>
      <c r="K16" s="41">
        <f>'PCR Cycle 2'!K27*$M16</f>
        <v>15821.61202</v>
      </c>
      <c r="L16" s="61">
        <f>'PCR Cycle 2'!L27*$M16</f>
        <v>16589.64244</v>
      </c>
      <c r="M16" s="72">
        <v>1.7000000000000001E-4</v>
      </c>
      <c r="N16" s="4"/>
    </row>
    <row r="17" spans="1:14" x14ac:dyDescent="0.35">
      <c r="A17" s="46" t="s">
        <v>135</v>
      </c>
      <c r="C17" s="97">
        <v>-69764.338279999996</v>
      </c>
      <c r="D17" s="134">
        <f>ROUND('[5]May 2022'!$F91,2)</f>
        <v>22796.97</v>
      </c>
      <c r="E17" s="134">
        <f>ROUND('[5]Jun 2022'!$F91,2)</f>
        <v>25565.15</v>
      </c>
      <c r="F17" s="134">
        <f>ROUND('[5]Jul 2022'!$F91,2)</f>
        <v>29190.85</v>
      </c>
      <c r="G17" s="185">
        <f>ROUND('[5]Aug 2022'!$F99,2)</f>
        <v>18474.2</v>
      </c>
      <c r="H17" s="121">
        <f>ROUND('[5]Sep 2022'!$F99,2)</f>
        <v>18283.009999999998</v>
      </c>
      <c r="I17" s="166">
        <f>ROUND('[5]Oct 2022'!$F99,2)</f>
        <v>16388.07</v>
      </c>
      <c r="J17" s="123">
        <f>'PCR Cycle 2'!J28*$M17</f>
        <v>14671.64889</v>
      </c>
      <c r="K17" s="41">
        <f>'PCR Cycle 2'!K28*$M17</f>
        <v>15185.328710000002</v>
      </c>
      <c r="L17" s="61">
        <f>'PCR Cycle 2'!L28*$M17</f>
        <v>15922.472000000002</v>
      </c>
      <c r="M17" s="72">
        <v>1.7000000000000001E-4</v>
      </c>
      <c r="N17" s="4"/>
    </row>
    <row r="18" spans="1:14" x14ac:dyDescent="0.35">
      <c r="A18" s="46" t="s">
        <v>136</v>
      </c>
      <c r="C18" s="97">
        <v>-59235.134099999996</v>
      </c>
      <c r="D18" s="134">
        <f>ROUND('[5]May 2022'!$F92,2)</f>
        <v>18027.990000000002</v>
      </c>
      <c r="E18" s="134">
        <f>ROUND('[5]Jun 2022'!$F92,2)</f>
        <v>19241.490000000002</v>
      </c>
      <c r="F18" s="134">
        <f>ROUND('[5]Jul 2022'!$F92,2)</f>
        <v>20275.28</v>
      </c>
      <c r="G18" s="185">
        <f>ROUND('[5]Aug 2022'!$F100,2)</f>
        <v>11908.78</v>
      </c>
      <c r="H18" s="121">
        <f>ROUND('[5]Sep 2022'!$F100,2)</f>
        <v>12530.97</v>
      </c>
      <c r="I18" s="166">
        <f>ROUND('[5]Oct 2022'!$F100,2)</f>
        <v>10662.4</v>
      </c>
      <c r="J18" s="123">
        <f>'PCR Cycle 2'!J29*$M18</f>
        <v>11431.428300000001</v>
      </c>
      <c r="K18" s="41">
        <f>'PCR Cycle 2'!K29*$M18</f>
        <v>11831.66244</v>
      </c>
      <c r="L18" s="61">
        <f>'PCR Cycle 2'!L29*$M18</f>
        <v>12406.008240000001</v>
      </c>
      <c r="M18" s="72">
        <v>1.8000000000000001E-4</v>
      </c>
      <c r="N18" s="4"/>
    </row>
    <row r="19" spans="1:14" x14ac:dyDescent="0.35">
      <c r="C19" s="67"/>
      <c r="D19" s="68"/>
      <c r="E19" s="68"/>
      <c r="F19" s="68"/>
      <c r="G19" s="67"/>
      <c r="H19" s="68"/>
      <c r="I19" s="167"/>
      <c r="J19" s="56"/>
      <c r="K19" s="56"/>
      <c r="L19" s="13"/>
      <c r="N19" s="4"/>
    </row>
    <row r="20" spans="1:14" x14ac:dyDescent="0.35">
      <c r="A20" s="46" t="s">
        <v>89</v>
      </c>
      <c r="C20" s="36"/>
      <c r="D20" s="37"/>
      <c r="E20" s="37"/>
      <c r="F20" s="37"/>
      <c r="G20" s="36"/>
      <c r="H20" s="37"/>
      <c r="I20" s="170"/>
      <c r="J20" s="52"/>
      <c r="K20" s="52"/>
      <c r="L20" s="38"/>
    </row>
    <row r="21" spans="1:14" x14ac:dyDescent="0.35">
      <c r="A21" s="46" t="s">
        <v>24</v>
      </c>
      <c r="C21" s="97">
        <v>-272770.34000000003</v>
      </c>
      <c r="D21" s="109">
        <f>ROUND('EO Cycle 3'!$F$18/12,2)</f>
        <v>136385.17000000001</v>
      </c>
      <c r="E21" s="109">
        <f>ROUND('EO Cycle 3'!$F$18/12,2)</f>
        <v>136385.17000000001</v>
      </c>
      <c r="F21" s="110">
        <f>ROUND('EO Cycle 3'!$F$18/12,2)</f>
        <v>136385.17000000001</v>
      </c>
      <c r="G21" s="16">
        <f>ROUND('EO Cycle 3'!$F18/12+'EO Cycle 3'!$F29/12,2)</f>
        <v>136230.43</v>
      </c>
      <c r="H21" s="55">
        <f>ROUND('EO Cycle 3'!$F18/12+'EO Cycle 3'!$F29/12,2)</f>
        <v>136230.43</v>
      </c>
      <c r="I21" s="164">
        <f>ROUND('EO Cycle 3'!$F18/12+'EO Cycle 3'!$F29/12,2)</f>
        <v>136230.43</v>
      </c>
      <c r="J21" s="159">
        <f>ROUND('EO Cycle 3'!$F18/12+'EO Cycle 3'!$F29/12,2)</f>
        <v>136230.43</v>
      </c>
      <c r="K21" s="141">
        <f>ROUND('EO Cycle 3'!$F18/12+'EO Cycle 3'!$F29/12,2)</f>
        <v>136230.43</v>
      </c>
      <c r="L21" s="79"/>
    </row>
    <row r="22" spans="1:14" x14ac:dyDescent="0.35">
      <c r="A22" s="46" t="s">
        <v>134</v>
      </c>
      <c r="C22" s="97">
        <v>-55754.52</v>
      </c>
      <c r="D22" s="109">
        <f>ROUND('EO Cycle 3'!$F$22/12,2)</f>
        <v>27877.26</v>
      </c>
      <c r="E22" s="109">
        <f>ROUND('EO Cycle 3'!$F$22/12,2)</f>
        <v>27877.26</v>
      </c>
      <c r="F22" s="110">
        <f>ROUND('EO Cycle 3'!$F$22/12,2)</f>
        <v>27877.26</v>
      </c>
      <c r="G22" s="16">
        <f>ROUND('EO Cycle 3'!$F22/12+'EO Cycle 3'!$F33/12,2)</f>
        <v>28682.27</v>
      </c>
      <c r="H22" s="55">
        <f>ROUND('EO Cycle 3'!$F22/12+'EO Cycle 3'!$F33/12,2)</f>
        <v>28682.27</v>
      </c>
      <c r="I22" s="164">
        <f>ROUND('EO Cycle 3'!$F22/12+'EO Cycle 3'!$F33/12,2)</f>
        <v>28682.27</v>
      </c>
      <c r="J22" s="159">
        <f>ROUND('EO Cycle 3'!$F22/12+'EO Cycle 3'!$F33/12,2)</f>
        <v>28682.27</v>
      </c>
      <c r="K22" s="141">
        <f>ROUND('EO Cycle 3'!$F22/12+'EO Cycle 3'!$F33/12,2)</f>
        <v>28682.27</v>
      </c>
      <c r="L22" s="79"/>
    </row>
    <row r="23" spans="1:14" x14ac:dyDescent="0.35">
      <c r="A23" s="46" t="s">
        <v>135</v>
      </c>
      <c r="C23" s="97">
        <v>-54599.28</v>
      </c>
      <c r="D23" s="109">
        <f>ROUND('EO Cycle 3'!$F$23/12,2)</f>
        <v>27299.64</v>
      </c>
      <c r="E23" s="109">
        <f>ROUND('EO Cycle 3'!$F$23/12,2)</f>
        <v>27299.64</v>
      </c>
      <c r="F23" s="110">
        <f>ROUND('EO Cycle 3'!$F$23/12,2)</f>
        <v>27299.64</v>
      </c>
      <c r="G23" s="16">
        <f>ROUND('EO Cycle 3'!$F23/12+'EO Cycle 3'!$F34/12,2)</f>
        <v>27709.74</v>
      </c>
      <c r="H23" s="55">
        <f>ROUND('EO Cycle 3'!$F23/12+'EO Cycle 3'!$F34/12,2)</f>
        <v>27709.74</v>
      </c>
      <c r="I23" s="164">
        <f>ROUND('EO Cycle 3'!$F23/12+'EO Cycle 3'!$F34/12,2)</f>
        <v>27709.74</v>
      </c>
      <c r="J23" s="159">
        <f>ROUND('EO Cycle 3'!$F23/12+'EO Cycle 3'!$F34/12,2)</f>
        <v>27709.74</v>
      </c>
      <c r="K23" s="141">
        <f>ROUND('EO Cycle 3'!$F23/12+'EO Cycle 3'!$F34/12,2)</f>
        <v>27709.74</v>
      </c>
      <c r="L23" s="79"/>
    </row>
    <row r="24" spans="1:14" x14ac:dyDescent="0.35">
      <c r="A24" s="46" t="s">
        <v>136</v>
      </c>
      <c r="C24" s="97">
        <v>-43646.8</v>
      </c>
      <c r="D24" s="109">
        <f>ROUND('EO Cycle 3'!$F$24/12,2)</f>
        <v>21823.4</v>
      </c>
      <c r="E24" s="109">
        <f>ROUND('EO Cycle 3'!$F$24/12,2)</f>
        <v>21823.4</v>
      </c>
      <c r="F24" s="110">
        <f>ROUND('EO Cycle 3'!$F$24/12,2)</f>
        <v>21823.4</v>
      </c>
      <c r="G24" s="16">
        <f>ROUND('EO Cycle 3'!$F24/12+'EO Cycle 3'!$F35/12,2)</f>
        <v>21839.75</v>
      </c>
      <c r="H24" s="55">
        <f>ROUND('EO Cycle 3'!$F24/12+'EO Cycle 3'!$F35/12,2)</f>
        <v>21839.75</v>
      </c>
      <c r="I24" s="164">
        <f>ROUND('EO Cycle 3'!$F24/12+'EO Cycle 3'!$F35/12,2)</f>
        <v>21839.75</v>
      </c>
      <c r="J24" s="159">
        <f>ROUND('EO Cycle 3'!$F24/12+'EO Cycle 3'!$F35/12,2)</f>
        <v>21839.75</v>
      </c>
      <c r="K24" s="141">
        <f>ROUND('EO Cycle 3'!$F24/12+'EO Cycle 3'!$F35/12,2)</f>
        <v>21839.75</v>
      </c>
      <c r="L24" s="79"/>
      <c r="N24" s="47"/>
    </row>
    <row r="25" spans="1:14" x14ac:dyDescent="0.35">
      <c r="C25" s="99"/>
      <c r="D25" s="18"/>
      <c r="E25" s="18"/>
      <c r="F25" s="18"/>
      <c r="G25" s="91"/>
      <c r="H25" s="18"/>
      <c r="I25" s="165"/>
      <c r="J25" s="56"/>
      <c r="K25" s="56"/>
      <c r="L25" s="13"/>
    </row>
    <row r="26" spans="1:14" ht="15" thickBot="1" x14ac:dyDescent="0.4">
      <c r="A26" s="3" t="s">
        <v>14</v>
      </c>
      <c r="B26" s="3"/>
      <c r="C26" s="103">
        <v>-316.86</v>
      </c>
      <c r="D26" s="134">
        <v>152.39000000000001</v>
      </c>
      <c r="E26" s="134">
        <v>266.04999999999995</v>
      </c>
      <c r="F26" s="135">
        <v>297.83</v>
      </c>
      <c r="G26" s="26">
        <v>369.96999999999997</v>
      </c>
      <c r="H26" s="122">
        <v>678.29000000000008</v>
      </c>
      <c r="I26" s="171">
        <v>1148.44</v>
      </c>
      <c r="J26" s="160">
        <v>1605.73</v>
      </c>
      <c r="K26" s="143">
        <v>2033.52</v>
      </c>
      <c r="L26" s="82"/>
    </row>
    <row r="27" spans="1:14" x14ac:dyDescent="0.35">
      <c r="C27" s="64"/>
      <c r="D27" s="147"/>
      <c r="E27" s="147"/>
      <c r="F27" s="148"/>
      <c r="G27" s="64"/>
      <c r="H27" s="33"/>
      <c r="I27" s="172"/>
      <c r="J27" s="34"/>
      <c r="K27" s="34"/>
      <c r="L27" s="60"/>
    </row>
    <row r="28" spans="1:14" x14ac:dyDescent="0.35">
      <c r="A28" s="46" t="s">
        <v>52</v>
      </c>
      <c r="C28" s="65"/>
      <c r="D28" s="148"/>
      <c r="E28" s="148"/>
      <c r="F28" s="148"/>
      <c r="G28" s="65"/>
      <c r="H28" s="35"/>
      <c r="I28" s="173"/>
      <c r="J28" s="34"/>
      <c r="K28" s="34"/>
      <c r="L28" s="60"/>
    </row>
    <row r="29" spans="1:14" x14ac:dyDescent="0.35">
      <c r="A29" s="46" t="s">
        <v>24</v>
      </c>
      <c r="C29" s="100">
        <f t="shared" ref="C29:L32" si="9">C21-C15</f>
        <v>116705.01381999999</v>
      </c>
      <c r="D29" s="41">
        <f t="shared" si="9"/>
        <v>40017.830000000016</v>
      </c>
      <c r="E29" s="41">
        <f t="shared" si="9"/>
        <v>12639.010000000009</v>
      </c>
      <c r="F29" s="108">
        <f t="shared" si="9"/>
        <v>-35439.379999999976</v>
      </c>
      <c r="G29" s="40">
        <f t="shared" si="9"/>
        <v>41444.609999999986</v>
      </c>
      <c r="H29" s="41">
        <f t="shared" si="9"/>
        <v>53496.409999999989</v>
      </c>
      <c r="I29" s="61">
        <f t="shared" si="9"/>
        <v>77801.349999999991</v>
      </c>
      <c r="J29" s="123">
        <f t="shared" si="9"/>
        <v>81827.803599999999</v>
      </c>
      <c r="K29" s="41">
        <f t="shared" si="9"/>
        <v>60562.504239999995</v>
      </c>
      <c r="L29" s="61">
        <f t="shared" si="9"/>
        <v>-95311.436582399983</v>
      </c>
    </row>
    <row r="30" spans="1:14" x14ac:dyDescent="0.35">
      <c r="A30" s="46" t="s">
        <v>134</v>
      </c>
      <c r="C30" s="100">
        <f t="shared" si="9"/>
        <v>16933.026879999998</v>
      </c>
      <c r="D30" s="41">
        <f t="shared" si="9"/>
        <v>4051.6899999999987</v>
      </c>
      <c r="E30" s="41">
        <f t="shared" si="9"/>
        <v>0.97999999999956344</v>
      </c>
      <c r="F30" s="108">
        <f t="shared" si="9"/>
        <v>-4824.68</v>
      </c>
      <c r="G30" s="40">
        <f t="shared" si="9"/>
        <v>7390.510000000002</v>
      </c>
      <c r="H30" s="41">
        <f t="shared" si="9"/>
        <v>8167.57</v>
      </c>
      <c r="I30" s="61">
        <f t="shared" si="9"/>
        <v>11596.79</v>
      </c>
      <c r="J30" s="123">
        <f t="shared" si="9"/>
        <v>13395.861499999999</v>
      </c>
      <c r="K30" s="41">
        <f t="shared" si="9"/>
        <v>12860.65798</v>
      </c>
      <c r="L30" s="61">
        <f t="shared" si="9"/>
        <v>-16589.64244</v>
      </c>
    </row>
    <row r="31" spans="1:14" x14ac:dyDescent="0.35">
      <c r="A31" s="46" t="s">
        <v>135</v>
      </c>
      <c r="C31" s="100">
        <f t="shared" si="9"/>
        <v>15165.058279999997</v>
      </c>
      <c r="D31" s="41">
        <f t="shared" si="9"/>
        <v>4502.6699999999983</v>
      </c>
      <c r="E31" s="41">
        <f t="shared" si="9"/>
        <v>1734.489999999998</v>
      </c>
      <c r="F31" s="108">
        <f t="shared" si="9"/>
        <v>-1891.2099999999991</v>
      </c>
      <c r="G31" s="40">
        <f t="shared" si="9"/>
        <v>9235.5400000000009</v>
      </c>
      <c r="H31" s="41">
        <f t="shared" si="9"/>
        <v>9426.7300000000032</v>
      </c>
      <c r="I31" s="61">
        <f t="shared" si="9"/>
        <v>11321.670000000002</v>
      </c>
      <c r="J31" s="123">
        <f t="shared" si="9"/>
        <v>13038.091110000001</v>
      </c>
      <c r="K31" s="41">
        <f t="shared" si="9"/>
        <v>12524.41129</v>
      </c>
      <c r="L31" s="61">
        <f t="shared" si="9"/>
        <v>-15922.472000000002</v>
      </c>
    </row>
    <row r="32" spans="1:14" x14ac:dyDescent="0.35">
      <c r="A32" s="46" t="s">
        <v>136</v>
      </c>
      <c r="C32" s="100">
        <f t="shared" si="9"/>
        <v>15588.334099999993</v>
      </c>
      <c r="D32" s="41">
        <f t="shared" si="9"/>
        <v>3795.41</v>
      </c>
      <c r="E32" s="41">
        <f t="shared" si="9"/>
        <v>2581.91</v>
      </c>
      <c r="F32" s="108">
        <f t="shared" si="9"/>
        <v>1548.1200000000026</v>
      </c>
      <c r="G32" s="40">
        <f t="shared" si="9"/>
        <v>9930.9699999999993</v>
      </c>
      <c r="H32" s="41">
        <f t="shared" si="9"/>
        <v>9308.7800000000007</v>
      </c>
      <c r="I32" s="61">
        <f t="shared" si="9"/>
        <v>11177.35</v>
      </c>
      <c r="J32" s="123">
        <f t="shared" si="9"/>
        <v>10408.321699999999</v>
      </c>
      <c r="K32" s="41">
        <f t="shared" si="9"/>
        <v>10008.08756</v>
      </c>
      <c r="L32" s="61">
        <f t="shared" si="9"/>
        <v>-12406.008240000001</v>
      </c>
    </row>
    <row r="33" spans="1:12" x14ac:dyDescent="0.35">
      <c r="C33" s="99"/>
      <c r="D33" s="17"/>
      <c r="E33" s="17"/>
      <c r="F33" s="17"/>
      <c r="G33" s="10"/>
      <c r="H33" s="17"/>
      <c r="I33" s="11"/>
      <c r="J33" s="17"/>
      <c r="K33" s="17"/>
      <c r="L33" s="11"/>
    </row>
    <row r="34" spans="1:12" ht="15" thickBot="1" x14ac:dyDescent="0.4">
      <c r="A34" s="46" t="s">
        <v>53</v>
      </c>
      <c r="C34" s="99"/>
      <c r="D34" s="17"/>
      <c r="E34" s="17"/>
      <c r="F34" s="17"/>
      <c r="G34" s="10"/>
      <c r="H34" s="17"/>
      <c r="I34" s="11"/>
      <c r="J34" s="17"/>
      <c r="K34" s="17"/>
      <c r="L34" s="11"/>
    </row>
    <row r="35" spans="1:12" x14ac:dyDescent="0.35">
      <c r="A35" s="46" t="s">
        <v>24</v>
      </c>
      <c r="B35" s="116">
        <v>-89457.443819999986</v>
      </c>
      <c r="C35" s="100">
        <f t="shared" ref="C35:L38" si="10">B35+C29+B42</f>
        <v>27247.570000000007</v>
      </c>
      <c r="D35" s="41">
        <f t="shared" si="10"/>
        <v>67078.830000000016</v>
      </c>
      <c r="E35" s="41">
        <f t="shared" si="10"/>
        <v>79803.480000000025</v>
      </c>
      <c r="F35" s="108">
        <f t="shared" si="10"/>
        <v>44528.990000000049</v>
      </c>
      <c r="G35" s="40">
        <f t="shared" si="10"/>
        <v>86146.850000000035</v>
      </c>
      <c r="H35" s="41">
        <f t="shared" si="10"/>
        <v>139843.29</v>
      </c>
      <c r="I35" s="61">
        <f t="shared" si="10"/>
        <v>218036.87000000002</v>
      </c>
      <c r="J35" s="123">
        <f t="shared" si="10"/>
        <v>300568.24360000005</v>
      </c>
      <c r="K35" s="41">
        <f t="shared" si="10"/>
        <v>362150.55784000002</v>
      </c>
      <c r="L35" s="61">
        <f t="shared" si="10"/>
        <v>268142.56125760003</v>
      </c>
    </row>
    <row r="36" spans="1:12" x14ac:dyDescent="0.35">
      <c r="A36" s="46" t="s">
        <v>134</v>
      </c>
      <c r="B36" s="244">
        <v>-12259.736880000004</v>
      </c>
      <c r="C36" s="100">
        <f t="shared" si="10"/>
        <v>4673.2899999999936</v>
      </c>
      <c r="D36" s="41">
        <f t="shared" si="10"/>
        <v>8697.1999999999916</v>
      </c>
      <c r="E36" s="41">
        <f t="shared" si="10"/>
        <v>8710.3199999999906</v>
      </c>
      <c r="F36" s="108">
        <f t="shared" si="10"/>
        <v>3905.1799999999903</v>
      </c>
      <c r="G36" s="40">
        <f t="shared" si="10"/>
        <v>11313.269999999991</v>
      </c>
      <c r="H36" s="41">
        <f t="shared" si="10"/>
        <v>19504.12999999999</v>
      </c>
      <c r="I36" s="61">
        <f t="shared" si="10"/>
        <v>31154.399999999991</v>
      </c>
      <c r="J36" s="123">
        <f t="shared" si="10"/>
        <v>44649.85149999999</v>
      </c>
      <c r="K36" s="41">
        <f t="shared" si="10"/>
        <v>57659.569479999991</v>
      </c>
      <c r="L36" s="61">
        <f t="shared" si="10"/>
        <v>41271.137039999994</v>
      </c>
    </row>
    <row r="37" spans="1:12" x14ac:dyDescent="0.35">
      <c r="A37" s="46" t="s">
        <v>135</v>
      </c>
      <c r="B37" s="244">
        <v>-2381.4382799999939</v>
      </c>
      <c r="C37" s="100">
        <f t="shared" si="10"/>
        <v>12783.620000000003</v>
      </c>
      <c r="D37" s="41">
        <f t="shared" si="10"/>
        <v>17232.47</v>
      </c>
      <c r="E37" s="41">
        <f t="shared" si="10"/>
        <v>18994.219999999998</v>
      </c>
      <c r="F37" s="108">
        <f t="shared" si="10"/>
        <v>17143.679999999997</v>
      </c>
      <c r="G37" s="40">
        <f t="shared" si="10"/>
        <v>26429.569999999996</v>
      </c>
      <c r="H37" s="41">
        <f t="shared" si="10"/>
        <v>35922.990000000005</v>
      </c>
      <c r="I37" s="61">
        <f t="shared" si="10"/>
        <v>47352.9</v>
      </c>
      <c r="J37" s="123">
        <f t="shared" si="10"/>
        <v>60554.741110000003</v>
      </c>
      <c r="K37" s="41">
        <f t="shared" si="10"/>
        <v>73291.382400000002</v>
      </c>
      <c r="L37" s="61">
        <f t="shared" si="10"/>
        <v>57632.170400000003</v>
      </c>
    </row>
    <row r="38" spans="1:12" ht="15" thickBot="1" x14ac:dyDescent="0.4">
      <c r="A38" s="46" t="s">
        <v>136</v>
      </c>
      <c r="B38" s="117">
        <v>-2403.9940999999922</v>
      </c>
      <c r="C38" s="100">
        <f t="shared" si="10"/>
        <v>13184.34</v>
      </c>
      <c r="D38" s="41">
        <f t="shared" si="10"/>
        <v>16931.060000000001</v>
      </c>
      <c r="E38" s="41">
        <f t="shared" si="10"/>
        <v>19540.32</v>
      </c>
      <c r="F38" s="108">
        <f t="shared" si="10"/>
        <v>21129.390000000003</v>
      </c>
      <c r="G38" s="40">
        <f t="shared" si="10"/>
        <v>31117.010000000002</v>
      </c>
      <c r="H38" s="41">
        <f t="shared" si="10"/>
        <v>40505.75</v>
      </c>
      <c r="I38" s="61">
        <f t="shared" si="10"/>
        <v>51807.439999999995</v>
      </c>
      <c r="J38" s="123">
        <f t="shared" si="10"/>
        <v>62397.291699999994</v>
      </c>
      <c r="K38" s="41">
        <f t="shared" si="10"/>
        <v>72630.009259999992</v>
      </c>
      <c r="L38" s="61">
        <f t="shared" si="10"/>
        <v>60489.611019999989</v>
      </c>
    </row>
    <row r="39" spans="1:12" x14ac:dyDescent="0.35">
      <c r="C39" s="99"/>
      <c r="D39" s="17"/>
      <c r="E39" s="17"/>
      <c r="F39" s="17"/>
      <c r="G39" s="10"/>
      <c r="H39" s="17"/>
      <c r="I39" s="11"/>
      <c r="J39" s="17"/>
      <c r="K39" s="17"/>
      <c r="L39" s="11"/>
    </row>
    <row r="40" spans="1:12" x14ac:dyDescent="0.35">
      <c r="A40" s="39" t="s">
        <v>88</v>
      </c>
      <c r="B40" s="39"/>
      <c r="C40" s="104"/>
      <c r="D40" s="83">
        <f>+'PCR Cycle 2'!D47</f>
        <v>1.81941E-3</v>
      </c>
      <c r="E40" s="83">
        <f>+'PCR Cycle 2'!E47</f>
        <v>2.2438499999999999E-3</v>
      </c>
      <c r="F40" s="83">
        <f>+'PCR Cycle 2'!F47</f>
        <v>2.7832400000000002E-3</v>
      </c>
      <c r="G40" s="84">
        <f>+'PCR Cycle 2'!G47</f>
        <v>3.0573900000000001E-3</v>
      </c>
      <c r="H40" s="83">
        <f>+'PCR Cycle 2'!H47</f>
        <v>3.4681400000000002E-3</v>
      </c>
      <c r="I40" s="92">
        <f>+'PCR Cycle 2'!I47</f>
        <v>3.92758E-3</v>
      </c>
      <c r="J40" s="83">
        <f>+'PCR Cycle 2'!J47</f>
        <v>3.92758E-3</v>
      </c>
      <c r="K40" s="83">
        <f>+'PCR Cycle 2'!K47</f>
        <v>3.92758E-3</v>
      </c>
      <c r="L40" s="85"/>
    </row>
    <row r="41" spans="1:12" x14ac:dyDescent="0.35">
      <c r="A41" s="39" t="s">
        <v>37</v>
      </c>
      <c r="B41" s="39"/>
      <c r="C41" s="106"/>
      <c r="D41" s="83"/>
      <c r="E41" s="83"/>
      <c r="F41" s="83"/>
      <c r="G41" s="84"/>
      <c r="H41" s="83"/>
      <c r="I41" s="85"/>
      <c r="J41" s="83"/>
      <c r="K41" s="83"/>
      <c r="L41" s="85"/>
    </row>
    <row r="42" spans="1:12" x14ac:dyDescent="0.35">
      <c r="A42" s="46" t="s">
        <v>24</v>
      </c>
      <c r="C42" s="100">
        <v>-186.57</v>
      </c>
      <c r="D42" s="41">
        <f t="shared" ref="D42:L45" si="11">ROUND((C35+C42+D29/2)*D$40,2)</f>
        <v>85.64</v>
      </c>
      <c r="E42" s="41">
        <f t="shared" si="11"/>
        <v>164.89</v>
      </c>
      <c r="F42" s="108">
        <f t="shared" si="11"/>
        <v>173.25</v>
      </c>
      <c r="G42" s="40">
        <f t="shared" si="11"/>
        <v>200.03</v>
      </c>
      <c r="H42" s="123">
        <f t="shared" si="11"/>
        <v>392.23</v>
      </c>
      <c r="I42" s="49">
        <f t="shared" si="11"/>
        <v>703.57</v>
      </c>
      <c r="J42" s="161">
        <f t="shared" si="11"/>
        <v>1019.81</v>
      </c>
      <c r="K42" s="108">
        <f t="shared" si="11"/>
        <v>1303.44</v>
      </c>
      <c r="L42" s="61">
        <f t="shared" si="11"/>
        <v>0</v>
      </c>
    </row>
    <row r="43" spans="1:12" x14ac:dyDescent="0.35">
      <c r="A43" s="46" t="s">
        <v>134</v>
      </c>
      <c r="C43" s="100">
        <v>-27.78</v>
      </c>
      <c r="D43" s="41">
        <f t="shared" si="11"/>
        <v>12.14</v>
      </c>
      <c r="E43" s="41">
        <f t="shared" si="11"/>
        <v>19.54</v>
      </c>
      <c r="F43" s="108">
        <f t="shared" si="11"/>
        <v>17.579999999999998</v>
      </c>
      <c r="G43" s="40">
        <f t="shared" si="11"/>
        <v>23.29</v>
      </c>
      <c r="H43" s="123">
        <f t="shared" si="11"/>
        <v>53.48</v>
      </c>
      <c r="I43" s="49">
        <f t="shared" si="11"/>
        <v>99.59</v>
      </c>
      <c r="J43" s="161">
        <f t="shared" si="11"/>
        <v>149.06</v>
      </c>
      <c r="K43" s="108">
        <f t="shared" si="11"/>
        <v>201.21</v>
      </c>
      <c r="L43" s="61">
        <f t="shared" si="11"/>
        <v>0</v>
      </c>
    </row>
    <row r="44" spans="1:12" x14ac:dyDescent="0.35">
      <c r="A44" s="46" t="s">
        <v>135</v>
      </c>
      <c r="C44" s="100">
        <v>-53.82</v>
      </c>
      <c r="D44" s="41">
        <f t="shared" si="11"/>
        <v>27.26</v>
      </c>
      <c r="E44" s="41">
        <f t="shared" si="11"/>
        <v>40.67</v>
      </c>
      <c r="F44" s="108">
        <f t="shared" si="11"/>
        <v>50.35</v>
      </c>
      <c r="G44" s="40">
        <f t="shared" si="11"/>
        <v>66.69</v>
      </c>
      <c r="H44" s="123">
        <f t="shared" si="11"/>
        <v>108.24</v>
      </c>
      <c r="I44" s="49">
        <f t="shared" si="11"/>
        <v>163.75</v>
      </c>
      <c r="J44" s="161">
        <f t="shared" si="11"/>
        <v>212.23</v>
      </c>
      <c r="K44" s="108">
        <f t="shared" si="11"/>
        <v>263.26</v>
      </c>
      <c r="L44" s="61">
        <f t="shared" si="11"/>
        <v>0</v>
      </c>
    </row>
    <row r="45" spans="1:12" ht="15" thickBot="1" x14ac:dyDescent="0.4">
      <c r="A45" s="46" t="s">
        <v>136</v>
      </c>
      <c r="C45" s="100">
        <v>-48.69</v>
      </c>
      <c r="D45" s="41">
        <f t="shared" si="11"/>
        <v>27.35</v>
      </c>
      <c r="E45" s="41">
        <f t="shared" si="11"/>
        <v>40.950000000000003</v>
      </c>
      <c r="F45" s="108">
        <f t="shared" si="11"/>
        <v>56.65</v>
      </c>
      <c r="G45" s="40">
        <f t="shared" si="11"/>
        <v>79.959999999999994</v>
      </c>
      <c r="H45" s="123">
        <f t="shared" si="11"/>
        <v>124.34</v>
      </c>
      <c r="I45" s="49">
        <f t="shared" si="11"/>
        <v>181.53</v>
      </c>
      <c r="J45" s="161">
        <f t="shared" si="11"/>
        <v>224.63</v>
      </c>
      <c r="K45" s="108">
        <f t="shared" si="11"/>
        <v>265.61</v>
      </c>
      <c r="L45" s="61">
        <f t="shared" si="11"/>
        <v>0</v>
      </c>
    </row>
    <row r="46" spans="1:12" ht="15.5" thickTop="1" thickBot="1" x14ac:dyDescent="0.4">
      <c r="A46" s="54" t="s">
        <v>22</v>
      </c>
      <c r="B46" s="54"/>
      <c r="C46" s="107">
        <v>0</v>
      </c>
      <c r="D46" s="42">
        <f t="shared" ref="D46:L46" si="12">SUM(D42:D45)+SUM(D35:D38)-D49</f>
        <v>0</v>
      </c>
      <c r="E46" s="42">
        <f t="shared" si="12"/>
        <v>0</v>
      </c>
      <c r="F46" s="50">
        <f t="shared" si="12"/>
        <v>0</v>
      </c>
      <c r="G46" s="145">
        <f t="shared" si="12"/>
        <v>0</v>
      </c>
      <c r="H46" s="50">
        <f t="shared" si="12"/>
        <v>0</v>
      </c>
      <c r="I46" s="62">
        <f t="shared" si="12"/>
        <v>0</v>
      </c>
      <c r="J46" s="162">
        <f t="shared" si="12"/>
        <v>0</v>
      </c>
      <c r="K46" s="50">
        <f t="shared" si="12"/>
        <v>0</v>
      </c>
      <c r="L46" s="62">
        <f t="shared" si="12"/>
        <v>0</v>
      </c>
    </row>
    <row r="47" spans="1:12" ht="15.5" thickTop="1" thickBot="1" x14ac:dyDescent="0.4">
      <c r="A47" s="54" t="s">
        <v>23</v>
      </c>
      <c r="B47" s="54"/>
      <c r="C47" s="107">
        <v>0</v>
      </c>
      <c r="D47" s="42">
        <f t="shared" ref="D47:L47" si="13">SUM(D42:D45)-D26</f>
        <v>0</v>
      </c>
      <c r="E47" s="42">
        <f t="shared" si="13"/>
        <v>0</v>
      </c>
      <c r="F47" s="50">
        <f t="shared" si="13"/>
        <v>0</v>
      </c>
      <c r="G47" s="145">
        <f t="shared" si="13"/>
        <v>0</v>
      </c>
      <c r="H47" s="50">
        <f t="shared" si="13"/>
        <v>0</v>
      </c>
      <c r="I47" s="62">
        <f t="shared" si="13"/>
        <v>0</v>
      </c>
      <c r="J47" s="163">
        <f t="shared" si="13"/>
        <v>0</v>
      </c>
      <c r="K47" s="42">
        <f t="shared" si="13"/>
        <v>0</v>
      </c>
      <c r="L47" s="42">
        <f t="shared" si="13"/>
        <v>0</v>
      </c>
    </row>
    <row r="48" spans="1:12" ht="15.5" thickTop="1" thickBot="1" x14ac:dyDescent="0.4">
      <c r="C48" s="99"/>
      <c r="D48" s="17"/>
      <c r="E48" s="17"/>
      <c r="F48" s="17"/>
      <c r="G48" s="10"/>
      <c r="H48" s="17"/>
      <c r="I48" s="11"/>
      <c r="J48" s="17"/>
      <c r="K48" s="17"/>
      <c r="L48" s="11"/>
    </row>
    <row r="49" spans="1:12" ht="15" thickBot="1" x14ac:dyDescent="0.4">
      <c r="A49" s="46" t="s">
        <v>36</v>
      </c>
      <c r="B49" s="119">
        <f>SUM(B35:B38)</f>
        <v>-106502.61307999998</v>
      </c>
      <c r="C49" s="100">
        <f t="shared" ref="C49:L49" si="14">(C12-SUM(C15:C18))+SUM(C42:C45)+B49</f>
        <v>57571.960000000079</v>
      </c>
      <c r="D49" s="41">
        <f t="shared" si="14"/>
        <v>110091.95000000008</v>
      </c>
      <c r="E49" s="41">
        <f t="shared" si="14"/>
        <v>127314.3900000001</v>
      </c>
      <c r="F49" s="108">
        <f t="shared" si="14"/>
        <v>87005.070000000109</v>
      </c>
      <c r="G49" s="40">
        <f t="shared" si="14"/>
        <v>155376.6700000001</v>
      </c>
      <c r="H49" s="41">
        <f t="shared" si="14"/>
        <v>236454.45000000007</v>
      </c>
      <c r="I49" s="61">
        <f t="shared" si="14"/>
        <v>349500.05000000005</v>
      </c>
      <c r="J49" s="161">
        <f t="shared" si="14"/>
        <v>469775.85791000002</v>
      </c>
      <c r="K49" s="108">
        <f t="shared" si="14"/>
        <v>567765.03897999995</v>
      </c>
      <c r="L49" s="61">
        <f t="shared" si="14"/>
        <v>427535.47971759998</v>
      </c>
    </row>
    <row r="50" spans="1:12" x14ac:dyDescent="0.35">
      <c r="A50" s="46" t="s">
        <v>12</v>
      </c>
      <c r="C50" s="120"/>
      <c r="D50" s="17"/>
      <c r="E50" s="17"/>
      <c r="F50" s="17"/>
      <c r="G50" s="10"/>
      <c r="H50" s="17"/>
      <c r="I50" s="11"/>
      <c r="J50" s="17"/>
      <c r="K50" s="17"/>
      <c r="L50" s="11"/>
    </row>
    <row r="51" spans="1:12" ht="15" thickBot="1" x14ac:dyDescent="0.4">
      <c r="A51" s="37"/>
      <c r="B51" s="37"/>
      <c r="C51" s="146"/>
      <c r="D51" s="44"/>
      <c r="E51" s="44"/>
      <c r="F51" s="44"/>
      <c r="G51" s="43"/>
      <c r="H51" s="44"/>
      <c r="I51" s="45"/>
      <c r="J51" s="44"/>
      <c r="K51" s="44"/>
      <c r="L51" s="45"/>
    </row>
    <row r="53" spans="1:12" x14ac:dyDescent="0.35">
      <c r="A53" s="69" t="s">
        <v>11</v>
      </c>
      <c r="B53" s="69"/>
      <c r="C53" s="69"/>
    </row>
    <row r="54" spans="1:12" ht="31.5" customHeight="1" x14ac:dyDescent="0.35">
      <c r="A54" s="311" t="s">
        <v>159</v>
      </c>
      <c r="B54" s="311"/>
      <c r="C54" s="311"/>
      <c r="D54" s="311"/>
      <c r="E54" s="311"/>
      <c r="F54" s="311"/>
      <c r="G54" s="311"/>
      <c r="H54" s="311"/>
      <c r="I54" s="311"/>
      <c r="J54" s="291"/>
      <c r="K54" s="291"/>
      <c r="L54" s="291"/>
    </row>
    <row r="55" spans="1:12" ht="32.5" customHeight="1" x14ac:dyDescent="0.35">
      <c r="A55" s="311" t="s">
        <v>185</v>
      </c>
      <c r="B55" s="311"/>
      <c r="C55" s="311"/>
      <c r="D55" s="311"/>
      <c r="E55" s="311"/>
      <c r="F55" s="311"/>
      <c r="G55" s="311"/>
      <c r="H55" s="311"/>
      <c r="I55" s="311"/>
      <c r="J55" s="291"/>
      <c r="K55" s="291"/>
    </row>
    <row r="56" spans="1:12" ht="18.75" customHeight="1" x14ac:dyDescent="0.35">
      <c r="A56" s="311" t="s">
        <v>160</v>
      </c>
      <c r="B56" s="311"/>
      <c r="C56" s="311"/>
      <c r="D56" s="311"/>
      <c r="E56" s="311"/>
      <c r="F56" s="311"/>
      <c r="G56" s="311"/>
      <c r="H56" s="311"/>
      <c r="I56" s="311"/>
      <c r="J56" s="291"/>
      <c r="K56" s="291"/>
      <c r="L56" s="291"/>
    </row>
    <row r="57" spans="1:12" x14ac:dyDescent="0.35">
      <c r="A57" s="63" t="s">
        <v>31</v>
      </c>
      <c r="B57" s="63"/>
      <c r="C57" s="63"/>
      <c r="D57" s="39"/>
      <c r="E57" s="39"/>
      <c r="F57" s="39"/>
      <c r="G57" s="39"/>
      <c r="H57" s="39"/>
      <c r="I57" s="39"/>
    </row>
    <row r="58" spans="1:12" x14ac:dyDescent="0.35">
      <c r="A58" s="63" t="s">
        <v>202</v>
      </c>
      <c r="B58" s="63"/>
      <c r="C58" s="63"/>
      <c r="D58" s="39"/>
      <c r="E58" s="39"/>
      <c r="F58" s="39"/>
      <c r="G58" s="39"/>
      <c r="H58" s="39"/>
      <c r="I58" s="39"/>
    </row>
    <row r="59" spans="1:12" x14ac:dyDescent="0.35">
      <c r="A59" s="63" t="s">
        <v>95</v>
      </c>
      <c r="B59" s="63"/>
      <c r="C59" s="63"/>
      <c r="D59" s="39"/>
      <c r="E59" s="39"/>
      <c r="F59" s="39"/>
      <c r="G59" s="39"/>
      <c r="H59" s="39"/>
      <c r="I59" s="39"/>
    </row>
    <row r="60" spans="1:12" x14ac:dyDescent="0.35">
      <c r="A60" s="3"/>
      <c r="B60" s="3"/>
      <c r="C60" s="3"/>
    </row>
  </sheetData>
  <mergeCells count="6">
    <mergeCell ref="A56:I56"/>
    <mergeCell ref="D10:F10"/>
    <mergeCell ref="G10:I10"/>
    <mergeCell ref="J10:L10"/>
    <mergeCell ref="A54:I54"/>
    <mergeCell ref="A55:I55"/>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activeCell="E17" sqref="E17"/>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5" width="12.26953125" style="46" bestFit="1" customWidth="1"/>
    <col min="6" max="6" width="13.453125" style="46" bestFit="1" customWidth="1"/>
    <col min="7" max="16384" width="9.1796875" style="46"/>
  </cols>
  <sheetData>
    <row r="1" spans="1:5" x14ac:dyDescent="0.35">
      <c r="A1" s="63" t="str">
        <f>+'PPC Cycle 3'!A1</f>
        <v>Evergy Missouri West, Inc. - DSIM Rider Update Filed 12/02/2022</v>
      </c>
    </row>
    <row r="2" spans="1:5" x14ac:dyDescent="0.35">
      <c r="A2" s="9" t="str">
        <f>+'PPC Cycle 3'!A2</f>
        <v>Projections for Cycle 3 January 2023 - December 2023 DSIM</v>
      </c>
    </row>
    <row r="3" spans="1:5" ht="45.75" customHeight="1" x14ac:dyDescent="0.35">
      <c r="B3" s="307" t="s">
        <v>97</v>
      </c>
      <c r="C3" s="307"/>
      <c r="D3" s="307"/>
    </row>
    <row r="4" spans="1:5" x14ac:dyDescent="0.35">
      <c r="B4" s="48" t="s">
        <v>17</v>
      </c>
    </row>
    <row r="5" spans="1:5" x14ac:dyDescent="0.35">
      <c r="A5" s="20" t="s">
        <v>84</v>
      </c>
      <c r="B5" s="294">
        <f>+B8</f>
        <v>-116664.99999999997</v>
      </c>
    </row>
    <row r="6" spans="1:5" x14ac:dyDescent="0.35">
      <c r="A6" s="20" t="s">
        <v>85</v>
      </c>
      <c r="B6" s="294">
        <f>+C8</f>
        <v>-11757.390000000001</v>
      </c>
    </row>
    <row r="7" spans="1:5" ht="72.5" x14ac:dyDescent="0.35">
      <c r="A7" s="20"/>
      <c r="B7" s="271" t="s">
        <v>84</v>
      </c>
      <c r="C7" s="272" t="s">
        <v>85</v>
      </c>
      <c r="D7" s="272" t="s">
        <v>5</v>
      </c>
      <c r="E7" s="70" t="s">
        <v>229</v>
      </c>
    </row>
    <row r="8" spans="1:5" x14ac:dyDescent="0.35">
      <c r="A8" s="20" t="s">
        <v>24</v>
      </c>
      <c r="B8" s="216">
        <f>-'[23]OA Cycle 2'!$E$107</f>
        <v>-116664.99999999997</v>
      </c>
      <c r="C8" s="216">
        <f>-'[23]OA Cycle 2'!$K$107</f>
        <v>-11757.390000000001</v>
      </c>
      <c r="D8" s="216">
        <f>SUM(B8:C8)</f>
        <v>-128422.38999999997</v>
      </c>
      <c r="E8" s="216">
        <f>ROUND(D8/12*7,2)</f>
        <v>-74913.06</v>
      </c>
    </row>
    <row r="9" spans="1:5" x14ac:dyDescent="0.35">
      <c r="A9" s="20" t="s">
        <v>25</v>
      </c>
      <c r="B9" s="216">
        <v>0</v>
      </c>
      <c r="C9" s="216">
        <v>0</v>
      </c>
      <c r="D9" s="216">
        <f>SUM(B9:C9)</f>
        <v>0</v>
      </c>
      <c r="E9" s="216">
        <f>ROUND(D9/12*7,2)</f>
        <v>0</v>
      </c>
    </row>
    <row r="10" spans="1:5" ht="15" thickBot="1" x14ac:dyDescent="0.4">
      <c r="A10" s="20" t="s">
        <v>5</v>
      </c>
      <c r="B10" s="217">
        <f>SUM(B8:B9)</f>
        <v>-116664.99999999997</v>
      </c>
      <c r="C10" s="217">
        <f>SUM(C8:C9)</f>
        <v>-11757.390000000001</v>
      </c>
      <c r="D10" s="217">
        <f>SUM(D8:D9)</f>
        <v>-128422.38999999997</v>
      </c>
      <c r="E10" s="217">
        <f>SUM(E8:E9)</f>
        <v>-74913.06</v>
      </c>
    </row>
    <row r="11" spans="1:5" ht="15.5" thickTop="1" thickBot="1" x14ac:dyDescent="0.4">
      <c r="B11" s="218">
        <f>+B10-B5</f>
        <v>0</v>
      </c>
      <c r="C11" s="218">
        <f>+C10-B6</f>
        <v>0</v>
      </c>
      <c r="D11" s="218">
        <f>ROUND(B5+B6,2)-D10</f>
        <v>0</v>
      </c>
      <c r="E11" s="218"/>
    </row>
    <row r="12" spans="1:5" ht="29.5" thickTop="1" x14ac:dyDescent="0.35">
      <c r="B12" s="227"/>
      <c r="C12" s="226" t="s">
        <v>110</v>
      </c>
    </row>
    <row r="13" spans="1:5" x14ac:dyDescent="0.35">
      <c r="A13" s="20" t="s">
        <v>107</v>
      </c>
      <c r="B13" s="216">
        <f>ROUND($D$9*C13,2)</f>
        <v>0</v>
      </c>
      <c r="C13" s="224">
        <f>+'PCR Cycle 2'!K8</f>
        <v>0.39209287804949344</v>
      </c>
    </row>
    <row r="14" spans="1:5" x14ac:dyDescent="0.35">
      <c r="A14" s="20" t="s">
        <v>108</v>
      </c>
      <c r="B14" s="216">
        <f>ROUND($D$9*C14,2)</f>
        <v>0</v>
      </c>
      <c r="C14" s="224">
        <f>+'PCR Cycle 2'!K9</f>
        <v>0.45435908608374953</v>
      </c>
    </row>
    <row r="15" spans="1:5" ht="15" thickBot="1" x14ac:dyDescent="0.4">
      <c r="A15" s="20" t="s">
        <v>109</v>
      </c>
      <c r="B15" s="216">
        <f>ROUND($D$9*C15,2)</f>
        <v>0</v>
      </c>
      <c r="C15" s="224">
        <f>+'PCR Cycle 2'!K10</f>
        <v>0.15354803586675725</v>
      </c>
    </row>
    <row r="16" spans="1:5" ht="15.5" thickTop="1" thickBot="1" x14ac:dyDescent="0.4">
      <c r="A16" s="20" t="s">
        <v>111</v>
      </c>
      <c r="B16" s="32">
        <f>SUM(B13:B15)</f>
        <v>0</v>
      </c>
      <c r="C16" s="225">
        <f>SUM(C13:C15)</f>
        <v>1.0000000000000002</v>
      </c>
    </row>
    <row r="17" spans="1:5" ht="15" thickTop="1" x14ac:dyDescent="0.35"/>
    <row r="18" spans="1:5" x14ac:dyDescent="0.35">
      <c r="A18" s="53" t="s">
        <v>11</v>
      </c>
    </row>
    <row r="19" spans="1:5" s="39" customFormat="1" x14ac:dyDescent="0.35">
      <c r="A19" s="3" t="s">
        <v>186</v>
      </c>
      <c r="B19" s="46"/>
      <c r="C19" s="46"/>
      <c r="D19" s="46"/>
    </row>
    <row r="20" spans="1:5" s="39" customFormat="1" x14ac:dyDescent="0.35">
      <c r="A20" s="3" t="s">
        <v>187</v>
      </c>
      <c r="B20" s="46"/>
      <c r="C20" s="46"/>
      <c r="D20" s="46"/>
    </row>
    <row r="21" spans="1:5" s="39" customFormat="1" x14ac:dyDescent="0.35">
      <c r="A21" s="3"/>
      <c r="B21" s="46"/>
      <c r="C21" s="46"/>
      <c r="D21" s="46"/>
    </row>
    <row r="23" spans="1:5" x14ac:dyDescent="0.35">
      <c r="A23" s="3"/>
      <c r="D23" s="189"/>
    </row>
    <row r="24" spans="1:5" x14ac:dyDescent="0.35">
      <c r="D24" s="189"/>
    </row>
    <row r="25" spans="1:5" x14ac:dyDescent="0.35">
      <c r="B25" s="70"/>
      <c r="D25" s="189"/>
    </row>
    <row r="26" spans="1:5" x14ac:dyDescent="0.35">
      <c r="A26" s="213"/>
      <c r="B26" s="214"/>
      <c r="D26" s="189"/>
    </row>
    <row r="27" spans="1:5" x14ac:dyDescent="0.35">
      <c r="A27" s="213"/>
      <c r="B27" s="214"/>
      <c r="D27" s="189"/>
    </row>
    <row r="28" spans="1:5" x14ac:dyDescent="0.35">
      <c r="A28" s="213"/>
      <c r="B28" s="214"/>
      <c r="D28" s="189"/>
    </row>
    <row r="29" spans="1:5" x14ac:dyDescent="0.35">
      <c r="A29" s="213"/>
      <c r="B29" s="214"/>
      <c r="D29" s="189"/>
      <c r="E29" s="270"/>
    </row>
    <row r="30" spans="1:5" x14ac:dyDescent="0.35">
      <c r="A30" s="213"/>
      <c r="B30" s="190"/>
      <c r="D30" s="189"/>
    </row>
    <row r="31" spans="1:5" x14ac:dyDescent="0.35">
      <c r="A31" s="213"/>
      <c r="B31" s="190"/>
      <c r="D31" s="189"/>
    </row>
    <row r="32" spans="1:5" ht="16" x14ac:dyDescent="0.5">
      <c r="A32" s="213"/>
      <c r="B32" s="190"/>
      <c r="D32" s="215"/>
    </row>
    <row r="33" spans="1:4" x14ac:dyDescent="0.35">
      <c r="A33" s="213"/>
      <c r="D33" s="189"/>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topLeftCell="A16" workbookViewId="0">
      <selection activeCell="B19" sqref="B19"/>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12/02/2022</v>
      </c>
      <c r="B1" s="3"/>
      <c r="C1" s="3"/>
    </row>
    <row r="2" spans="1:35" x14ac:dyDescent="0.35">
      <c r="D2" s="3" t="s">
        <v>96</v>
      </c>
    </row>
    <row r="3" spans="1:35" ht="29" x14ac:dyDescent="0.35">
      <c r="D3" s="48" t="s">
        <v>46</v>
      </c>
      <c r="E3" s="70" t="s">
        <v>17</v>
      </c>
      <c r="F3" s="48" t="s">
        <v>3</v>
      </c>
      <c r="G3" s="70" t="s">
        <v>55</v>
      </c>
      <c r="H3" s="48" t="s">
        <v>10</v>
      </c>
      <c r="I3" s="48" t="s">
        <v>18</v>
      </c>
      <c r="S3" s="48"/>
    </row>
    <row r="4" spans="1:35" x14ac:dyDescent="0.35">
      <c r="A4" s="20" t="s">
        <v>24</v>
      </c>
      <c r="B4" s="20"/>
      <c r="C4" s="20"/>
      <c r="D4" s="22">
        <f>SUM(C18:L18)</f>
        <v>-76885.724790399996</v>
      </c>
      <c r="E4" s="22">
        <f>SUM(C22:K22)</f>
        <v>0</v>
      </c>
      <c r="F4" s="22">
        <f>E4-D4</f>
        <v>76885.724790399996</v>
      </c>
      <c r="G4" s="22">
        <f>+B32</f>
        <v>-128422.38999999997</v>
      </c>
      <c r="H4" s="22">
        <f>SUM(C37:K37)</f>
        <v>-2637.6400000000003</v>
      </c>
      <c r="I4" s="287">
        <f>SUM(F4:H4)</f>
        <v>-54174.305209599974</v>
      </c>
      <c r="J4" s="47">
        <f>+I4-L32</f>
        <v>0</v>
      </c>
      <c r="M4" s="47"/>
    </row>
    <row r="5" spans="1:35" ht="15" thickBot="1" x14ac:dyDescent="0.4">
      <c r="A5" s="20" t="s">
        <v>25</v>
      </c>
      <c r="B5" s="20"/>
      <c r="C5" s="20"/>
      <c r="D5" s="22">
        <f>SUM(C19:L19)</f>
        <v>0</v>
      </c>
      <c r="E5" s="22">
        <f>SUM(C23:K23)</f>
        <v>0</v>
      </c>
      <c r="F5" s="22">
        <f>E5-D5</f>
        <v>0</v>
      </c>
      <c r="G5" s="22">
        <f>+B33</f>
        <v>0</v>
      </c>
      <c r="H5" s="22">
        <f>SUM(C38:K38)</f>
        <v>0</v>
      </c>
      <c r="I5" s="287">
        <f>SUM(F5:H5)</f>
        <v>0</v>
      </c>
      <c r="J5" s="47">
        <f>+I5-L33</f>
        <v>0</v>
      </c>
      <c r="M5" s="47"/>
    </row>
    <row r="6" spans="1:35" ht="15.5" thickTop="1" thickBot="1" x14ac:dyDescent="0.4">
      <c r="D6" s="27">
        <f t="shared" ref="D6" si="0">SUM(D4:D5)</f>
        <v>-76885.724790399996</v>
      </c>
      <c r="E6" s="27">
        <f>SUM(E4:E5)</f>
        <v>0</v>
      </c>
      <c r="F6" s="27">
        <f>SUM(F4:F5)</f>
        <v>76885.724790399996</v>
      </c>
      <c r="G6" s="27">
        <f>SUM(G4:G5)</f>
        <v>-128422.38999999997</v>
      </c>
      <c r="H6" s="27">
        <f>SUM(H4:H5)</f>
        <v>-2637.6400000000003</v>
      </c>
      <c r="I6" s="27">
        <f>SUM(I4:I5)</f>
        <v>-54174.305209599974</v>
      </c>
      <c r="T6" s="5"/>
    </row>
    <row r="7" spans="1:35" ht="44" thickTop="1" x14ac:dyDescent="0.35">
      <c r="I7" s="227"/>
      <c r="J7" s="226" t="s">
        <v>122</v>
      </c>
    </row>
    <row r="8" spans="1:35" x14ac:dyDescent="0.35">
      <c r="A8" s="20" t="s">
        <v>107</v>
      </c>
      <c r="I8" s="25">
        <f>ROUND($I$5*J8,2)</f>
        <v>0</v>
      </c>
      <c r="J8" s="224">
        <f>+'PCR Cycle 2'!K8</f>
        <v>0.39209287804949344</v>
      </c>
    </row>
    <row r="9" spans="1:35" x14ac:dyDescent="0.35">
      <c r="A9" s="20" t="s">
        <v>108</v>
      </c>
      <c r="I9" s="25">
        <f t="shared" ref="I9:I10" si="1">ROUND($I$5*J9,2)</f>
        <v>0</v>
      </c>
      <c r="J9" s="224">
        <f>+'PCR Cycle 2'!K9</f>
        <v>0.45435908608374953</v>
      </c>
    </row>
    <row r="10" spans="1:35" ht="15" thickBot="1" x14ac:dyDescent="0.4">
      <c r="A10" s="20" t="s">
        <v>109</v>
      </c>
      <c r="I10" s="25">
        <f t="shared" si="1"/>
        <v>0</v>
      </c>
      <c r="J10" s="224">
        <f>+'PCR Cycle 2'!K10</f>
        <v>0.15354803586675725</v>
      </c>
    </row>
    <row r="11" spans="1:35" ht="15.5" thickTop="1" thickBot="1" x14ac:dyDescent="0.4">
      <c r="A11" s="20" t="s">
        <v>111</v>
      </c>
      <c r="I11" s="27">
        <f>SUM(I8:I10)</f>
        <v>0</v>
      </c>
      <c r="J11" s="225">
        <f>SUM(J8:J10)</f>
        <v>1.0000000000000002</v>
      </c>
      <c r="V11" s="4"/>
    </row>
    <row r="12" spans="1:35" ht="15.5" thickTop="1" thickBot="1" x14ac:dyDescent="0.4">
      <c r="V12" s="4"/>
      <c r="W12" s="5"/>
    </row>
    <row r="13" spans="1:35" ht="102" thickBot="1" x14ac:dyDescent="0.4">
      <c r="B13" s="118" t="str">
        <f>+'PCR Cycle 2'!B13</f>
        <v>Cumulative Over/Under Carryover From 06/01/2022 Filing</v>
      </c>
      <c r="C13" s="151" t="str">
        <f>+'PCR Cycle 2'!C13</f>
        <v>Reverse May 2022 - October 2022  Forecast From 06/01/2022 Filing</v>
      </c>
      <c r="D13" s="312" t="s">
        <v>33</v>
      </c>
      <c r="E13" s="312"/>
      <c r="F13" s="313"/>
      <c r="G13" s="320" t="s">
        <v>33</v>
      </c>
      <c r="H13" s="321"/>
      <c r="I13" s="322"/>
      <c r="J13" s="308" t="s">
        <v>8</v>
      </c>
      <c r="K13" s="309"/>
      <c r="L13" s="310"/>
    </row>
    <row r="14" spans="1:35" x14ac:dyDescent="0.35">
      <c r="A14" s="46" t="s">
        <v>91</v>
      </c>
      <c r="C14" s="105"/>
      <c r="D14" s="19">
        <f>+'PCR Cycle 2'!D14</f>
        <v>44712</v>
      </c>
      <c r="E14" s="19">
        <f t="shared" ref="E14:L14" si="2">EOMONTH(D14,1)</f>
        <v>44742</v>
      </c>
      <c r="F14" s="19">
        <f t="shared" si="2"/>
        <v>44773</v>
      </c>
      <c r="G14" s="14">
        <f t="shared" si="2"/>
        <v>44804</v>
      </c>
      <c r="H14" s="19">
        <f t="shared" si="2"/>
        <v>44834</v>
      </c>
      <c r="I14" s="15">
        <f t="shared" si="2"/>
        <v>44865</v>
      </c>
      <c r="J14" s="19">
        <f t="shared" si="2"/>
        <v>44895</v>
      </c>
      <c r="K14" s="19">
        <f t="shared" si="2"/>
        <v>44926</v>
      </c>
      <c r="L14" s="15">
        <f t="shared" si="2"/>
        <v>44957</v>
      </c>
      <c r="Z14" s="1"/>
      <c r="AA14" s="1"/>
      <c r="AB14" s="1"/>
      <c r="AC14" s="1"/>
      <c r="AD14" s="1"/>
      <c r="AE14" s="1"/>
      <c r="AF14" s="1"/>
      <c r="AG14" s="1"/>
      <c r="AH14" s="1"/>
      <c r="AI14" s="1"/>
    </row>
    <row r="15" spans="1:35" x14ac:dyDescent="0.35">
      <c r="A15" s="46" t="s">
        <v>5</v>
      </c>
      <c r="C15" s="97">
        <v>0</v>
      </c>
      <c r="D15" s="109">
        <f>SUM(D22:D23)</f>
        <v>0</v>
      </c>
      <c r="E15" s="109">
        <f t="shared" ref="E15:H15" si="3">SUM(E22:E23)</f>
        <v>0</v>
      </c>
      <c r="F15" s="110">
        <f t="shared" si="3"/>
        <v>0</v>
      </c>
      <c r="G15" s="16">
        <f t="shared" si="3"/>
        <v>0</v>
      </c>
      <c r="H15" s="55">
        <f t="shared" si="3"/>
        <v>0</v>
      </c>
      <c r="I15" s="164">
        <f>+I22+I23</f>
        <v>0</v>
      </c>
      <c r="J15" s="157">
        <f t="shared" ref="J15:K15" si="4">+J22+J23</f>
        <v>0</v>
      </c>
      <c r="K15" s="78">
        <f t="shared" si="4"/>
        <v>0</v>
      </c>
      <c r="L15" s="79"/>
    </row>
    <row r="16" spans="1:35" x14ac:dyDescent="0.35">
      <c r="C16" s="99"/>
      <c r="D16" s="17"/>
      <c r="E16" s="17"/>
      <c r="F16" s="17"/>
      <c r="G16" s="28"/>
      <c r="H16" s="17"/>
      <c r="I16" s="11"/>
      <c r="J16" s="31"/>
      <c r="K16" s="31"/>
      <c r="L16" s="29"/>
    </row>
    <row r="17" spans="1:14" x14ac:dyDescent="0.35">
      <c r="A17" s="46" t="s">
        <v>90</v>
      </c>
      <c r="C17" s="99"/>
      <c r="D17" s="18"/>
      <c r="E17" s="18"/>
      <c r="F17" s="18"/>
      <c r="G17" s="288"/>
      <c r="H17" s="18"/>
      <c r="I17" s="165"/>
      <c r="J17" s="31"/>
      <c r="K17" s="31"/>
      <c r="L17" s="29"/>
      <c r="M17" s="3" t="s">
        <v>50</v>
      </c>
      <c r="N17" s="39"/>
    </row>
    <row r="18" spans="1:14" x14ac:dyDescent="0.35">
      <c r="A18" s="46" t="s">
        <v>24</v>
      </c>
      <c r="C18" s="97">
        <v>0</v>
      </c>
      <c r="D18" s="134">
        <v>0</v>
      </c>
      <c r="E18" s="134">
        <v>0</v>
      </c>
      <c r="F18" s="186">
        <f>ROUND('[5]Jul 2022'!$F16,2)</f>
        <v>0</v>
      </c>
      <c r="G18" s="16">
        <f>ROUND('[5]Aug 2022'!$F60,2)</f>
        <v>-15795.07</v>
      </c>
      <c r="H18" s="121">
        <f>ROUND('[5]Sep 2022'!$F60,2)</f>
        <v>-13788.29</v>
      </c>
      <c r="I18" s="166">
        <f>ROUND('[5]Oct 2022'!$F60,2)</f>
        <v>-9738.7000000000007</v>
      </c>
      <c r="J18" s="123">
        <f>'PCR Cycle 2'!J26*$M18</f>
        <v>-9067.1044000000002</v>
      </c>
      <c r="K18" s="41">
        <f>'PCR Cycle 2'!K26*$M18</f>
        <v>-12611.320960000001</v>
      </c>
      <c r="L18" s="61">
        <f>'PCR Cycle 2'!L26*$M18</f>
        <v>-15885.239430400001</v>
      </c>
      <c r="M18" s="72">
        <v>-4.0000000000000003E-5</v>
      </c>
      <c r="N18" s="4"/>
    </row>
    <row r="19" spans="1:14" x14ac:dyDescent="0.35">
      <c r="A19" s="46" t="s">
        <v>25</v>
      </c>
      <c r="C19" s="97">
        <v>0</v>
      </c>
      <c r="D19" s="134">
        <v>0</v>
      </c>
      <c r="E19" s="134">
        <v>0</v>
      </c>
      <c r="F19" s="186">
        <f>ROUND('[5]Jul 2022'!$F17,2)</f>
        <v>0</v>
      </c>
      <c r="G19" s="16">
        <f>ROUND('[5]Aug 2022'!$F64,2)</f>
        <v>0</v>
      </c>
      <c r="H19" s="121">
        <f>ROUND('[5]Sep 2022'!$F64,2)</f>
        <v>0</v>
      </c>
      <c r="I19" s="166">
        <f>ROUND('[5]Oct 2022'!$F64,2)</f>
        <v>0</v>
      </c>
      <c r="J19" s="123">
        <f>SUM('PCR Cycle 2'!J27:J29)*$M19</f>
        <v>0</v>
      </c>
      <c r="K19" s="41">
        <f>SUM('PCR Cycle 2'!K27:K29)*$M19</f>
        <v>0</v>
      </c>
      <c r="L19" s="61">
        <f>SUM('PCR Cycle 2'!L27:L29)*$M19</f>
        <v>0</v>
      </c>
      <c r="M19" s="72">
        <v>0</v>
      </c>
      <c r="N19" s="4"/>
    </row>
    <row r="20" spans="1:14" x14ac:dyDescent="0.35">
      <c r="C20" s="67"/>
      <c r="D20" s="68"/>
      <c r="E20" s="68"/>
      <c r="F20" s="68"/>
      <c r="G20" s="98"/>
      <c r="H20" s="68"/>
      <c r="I20" s="167"/>
      <c r="J20" s="56"/>
      <c r="K20" s="56"/>
      <c r="L20" s="13"/>
      <c r="N20" s="4"/>
    </row>
    <row r="21" spans="1:14" x14ac:dyDescent="0.35">
      <c r="A21" s="46" t="s">
        <v>92</v>
      </c>
      <c r="C21" s="36"/>
      <c r="D21" s="37"/>
      <c r="E21" s="37"/>
      <c r="F21" s="37"/>
      <c r="G21" s="36"/>
      <c r="H21" s="37"/>
      <c r="I21" s="170"/>
      <c r="J21" s="52"/>
      <c r="K21" s="52"/>
      <c r="L21" s="38"/>
    </row>
    <row r="22" spans="1:14" x14ac:dyDescent="0.35">
      <c r="A22" s="46" t="s">
        <v>24</v>
      </c>
      <c r="C22" s="97">
        <v>0</v>
      </c>
      <c r="D22" s="109">
        <v>0</v>
      </c>
      <c r="E22" s="109">
        <v>0</v>
      </c>
      <c r="F22" s="110">
        <v>0</v>
      </c>
      <c r="G22" s="16">
        <v>0</v>
      </c>
      <c r="H22" s="55">
        <v>0</v>
      </c>
      <c r="I22" s="164">
        <v>0</v>
      </c>
      <c r="J22" s="159">
        <v>0</v>
      </c>
      <c r="K22" s="141">
        <v>0</v>
      </c>
      <c r="L22" s="79"/>
    </row>
    <row r="23" spans="1:14" x14ac:dyDescent="0.35">
      <c r="A23" s="46" t="s">
        <v>25</v>
      </c>
      <c r="C23" s="97">
        <v>0</v>
      </c>
      <c r="D23" s="109">
        <v>0</v>
      </c>
      <c r="E23" s="109">
        <v>0</v>
      </c>
      <c r="F23" s="110">
        <v>0</v>
      </c>
      <c r="G23" s="16">
        <v>0</v>
      </c>
      <c r="H23" s="55">
        <v>0</v>
      </c>
      <c r="I23" s="164">
        <v>0</v>
      </c>
      <c r="J23" s="159">
        <v>0</v>
      </c>
      <c r="K23" s="141">
        <v>0</v>
      </c>
      <c r="L23" s="79"/>
      <c r="N23" s="47"/>
    </row>
    <row r="24" spans="1:14" x14ac:dyDescent="0.35">
      <c r="C24" s="99"/>
      <c r="D24" s="18"/>
      <c r="E24" s="18"/>
      <c r="F24" s="18"/>
      <c r="G24" s="288"/>
      <c r="H24" s="18"/>
      <c r="I24" s="165"/>
      <c r="J24" s="56"/>
      <c r="K24" s="56"/>
      <c r="L24" s="13"/>
    </row>
    <row r="25" spans="1:14" ht="15" thickBot="1" x14ac:dyDescent="0.4">
      <c r="A25" s="3" t="s">
        <v>14</v>
      </c>
      <c r="B25" s="3"/>
      <c r="C25" s="103">
        <v>0</v>
      </c>
      <c r="D25" s="134">
        <v>-233.65</v>
      </c>
      <c r="E25" s="134">
        <v>-288.68</v>
      </c>
      <c r="F25" s="135">
        <v>-358.88</v>
      </c>
      <c r="G25" s="26">
        <v>-371.18</v>
      </c>
      <c r="H25" s="122">
        <v>-371.04</v>
      </c>
      <c r="I25" s="171">
        <v>-375.45</v>
      </c>
      <c r="J25" s="160">
        <v>-339.99</v>
      </c>
      <c r="K25" s="143">
        <v>-298.76</v>
      </c>
      <c r="L25" s="82"/>
    </row>
    <row r="26" spans="1:14" x14ac:dyDescent="0.35">
      <c r="C26" s="64"/>
      <c r="D26" s="147"/>
      <c r="E26" s="147"/>
      <c r="F26" s="148"/>
      <c r="G26" s="64"/>
      <c r="H26" s="33"/>
      <c r="I26" s="172"/>
      <c r="J26" s="34"/>
      <c r="K26" s="34"/>
      <c r="L26" s="60"/>
    </row>
    <row r="27" spans="1:14" x14ac:dyDescent="0.35">
      <c r="A27" s="46" t="s">
        <v>52</v>
      </c>
      <c r="C27" s="65"/>
      <c r="D27" s="148"/>
      <c r="E27" s="148"/>
      <c r="F27" s="148"/>
      <c r="G27" s="289"/>
      <c r="H27" s="35"/>
      <c r="I27" s="173"/>
      <c r="J27" s="34"/>
      <c r="K27" s="34"/>
      <c r="L27" s="60"/>
    </row>
    <row r="28" spans="1:14" x14ac:dyDescent="0.35">
      <c r="A28" s="46" t="s">
        <v>24</v>
      </c>
      <c r="C28" s="100">
        <f t="shared" ref="C28:L28" si="5">C22-C18</f>
        <v>0</v>
      </c>
      <c r="D28" s="41">
        <f t="shared" si="5"/>
        <v>0</v>
      </c>
      <c r="E28" s="41">
        <f t="shared" si="5"/>
        <v>0</v>
      </c>
      <c r="F28" s="108">
        <f t="shared" si="5"/>
        <v>0</v>
      </c>
      <c r="G28" s="40">
        <f t="shared" si="5"/>
        <v>15795.07</v>
      </c>
      <c r="H28" s="41">
        <f t="shared" si="5"/>
        <v>13788.29</v>
      </c>
      <c r="I28" s="61">
        <f t="shared" si="5"/>
        <v>9738.7000000000007</v>
      </c>
      <c r="J28" s="123">
        <f t="shared" si="5"/>
        <v>9067.1044000000002</v>
      </c>
      <c r="K28" s="41">
        <f t="shared" si="5"/>
        <v>12611.320960000001</v>
      </c>
      <c r="L28" s="61">
        <f t="shared" si="5"/>
        <v>15885.239430400001</v>
      </c>
    </row>
    <row r="29" spans="1:14" x14ac:dyDescent="0.35">
      <c r="A29" s="46" t="s">
        <v>25</v>
      </c>
      <c r="C29" s="100">
        <f t="shared" ref="C29:L29" si="6">C23-C19</f>
        <v>0</v>
      </c>
      <c r="D29" s="41">
        <f t="shared" si="6"/>
        <v>0</v>
      </c>
      <c r="E29" s="41">
        <f t="shared" si="6"/>
        <v>0</v>
      </c>
      <c r="F29" s="108">
        <f t="shared" si="6"/>
        <v>0</v>
      </c>
      <c r="G29" s="40">
        <f t="shared" si="6"/>
        <v>0</v>
      </c>
      <c r="H29" s="41">
        <f t="shared" si="6"/>
        <v>0</v>
      </c>
      <c r="I29" s="61">
        <f t="shared" si="6"/>
        <v>0</v>
      </c>
      <c r="J29" s="123">
        <f t="shared" si="6"/>
        <v>0</v>
      </c>
      <c r="K29" s="41">
        <f t="shared" si="6"/>
        <v>0</v>
      </c>
      <c r="L29" s="61">
        <f t="shared" si="6"/>
        <v>0</v>
      </c>
    </row>
    <row r="30" spans="1:14" x14ac:dyDescent="0.35">
      <c r="C30" s="99"/>
      <c r="D30" s="17"/>
      <c r="E30" s="17"/>
      <c r="F30" s="17"/>
      <c r="G30" s="28"/>
      <c r="H30" s="17"/>
      <c r="I30" s="11"/>
      <c r="J30" s="17"/>
      <c r="K30" s="17"/>
      <c r="L30" s="11"/>
    </row>
    <row r="31" spans="1:14" ht="15" thickBot="1" x14ac:dyDescent="0.4">
      <c r="A31" s="46" t="s">
        <v>53</v>
      </c>
      <c r="C31" s="99"/>
      <c r="D31" s="17"/>
      <c r="E31" s="17"/>
      <c r="F31" s="17"/>
      <c r="G31" s="28"/>
      <c r="H31" s="17"/>
      <c r="I31" s="11"/>
      <c r="J31" s="17"/>
      <c r="K31" s="17"/>
      <c r="L31" s="11"/>
    </row>
    <row r="32" spans="1:14" x14ac:dyDescent="0.35">
      <c r="A32" s="46" t="s">
        <v>24</v>
      </c>
      <c r="B32" s="116">
        <f>+'OA Cycle 2'!D8</f>
        <v>-128422.38999999997</v>
      </c>
      <c r="C32" s="100">
        <f>B32+C28+B37</f>
        <v>-128422.38999999997</v>
      </c>
      <c r="D32" s="41">
        <f t="shared" ref="D32:L33" si="7">C32+D28+C37</f>
        <v>-128422.38999999997</v>
      </c>
      <c r="E32" s="41">
        <f t="shared" si="7"/>
        <v>-128656.03999999996</v>
      </c>
      <c r="F32" s="108">
        <f t="shared" si="7"/>
        <v>-128944.71999999996</v>
      </c>
      <c r="G32" s="40">
        <f t="shared" si="7"/>
        <v>-113508.52999999997</v>
      </c>
      <c r="H32" s="41">
        <f t="shared" si="7"/>
        <v>-100091.42999999996</v>
      </c>
      <c r="I32" s="61">
        <f t="shared" si="7"/>
        <v>-90723.76999999996</v>
      </c>
      <c r="J32" s="123">
        <f t="shared" si="7"/>
        <v>-82032.115599999961</v>
      </c>
      <c r="K32" s="41">
        <f t="shared" si="7"/>
        <v>-69760.784639999969</v>
      </c>
      <c r="L32" s="61">
        <f t="shared" si="7"/>
        <v>-54174.305209599966</v>
      </c>
    </row>
    <row r="33" spans="1:12" ht="15" thickBot="1" x14ac:dyDescent="0.4">
      <c r="A33" s="46" t="s">
        <v>25</v>
      </c>
      <c r="B33" s="117">
        <f>+'OA Cycle 2'!D9</f>
        <v>0</v>
      </c>
      <c r="C33" s="100">
        <f>B33+C29+B38</f>
        <v>0</v>
      </c>
      <c r="D33" s="41">
        <f t="shared" si="7"/>
        <v>0</v>
      </c>
      <c r="E33" s="41">
        <f t="shared" si="7"/>
        <v>0</v>
      </c>
      <c r="F33" s="108">
        <f t="shared" si="7"/>
        <v>0</v>
      </c>
      <c r="G33" s="40">
        <f t="shared" si="7"/>
        <v>0</v>
      </c>
      <c r="H33" s="41">
        <f t="shared" si="7"/>
        <v>0</v>
      </c>
      <c r="I33" s="61">
        <f t="shared" si="7"/>
        <v>0</v>
      </c>
      <c r="J33" s="123">
        <f t="shared" si="7"/>
        <v>0</v>
      </c>
      <c r="K33" s="41">
        <f t="shared" si="7"/>
        <v>0</v>
      </c>
      <c r="L33" s="61">
        <f t="shared" si="7"/>
        <v>0</v>
      </c>
    </row>
    <row r="34" spans="1:12" x14ac:dyDescent="0.35">
      <c r="C34" s="99"/>
      <c r="D34" s="17"/>
      <c r="E34" s="17"/>
      <c r="F34" s="17"/>
      <c r="G34" s="10"/>
      <c r="H34" s="17"/>
      <c r="I34" s="11"/>
      <c r="J34" s="17"/>
      <c r="K34" s="17"/>
      <c r="L34" s="11"/>
    </row>
    <row r="35" spans="1:12" x14ac:dyDescent="0.35">
      <c r="A35" s="39" t="s">
        <v>88</v>
      </c>
      <c r="B35" s="39"/>
      <c r="C35" s="104"/>
      <c r="D35" s="83">
        <f>+'PCR Cycle 2'!D47</f>
        <v>1.81941E-3</v>
      </c>
      <c r="E35" s="83">
        <f>+'PCR Cycle 2'!E47</f>
        <v>2.2438499999999999E-3</v>
      </c>
      <c r="F35" s="83">
        <f>+'PCR Cycle 2'!F47</f>
        <v>2.7832400000000002E-3</v>
      </c>
      <c r="G35" s="84">
        <f>+'PCR Cycle 2'!G47</f>
        <v>3.0573900000000001E-3</v>
      </c>
      <c r="H35" s="83">
        <f>+'PCR Cycle 2'!H47</f>
        <v>3.4681400000000002E-3</v>
      </c>
      <c r="I35" s="92">
        <f>+'PCR Cycle 2'!I47</f>
        <v>3.92758E-3</v>
      </c>
      <c r="J35" s="83">
        <f>+'PCR Cycle 2'!J47</f>
        <v>3.92758E-3</v>
      </c>
      <c r="K35" s="83">
        <f>+'PCR Cycle 2'!K47</f>
        <v>3.92758E-3</v>
      </c>
      <c r="L35" s="85"/>
    </row>
    <row r="36" spans="1:12" x14ac:dyDescent="0.35">
      <c r="A36" s="39" t="s">
        <v>37</v>
      </c>
      <c r="B36" s="39"/>
      <c r="C36" s="106"/>
      <c r="D36" s="83"/>
      <c r="E36" s="83"/>
      <c r="F36" s="83"/>
      <c r="G36" s="84"/>
      <c r="H36" s="83"/>
      <c r="I36" s="85"/>
      <c r="J36" s="83"/>
      <c r="K36" s="83"/>
      <c r="L36" s="85"/>
    </row>
    <row r="37" spans="1:12" x14ac:dyDescent="0.35">
      <c r="A37" s="46" t="s">
        <v>24</v>
      </c>
      <c r="C37" s="100">
        <v>0</v>
      </c>
      <c r="D37" s="41">
        <f t="shared" ref="D37:L38" si="8">ROUND((C32+C37+D28/2)*D$35,2)</f>
        <v>-233.65</v>
      </c>
      <c r="E37" s="41">
        <f t="shared" si="8"/>
        <v>-288.68</v>
      </c>
      <c r="F37" s="108">
        <f t="shared" si="8"/>
        <v>-358.88</v>
      </c>
      <c r="G37" s="40">
        <f t="shared" si="8"/>
        <v>-371.19</v>
      </c>
      <c r="H37" s="123">
        <f t="shared" si="8"/>
        <v>-371.04</v>
      </c>
      <c r="I37" s="49">
        <f t="shared" si="8"/>
        <v>-375.45</v>
      </c>
      <c r="J37" s="161">
        <f t="shared" si="8"/>
        <v>-339.99</v>
      </c>
      <c r="K37" s="108">
        <f t="shared" si="8"/>
        <v>-298.76</v>
      </c>
      <c r="L37" s="61">
        <f t="shared" si="8"/>
        <v>0</v>
      </c>
    </row>
    <row r="38" spans="1:12" ht="15" thickBot="1" x14ac:dyDescent="0.4">
      <c r="A38" s="46" t="s">
        <v>25</v>
      </c>
      <c r="C38" s="100">
        <v>0</v>
      </c>
      <c r="D38" s="41">
        <f t="shared" si="8"/>
        <v>0</v>
      </c>
      <c r="E38" s="41">
        <f t="shared" si="8"/>
        <v>0</v>
      </c>
      <c r="F38" s="108">
        <f t="shared" si="8"/>
        <v>0</v>
      </c>
      <c r="G38" s="40">
        <f t="shared" si="8"/>
        <v>0</v>
      </c>
      <c r="H38" s="123">
        <f t="shared" si="8"/>
        <v>0</v>
      </c>
      <c r="I38" s="49">
        <f t="shared" si="8"/>
        <v>0</v>
      </c>
      <c r="J38" s="161">
        <f t="shared" si="8"/>
        <v>0</v>
      </c>
      <c r="K38" s="108">
        <f t="shared" si="8"/>
        <v>0</v>
      </c>
      <c r="L38" s="61">
        <f t="shared" si="8"/>
        <v>0</v>
      </c>
    </row>
    <row r="39" spans="1:12" ht="15.5" thickTop="1" thickBot="1" x14ac:dyDescent="0.4">
      <c r="A39" s="54" t="s">
        <v>22</v>
      </c>
      <c r="B39" s="54"/>
      <c r="C39" s="107">
        <v>0</v>
      </c>
      <c r="D39" s="42">
        <f t="shared" ref="D39:I39" si="9">SUM(D37:D38)+SUM(D32:D33)-D42</f>
        <v>0</v>
      </c>
      <c r="E39" s="42">
        <f t="shared" si="9"/>
        <v>0</v>
      </c>
      <c r="F39" s="50">
        <f t="shared" ref="F39:H39" si="10">SUM(F37:F38)+SUM(F32:F33)-F42</f>
        <v>0</v>
      </c>
      <c r="G39" s="290">
        <f t="shared" si="10"/>
        <v>0</v>
      </c>
      <c r="H39" s="50">
        <f t="shared" si="10"/>
        <v>0</v>
      </c>
      <c r="I39" s="62">
        <f t="shared" si="9"/>
        <v>0</v>
      </c>
      <c r="J39" s="162">
        <f t="shared" ref="J39:L39" si="11">SUM(J37:J38)+SUM(J32:J33)-J42</f>
        <v>0</v>
      </c>
      <c r="K39" s="50">
        <f t="shared" si="11"/>
        <v>0</v>
      </c>
      <c r="L39" s="62">
        <f t="shared" si="11"/>
        <v>0</v>
      </c>
    </row>
    <row r="40" spans="1:12" ht="15.5" thickTop="1" thickBot="1" x14ac:dyDescent="0.4">
      <c r="A40" s="54" t="s">
        <v>23</v>
      </c>
      <c r="B40" s="54"/>
      <c r="C40" s="107">
        <v>0</v>
      </c>
      <c r="D40" s="42">
        <f t="shared" ref="D40:I40" si="12">SUM(D37:D38)-D25</f>
        <v>0</v>
      </c>
      <c r="E40" s="42">
        <f t="shared" si="12"/>
        <v>0</v>
      </c>
      <c r="F40" s="50">
        <f t="shared" ref="F40:H40" si="13">SUM(F37:F38)-F25</f>
        <v>0</v>
      </c>
      <c r="G40" s="290">
        <f t="shared" si="13"/>
        <v>-9.9999999999909051E-3</v>
      </c>
      <c r="H40" s="50">
        <f t="shared" si="13"/>
        <v>0</v>
      </c>
      <c r="I40" s="62">
        <f t="shared" si="12"/>
        <v>0</v>
      </c>
      <c r="J40" s="163">
        <f t="shared" ref="J40:L40" si="14">SUM(J37:J38)-J25</f>
        <v>0</v>
      </c>
      <c r="K40" s="42">
        <f t="shared" si="14"/>
        <v>0</v>
      </c>
      <c r="L40" s="42">
        <f t="shared" si="14"/>
        <v>0</v>
      </c>
    </row>
    <row r="41" spans="1:12" ht="15.5" thickTop="1" thickBot="1" x14ac:dyDescent="0.4">
      <c r="C41" s="99"/>
      <c r="D41" s="17"/>
      <c r="E41" s="17"/>
      <c r="F41" s="17"/>
      <c r="G41" s="10"/>
      <c r="H41" s="17"/>
      <c r="I41" s="11"/>
      <c r="J41" s="17"/>
      <c r="K41" s="17"/>
      <c r="L41" s="11"/>
    </row>
    <row r="42" spans="1:12" ht="15" thickBot="1" x14ac:dyDescent="0.4">
      <c r="A42" s="46" t="s">
        <v>36</v>
      </c>
      <c r="B42" s="119">
        <f>SUM(B32:B33)</f>
        <v>-128422.38999999997</v>
      </c>
      <c r="C42" s="100">
        <f t="shared" ref="C42:L42" si="15">(C15-SUM(C18:C19))+SUM(C37:C38)+B42</f>
        <v>-128422.38999999997</v>
      </c>
      <c r="D42" s="41">
        <f t="shared" si="15"/>
        <v>-128656.03999999996</v>
      </c>
      <c r="E42" s="41">
        <f t="shared" si="15"/>
        <v>-128944.71999999996</v>
      </c>
      <c r="F42" s="108">
        <f t="shared" si="15"/>
        <v>-129303.59999999996</v>
      </c>
      <c r="G42" s="40">
        <f t="shared" si="15"/>
        <v>-113879.71999999996</v>
      </c>
      <c r="H42" s="41">
        <f t="shared" si="15"/>
        <v>-100462.46999999996</v>
      </c>
      <c r="I42" s="61">
        <f t="shared" si="15"/>
        <v>-91099.219999999958</v>
      </c>
      <c r="J42" s="161">
        <f t="shared" si="15"/>
        <v>-82372.105599999952</v>
      </c>
      <c r="K42" s="108">
        <f t="shared" si="15"/>
        <v>-70059.544639999949</v>
      </c>
      <c r="L42" s="61">
        <f t="shared" si="15"/>
        <v>-54174.305209599945</v>
      </c>
    </row>
    <row r="43" spans="1:12" x14ac:dyDescent="0.35">
      <c r="A43" s="46" t="s">
        <v>12</v>
      </c>
      <c r="C43" s="120"/>
      <c r="D43" s="17"/>
      <c r="E43" s="17"/>
      <c r="F43" s="17"/>
      <c r="G43" s="10"/>
      <c r="H43" s="17"/>
      <c r="I43" s="11"/>
      <c r="J43" s="17"/>
      <c r="K43" s="17"/>
      <c r="L43" s="11"/>
    </row>
    <row r="44" spans="1:12" ht="15" thickBot="1" x14ac:dyDescent="0.4">
      <c r="A44" s="37"/>
      <c r="B44" s="37"/>
      <c r="C44" s="146"/>
      <c r="D44" s="44"/>
      <c r="E44" s="44"/>
      <c r="F44" s="44"/>
      <c r="G44" s="43"/>
      <c r="H44" s="44"/>
      <c r="I44" s="45"/>
      <c r="J44" s="44"/>
      <c r="K44" s="44"/>
      <c r="L44" s="45"/>
    </row>
    <row r="46" spans="1:12" x14ac:dyDescent="0.35">
      <c r="A46" s="69" t="s">
        <v>11</v>
      </c>
      <c r="B46" s="69"/>
      <c r="C46" s="69"/>
    </row>
    <row r="47" spans="1:12" x14ac:dyDescent="0.35">
      <c r="A47" s="324" t="s">
        <v>188</v>
      </c>
      <c r="B47" s="324"/>
      <c r="C47" s="324"/>
      <c r="D47" s="324"/>
      <c r="E47" s="324"/>
      <c r="F47" s="324"/>
      <c r="G47" s="324"/>
      <c r="H47" s="324"/>
      <c r="I47" s="324"/>
      <c r="J47" s="180"/>
      <c r="K47" s="180"/>
      <c r="L47" s="180"/>
    </row>
    <row r="48" spans="1:12" ht="32.25" customHeight="1" x14ac:dyDescent="0.35">
      <c r="A48" s="324" t="s">
        <v>177</v>
      </c>
      <c r="B48" s="324"/>
      <c r="C48" s="324"/>
      <c r="D48" s="324"/>
      <c r="E48" s="324"/>
      <c r="F48" s="324"/>
      <c r="G48" s="324"/>
      <c r="H48" s="324"/>
      <c r="I48" s="324"/>
      <c r="J48" s="180"/>
      <c r="K48" s="180"/>
    </row>
    <row r="49" spans="1:12" ht="18.75" customHeight="1" x14ac:dyDescent="0.35">
      <c r="A49" s="3" t="s">
        <v>178</v>
      </c>
      <c r="B49" s="3"/>
      <c r="C49" s="3"/>
      <c r="I49" s="4"/>
      <c r="J49" s="180"/>
      <c r="K49" s="180"/>
      <c r="L49" s="180"/>
    </row>
    <row r="50" spans="1:12" x14ac:dyDescent="0.35">
      <c r="A50" s="3" t="s">
        <v>202</v>
      </c>
      <c r="B50" s="3"/>
      <c r="C50" s="3"/>
      <c r="I50" s="4"/>
    </row>
    <row r="51" spans="1:12" x14ac:dyDescent="0.35">
      <c r="A51" s="3" t="s">
        <v>125</v>
      </c>
      <c r="B51" s="3"/>
      <c r="C51" s="3"/>
      <c r="I51" s="4"/>
    </row>
    <row r="52" spans="1:12" x14ac:dyDescent="0.35">
      <c r="A52" s="3" t="s">
        <v>155</v>
      </c>
      <c r="B52" s="63"/>
      <c r="C52" s="63"/>
      <c r="D52" s="39"/>
      <c r="E52" s="39"/>
      <c r="F52" s="39"/>
      <c r="G52" s="39"/>
      <c r="H52" s="39"/>
      <c r="I52" s="39"/>
    </row>
    <row r="53" spans="1:12" x14ac:dyDescent="0.35">
      <c r="A53" s="3"/>
      <c r="B53" s="3"/>
      <c r="C53" s="3"/>
    </row>
  </sheetData>
  <mergeCells count="5">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workbookViewId="0">
      <selection activeCell="F18" sqref="F18"/>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6" width="13.453125" style="46" bestFit="1" customWidth="1"/>
    <col min="7" max="16384" width="9.1796875" style="46"/>
  </cols>
  <sheetData>
    <row r="1" spans="1:5" x14ac:dyDescent="0.35">
      <c r="A1" s="63" t="str">
        <f>+'PPC Cycle 3'!A1</f>
        <v>Evergy Missouri West, Inc. - DSIM Rider Update Filed 12/02/2022</v>
      </c>
    </row>
    <row r="2" spans="1:5" x14ac:dyDescent="0.35">
      <c r="A2" s="9" t="str">
        <f>+'PPC Cycle 3'!A2</f>
        <v>Projections for Cycle 3 January 2023 - December 2023 DSIM</v>
      </c>
    </row>
    <row r="3" spans="1:5" ht="45.75" customHeight="1" x14ac:dyDescent="0.35">
      <c r="B3" s="307" t="s">
        <v>195</v>
      </c>
      <c r="C3" s="307"/>
      <c r="D3" s="307"/>
    </row>
    <row r="4" spans="1:5" x14ac:dyDescent="0.35">
      <c r="B4" s="48" t="s">
        <v>17</v>
      </c>
    </row>
    <row r="5" spans="1:5" x14ac:dyDescent="0.35">
      <c r="A5" s="20" t="s">
        <v>196</v>
      </c>
      <c r="B5" s="294">
        <f>+B11</f>
        <v>-14795.649999999998</v>
      </c>
    </row>
    <row r="6" spans="1:5" x14ac:dyDescent="0.35">
      <c r="A6" s="20" t="s">
        <v>197</v>
      </c>
      <c r="B6" s="294">
        <f>+C11</f>
        <v>-407673.99999999994</v>
      </c>
    </row>
    <row r="7" spans="1:5" x14ac:dyDescent="0.35">
      <c r="A7" s="20" t="s">
        <v>85</v>
      </c>
      <c r="B7" s="294">
        <f>+D11</f>
        <v>-7217.96</v>
      </c>
    </row>
    <row r="8" spans="1:5" ht="58" x14ac:dyDescent="0.35">
      <c r="A8" s="20"/>
      <c r="B8" s="271" t="s">
        <v>196</v>
      </c>
      <c r="C8" s="271" t="s">
        <v>197</v>
      </c>
      <c r="D8" s="272" t="s">
        <v>198</v>
      </c>
      <c r="E8" s="272" t="s">
        <v>5</v>
      </c>
    </row>
    <row r="9" spans="1:5" x14ac:dyDescent="0.35">
      <c r="A9" s="20" t="s">
        <v>24</v>
      </c>
      <c r="B9" s="216">
        <f>+'[24]MOWest Program Cycle 3'!$E$52</f>
        <v>-12096.349999999999</v>
      </c>
      <c r="C9" s="216">
        <f>+'[24]MOWest TD Cycle 3'!$E$52</f>
        <v>-407673.99999999994</v>
      </c>
      <c r="D9" s="216">
        <f>+'[24]MOWest Program Cycle 3'!$K$52+'[24]MOWest TD Cycle 3'!$K$52</f>
        <v>-7159.32</v>
      </c>
      <c r="E9" s="216">
        <f>SUM(B9:D9)</f>
        <v>-426929.66999999993</v>
      </c>
    </row>
    <row r="10" spans="1:5" x14ac:dyDescent="0.35">
      <c r="A10" s="20" t="s">
        <v>25</v>
      </c>
      <c r="B10" s="216">
        <f>+'[24]MOWest Program Cycle 3'!$R$52</f>
        <v>-2699.3</v>
      </c>
      <c r="C10" s="216">
        <f>+'[24]MOWest TD Cycle 3'!$R$52</f>
        <v>0</v>
      </c>
      <c r="D10" s="216">
        <f>+'[24]MOWest Program Cycle 3'!$X$52+'[24]MOWest TD Cycle 3'!$X$52</f>
        <v>-58.64</v>
      </c>
      <c r="E10" s="216">
        <f>SUM(B10:D10)</f>
        <v>-2757.94</v>
      </c>
    </row>
    <row r="11" spans="1:5" ht="15" thickBot="1" x14ac:dyDescent="0.4">
      <c r="A11" s="20" t="s">
        <v>5</v>
      </c>
      <c r="B11" s="217">
        <f>SUM(B9:B10)</f>
        <v>-14795.649999999998</v>
      </c>
      <c r="C11" s="217">
        <f>SUM(C9:C10)</f>
        <v>-407673.99999999994</v>
      </c>
      <c r="D11" s="217">
        <f>SUM(D9:D10)</f>
        <v>-7217.96</v>
      </c>
      <c r="E11" s="217">
        <f>SUM(E9:E10)</f>
        <v>-429687.60999999993</v>
      </c>
    </row>
    <row r="12" spans="1:5" ht="15.5" thickTop="1" thickBot="1" x14ac:dyDescent="0.4">
      <c r="B12" s="218">
        <f>+B11-B5</f>
        <v>0</v>
      </c>
      <c r="C12" s="218">
        <f>+C11-B6</f>
        <v>0</v>
      </c>
      <c r="D12" s="218">
        <f>+D11-B7</f>
        <v>0</v>
      </c>
      <c r="E12" s="218">
        <f>ROUND(B5+B6+B7,2)-E11</f>
        <v>0</v>
      </c>
    </row>
    <row r="13" spans="1:5" ht="15" thickTop="1" x14ac:dyDescent="0.35">
      <c r="B13" s="227"/>
      <c r="C13" s="302" t="s">
        <v>211</v>
      </c>
    </row>
    <row r="14" spans="1:5" x14ac:dyDescent="0.35">
      <c r="A14" s="20" t="s">
        <v>107</v>
      </c>
      <c r="B14" s="216">
        <f>ROUND($E$10*C14,2)</f>
        <v>-1081.3699999999999</v>
      </c>
      <c r="C14" s="224">
        <f>+'PCR Cycle 2'!K8</f>
        <v>0.39209287804949344</v>
      </c>
    </row>
    <row r="15" spans="1:5" x14ac:dyDescent="0.35">
      <c r="A15" s="20" t="s">
        <v>108</v>
      </c>
      <c r="B15" s="216">
        <f>ROUND($E$10*C15,2)+0.01</f>
        <v>-1253.0899999999999</v>
      </c>
      <c r="C15" s="224">
        <f>+'PCR Cycle 2'!K9</f>
        <v>0.45435908608374953</v>
      </c>
    </row>
    <row r="16" spans="1:5" ht="15" thickBot="1" x14ac:dyDescent="0.4">
      <c r="A16" s="20" t="s">
        <v>109</v>
      </c>
      <c r="B16" s="216">
        <f>ROUND($E$10*C16,2)</f>
        <v>-423.48</v>
      </c>
      <c r="C16" s="224">
        <f>+'PCR Cycle 2'!K10</f>
        <v>0.15354803586675725</v>
      </c>
    </row>
    <row r="17" spans="1:5" ht="15.5" thickTop="1" thickBot="1" x14ac:dyDescent="0.4">
      <c r="A17" s="20" t="s">
        <v>111</v>
      </c>
      <c r="B17" s="32">
        <f>SUM(B14:B16)</f>
        <v>-2757.94</v>
      </c>
      <c r="C17" s="225">
        <f>SUM(C14:C16)</f>
        <v>1.0000000000000002</v>
      </c>
    </row>
    <row r="18" spans="1:5" ht="15" thickTop="1" x14ac:dyDescent="0.35"/>
    <row r="19" spans="1:5" x14ac:dyDescent="0.35">
      <c r="A19" s="53" t="s">
        <v>11</v>
      </c>
    </row>
    <row r="20" spans="1:5" s="39" customFormat="1" x14ac:dyDescent="0.35">
      <c r="A20" s="3" t="s">
        <v>208</v>
      </c>
      <c r="B20" s="46"/>
      <c r="C20" s="46"/>
      <c r="D20" s="46"/>
    </row>
    <row r="21" spans="1:5" s="39" customFormat="1" x14ac:dyDescent="0.35">
      <c r="A21" s="3" t="s">
        <v>209</v>
      </c>
      <c r="B21" s="46"/>
      <c r="C21" s="46"/>
      <c r="D21" s="46"/>
    </row>
    <row r="22" spans="1:5" s="39" customFormat="1" x14ac:dyDescent="0.35">
      <c r="A22" s="3" t="s">
        <v>210</v>
      </c>
      <c r="B22" s="46"/>
      <c r="C22" s="46"/>
      <c r="D22" s="46"/>
    </row>
    <row r="23" spans="1:5" s="39" customFormat="1" x14ac:dyDescent="0.35">
      <c r="A23" s="3"/>
      <c r="B23" s="46"/>
      <c r="C23" s="46"/>
      <c r="D23" s="46"/>
    </row>
    <row r="25" spans="1:5" x14ac:dyDescent="0.35">
      <c r="A25" s="3"/>
      <c r="D25" s="189"/>
    </row>
    <row r="26" spans="1:5" x14ac:dyDescent="0.35">
      <c r="D26" s="189"/>
    </row>
    <row r="27" spans="1:5" x14ac:dyDescent="0.35">
      <c r="B27" s="70"/>
      <c r="D27" s="189"/>
    </row>
    <row r="28" spans="1:5" x14ac:dyDescent="0.35">
      <c r="A28" s="213"/>
      <c r="B28" s="214"/>
      <c r="D28" s="189"/>
    </row>
    <row r="29" spans="1:5" x14ac:dyDescent="0.35">
      <c r="A29" s="213"/>
      <c r="B29" s="214"/>
      <c r="D29" s="189"/>
    </row>
    <row r="30" spans="1:5" x14ac:dyDescent="0.35">
      <c r="A30" s="213"/>
      <c r="B30" s="214"/>
      <c r="D30" s="189"/>
    </row>
    <row r="31" spans="1:5" x14ac:dyDescent="0.35">
      <c r="A31" s="213"/>
      <c r="B31" s="214"/>
      <c r="D31" s="189"/>
      <c r="E31" s="270"/>
    </row>
    <row r="32" spans="1:5" x14ac:dyDescent="0.35">
      <c r="A32" s="213"/>
      <c r="B32" s="190"/>
      <c r="D32" s="189"/>
    </row>
    <row r="33" spans="1:4" x14ac:dyDescent="0.35">
      <c r="A33" s="213"/>
      <c r="B33" s="190"/>
      <c r="D33" s="189"/>
    </row>
    <row r="34" spans="1:4" ht="16" x14ac:dyDescent="0.5">
      <c r="A34" s="213"/>
      <c r="B34" s="190"/>
      <c r="D34" s="215"/>
    </row>
    <row r="35" spans="1:4" x14ac:dyDescent="0.35">
      <c r="A35" s="213"/>
      <c r="D35" s="189"/>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I65"/>
  <sheetViews>
    <sheetView topLeftCell="E1" workbookViewId="0">
      <selection activeCell="L10" sqref="L10"/>
    </sheetView>
  </sheetViews>
  <sheetFormatPr defaultColWidth="9.1796875" defaultRowHeight="14.5"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12/02/2022</v>
      </c>
      <c r="B1" s="3"/>
      <c r="C1" s="3"/>
    </row>
    <row r="2" spans="1:35" x14ac:dyDescent="0.35">
      <c r="D2" s="3" t="s">
        <v>199</v>
      </c>
    </row>
    <row r="3" spans="1:35" ht="29" x14ac:dyDescent="0.35">
      <c r="D3" s="48" t="s">
        <v>46</v>
      </c>
      <c r="E3" s="70" t="s">
        <v>17</v>
      </c>
      <c r="F3" s="48" t="s">
        <v>3</v>
      </c>
      <c r="G3" s="70" t="s">
        <v>55</v>
      </c>
      <c r="H3" s="48" t="s">
        <v>10</v>
      </c>
      <c r="I3" s="48" t="s">
        <v>18</v>
      </c>
      <c r="S3" s="48"/>
    </row>
    <row r="4" spans="1:35" x14ac:dyDescent="0.35">
      <c r="A4" s="20" t="s">
        <v>24</v>
      </c>
      <c r="B4" s="20"/>
      <c r="C4" s="20"/>
      <c r="D4" s="22">
        <f>SUM(C20:L20)</f>
        <v>0</v>
      </c>
      <c r="E4" s="22">
        <f>SUM(C26:K26)</f>
        <v>0</v>
      </c>
      <c r="F4" s="22">
        <f>E4-D4</f>
        <v>0</v>
      </c>
      <c r="G4" s="22">
        <f>+B40</f>
        <v>-426944.36999999994</v>
      </c>
      <c r="H4" s="22">
        <f>SUM(C47:K47)</f>
        <v>-10857.61</v>
      </c>
      <c r="I4" s="25">
        <f>SUM(F4:H4)</f>
        <v>-437801.97999999992</v>
      </c>
      <c r="J4" s="47">
        <f>+I4-L40</f>
        <v>0</v>
      </c>
      <c r="M4" s="47"/>
    </row>
    <row r="5" spans="1:35" x14ac:dyDescent="0.35">
      <c r="A5" s="20" t="s">
        <v>107</v>
      </c>
      <c r="B5" s="20"/>
      <c r="C5" s="20"/>
      <c r="D5" s="22">
        <f t="shared" ref="D5:D6" si="0">SUM(C21:L21)</f>
        <v>0</v>
      </c>
      <c r="E5" s="22">
        <f t="shared" ref="E5:E6" si="1">SUM(C27:K27)</f>
        <v>0</v>
      </c>
      <c r="F5" s="22">
        <f t="shared" ref="F5:F6" si="2">E5-D5</f>
        <v>0</v>
      </c>
      <c r="G5" s="22">
        <f t="shared" ref="G5:G6" si="3">+B41</f>
        <v>-1081.3799999999999</v>
      </c>
      <c r="H5" s="22">
        <f t="shared" ref="H5:H6" si="4">SUM(C48:K48)</f>
        <v>-27.5</v>
      </c>
      <c r="I5" s="25">
        <f t="shared" ref="I5:I6" si="5">SUM(F5:H5)</f>
        <v>-1108.8799999999999</v>
      </c>
      <c r="J5" s="47"/>
      <c r="M5" s="47"/>
    </row>
    <row r="6" spans="1:35" x14ac:dyDescent="0.35">
      <c r="A6" s="20" t="s">
        <v>108</v>
      </c>
      <c r="B6" s="20"/>
      <c r="C6" s="20"/>
      <c r="D6" s="22">
        <f t="shared" si="0"/>
        <v>0</v>
      </c>
      <c r="E6" s="22">
        <f t="shared" si="1"/>
        <v>0</v>
      </c>
      <c r="F6" s="22">
        <f t="shared" si="2"/>
        <v>0</v>
      </c>
      <c r="G6" s="22">
        <f t="shared" si="3"/>
        <v>-1253.06</v>
      </c>
      <c r="H6" s="22">
        <f t="shared" si="4"/>
        <v>-31.879999999999995</v>
      </c>
      <c r="I6" s="25">
        <f t="shared" si="5"/>
        <v>-1284.94</v>
      </c>
      <c r="J6" s="47"/>
      <c r="M6" s="47"/>
    </row>
    <row r="7" spans="1:35" ht="15" thickBot="1" x14ac:dyDescent="0.4">
      <c r="A7" s="20" t="s">
        <v>109</v>
      </c>
      <c r="B7" s="20"/>
      <c r="C7" s="20"/>
      <c r="D7" s="22">
        <f>SUM(C23:L23)</f>
        <v>0</v>
      </c>
      <c r="E7" s="22">
        <f>SUM(C29:K29)</f>
        <v>0</v>
      </c>
      <c r="F7" s="22">
        <f>E7-D7</f>
        <v>0</v>
      </c>
      <c r="G7" s="22">
        <f>+B43</f>
        <v>-423.46000000000004</v>
      </c>
      <c r="H7" s="22">
        <f>SUM(C50:K50)</f>
        <v>-10.759999999999998</v>
      </c>
      <c r="I7" s="25">
        <f>SUM(F7:H7)</f>
        <v>-434.22</v>
      </c>
      <c r="J7" s="47">
        <f>+I7-L43</f>
        <v>0</v>
      </c>
      <c r="M7" s="47"/>
    </row>
    <row r="8" spans="1:35" ht="15.5" thickTop="1" thickBot="1" x14ac:dyDescent="0.4">
      <c r="D8" s="27">
        <f t="shared" ref="D8" si="6">SUM(D4:D7)</f>
        <v>0</v>
      </c>
      <c r="E8" s="27">
        <f>SUM(E4:E7)</f>
        <v>0</v>
      </c>
      <c r="F8" s="27">
        <f>SUM(F4:F7)</f>
        <v>0</v>
      </c>
      <c r="G8" s="27">
        <f>SUM(G4:G7)</f>
        <v>-429702.26999999996</v>
      </c>
      <c r="H8" s="27">
        <f>SUM(H4:H7)</f>
        <v>-10927.75</v>
      </c>
      <c r="I8" s="27">
        <f>SUM(I4:I7)</f>
        <v>-440630.0199999999</v>
      </c>
      <c r="T8" s="5"/>
    </row>
    <row r="9" spans="1:35" ht="44" thickTop="1" x14ac:dyDescent="0.35">
      <c r="I9" s="227"/>
      <c r="J9" s="226" t="s">
        <v>122</v>
      </c>
    </row>
    <row r="10" spans="1:35" x14ac:dyDescent="0.35">
      <c r="A10" s="20" t="s">
        <v>107</v>
      </c>
      <c r="I10" s="25">
        <f>ROUND($I$7*J10,2)</f>
        <v>-170.25</v>
      </c>
      <c r="J10" s="224">
        <f>+'PCR Cycle 2'!K8</f>
        <v>0.39209287804949344</v>
      </c>
    </row>
    <row r="11" spans="1:35" x14ac:dyDescent="0.35">
      <c r="A11" s="20" t="s">
        <v>108</v>
      </c>
      <c r="I11" s="25">
        <f t="shared" ref="I11:I12" si="7">ROUND($I$7*J11,2)</f>
        <v>-197.29</v>
      </c>
      <c r="J11" s="224">
        <f>+'PCR Cycle 2'!K9</f>
        <v>0.45435908608374953</v>
      </c>
    </row>
    <row r="12" spans="1:35" ht="15" thickBot="1" x14ac:dyDescent="0.4">
      <c r="A12" s="20" t="s">
        <v>109</v>
      </c>
      <c r="I12" s="25">
        <f t="shared" si="7"/>
        <v>-66.67</v>
      </c>
      <c r="J12" s="224">
        <f>+'PCR Cycle 2'!K10</f>
        <v>0.15354803586675725</v>
      </c>
    </row>
    <row r="13" spans="1:35" ht="15.5" thickTop="1" thickBot="1" x14ac:dyDescent="0.4">
      <c r="A13" s="20" t="s">
        <v>111</v>
      </c>
      <c r="I13" s="27">
        <f>SUM(I10:I12)</f>
        <v>-434.21</v>
      </c>
      <c r="J13" s="225">
        <f>SUM(J10:J12)</f>
        <v>1.0000000000000002</v>
      </c>
      <c r="V13" s="4"/>
    </row>
    <row r="14" spans="1:35" ht="15.5" thickTop="1" thickBot="1" x14ac:dyDescent="0.4">
      <c r="V14" s="4"/>
      <c r="W14" s="5"/>
    </row>
    <row r="15" spans="1:35" ht="102" thickBot="1" x14ac:dyDescent="0.4">
      <c r="B15" s="118" t="str">
        <f>+'PCR Cycle 2'!B13</f>
        <v>Cumulative Over/Under Carryover From 06/01/2022 Filing</v>
      </c>
      <c r="C15" s="151" t="str">
        <f>+'PCR Cycle 2'!C13</f>
        <v>Reverse May 2022 - October 2022  Forecast From 06/01/2022 Filing</v>
      </c>
      <c r="D15" s="312" t="s">
        <v>33</v>
      </c>
      <c r="E15" s="312"/>
      <c r="F15" s="313"/>
      <c r="G15" s="320" t="s">
        <v>33</v>
      </c>
      <c r="H15" s="321"/>
      <c r="I15" s="322"/>
      <c r="J15" s="308" t="s">
        <v>8</v>
      </c>
      <c r="K15" s="309"/>
      <c r="L15" s="310"/>
    </row>
    <row r="16" spans="1:35" x14ac:dyDescent="0.35">
      <c r="A16" s="46" t="s">
        <v>91</v>
      </c>
      <c r="C16" s="105"/>
      <c r="D16" s="19">
        <f>+'PCR Cycle 2'!D14</f>
        <v>44712</v>
      </c>
      <c r="E16" s="19">
        <f t="shared" ref="E16:L16" si="8">EOMONTH(D16,1)</f>
        <v>44742</v>
      </c>
      <c r="F16" s="19">
        <f t="shared" si="8"/>
        <v>44773</v>
      </c>
      <c r="G16" s="14">
        <f t="shared" si="8"/>
        <v>44804</v>
      </c>
      <c r="H16" s="19">
        <f t="shared" si="8"/>
        <v>44834</v>
      </c>
      <c r="I16" s="15">
        <f t="shared" si="8"/>
        <v>44865</v>
      </c>
      <c r="J16" s="19">
        <f t="shared" si="8"/>
        <v>44895</v>
      </c>
      <c r="K16" s="19">
        <f t="shared" si="8"/>
        <v>44926</v>
      </c>
      <c r="L16" s="15">
        <f t="shared" si="8"/>
        <v>44957</v>
      </c>
      <c r="Z16" s="1"/>
      <c r="AA16" s="1"/>
      <c r="AB16" s="1"/>
      <c r="AC16" s="1"/>
      <c r="AD16" s="1"/>
      <c r="AE16" s="1"/>
      <c r="AF16" s="1"/>
      <c r="AG16" s="1"/>
      <c r="AH16" s="1"/>
      <c r="AI16" s="1"/>
    </row>
    <row r="17" spans="1:14" x14ac:dyDescent="0.35">
      <c r="A17" s="46" t="s">
        <v>5</v>
      </c>
      <c r="C17" s="97">
        <v>0</v>
      </c>
      <c r="D17" s="109">
        <f>SUM(D26:D29)</f>
        <v>0</v>
      </c>
      <c r="E17" s="109">
        <f t="shared" ref="E17:H17" si="9">SUM(E26:E29)</f>
        <v>0</v>
      </c>
      <c r="F17" s="110">
        <f t="shared" si="9"/>
        <v>0</v>
      </c>
      <c r="G17" s="16">
        <f t="shared" si="9"/>
        <v>0</v>
      </c>
      <c r="H17" s="55">
        <f t="shared" si="9"/>
        <v>0</v>
      </c>
      <c r="I17" s="164">
        <f>+I26+I29</f>
        <v>0</v>
      </c>
      <c r="J17" s="157">
        <f t="shared" ref="J17:K17" si="10">+J26+J29</f>
        <v>0</v>
      </c>
      <c r="K17" s="78">
        <f t="shared" si="10"/>
        <v>0</v>
      </c>
      <c r="L17" s="79"/>
    </row>
    <row r="18" spans="1:14" x14ac:dyDescent="0.35">
      <c r="C18" s="99"/>
      <c r="D18" s="17"/>
      <c r="E18" s="17"/>
      <c r="F18" s="17"/>
      <c r="G18" s="28"/>
      <c r="H18" s="17"/>
      <c r="I18" s="11"/>
      <c r="J18" s="31"/>
      <c r="K18" s="31"/>
      <c r="L18" s="29"/>
    </row>
    <row r="19" spans="1:14" x14ac:dyDescent="0.35">
      <c r="A19" s="46" t="s">
        <v>90</v>
      </c>
      <c r="C19" s="99"/>
      <c r="D19" s="18"/>
      <c r="E19" s="18"/>
      <c r="F19" s="18"/>
      <c r="G19" s="288"/>
      <c r="H19" s="18"/>
      <c r="I19" s="165"/>
      <c r="J19" s="31"/>
      <c r="K19" s="31"/>
      <c r="L19" s="29"/>
      <c r="M19" s="3" t="s">
        <v>50</v>
      </c>
      <c r="N19" s="39"/>
    </row>
    <row r="20" spans="1:14" x14ac:dyDescent="0.35">
      <c r="A20" s="46" t="s">
        <v>24</v>
      </c>
      <c r="C20" s="97">
        <v>0</v>
      </c>
      <c r="D20" s="134">
        <v>0</v>
      </c>
      <c r="E20" s="134">
        <v>0</v>
      </c>
      <c r="F20" s="186">
        <v>0</v>
      </c>
      <c r="G20" s="16">
        <v>0</v>
      </c>
      <c r="H20" s="121">
        <v>0</v>
      </c>
      <c r="I20" s="166">
        <v>0</v>
      </c>
      <c r="J20" s="123">
        <f>'PCR Cycle 2'!J26*$M20</f>
        <v>0</v>
      </c>
      <c r="K20" s="41">
        <f>'PCR Cycle 2'!K26*$M20</f>
        <v>0</v>
      </c>
      <c r="L20" s="61">
        <f>'PCR Cycle 2'!L26*$M20</f>
        <v>0</v>
      </c>
      <c r="M20" s="72">
        <v>0</v>
      </c>
      <c r="N20" s="4"/>
    </row>
    <row r="21" spans="1:14" x14ac:dyDescent="0.35">
      <c r="A21" s="46" t="s">
        <v>107</v>
      </c>
      <c r="C21" s="97">
        <v>0</v>
      </c>
      <c r="D21" s="134">
        <v>0</v>
      </c>
      <c r="E21" s="134">
        <v>0</v>
      </c>
      <c r="F21" s="186">
        <v>0</v>
      </c>
      <c r="G21" s="16">
        <v>0</v>
      </c>
      <c r="H21" s="121">
        <v>0</v>
      </c>
      <c r="I21" s="166">
        <v>0</v>
      </c>
      <c r="J21" s="123">
        <f>'PCR Cycle 2'!J27*$M21</f>
        <v>0</v>
      </c>
      <c r="K21" s="41">
        <f>'PCR Cycle 2'!K27*$M21</f>
        <v>0</v>
      </c>
      <c r="L21" s="61">
        <f>'PCR Cycle 2'!L27*$M21</f>
        <v>0</v>
      </c>
      <c r="M21" s="72">
        <v>0</v>
      </c>
      <c r="N21" s="4"/>
    </row>
    <row r="22" spans="1:14" x14ac:dyDescent="0.35">
      <c r="A22" s="46" t="s">
        <v>108</v>
      </c>
      <c r="C22" s="97">
        <v>0</v>
      </c>
      <c r="D22" s="134">
        <v>0</v>
      </c>
      <c r="E22" s="134">
        <v>0</v>
      </c>
      <c r="F22" s="186">
        <v>0</v>
      </c>
      <c r="G22" s="16">
        <v>0</v>
      </c>
      <c r="H22" s="121">
        <v>0</v>
      </c>
      <c r="I22" s="166">
        <v>0</v>
      </c>
      <c r="J22" s="123">
        <f>'PCR Cycle 2'!J28*$M22</f>
        <v>0</v>
      </c>
      <c r="K22" s="41">
        <f>'PCR Cycle 2'!K28*$M22</f>
        <v>0</v>
      </c>
      <c r="L22" s="61">
        <f>'PCR Cycle 2'!L28*$M22</f>
        <v>0</v>
      </c>
      <c r="M22" s="72">
        <v>0</v>
      </c>
      <c r="N22" s="4"/>
    </row>
    <row r="23" spans="1:14" x14ac:dyDescent="0.35">
      <c r="A23" s="46" t="s">
        <v>109</v>
      </c>
      <c r="C23" s="97">
        <v>0</v>
      </c>
      <c r="D23" s="134">
        <v>0</v>
      </c>
      <c r="E23" s="134">
        <v>0</v>
      </c>
      <c r="F23" s="186">
        <v>0</v>
      </c>
      <c r="G23" s="16">
        <v>0</v>
      </c>
      <c r="H23" s="121">
        <v>0</v>
      </c>
      <c r="I23" s="166">
        <v>0</v>
      </c>
      <c r="J23" s="123">
        <f>SUM('PCR Cycle 2'!J27:J29)*$M23</f>
        <v>0</v>
      </c>
      <c r="K23" s="41">
        <f>SUM('PCR Cycle 2'!K27:K29)*$M23</f>
        <v>0</v>
      </c>
      <c r="L23" s="61">
        <f>SUM('PCR Cycle 2'!L27:L29)*$M23</f>
        <v>0</v>
      </c>
      <c r="M23" s="72">
        <v>0</v>
      </c>
      <c r="N23" s="4"/>
    </row>
    <row r="24" spans="1:14" x14ac:dyDescent="0.35">
      <c r="C24" s="67"/>
      <c r="D24" s="68"/>
      <c r="E24" s="68"/>
      <c r="F24" s="68"/>
      <c r="G24" s="98"/>
      <c r="H24" s="68"/>
      <c r="I24" s="167"/>
      <c r="J24" s="56"/>
      <c r="K24" s="56"/>
      <c r="L24" s="13"/>
      <c r="N24" s="4"/>
    </row>
    <row r="25" spans="1:14" x14ac:dyDescent="0.35">
      <c r="A25" s="46" t="s">
        <v>92</v>
      </c>
      <c r="C25" s="36"/>
      <c r="D25" s="37"/>
      <c r="E25" s="37"/>
      <c r="F25" s="37"/>
      <c r="G25" s="36"/>
      <c r="H25" s="37"/>
      <c r="I25" s="170"/>
      <c r="J25" s="52"/>
      <c r="K25" s="52"/>
      <c r="L25" s="38"/>
    </row>
    <row r="26" spans="1:14" x14ac:dyDescent="0.35">
      <c r="A26" s="46" t="s">
        <v>24</v>
      </c>
      <c r="C26" s="97">
        <v>0</v>
      </c>
      <c r="D26" s="109">
        <v>0</v>
      </c>
      <c r="E26" s="109">
        <v>0</v>
      </c>
      <c r="F26" s="110">
        <v>0</v>
      </c>
      <c r="G26" s="16">
        <v>0</v>
      </c>
      <c r="H26" s="55">
        <v>0</v>
      </c>
      <c r="I26" s="164">
        <v>0</v>
      </c>
      <c r="J26" s="159">
        <v>0</v>
      </c>
      <c r="K26" s="141">
        <v>0</v>
      </c>
      <c r="L26" s="79"/>
    </row>
    <row r="27" spans="1:14" x14ac:dyDescent="0.35">
      <c r="A27" s="46" t="s">
        <v>107</v>
      </c>
      <c r="C27" s="97">
        <v>0</v>
      </c>
      <c r="D27" s="109">
        <v>0</v>
      </c>
      <c r="E27" s="109">
        <v>0</v>
      </c>
      <c r="F27" s="110">
        <v>0</v>
      </c>
      <c r="G27" s="16">
        <v>0</v>
      </c>
      <c r="H27" s="55">
        <v>0</v>
      </c>
      <c r="I27" s="164">
        <v>0</v>
      </c>
      <c r="J27" s="159">
        <v>0</v>
      </c>
      <c r="K27" s="141">
        <v>0</v>
      </c>
      <c r="L27" s="79"/>
    </row>
    <row r="28" spans="1:14" x14ac:dyDescent="0.35">
      <c r="A28" s="46" t="s">
        <v>108</v>
      </c>
      <c r="C28" s="97">
        <v>0</v>
      </c>
      <c r="D28" s="109">
        <v>0</v>
      </c>
      <c r="E28" s="109">
        <v>0</v>
      </c>
      <c r="F28" s="110">
        <v>0</v>
      </c>
      <c r="G28" s="16">
        <v>0</v>
      </c>
      <c r="H28" s="55">
        <v>0</v>
      </c>
      <c r="I28" s="164">
        <v>0</v>
      </c>
      <c r="J28" s="159">
        <v>0</v>
      </c>
      <c r="K28" s="141">
        <v>0</v>
      </c>
      <c r="L28" s="79"/>
    </row>
    <row r="29" spans="1:14" x14ac:dyDescent="0.35">
      <c r="A29" s="46" t="s">
        <v>109</v>
      </c>
      <c r="C29" s="97">
        <v>0</v>
      </c>
      <c r="D29" s="109">
        <v>0</v>
      </c>
      <c r="E29" s="109">
        <v>0</v>
      </c>
      <c r="F29" s="110">
        <v>0</v>
      </c>
      <c r="G29" s="16">
        <v>0</v>
      </c>
      <c r="H29" s="55">
        <v>0</v>
      </c>
      <c r="I29" s="164">
        <v>0</v>
      </c>
      <c r="J29" s="159">
        <v>0</v>
      </c>
      <c r="K29" s="141">
        <v>0</v>
      </c>
      <c r="L29" s="79"/>
      <c r="N29" s="47"/>
    </row>
    <row r="30" spans="1:14" x14ac:dyDescent="0.35">
      <c r="C30" s="99"/>
      <c r="D30" s="18"/>
      <c r="E30" s="18"/>
      <c r="F30" s="18"/>
      <c r="G30" s="288"/>
      <c r="H30" s="18"/>
      <c r="I30" s="165"/>
      <c r="J30" s="56"/>
      <c r="K30" s="56"/>
      <c r="L30" s="13"/>
    </row>
    <row r="31" spans="1:14" ht="15" thickBot="1" x14ac:dyDescent="0.4">
      <c r="A31" s="3" t="s">
        <v>14</v>
      </c>
      <c r="B31" s="3"/>
      <c r="C31" s="103">
        <v>0</v>
      </c>
      <c r="D31" s="134">
        <v>-781.81</v>
      </c>
      <c r="E31" s="134">
        <v>-965.94</v>
      </c>
      <c r="F31" s="135">
        <v>-1200.82</v>
      </c>
      <c r="G31" s="26">
        <v>-1322.7799999999997</v>
      </c>
      <c r="H31" s="122">
        <v>-1505.0800000000002</v>
      </c>
      <c r="I31" s="171">
        <v>-1710.38</v>
      </c>
      <c r="J31" s="160">
        <v>-1717.09</v>
      </c>
      <c r="K31" s="143">
        <v>-1723.85</v>
      </c>
      <c r="L31" s="82"/>
    </row>
    <row r="32" spans="1:14" x14ac:dyDescent="0.35">
      <c r="C32" s="64"/>
      <c r="D32" s="147"/>
      <c r="E32" s="147"/>
      <c r="F32" s="148"/>
      <c r="G32" s="64"/>
      <c r="H32" s="33"/>
      <c r="I32" s="172"/>
      <c r="J32" s="34"/>
      <c r="K32" s="34"/>
      <c r="L32" s="60"/>
    </row>
    <row r="33" spans="1:12" x14ac:dyDescent="0.35">
      <c r="A33" s="46" t="s">
        <v>52</v>
      </c>
      <c r="C33" s="65"/>
      <c r="D33" s="148"/>
      <c r="E33" s="148"/>
      <c r="F33" s="148"/>
      <c r="G33" s="289"/>
      <c r="H33" s="35"/>
      <c r="I33" s="173"/>
      <c r="J33" s="34"/>
      <c r="K33" s="34"/>
      <c r="L33" s="60"/>
    </row>
    <row r="34" spans="1:12" x14ac:dyDescent="0.35">
      <c r="A34" s="46" t="s">
        <v>24</v>
      </c>
      <c r="C34" s="100">
        <f t="shared" ref="C34:L34" si="11">C26-C20</f>
        <v>0</v>
      </c>
      <c r="D34" s="41">
        <f t="shared" si="11"/>
        <v>0</v>
      </c>
      <c r="E34" s="41">
        <f t="shared" si="11"/>
        <v>0</v>
      </c>
      <c r="F34" s="108">
        <f t="shared" si="11"/>
        <v>0</v>
      </c>
      <c r="G34" s="40">
        <f t="shared" si="11"/>
        <v>0</v>
      </c>
      <c r="H34" s="41">
        <f t="shared" si="11"/>
        <v>0</v>
      </c>
      <c r="I34" s="61">
        <f t="shared" si="11"/>
        <v>0</v>
      </c>
      <c r="J34" s="123">
        <f t="shared" si="11"/>
        <v>0</v>
      </c>
      <c r="K34" s="41">
        <f t="shared" si="11"/>
        <v>0</v>
      </c>
      <c r="L34" s="61">
        <f t="shared" si="11"/>
        <v>0</v>
      </c>
    </row>
    <row r="35" spans="1:12" x14ac:dyDescent="0.35">
      <c r="A35" s="46" t="s">
        <v>107</v>
      </c>
      <c r="C35" s="100">
        <f t="shared" ref="C35:L35" si="12">C27-C21</f>
        <v>0</v>
      </c>
      <c r="D35" s="41">
        <f t="shared" si="12"/>
        <v>0</v>
      </c>
      <c r="E35" s="41">
        <f t="shared" si="12"/>
        <v>0</v>
      </c>
      <c r="F35" s="108">
        <f t="shared" si="12"/>
        <v>0</v>
      </c>
      <c r="G35" s="40">
        <f t="shared" si="12"/>
        <v>0</v>
      </c>
      <c r="H35" s="41">
        <f t="shared" si="12"/>
        <v>0</v>
      </c>
      <c r="I35" s="61">
        <f t="shared" si="12"/>
        <v>0</v>
      </c>
      <c r="J35" s="123">
        <f t="shared" si="12"/>
        <v>0</v>
      </c>
      <c r="K35" s="41">
        <f t="shared" si="12"/>
        <v>0</v>
      </c>
      <c r="L35" s="61">
        <f t="shared" si="12"/>
        <v>0</v>
      </c>
    </row>
    <row r="36" spans="1:12" x14ac:dyDescent="0.35">
      <c r="A36" s="46" t="s">
        <v>108</v>
      </c>
      <c r="C36" s="100">
        <f t="shared" ref="C36:L36" si="13">C28-C22</f>
        <v>0</v>
      </c>
      <c r="D36" s="41">
        <f t="shared" si="13"/>
        <v>0</v>
      </c>
      <c r="E36" s="41">
        <f t="shared" si="13"/>
        <v>0</v>
      </c>
      <c r="F36" s="108">
        <f t="shared" si="13"/>
        <v>0</v>
      </c>
      <c r="G36" s="40">
        <f t="shared" si="13"/>
        <v>0</v>
      </c>
      <c r="H36" s="41">
        <f t="shared" si="13"/>
        <v>0</v>
      </c>
      <c r="I36" s="61">
        <f t="shared" si="13"/>
        <v>0</v>
      </c>
      <c r="J36" s="123">
        <f t="shared" si="13"/>
        <v>0</v>
      </c>
      <c r="K36" s="41">
        <f t="shared" si="13"/>
        <v>0</v>
      </c>
      <c r="L36" s="61">
        <f t="shared" si="13"/>
        <v>0</v>
      </c>
    </row>
    <row r="37" spans="1:12" x14ac:dyDescent="0.35">
      <c r="A37" s="46" t="s">
        <v>109</v>
      </c>
      <c r="C37" s="100">
        <f t="shared" ref="C37:L37" si="14">C29-C23</f>
        <v>0</v>
      </c>
      <c r="D37" s="41">
        <f t="shared" si="14"/>
        <v>0</v>
      </c>
      <c r="E37" s="41">
        <f t="shared" si="14"/>
        <v>0</v>
      </c>
      <c r="F37" s="108">
        <f t="shared" si="14"/>
        <v>0</v>
      </c>
      <c r="G37" s="40">
        <f t="shared" si="14"/>
        <v>0</v>
      </c>
      <c r="H37" s="41">
        <f t="shared" si="14"/>
        <v>0</v>
      </c>
      <c r="I37" s="61">
        <f t="shared" si="14"/>
        <v>0</v>
      </c>
      <c r="J37" s="123">
        <f t="shared" si="14"/>
        <v>0</v>
      </c>
      <c r="K37" s="41">
        <f t="shared" si="14"/>
        <v>0</v>
      </c>
      <c r="L37" s="61">
        <f t="shared" si="14"/>
        <v>0</v>
      </c>
    </row>
    <row r="38" spans="1:12" x14ac:dyDescent="0.35">
      <c r="C38" s="99"/>
      <c r="D38" s="17"/>
      <c r="E38" s="17"/>
      <c r="F38" s="17"/>
      <c r="G38" s="28"/>
      <c r="H38" s="17"/>
      <c r="I38" s="11"/>
      <c r="J38" s="17"/>
      <c r="K38" s="17"/>
      <c r="L38" s="11"/>
    </row>
    <row r="39" spans="1:12" ht="15" thickBot="1" x14ac:dyDescent="0.4">
      <c r="A39" s="46" t="s">
        <v>53</v>
      </c>
      <c r="C39" s="99"/>
      <c r="D39" s="17"/>
      <c r="E39" s="17"/>
      <c r="F39" s="17"/>
      <c r="G39" s="28"/>
      <c r="H39" s="17"/>
      <c r="I39" s="11"/>
      <c r="J39" s="17"/>
      <c r="K39" s="17"/>
      <c r="L39" s="11"/>
    </row>
    <row r="40" spans="1:12" x14ac:dyDescent="0.35">
      <c r="A40" s="46" t="s">
        <v>24</v>
      </c>
      <c r="B40" s="116">
        <v>-426944.36999999994</v>
      </c>
      <c r="C40" s="100">
        <f t="shared" ref="C40:L40" si="15">B40+C34+B47</f>
        <v>-426944.36999999994</v>
      </c>
      <c r="D40" s="41">
        <f t="shared" si="15"/>
        <v>-426944.36999999994</v>
      </c>
      <c r="E40" s="41">
        <f t="shared" si="15"/>
        <v>-427721.15999999992</v>
      </c>
      <c r="F40" s="108">
        <f t="shared" si="15"/>
        <v>-428680.89999999991</v>
      </c>
      <c r="G40" s="40">
        <f t="shared" si="15"/>
        <v>-429874.0199999999</v>
      </c>
      <c r="H40" s="41">
        <f t="shared" si="15"/>
        <v>-431188.30999999988</v>
      </c>
      <c r="I40" s="61">
        <f t="shared" si="15"/>
        <v>-432683.72999999986</v>
      </c>
      <c r="J40" s="123">
        <f t="shared" si="15"/>
        <v>-434383.12999999989</v>
      </c>
      <c r="K40" s="41">
        <f t="shared" si="15"/>
        <v>-436089.1999999999</v>
      </c>
      <c r="L40" s="61">
        <f t="shared" si="15"/>
        <v>-437801.97999999992</v>
      </c>
    </row>
    <row r="41" spans="1:12" x14ac:dyDescent="0.35">
      <c r="A41" s="46" t="s">
        <v>107</v>
      </c>
      <c r="B41" s="244">
        <v>-1081.3799999999999</v>
      </c>
      <c r="C41" s="100">
        <f t="shared" ref="C41:L41" si="16">B41+C35+B48</f>
        <v>-1081.3799999999999</v>
      </c>
      <c r="D41" s="41">
        <f t="shared" si="16"/>
        <v>-1081.3799999999999</v>
      </c>
      <c r="E41" s="41">
        <f t="shared" si="16"/>
        <v>-1083.3499999999999</v>
      </c>
      <c r="F41" s="108">
        <f t="shared" si="16"/>
        <v>-1085.78</v>
      </c>
      <c r="G41" s="40">
        <f t="shared" si="16"/>
        <v>-1088.8</v>
      </c>
      <c r="H41" s="41">
        <f t="shared" si="16"/>
        <v>-1092.1299999999999</v>
      </c>
      <c r="I41" s="61">
        <f t="shared" si="16"/>
        <v>-1095.9199999999998</v>
      </c>
      <c r="J41" s="123">
        <f t="shared" si="16"/>
        <v>-1100.2199999999998</v>
      </c>
      <c r="K41" s="41">
        <f t="shared" si="16"/>
        <v>-1104.5399999999997</v>
      </c>
      <c r="L41" s="61">
        <f t="shared" si="16"/>
        <v>-1108.8799999999997</v>
      </c>
    </row>
    <row r="42" spans="1:12" x14ac:dyDescent="0.35">
      <c r="A42" s="46" t="s">
        <v>108</v>
      </c>
      <c r="B42" s="244">
        <v>-1253.06</v>
      </c>
      <c r="C42" s="100">
        <f t="shared" ref="C42:L42" si="17">B42+C36+B49</f>
        <v>-1253.06</v>
      </c>
      <c r="D42" s="41">
        <f t="shared" si="17"/>
        <v>-1253.06</v>
      </c>
      <c r="E42" s="41">
        <f t="shared" si="17"/>
        <v>-1255.3399999999999</v>
      </c>
      <c r="F42" s="108">
        <f t="shared" si="17"/>
        <v>-1258.1599999999999</v>
      </c>
      <c r="G42" s="40">
        <f t="shared" si="17"/>
        <v>-1261.6599999999999</v>
      </c>
      <c r="H42" s="41">
        <f t="shared" si="17"/>
        <v>-1265.5199999999998</v>
      </c>
      <c r="I42" s="61">
        <f t="shared" si="17"/>
        <v>-1269.9099999999999</v>
      </c>
      <c r="J42" s="123">
        <f t="shared" si="17"/>
        <v>-1274.8999999999999</v>
      </c>
      <c r="K42" s="41">
        <f t="shared" si="17"/>
        <v>-1279.9099999999999</v>
      </c>
      <c r="L42" s="61">
        <f t="shared" si="17"/>
        <v>-1284.9399999999998</v>
      </c>
    </row>
    <row r="43" spans="1:12" ht="15" thickBot="1" x14ac:dyDescent="0.4">
      <c r="A43" s="46" t="s">
        <v>109</v>
      </c>
      <c r="B43" s="117">
        <v>-423.46000000000004</v>
      </c>
      <c r="C43" s="100">
        <f t="shared" ref="C43:L43" si="18">B43+C37+B50</f>
        <v>-423.46000000000004</v>
      </c>
      <c r="D43" s="41">
        <f t="shared" si="18"/>
        <v>-423.46000000000004</v>
      </c>
      <c r="E43" s="41">
        <f t="shared" si="18"/>
        <v>-424.23</v>
      </c>
      <c r="F43" s="108">
        <f t="shared" si="18"/>
        <v>-425.18</v>
      </c>
      <c r="G43" s="40">
        <f t="shared" si="18"/>
        <v>-426.36</v>
      </c>
      <c r="H43" s="41">
        <f t="shared" si="18"/>
        <v>-427.66</v>
      </c>
      <c r="I43" s="61">
        <f t="shared" si="18"/>
        <v>-429.14000000000004</v>
      </c>
      <c r="J43" s="123">
        <f t="shared" si="18"/>
        <v>-430.83000000000004</v>
      </c>
      <c r="K43" s="41">
        <f t="shared" si="18"/>
        <v>-432.52000000000004</v>
      </c>
      <c r="L43" s="61">
        <f t="shared" si="18"/>
        <v>-434.22</v>
      </c>
    </row>
    <row r="44" spans="1:12" x14ac:dyDescent="0.35">
      <c r="C44" s="99"/>
      <c r="D44" s="17"/>
      <c r="E44" s="17"/>
      <c r="F44" s="17"/>
      <c r="G44" s="10"/>
      <c r="H44" s="17"/>
      <c r="I44" s="11"/>
      <c r="J44" s="17"/>
      <c r="K44" s="17"/>
      <c r="L44" s="11"/>
    </row>
    <row r="45" spans="1:12" x14ac:dyDescent="0.35">
      <c r="A45" s="39" t="s">
        <v>88</v>
      </c>
      <c r="B45" s="39"/>
      <c r="C45" s="104"/>
      <c r="D45" s="83">
        <f>+'PCR Cycle 2'!D47</f>
        <v>1.81941E-3</v>
      </c>
      <c r="E45" s="83">
        <f>+'PCR Cycle 2'!E47</f>
        <v>2.2438499999999999E-3</v>
      </c>
      <c r="F45" s="83">
        <f>+'PCR Cycle 2'!F47</f>
        <v>2.7832400000000002E-3</v>
      </c>
      <c r="G45" s="84">
        <f>+'PCR Cycle 2'!G47</f>
        <v>3.0573900000000001E-3</v>
      </c>
      <c r="H45" s="83">
        <f>+'PCR Cycle 2'!H47</f>
        <v>3.4681400000000002E-3</v>
      </c>
      <c r="I45" s="92">
        <f>+'PCR Cycle 2'!I47</f>
        <v>3.92758E-3</v>
      </c>
      <c r="J45" s="83">
        <f>+'PCR Cycle 2'!J47</f>
        <v>3.92758E-3</v>
      </c>
      <c r="K45" s="83">
        <f>+'PCR Cycle 2'!K47</f>
        <v>3.92758E-3</v>
      </c>
      <c r="L45" s="85"/>
    </row>
    <row r="46" spans="1:12" x14ac:dyDescent="0.35">
      <c r="A46" s="39" t="s">
        <v>37</v>
      </c>
      <c r="B46" s="39"/>
      <c r="C46" s="106"/>
      <c r="D46" s="83"/>
      <c r="E46" s="83"/>
      <c r="F46" s="83"/>
      <c r="G46" s="84"/>
      <c r="H46" s="83"/>
      <c r="I46" s="85"/>
      <c r="J46" s="83"/>
      <c r="K46" s="83"/>
      <c r="L46" s="85"/>
    </row>
    <row r="47" spans="1:12" x14ac:dyDescent="0.35">
      <c r="A47" s="46" t="s">
        <v>24</v>
      </c>
      <c r="C47" s="100">
        <v>0</v>
      </c>
      <c r="D47" s="41">
        <f t="shared" ref="D47:L47" si="19">ROUND((C40+C47+D34/2)*D$45,2)</f>
        <v>-776.79</v>
      </c>
      <c r="E47" s="41">
        <f t="shared" si="19"/>
        <v>-959.74</v>
      </c>
      <c r="F47" s="108">
        <f t="shared" si="19"/>
        <v>-1193.1199999999999</v>
      </c>
      <c r="G47" s="40">
        <f t="shared" si="19"/>
        <v>-1314.29</v>
      </c>
      <c r="H47" s="123">
        <f t="shared" si="19"/>
        <v>-1495.42</v>
      </c>
      <c r="I47" s="49">
        <f t="shared" si="19"/>
        <v>-1699.4</v>
      </c>
      <c r="J47" s="161">
        <f t="shared" si="19"/>
        <v>-1706.07</v>
      </c>
      <c r="K47" s="108">
        <f t="shared" si="19"/>
        <v>-1712.78</v>
      </c>
      <c r="L47" s="61">
        <f t="shared" si="19"/>
        <v>0</v>
      </c>
    </row>
    <row r="48" spans="1:12" x14ac:dyDescent="0.35">
      <c r="A48" s="46" t="s">
        <v>107</v>
      </c>
      <c r="C48" s="100">
        <v>0</v>
      </c>
      <c r="D48" s="41">
        <f t="shared" ref="D48:L48" si="20">ROUND((C41+C48+D35/2)*D$45,2)</f>
        <v>-1.97</v>
      </c>
      <c r="E48" s="41">
        <f t="shared" si="20"/>
        <v>-2.4300000000000002</v>
      </c>
      <c r="F48" s="108">
        <f t="shared" si="20"/>
        <v>-3.02</v>
      </c>
      <c r="G48" s="40">
        <f t="shared" si="20"/>
        <v>-3.33</v>
      </c>
      <c r="H48" s="123">
        <f t="shared" si="20"/>
        <v>-3.79</v>
      </c>
      <c r="I48" s="49">
        <f t="shared" si="20"/>
        <v>-4.3</v>
      </c>
      <c r="J48" s="161">
        <f t="shared" si="20"/>
        <v>-4.32</v>
      </c>
      <c r="K48" s="108">
        <f t="shared" si="20"/>
        <v>-4.34</v>
      </c>
      <c r="L48" s="61">
        <f t="shared" si="20"/>
        <v>0</v>
      </c>
    </row>
    <row r="49" spans="1:12" x14ac:dyDescent="0.35">
      <c r="A49" s="46" t="s">
        <v>108</v>
      </c>
      <c r="C49" s="100">
        <v>0</v>
      </c>
      <c r="D49" s="41">
        <f t="shared" ref="D49:L49" si="21">ROUND((C42+C49+D36/2)*D$45,2)</f>
        <v>-2.2799999999999998</v>
      </c>
      <c r="E49" s="41">
        <f t="shared" si="21"/>
        <v>-2.82</v>
      </c>
      <c r="F49" s="108">
        <f t="shared" si="21"/>
        <v>-3.5</v>
      </c>
      <c r="G49" s="40">
        <f t="shared" si="21"/>
        <v>-3.86</v>
      </c>
      <c r="H49" s="123">
        <f t="shared" si="21"/>
        <v>-4.3899999999999997</v>
      </c>
      <c r="I49" s="49">
        <f t="shared" si="21"/>
        <v>-4.99</v>
      </c>
      <c r="J49" s="161">
        <f t="shared" si="21"/>
        <v>-5.01</v>
      </c>
      <c r="K49" s="108">
        <f t="shared" si="21"/>
        <v>-5.03</v>
      </c>
      <c r="L49" s="61">
        <f t="shared" si="21"/>
        <v>0</v>
      </c>
    </row>
    <row r="50" spans="1:12" ht="15" thickBot="1" x14ac:dyDescent="0.4">
      <c r="A50" s="46" t="s">
        <v>109</v>
      </c>
      <c r="C50" s="100">
        <v>0</v>
      </c>
      <c r="D50" s="41">
        <f t="shared" ref="D50:L50" si="22">ROUND((C43+C50+D37/2)*D$45,2)</f>
        <v>-0.77</v>
      </c>
      <c r="E50" s="41">
        <f t="shared" si="22"/>
        <v>-0.95</v>
      </c>
      <c r="F50" s="108">
        <f t="shared" si="22"/>
        <v>-1.18</v>
      </c>
      <c r="G50" s="40">
        <f t="shared" si="22"/>
        <v>-1.3</v>
      </c>
      <c r="H50" s="123">
        <f t="shared" si="22"/>
        <v>-1.48</v>
      </c>
      <c r="I50" s="49">
        <f t="shared" si="22"/>
        <v>-1.69</v>
      </c>
      <c r="J50" s="161">
        <f t="shared" si="22"/>
        <v>-1.69</v>
      </c>
      <c r="K50" s="108">
        <f t="shared" si="22"/>
        <v>-1.7</v>
      </c>
      <c r="L50" s="61">
        <f t="shared" si="22"/>
        <v>0</v>
      </c>
    </row>
    <row r="51" spans="1:12" ht="15.5" thickTop="1" thickBot="1" x14ac:dyDescent="0.4">
      <c r="A51" s="54" t="s">
        <v>22</v>
      </c>
      <c r="B51" s="54"/>
      <c r="C51" s="107">
        <v>0</v>
      </c>
      <c r="D51" s="42">
        <f t="shared" ref="D51:I51" si="23">SUM(D47:D50)+SUM(D40:D43)-D54</f>
        <v>0</v>
      </c>
      <c r="E51" s="42">
        <f t="shared" si="23"/>
        <v>0</v>
      </c>
      <c r="F51" s="50">
        <f t="shared" ref="F51:H51" si="24">SUM(F47:F50)+SUM(F40:F43)-F54</f>
        <v>0</v>
      </c>
      <c r="G51" s="290">
        <f t="shared" si="24"/>
        <v>0</v>
      </c>
      <c r="H51" s="50">
        <f t="shared" si="24"/>
        <v>0</v>
      </c>
      <c r="I51" s="62">
        <f t="shared" si="23"/>
        <v>0</v>
      </c>
      <c r="J51" s="162">
        <f t="shared" ref="J51:L51" si="25">SUM(J47:J50)+SUM(J40:J43)-J54</f>
        <v>0</v>
      </c>
      <c r="K51" s="50">
        <f t="shared" si="25"/>
        <v>0</v>
      </c>
      <c r="L51" s="62">
        <f t="shared" si="25"/>
        <v>0</v>
      </c>
    </row>
    <row r="52" spans="1:12" ht="15.5" thickTop="1" thickBot="1" x14ac:dyDescent="0.4">
      <c r="A52" s="54" t="s">
        <v>23</v>
      </c>
      <c r="B52" s="54"/>
      <c r="C52" s="107">
        <v>0</v>
      </c>
      <c r="D52" s="42">
        <f t="shared" ref="D52:I52" si="26">SUM(D47:D50)-D31</f>
        <v>0</v>
      </c>
      <c r="E52" s="42">
        <f t="shared" si="26"/>
        <v>0</v>
      </c>
      <c r="F52" s="50">
        <f t="shared" ref="F52:H52" si="27">SUM(F47:F50)-F31</f>
        <v>0</v>
      </c>
      <c r="G52" s="290">
        <f t="shared" si="27"/>
        <v>0</v>
      </c>
      <c r="H52" s="50">
        <f t="shared" si="27"/>
        <v>0</v>
      </c>
      <c r="I52" s="62">
        <f t="shared" si="26"/>
        <v>0</v>
      </c>
      <c r="J52" s="163">
        <f t="shared" ref="J52:L52" si="28">SUM(J47:J50)-J31</f>
        <v>0</v>
      </c>
      <c r="K52" s="42">
        <f t="shared" si="28"/>
        <v>0</v>
      </c>
      <c r="L52" s="42">
        <f t="shared" si="28"/>
        <v>0</v>
      </c>
    </row>
    <row r="53" spans="1:12" ht="15.5" thickTop="1" thickBot="1" x14ac:dyDescent="0.4">
      <c r="C53" s="99"/>
      <c r="D53" s="17"/>
      <c r="E53" s="17"/>
      <c r="F53" s="17"/>
      <c r="G53" s="10"/>
      <c r="H53" s="17"/>
      <c r="I53" s="11"/>
      <c r="J53" s="17"/>
      <c r="K53" s="17"/>
      <c r="L53" s="11"/>
    </row>
    <row r="54" spans="1:12" ht="15" thickBot="1" x14ac:dyDescent="0.4">
      <c r="A54" s="46" t="s">
        <v>36</v>
      </c>
      <c r="B54" s="119">
        <f>SUM(B40:B43)</f>
        <v>-429702.26999999996</v>
      </c>
      <c r="C54" s="100">
        <f t="shared" ref="C54:L54" si="29">(C17-SUM(C20:C23))+SUM(C47:C50)+B54</f>
        <v>-429702.26999999996</v>
      </c>
      <c r="D54" s="41">
        <f t="shared" si="29"/>
        <v>-430484.07999999996</v>
      </c>
      <c r="E54" s="41">
        <f t="shared" si="29"/>
        <v>-431450.01999999996</v>
      </c>
      <c r="F54" s="108">
        <f t="shared" si="29"/>
        <v>-432650.83999999997</v>
      </c>
      <c r="G54" s="40">
        <f t="shared" si="29"/>
        <v>-433973.62</v>
      </c>
      <c r="H54" s="41">
        <f t="shared" si="29"/>
        <v>-435478.7</v>
      </c>
      <c r="I54" s="61">
        <f t="shared" si="29"/>
        <v>-437189.08</v>
      </c>
      <c r="J54" s="161">
        <f t="shared" si="29"/>
        <v>-438906.17000000004</v>
      </c>
      <c r="K54" s="108">
        <f t="shared" si="29"/>
        <v>-440630.02</v>
      </c>
      <c r="L54" s="61">
        <f t="shared" si="29"/>
        <v>-440630.02</v>
      </c>
    </row>
    <row r="55" spans="1:12" x14ac:dyDescent="0.35">
      <c r="A55" s="46" t="s">
        <v>12</v>
      </c>
      <c r="C55" s="120"/>
      <c r="D55" s="17"/>
      <c r="E55" s="17"/>
      <c r="F55" s="17"/>
      <c r="G55" s="10"/>
      <c r="H55" s="17"/>
      <c r="I55" s="11"/>
      <c r="J55" s="17"/>
      <c r="K55" s="17"/>
      <c r="L55" s="11"/>
    </row>
    <row r="56" spans="1:12" ht="15" thickBot="1" x14ac:dyDescent="0.4">
      <c r="A56" s="37"/>
      <c r="B56" s="37"/>
      <c r="C56" s="146"/>
      <c r="D56" s="44"/>
      <c r="E56" s="44"/>
      <c r="F56" s="44"/>
      <c r="G56" s="43"/>
      <c r="H56" s="44"/>
      <c r="I56" s="45"/>
      <c r="J56" s="44"/>
      <c r="K56" s="44"/>
      <c r="L56" s="45"/>
    </row>
    <row r="58" spans="1:12" x14ac:dyDescent="0.35">
      <c r="A58" s="69" t="s">
        <v>11</v>
      </c>
      <c r="B58" s="69"/>
      <c r="C58" s="69"/>
    </row>
    <row r="59" spans="1:12" x14ac:dyDescent="0.35">
      <c r="A59" s="324" t="s">
        <v>188</v>
      </c>
      <c r="B59" s="324"/>
      <c r="C59" s="324"/>
      <c r="D59" s="324"/>
      <c r="E59" s="324"/>
      <c r="F59" s="324"/>
      <c r="G59" s="324"/>
      <c r="H59" s="324"/>
      <c r="I59" s="324"/>
      <c r="J59" s="299"/>
      <c r="K59" s="299"/>
      <c r="L59" s="299"/>
    </row>
    <row r="60" spans="1:12" ht="32.25" customHeight="1" x14ac:dyDescent="0.35">
      <c r="A60" s="324" t="s">
        <v>177</v>
      </c>
      <c r="B60" s="324"/>
      <c r="C60" s="324"/>
      <c r="D60" s="324"/>
      <c r="E60" s="324"/>
      <c r="F60" s="324"/>
      <c r="G60" s="324"/>
      <c r="H60" s="324"/>
      <c r="I60" s="324"/>
      <c r="J60" s="299"/>
      <c r="K60" s="299"/>
    </row>
    <row r="61" spans="1:12" ht="18.75" customHeight="1" x14ac:dyDescent="0.35">
      <c r="A61" s="3" t="s">
        <v>178</v>
      </c>
      <c r="B61" s="3"/>
      <c r="C61" s="3"/>
      <c r="I61" s="4"/>
      <c r="J61" s="299"/>
      <c r="K61" s="299"/>
      <c r="L61" s="299"/>
    </row>
    <row r="62" spans="1:12" x14ac:dyDescent="0.35">
      <c r="A62" s="3" t="s">
        <v>202</v>
      </c>
      <c r="B62" s="3"/>
      <c r="C62" s="3"/>
      <c r="I62" s="4"/>
    </row>
    <row r="63" spans="1:12" x14ac:dyDescent="0.35">
      <c r="A63" s="3" t="s">
        <v>125</v>
      </c>
      <c r="B63" s="3"/>
      <c r="C63" s="3"/>
      <c r="I63" s="4"/>
    </row>
    <row r="64" spans="1:12" x14ac:dyDescent="0.35">
      <c r="A64" s="3" t="s">
        <v>155</v>
      </c>
      <c r="B64" s="63"/>
      <c r="C64" s="63"/>
      <c r="D64" s="39"/>
      <c r="E64" s="39"/>
      <c r="F64" s="39"/>
      <c r="G64" s="39"/>
      <c r="H64" s="39"/>
      <c r="I64" s="39"/>
    </row>
    <row r="65" spans="1:3" x14ac:dyDescent="0.35">
      <c r="A65" s="3"/>
      <c r="B65" s="3"/>
      <c r="C65" s="3"/>
    </row>
  </sheetData>
  <mergeCells count="5">
    <mergeCell ref="D15:F15"/>
    <mergeCell ref="G15:I15"/>
    <mergeCell ref="J15:L15"/>
    <mergeCell ref="A59:I59"/>
    <mergeCell ref="A60:I60"/>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2:G29"/>
  <sheetViews>
    <sheetView workbookViewId="0">
      <selection activeCell="B4" sqref="B4:F24"/>
    </sheetView>
  </sheetViews>
  <sheetFormatPr defaultRowHeight="14.5" x14ac:dyDescent="0.35"/>
  <cols>
    <col min="1" max="1" width="27.7265625" customWidth="1"/>
    <col min="2" max="2" width="11.26953125" bestFit="1" customWidth="1"/>
    <col min="3" max="3" width="10.1796875" bestFit="1" customWidth="1"/>
    <col min="4" max="5" width="10.7265625" bestFit="1" customWidth="1"/>
    <col min="6" max="6" width="9.6328125" bestFit="1" customWidth="1"/>
  </cols>
  <sheetData>
    <row r="2" spans="1:6" x14ac:dyDescent="0.35">
      <c r="A2" s="3" t="str">
        <f>+'tariff tables'!A1</f>
        <v>Evergy Missouri West, Inc. - DSIM Rider Update Filed 12/02/2022</v>
      </c>
    </row>
    <row r="3" spans="1:6" ht="15" thickBot="1" x14ac:dyDescent="0.4">
      <c r="A3" s="3" t="s">
        <v>126</v>
      </c>
    </row>
    <row r="4" spans="1:6" ht="27.5" thickBot="1" x14ac:dyDescent="0.4">
      <c r="A4" s="87" t="s">
        <v>133</v>
      </c>
      <c r="B4" s="130" t="s">
        <v>132</v>
      </c>
      <c r="C4" s="130" t="s">
        <v>131</v>
      </c>
      <c r="D4" s="130" t="s">
        <v>130</v>
      </c>
      <c r="E4" s="130" t="s">
        <v>129</v>
      </c>
      <c r="F4" s="89" t="s">
        <v>28</v>
      </c>
    </row>
    <row r="5" spans="1:6" ht="15" thickBot="1" x14ac:dyDescent="0.4">
      <c r="A5" s="90" t="s">
        <v>24</v>
      </c>
      <c r="B5" s="235">
        <f>+'tariff tables'!S12+'tariff tables'!S20</f>
        <v>0</v>
      </c>
      <c r="C5" s="236">
        <f>+'tariff tables'!T12+'tariff tables'!T20</f>
        <v>2.0000000000000001E-4</v>
      </c>
      <c r="D5" s="236">
        <f>+'tariff tables'!U12+'tariff tables'!U20</f>
        <v>-2.9999999999999991E-5</v>
      </c>
      <c r="E5" s="236">
        <f>+'tariff tables'!V12+'tariff tables'!V20</f>
        <v>-1.0000000000000001E-5</v>
      </c>
      <c r="F5" s="234">
        <f>SUM(B5:E5)</f>
        <v>1.6000000000000001E-4</v>
      </c>
    </row>
    <row r="6" spans="1:6" ht="15" thickBot="1" x14ac:dyDescent="0.4">
      <c r="A6" s="90" t="s">
        <v>107</v>
      </c>
      <c r="B6" s="235">
        <f>+'tariff tables'!S13+'tariff tables'!S21</f>
        <v>-3.0000000000000001E-5</v>
      </c>
      <c r="C6" s="236">
        <f>+'tariff tables'!T13+'tariff tables'!T21</f>
        <v>1.9000000000000001E-4</v>
      </c>
      <c r="D6" s="236">
        <f>+'tariff tables'!U13+'tariff tables'!U21</f>
        <v>1.2E-4</v>
      </c>
      <c r="E6" s="236">
        <f>+'tariff tables'!V13+'tariff tables'!V21</f>
        <v>0</v>
      </c>
      <c r="F6" s="234">
        <f t="shared" ref="F6:F8" si="0">SUM(B6:E6)</f>
        <v>2.8000000000000003E-4</v>
      </c>
    </row>
    <row r="7" spans="1:6" ht="15" thickBot="1" x14ac:dyDescent="0.4">
      <c r="A7" s="90" t="s">
        <v>108</v>
      </c>
      <c r="B7" s="235">
        <f>+'tariff tables'!S14+'tariff tables'!S22</f>
        <v>-3.0000000000000001E-5</v>
      </c>
      <c r="C7" s="236">
        <f>+'tariff tables'!T14+'tariff tables'!T22</f>
        <v>2.3000000000000001E-4</v>
      </c>
      <c r="D7" s="236">
        <f>+'tariff tables'!U14+'tariff tables'!U22</f>
        <v>1.4000000000000001E-4</v>
      </c>
      <c r="E7" s="236">
        <f>+'tariff tables'!V14+'tariff tables'!V22</f>
        <v>0</v>
      </c>
      <c r="F7" s="234">
        <f t="shared" si="0"/>
        <v>3.4000000000000002E-4</v>
      </c>
    </row>
    <row r="8" spans="1:6" ht="15" thickBot="1" x14ac:dyDescent="0.4">
      <c r="A8" s="90" t="s">
        <v>109</v>
      </c>
      <c r="B8" s="235">
        <f>+'tariff tables'!S15+'tariff tables'!S23</f>
        <v>-2.0000000000000002E-5</v>
      </c>
      <c r="C8" s="236">
        <f>+'tariff tables'!T15+'tariff tables'!T23</f>
        <v>1.1E-4</v>
      </c>
      <c r="D8" s="236">
        <f>+'tariff tables'!U15+'tariff tables'!U23</f>
        <v>7.0000000000000007E-5</v>
      </c>
      <c r="E8" s="236">
        <f>+'tariff tables'!V15+'tariff tables'!V23</f>
        <v>0</v>
      </c>
      <c r="F8" s="234">
        <f t="shared" si="0"/>
        <v>1.6000000000000001E-4</v>
      </c>
    </row>
    <row r="11" spans="1:6" ht="15" thickBot="1" x14ac:dyDescent="0.4">
      <c r="A11" s="3" t="s">
        <v>127</v>
      </c>
      <c r="B11" s="46"/>
      <c r="C11" s="46"/>
      <c r="D11" s="46"/>
      <c r="E11" s="46"/>
      <c r="F11" s="46"/>
    </row>
    <row r="12" spans="1:6" ht="27.5" thickBot="1" x14ac:dyDescent="0.4">
      <c r="A12" s="87" t="s">
        <v>133</v>
      </c>
      <c r="B12" s="130" t="s">
        <v>132</v>
      </c>
      <c r="C12" s="130" t="s">
        <v>131</v>
      </c>
      <c r="D12" s="130" t="s">
        <v>130</v>
      </c>
      <c r="E12" s="130" t="s">
        <v>129</v>
      </c>
      <c r="F12" s="89" t="s">
        <v>28</v>
      </c>
    </row>
    <row r="13" spans="1:6" ht="15" thickBot="1" x14ac:dyDescent="0.4">
      <c r="A13" s="90" t="s">
        <v>24</v>
      </c>
      <c r="B13" s="235">
        <f>+'tariff tables'!X12+'tariff tables'!X20</f>
        <v>2.33E-3</v>
      </c>
      <c r="C13" s="236">
        <f>+'tariff tables'!Y12+'tariff tables'!Y20</f>
        <v>4.2999999999999999E-4</v>
      </c>
      <c r="D13" s="236">
        <f>+'tariff tables'!Z12+'tariff tables'!Z20</f>
        <v>1.2999999999999999E-4</v>
      </c>
      <c r="E13" s="236">
        <f>+'tariff tables'!AA12+'tariff tables'!AA20</f>
        <v>-1.2E-4</v>
      </c>
      <c r="F13" s="234">
        <f>SUM(B13:E13)</f>
        <v>2.7699999999999999E-3</v>
      </c>
    </row>
    <row r="14" spans="1:6" ht="15" thickBot="1" x14ac:dyDescent="0.4">
      <c r="A14" s="90" t="s">
        <v>107</v>
      </c>
      <c r="B14" s="235">
        <f>+'tariff tables'!X13+'tariff tables'!X21</f>
        <v>1.7300000000000002E-3</v>
      </c>
      <c r="C14" s="236">
        <f>+'tariff tables'!Y13+'tariff tables'!Y21</f>
        <v>4.2999999999999994E-4</v>
      </c>
      <c r="D14" s="236">
        <f>+'tariff tables'!Z13+'tariff tables'!Z21</f>
        <v>8.0000000000000007E-5</v>
      </c>
      <c r="E14" s="236">
        <f>+'tariff tables'!AA13+'tariff tables'!AA21</f>
        <v>0</v>
      </c>
      <c r="F14" s="234">
        <f t="shared" ref="F14:F16" si="1">SUM(B14:E14)</f>
        <v>2.2400000000000002E-3</v>
      </c>
    </row>
    <row r="15" spans="1:6" ht="15" thickBot="1" x14ac:dyDescent="0.4">
      <c r="A15" s="90" t="s">
        <v>108</v>
      </c>
      <c r="B15" s="235">
        <f>+'tariff tables'!X14+'tariff tables'!X22</f>
        <v>3.3999999999999998E-3</v>
      </c>
      <c r="C15" s="236">
        <f>+'tariff tables'!Y14+'tariff tables'!Y22</f>
        <v>5.8E-4</v>
      </c>
      <c r="D15" s="236">
        <f>+'tariff tables'!Z14+'tariff tables'!Z22</f>
        <v>9.0000000000000006E-5</v>
      </c>
      <c r="E15" s="236">
        <f>+'tariff tables'!AA14+'tariff tables'!AA22</f>
        <v>0</v>
      </c>
      <c r="F15" s="234">
        <f t="shared" si="1"/>
        <v>4.0699999999999998E-3</v>
      </c>
    </row>
    <row r="16" spans="1:6" ht="15" thickBot="1" x14ac:dyDescent="0.4">
      <c r="A16" s="90" t="s">
        <v>109</v>
      </c>
      <c r="B16" s="235">
        <f>+'tariff tables'!X15+'tariff tables'!X23</f>
        <v>1.6299999999999999E-3</v>
      </c>
      <c r="C16" s="236">
        <f>+'tariff tables'!Y15+'tariff tables'!Y23</f>
        <v>1.6000000000000001E-4</v>
      </c>
      <c r="D16" s="236">
        <f>+'tariff tables'!Z15+'tariff tables'!Z23</f>
        <v>8.9999999999999992E-5</v>
      </c>
      <c r="E16" s="236">
        <f>+'tariff tables'!AA15+'tariff tables'!AA23</f>
        <v>0</v>
      </c>
      <c r="F16" s="234">
        <f t="shared" si="1"/>
        <v>1.8799999999999999E-3</v>
      </c>
    </row>
    <row r="19" spans="1:7" ht="15" thickBot="1" x14ac:dyDescent="0.4">
      <c r="A19" s="3" t="s">
        <v>128</v>
      </c>
      <c r="B19" s="46"/>
      <c r="C19" s="46"/>
      <c r="D19" s="46"/>
      <c r="E19" s="46"/>
      <c r="F19" s="46"/>
    </row>
    <row r="20" spans="1:7" ht="27.5" thickBot="1" x14ac:dyDescent="0.4">
      <c r="A20" s="87" t="s">
        <v>133</v>
      </c>
      <c r="B20" s="130" t="s">
        <v>132</v>
      </c>
      <c r="C20" s="130" t="s">
        <v>131</v>
      </c>
      <c r="D20" s="130" t="s">
        <v>130</v>
      </c>
      <c r="E20" s="130" t="s">
        <v>129</v>
      </c>
      <c r="F20" s="89" t="s">
        <v>28</v>
      </c>
    </row>
    <row r="21" spans="1:7" ht="15" thickBot="1" x14ac:dyDescent="0.4">
      <c r="A21" s="90" t="s">
        <v>24</v>
      </c>
      <c r="B21" s="235">
        <f t="shared" ref="B21:E24" si="2">+B5+B13</f>
        <v>2.33E-3</v>
      </c>
      <c r="C21" s="236">
        <f t="shared" si="2"/>
        <v>6.3000000000000003E-4</v>
      </c>
      <c r="D21" s="236">
        <f t="shared" si="2"/>
        <v>9.9999999999999991E-5</v>
      </c>
      <c r="E21" s="236">
        <f t="shared" si="2"/>
        <v>-1.3000000000000002E-4</v>
      </c>
      <c r="F21" s="234">
        <f>SUM(B21:E21)</f>
        <v>2.9299999999999999E-3</v>
      </c>
      <c r="G21" s="237">
        <f>+F21-'tariff tables'!H4</f>
        <v>0</v>
      </c>
    </row>
    <row r="22" spans="1:7" ht="15" thickBot="1" x14ac:dyDescent="0.4">
      <c r="A22" s="90" t="s">
        <v>107</v>
      </c>
      <c r="B22" s="235">
        <f t="shared" si="2"/>
        <v>1.7000000000000001E-3</v>
      </c>
      <c r="C22" s="236">
        <f t="shared" si="2"/>
        <v>6.1999999999999989E-4</v>
      </c>
      <c r="D22" s="236">
        <f t="shared" si="2"/>
        <v>2.0000000000000001E-4</v>
      </c>
      <c r="E22" s="236">
        <f t="shared" si="2"/>
        <v>0</v>
      </c>
      <c r="F22" s="234">
        <f t="shared" ref="F22:F24" si="3">SUM(B22:E22)</f>
        <v>2.5200000000000001E-3</v>
      </c>
      <c r="G22" s="237">
        <f>+F22-'tariff tables'!H5</f>
        <v>0</v>
      </c>
    </row>
    <row r="23" spans="1:7" ht="15" thickBot="1" x14ac:dyDescent="0.4">
      <c r="A23" s="90" t="s">
        <v>108</v>
      </c>
      <c r="B23" s="235">
        <f t="shared" si="2"/>
        <v>3.3699999999999997E-3</v>
      </c>
      <c r="C23" s="236">
        <f t="shared" si="2"/>
        <v>8.0999999999999996E-4</v>
      </c>
      <c r="D23" s="236">
        <f t="shared" si="2"/>
        <v>2.3000000000000001E-4</v>
      </c>
      <c r="E23" s="236">
        <f t="shared" si="2"/>
        <v>0</v>
      </c>
      <c r="F23" s="234">
        <f t="shared" si="3"/>
        <v>4.4099999999999999E-3</v>
      </c>
      <c r="G23" s="237">
        <f>+F23-'tariff tables'!H6</f>
        <v>0</v>
      </c>
    </row>
    <row r="24" spans="1:7" ht="15" thickBot="1" x14ac:dyDescent="0.4">
      <c r="A24" s="90" t="s">
        <v>109</v>
      </c>
      <c r="B24" s="235">
        <f t="shared" si="2"/>
        <v>1.6099999999999999E-3</v>
      </c>
      <c r="C24" s="236">
        <f t="shared" si="2"/>
        <v>2.7E-4</v>
      </c>
      <c r="D24" s="236">
        <f t="shared" si="2"/>
        <v>1.5999999999999999E-4</v>
      </c>
      <c r="E24" s="236">
        <f t="shared" si="2"/>
        <v>0</v>
      </c>
      <c r="F24" s="234">
        <f t="shared" si="3"/>
        <v>2.0400000000000001E-3</v>
      </c>
      <c r="G24" s="237">
        <f>+F24-'tariff tables'!H7</f>
        <v>0</v>
      </c>
    </row>
    <row r="26" spans="1:7" x14ac:dyDescent="0.35">
      <c r="B26" s="237">
        <f>+B21-'tariff tables'!J4</f>
        <v>0</v>
      </c>
      <c r="C26" s="237">
        <f>+C21-'tariff tables'!K4</f>
        <v>0</v>
      </c>
      <c r="D26" s="237">
        <f>+D21-'tariff tables'!L4</f>
        <v>0</v>
      </c>
      <c r="E26" s="237">
        <f>+E21-'tariff tables'!M4</f>
        <v>0</v>
      </c>
      <c r="F26" s="237"/>
    </row>
    <row r="27" spans="1:7" x14ac:dyDescent="0.35">
      <c r="B27" s="237">
        <f>+B22-'tariff tables'!J5</f>
        <v>0</v>
      </c>
      <c r="C27" s="237">
        <f>+C22-'tariff tables'!K5</f>
        <v>0</v>
      </c>
      <c r="D27" s="237">
        <f>+D22-'tariff tables'!L5</f>
        <v>0</v>
      </c>
      <c r="E27" s="237">
        <f>+E22-'tariff tables'!M5</f>
        <v>0</v>
      </c>
      <c r="F27" s="237"/>
    </row>
    <row r="28" spans="1:7" x14ac:dyDescent="0.35">
      <c r="B28" s="237">
        <f>+B23-'tariff tables'!J6</f>
        <v>0</v>
      </c>
      <c r="C28" s="237">
        <f>+C23-'tariff tables'!K6</f>
        <v>0</v>
      </c>
      <c r="D28" s="237">
        <f>+D23-'tariff tables'!L6</f>
        <v>0</v>
      </c>
      <c r="E28" s="237">
        <f>+E23-'tariff tables'!M6</f>
        <v>0</v>
      </c>
      <c r="F28" s="237"/>
    </row>
    <row r="29" spans="1:7" x14ac:dyDescent="0.35">
      <c r="B29" s="237">
        <f>+B24-'tariff tables'!J7</f>
        <v>0</v>
      </c>
      <c r="C29" s="237">
        <f>+C24-'tariff tables'!K7</f>
        <v>0</v>
      </c>
      <c r="D29" s="237">
        <f>+D24-'tariff tables'!L7</f>
        <v>0</v>
      </c>
      <c r="E29" s="237">
        <f>+E24-'tariff tables'!M7</f>
        <v>0</v>
      </c>
      <c r="F29" s="237"/>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49"/>
  <sheetViews>
    <sheetView workbookViewId="0">
      <selection activeCell="K7" sqref="K7"/>
    </sheetView>
  </sheetViews>
  <sheetFormatPr defaultColWidth="9.1796875" defaultRowHeight="14.5" x14ac:dyDescent="0.35"/>
  <cols>
    <col min="1" max="1" width="20.81640625" style="46" customWidth="1"/>
    <col min="2" max="2" width="22" style="46" customWidth="1"/>
    <col min="3" max="3" width="17.26953125" style="46" customWidth="1"/>
    <col min="4" max="5" width="12.54296875" style="46" bestFit="1" customWidth="1"/>
    <col min="6" max="16384" width="9.1796875" style="46"/>
  </cols>
  <sheetData>
    <row r="1" spans="1:25" x14ac:dyDescent="0.35">
      <c r="A1" s="63" t="s">
        <v>230</v>
      </c>
    </row>
    <row r="2" spans="1:25" x14ac:dyDescent="0.35">
      <c r="A2" s="9" t="s">
        <v>190</v>
      </c>
    </row>
    <row r="3" spans="1:25" ht="35.25" customHeight="1" x14ac:dyDescent="0.35">
      <c r="B3" s="307" t="s">
        <v>112</v>
      </c>
      <c r="C3" s="307"/>
    </row>
    <row r="4" spans="1:25" ht="72.5" x14ac:dyDescent="0.35">
      <c r="B4" s="267" t="s">
        <v>44</v>
      </c>
      <c r="C4" s="232" t="s">
        <v>26</v>
      </c>
      <c r="D4" s="293" t="s">
        <v>191</v>
      </c>
      <c r="E4" s="293" t="s">
        <v>192</v>
      </c>
    </row>
    <row r="5" spans="1:25" x14ac:dyDescent="0.35">
      <c r="A5" s="20" t="s">
        <v>24</v>
      </c>
      <c r="B5" s="268">
        <f>SUM('[1]Billed kWh Sales'!E34:F34)</f>
        <v>3647315115.8699999</v>
      </c>
      <c r="C5" s="230">
        <f>SUM(D5:E5)</f>
        <v>8698442.5199999996</v>
      </c>
      <c r="D5" s="230">
        <f>ROUND(SUM('[2]Monthly Program Costs'!$AR290:$BC290),2)</f>
        <v>54642.42</v>
      </c>
      <c r="E5" s="230">
        <f>ROUND('[3]Settlement Proposal Budget'!$P$22*1,2)</f>
        <v>8643800.0999999996</v>
      </c>
      <c r="G5" s="266"/>
      <c r="H5" s="266"/>
    </row>
    <row r="6" spans="1:25" x14ac:dyDescent="0.35">
      <c r="A6" s="20" t="s">
        <v>107</v>
      </c>
      <c r="B6" s="268">
        <f>SUM('[1]Billed kWh Sales'!E35:F35)</f>
        <v>1151052081</v>
      </c>
      <c r="C6" s="230">
        <f t="shared" ref="C6:C8" si="0">SUM(D6:E6)</f>
        <v>2698134.1799999997</v>
      </c>
      <c r="D6" s="230">
        <f>ROUND(SUM('[2]Monthly Program Costs'!$AR291:$BC291),2)</f>
        <v>130455.03</v>
      </c>
      <c r="E6" s="230">
        <f>ROUND('[3]Settlement Proposal Budget'!$Q$22*1,2)</f>
        <v>2567679.15</v>
      </c>
      <c r="F6" s="266"/>
      <c r="G6" s="266"/>
      <c r="H6" s="266"/>
      <c r="I6" s="266"/>
    </row>
    <row r="7" spans="1:25" x14ac:dyDescent="0.35">
      <c r="A7" s="20" t="s">
        <v>108</v>
      </c>
      <c r="B7" s="268">
        <f>SUM('[1]Billed kWh Sales'!E36:F36)</f>
        <v>1104761271</v>
      </c>
      <c r="C7" s="230">
        <f t="shared" si="0"/>
        <v>3661187.4</v>
      </c>
      <c r="D7" s="230">
        <f>ROUND(SUM('[2]Monthly Program Costs'!$AR293:$BC293),2)</f>
        <v>126774.46</v>
      </c>
      <c r="E7" s="230">
        <f>ROUND('[3]Settlement Proposal Budget'!$S$22*1,2)</f>
        <v>3534412.94</v>
      </c>
      <c r="F7" s="266"/>
      <c r="G7" s="266"/>
      <c r="H7" s="266"/>
      <c r="I7" s="266"/>
    </row>
    <row r="8" spans="1:25" x14ac:dyDescent="0.35">
      <c r="A8" s="20" t="s">
        <v>109</v>
      </c>
      <c r="B8" s="268">
        <f>SUM('[1]Billed kWh Sales'!E37:F37)</f>
        <v>812954856</v>
      </c>
      <c r="C8" s="230">
        <f t="shared" si="0"/>
        <v>2027280.2799999998</v>
      </c>
      <c r="D8" s="230">
        <f>ROUND(SUM('[2]Monthly Program Costs'!$AR294:$BC294),2)</f>
        <v>86317.13</v>
      </c>
      <c r="E8" s="230">
        <f>ROUND('[3]Settlement Proposal Budget'!$T$22*1,2)</f>
        <v>1940963.15</v>
      </c>
      <c r="F8" s="266"/>
      <c r="G8" s="266"/>
      <c r="H8" s="266"/>
      <c r="I8" s="266"/>
      <c r="P8" s="1"/>
      <c r="Q8" s="1"/>
      <c r="R8" s="1"/>
      <c r="S8" s="1"/>
      <c r="T8" s="1"/>
      <c r="U8" s="1"/>
      <c r="V8" s="1"/>
      <c r="W8" s="1"/>
      <c r="X8" s="1"/>
      <c r="Y8" s="1"/>
    </row>
    <row r="9" spans="1:25" x14ac:dyDescent="0.35">
      <c r="A9" s="30" t="s">
        <v>111</v>
      </c>
      <c r="B9" s="269">
        <f>SUM(B5:B8)</f>
        <v>6716083323.8699999</v>
      </c>
      <c r="C9" s="231">
        <f>SUM(C5:C8)</f>
        <v>17085044.379999999</v>
      </c>
      <c r="D9" s="231">
        <f t="shared" ref="D9:E9" si="1">SUM(D5:D8)</f>
        <v>398189.04000000004</v>
      </c>
      <c r="E9" s="231">
        <f t="shared" si="1"/>
        <v>16686855.34</v>
      </c>
      <c r="P9" s="1"/>
      <c r="Q9" s="1"/>
      <c r="R9" s="1"/>
      <c r="S9" s="1"/>
      <c r="T9" s="1"/>
      <c r="U9" s="1"/>
      <c r="V9" s="1"/>
      <c r="W9" s="1"/>
      <c r="X9" s="1"/>
      <c r="Y9" s="1"/>
    </row>
    <row r="11" spans="1:25" x14ac:dyDescent="0.35">
      <c r="A11" s="53" t="s">
        <v>11</v>
      </c>
    </row>
    <row r="12" spans="1:25" ht="29.25" customHeight="1" x14ac:dyDescent="0.35">
      <c r="A12" s="306" t="s">
        <v>204</v>
      </c>
      <c r="B12" s="306"/>
      <c r="C12" s="306"/>
      <c r="D12" s="306"/>
      <c r="E12" s="306"/>
      <c r="F12" s="295"/>
      <c r="G12" s="306"/>
      <c r="H12" s="306"/>
      <c r="I12" s="306"/>
    </row>
    <row r="13" spans="1:25" ht="18.75" customHeight="1" x14ac:dyDescent="0.35">
      <c r="A13" s="306" t="s">
        <v>179</v>
      </c>
      <c r="B13" s="306"/>
      <c r="C13" s="306"/>
      <c r="D13" s="306"/>
      <c r="E13" s="306"/>
    </row>
    <row r="14" spans="1:25" ht="28.5" customHeight="1" x14ac:dyDescent="0.35">
      <c r="A14" s="306" t="s">
        <v>212</v>
      </c>
      <c r="B14" s="306"/>
      <c r="C14" s="306"/>
      <c r="D14" s="306"/>
      <c r="E14" s="306"/>
    </row>
    <row r="15" spans="1:25" ht="28.5" customHeight="1" x14ac:dyDescent="0.35">
      <c r="A15" s="306" t="s">
        <v>180</v>
      </c>
      <c r="B15" s="306"/>
      <c r="C15" s="306"/>
      <c r="D15" s="306"/>
      <c r="E15" s="306"/>
    </row>
    <row r="16" spans="1:25" ht="32.25" customHeight="1" x14ac:dyDescent="0.35"/>
    <row r="23" spans="3:3" x14ac:dyDescent="0.35">
      <c r="C23" s="2"/>
    </row>
    <row r="45" spans="2:3" x14ac:dyDescent="0.35">
      <c r="B45" s="8"/>
      <c r="C45" s="8"/>
    </row>
    <row r="49" spans="2:3" x14ac:dyDescent="0.35">
      <c r="B49" s="8"/>
      <c r="C49" s="8"/>
    </row>
  </sheetData>
  <mergeCells count="6">
    <mergeCell ref="A15:E15"/>
    <mergeCell ref="B3:C3"/>
    <mergeCell ref="G12:I12"/>
    <mergeCell ref="A12:E12"/>
    <mergeCell ref="A13:E13"/>
    <mergeCell ref="A14:E14"/>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topLeftCell="A25" workbookViewId="0">
      <selection activeCell="B30" sqref="B30"/>
    </sheetView>
  </sheetViews>
  <sheetFormatPr defaultColWidth="9.1796875" defaultRowHeight="14.5" x14ac:dyDescent="0.35"/>
  <cols>
    <col min="1" max="1" width="54.54296875" style="46" customWidth="1"/>
    <col min="2" max="2" width="14.7265625" style="46" customWidth="1"/>
    <col min="3" max="3" width="15" style="46" customWidth="1"/>
    <col min="4" max="4" width="15.26953125" style="46" customWidth="1"/>
    <col min="5" max="5" width="15.81640625" style="46" customWidth="1"/>
    <col min="6" max="6" width="17.54296875" style="46" customWidth="1"/>
    <col min="7" max="8" width="13.26953125" style="46" customWidth="1"/>
    <col min="9" max="9" width="15.7265625" style="46" customWidth="1"/>
    <col min="10" max="11" width="12.54296875" style="46" bestFit="1" customWidth="1"/>
    <col min="12" max="12" width="14.453125" style="46" customWidth="1"/>
    <col min="13" max="13" width="15" style="46" bestFit="1" customWidth="1"/>
    <col min="14" max="14" width="16.26953125" style="46" bestFit="1" customWidth="1"/>
    <col min="15" max="15" width="16.1796875" style="46" customWidth="1"/>
    <col min="16" max="16" width="17.26953125" style="46" bestFit="1" customWidth="1"/>
    <col min="17" max="17" width="17.453125" style="46" customWidth="1"/>
    <col min="18" max="18" width="15.54296875" style="46" customWidth="1"/>
    <col min="19" max="19" width="13" style="46" customWidth="1"/>
    <col min="20" max="20" width="9.1796875" style="46"/>
    <col min="21" max="21" width="14.26953125" style="46" bestFit="1" customWidth="1"/>
    <col min="22" max="16384" width="9.1796875" style="46"/>
  </cols>
  <sheetData>
    <row r="1" spans="1:34" x14ac:dyDescent="0.35">
      <c r="A1" s="3" t="str">
        <f>+'PPC Cycle 3'!A1</f>
        <v>Evergy Missouri West, Inc. - DSIM Rider Update Filed 12/02/2022</v>
      </c>
      <c r="B1" s="3"/>
      <c r="C1" s="3"/>
    </row>
    <row r="2" spans="1:34" x14ac:dyDescent="0.35">
      <c r="D2" s="3" t="s">
        <v>60</v>
      </c>
    </row>
    <row r="3" spans="1:34" ht="29" x14ac:dyDescent="0.35">
      <c r="D3" s="48" t="s">
        <v>46</v>
      </c>
      <c r="E3" s="48" t="s">
        <v>45</v>
      </c>
      <c r="F3" s="70" t="s">
        <v>2</v>
      </c>
      <c r="G3" s="48" t="s">
        <v>3</v>
      </c>
      <c r="H3" s="70" t="s">
        <v>55</v>
      </c>
      <c r="I3" s="48" t="s">
        <v>10</v>
      </c>
      <c r="J3" s="48" t="s">
        <v>4</v>
      </c>
    </row>
    <row r="4" spans="1:34" x14ac:dyDescent="0.35">
      <c r="A4" s="20" t="s">
        <v>24</v>
      </c>
      <c r="D4" s="22">
        <f>SUM(C32:L32)</f>
        <v>0</v>
      </c>
      <c r="E4" s="136">
        <f>SUM(C26:L26)</f>
        <v>1928007434.7515001</v>
      </c>
      <c r="F4" s="22">
        <f>SUM(C22:K22)</f>
        <v>0</v>
      </c>
      <c r="G4" s="22">
        <f>F4-D4</f>
        <v>0</v>
      </c>
      <c r="H4" s="22">
        <f>+B44</f>
        <v>-0.23768000013951607</v>
      </c>
      <c r="I4" s="22">
        <f>SUM(C49:K49)</f>
        <v>0</v>
      </c>
      <c r="J4" s="25">
        <f>SUM(G4:I4)</f>
        <v>-0.23768000013951607</v>
      </c>
      <c r="K4" s="47">
        <f>+J4-L44</f>
        <v>0</v>
      </c>
    </row>
    <row r="5" spans="1:34" ht="15" thickBot="1" x14ac:dyDescent="0.4">
      <c r="A5" s="20" t="s">
        <v>25</v>
      </c>
      <c r="D5" s="22">
        <f>SUM(C33:L35)</f>
        <v>-65850.539999999994</v>
      </c>
      <c r="E5" s="136">
        <f>SUM(C27:L29)</f>
        <v>1673931637.2635</v>
      </c>
      <c r="F5" s="22">
        <f>SUM(C23:K23)</f>
        <v>0</v>
      </c>
      <c r="G5" s="22">
        <f>F5-D5</f>
        <v>65850.539999999994</v>
      </c>
      <c r="H5" s="22">
        <f>+B45</f>
        <v>-144522.08896000014</v>
      </c>
      <c r="I5" s="22">
        <f>SUM(C50:K50)</f>
        <v>-2790.2</v>
      </c>
      <c r="J5" s="25">
        <f>SUM(G5:I5)</f>
        <v>-81461.748960000143</v>
      </c>
      <c r="K5" s="47">
        <f>+J5-L45</f>
        <v>0</v>
      </c>
    </row>
    <row r="6" spans="1:34" ht="15.5" thickTop="1" thickBot="1" x14ac:dyDescent="0.4">
      <c r="D6" s="27">
        <f t="shared" ref="D6" si="0">SUM(D4:D5)</f>
        <v>-65850.539999999994</v>
      </c>
      <c r="E6" s="27">
        <f t="shared" ref="E6:H6" si="1">SUM(E4:E5)</f>
        <v>3601939072.0150003</v>
      </c>
      <c r="F6" s="27">
        <f t="shared" si="1"/>
        <v>0</v>
      </c>
      <c r="G6" s="27">
        <f t="shared" si="1"/>
        <v>65850.539999999994</v>
      </c>
      <c r="H6" s="27">
        <f t="shared" si="1"/>
        <v>-144522.32664000028</v>
      </c>
      <c r="I6" s="27">
        <f>SUM(I4:I5)</f>
        <v>-2790.2</v>
      </c>
      <c r="J6" s="27">
        <f>SUM(J4:J5)</f>
        <v>-81461.986640000279</v>
      </c>
    </row>
    <row r="7" spans="1:34" ht="44" thickTop="1" x14ac:dyDescent="0.35">
      <c r="D7" s="228"/>
      <c r="E7" s="229"/>
      <c r="F7" s="228"/>
      <c r="G7" s="228"/>
      <c r="H7" s="228"/>
      <c r="I7" s="227"/>
      <c r="J7" s="227"/>
      <c r="K7" s="226" t="s">
        <v>122</v>
      </c>
    </row>
    <row r="8" spans="1:34" x14ac:dyDescent="0.35">
      <c r="A8" s="20" t="s">
        <v>107</v>
      </c>
      <c r="D8" s="228"/>
      <c r="E8" s="229"/>
      <c r="F8" s="228"/>
      <c r="G8" s="228"/>
      <c r="H8" s="228"/>
      <c r="I8" s="227"/>
      <c r="J8" s="25">
        <f>ROUND($J$5*K8,2)</f>
        <v>-31940.57</v>
      </c>
      <c r="K8" s="224">
        <f>+'[4]Monthly TD Calc'!$CY$44</f>
        <v>0.39209287804949344</v>
      </c>
    </row>
    <row r="9" spans="1:34" x14ac:dyDescent="0.35">
      <c r="A9" s="20" t="s">
        <v>108</v>
      </c>
      <c r="D9" s="228"/>
      <c r="E9" s="229"/>
      <c r="F9" s="228"/>
      <c r="G9" s="228"/>
      <c r="H9" s="228"/>
      <c r="I9" s="227"/>
      <c r="J9" s="25">
        <f t="shared" ref="J9:J10" si="2">ROUND($J$5*K9,2)</f>
        <v>-37012.89</v>
      </c>
      <c r="K9" s="224">
        <f>+'[4]Monthly TD Calc'!$DA$44</f>
        <v>0.45435908608374953</v>
      </c>
    </row>
    <row r="10" spans="1:34" ht="15" thickBot="1" x14ac:dyDescent="0.4">
      <c r="A10" s="20" t="s">
        <v>109</v>
      </c>
      <c r="D10" s="228"/>
      <c r="E10" s="229"/>
      <c r="F10" s="228"/>
      <c r="G10" s="228"/>
      <c r="H10" s="228"/>
      <c r="I10" s="227"/>
      <c r="J10" s="25">
        <f t="shared" si="2"/>
        <v>-12508.29</v>
      </c>
      <c r="K10" s="224">
        <f>+'[4]Monthly TD Calc'!$DB$44</f>
        <v>0.15354803586675725</v>
      </c>
    </row>
    <row r="11" spans="1:34" ht="15.5" thickTop="1" thickBot="1" x14ac:dyDescent="0.4">
      <c r="A11" s="20" t="s">
        <v>111</v>
      </c>
      <c r="D11" s="228"/>
      <c r="E11" s="229"/>
      <c r="F11" s="228"/>
      <c r="G11" s="228"/>
      <c r="H11" s="228"/>
      <c r="I11" s="227"/>
      <c r="J11" s="27">
        <f>SUM(J8:J10)</f>
        <v>-81461.75</v>
      </c>
      <c r="K11" s="225">
        <f>SUM(K8:K10)</f>
        <v>1.0000000000000002</v>
      </c>
    </row>
    <row r="12" spans="1:34" ht="15.5" thickTop="1" thickBot="1" x14ac:dyDescent="0.4"/>
    <row r="13" spans="1:34" ht="87.5" thickBot="1" x14ac:dyDescent="0.4">
      <c r="B13" s="118" t="s">
        <v>193</v>
      </c>
      <c r="C13" s="151" t="s">
        <v>194</v>
      </c>
      <c r="D13" s="312" t="s">
        <v>33</v>
      </c>
      <c r="E13" s="312"/>
      <c r="F13" s="313"/>
      <c r="G13" s="314" t="s">
        <v>33</v>
      </c>
      <c r="H13" s="315"/>
      <c r="I13" s="316"/>
      <c r="J13" s="308" t="s">
        <v>8</v>
      </c>
      <c r="K13" s="309"/>
      <c r="L13" s="310"/>
    </row>
    <row r="14" spans="1:34" x14ac:dyDescent="0.35">
      <c r="A14" s="46" t="s">
        <v>32</v>
      </c>
      <c r="C14" s="14"/>
      <c r="D14" s="19">
        <v>44712</v>
      </c>
      <c r="E14" s="19">
        <f>EOMONTH(D14,1)</f>
        <v>44742</v>
      </c>
      <c r="F14" s="19">
        <f t="shared" ref="F14:L14" si="3">EOMONTH(E14,1)</f>
        <v>44773</v>
      </c>
      <c r="G14" s="14">
        <f t="shared" si="3"/>
        <v>44804</v>
      </c>
      <c r="H14" s="19">
        <f t="shared" si="3"/>
        <v>44834</v>
      </c>
      <c r="I14" s="15">
        <f t="shared" si="3"/>
        <v>44865</v>
      </c>
      <c r="J14" s="19">
        <f t="shared" si="3"/>
        <v>44895</v>
      </c>
      <c r="K14" s="19">
        <f t="shared" si="3"/>
        <v>44926</v>
      </c>
      <c r="L14" s="95">
        <f t="shared" si="3"/>
        <v>44957</v>
      </c>
      <c r="Y14" s="1"/>
      <c r="Z14" s="1"/>
      <c r="AA14" s="1"/>
      <c r="AB14" s="1"/>
      <c r="AC14" s="1"/>
      <c r="AD14" s="1"/>
      <c r="AE14" s="1"/>
      <c r="AF14" s="1"/>
      <c r="AG14" s="1"/>
      <c r="AH14" s="1"/>
    </row>
    <row r="15" spans="1:34" x14ac:dyDescent="0.35">
      <c r="A15" s="46" t="s">
        <v>24</v>
      </c>
      <c r="C15" s="97">
        <v>0</v>
      </c>
      <c r="D15" s="109">
        <v>0</v>
      </c>
      <c r="E15" s="109">
        <v>0</v>
      </c>
      <c r="F15" s="110">
        <v>0</v>
      </c>
      <c r="G15" s="16">
        <v>0</v>
      </c>
      <c r="H15" s="55">
        <v>0</v>
      </c>
      <c r="I15" s="164">
        <v>0</v>
      </c>
      <c r="J15" s="174">
        <v>0</v>
      </c>
      <c r="K15" s="138">
        <v>0</v>
      </c>
      <c r="L15" s="76"/>
    </row>
    <row r="16" spans="1:34" x14ac:dyDescent="0.35">
      <c r="A16" s="46" t="s">
        <v>25</v>
      </c>
      <c r="C16" s="97">
        <v>0</v>
      </c>
      <c r="D16" s="109">
        <v>0</v>
      </c>
      <c r="E16" s="109">
        <v>0</v>
      </c>
      <c r="F16" s="110">
        <v>0</v>
      </c>
      <c r="G16" s="16">
        <v>0</v>
      </c>
      <c r="H16" s="55">
        <v>0</v>
      </c>
      <c r="I16" s="164">
        <v>0</v>
      </c>
      <c r="J16" s="174">
        <v>0</v>
      </c>
      <c r="K16" s="138">
        <v>0</v>
      </c>
      <c r="L16" s="76"/>
      <c r="M16" s="63" t="s">
        <v>27</v>
      </c>
    </row>
    <row r="17" spans="1:14" x14ac:dyDescent="0.35">
      <c r="A17" s="46" t="s">
        <v>0</v>
      </c>
      <c r="C17" s="97">
        <v>0</v>
      </c>
      <c r="D17" s="109">
        <v>0</v>
      </c>
      <c r="E17" s="109">
        <v>0</v>
      </c>
      <c r="F17" s="110">
        <v>0</v>
      </c>
      <c r="G17" s="16">
        <v>0</v>
      </c>
      <c r="H17" s="55">
        <v>0</v>
      </c>
      <c r="I17" s="164">
        <v>0</v>
      </c>
      <c r="J17" s="174">
        <v>0</v>
      </c>
      <c r="K17" s="138">
        <v>0</v>
      </c>
      <c r="L17" s="76"/>
      <c r="M17" s="73">
        <v>0.5</v>
      </c>
    </row>
    <row r="18" spans="1:14" x14ac:dyDescent="0.35">
      <c r="A18" s="46" t="s">
        <v>1</v>
      </c>
      <c r="C18" s="97">
        <v>0</v>
      </c>
      <c r="D18" s="109">
        <v>0</v>
      </c>
      <c r="E18" s="109">
        <v>0</v>
      </c>
      <c r="F18" s="110">
        <v>0</v>
      </c>
      <c r="G18" s="16">
        <v>0</v>
      </c>
      <c r="H18" s="55">
        <v>0</v>
      </c>
      <c r="I18" s="164">
        <v>0</v>
      </c>
      <c r="J18" s="174">
        <v>0</v>
      </c>
      <c r="K18" s="138">
        <v>0</v>
      </c>
      <c r="L18" s="76"/>
      <c r="M18" s="63"/>
    </row>
    <row r="19" spans="1:14" x14ac:dyDescent="0.35">
      <c r="C19" s="98"/>
      <c r="D19" s="31"/>
      <c r="E19" s="31"/>
      <c r="F19" s="31"/>
      <c r="G19" s="28"/>
      <c r="H19" s="31"/>
      <c r="I19" s="11"/>
      <c r="J19" s="31"/>
      <c r="K19" s="31"/>
      <c r="L19" s="29"/>
    </row>
    <row r="20" spans="1:14" x14ac:dyDescent="0.35">
      <c r="C20" s="98"/>
      <c r="D20" s="31"/>
      <c r="E20" s="31"/>
      <c r="F20" s="31"/>
      <c r="G20" s="28"/>
      <c r="H20" s="31"/>
      <c r="I20" s="11"/>
      <c r="J20" s="31"/>
      <c r="K20" s="31"/>
      <c r="L20" s="29"/>
    </row>
    <row r="21" spans="1:14" x14ac:dyDescent="0.35">
      <c r="A21" s="46" t="s">
        <v>35</v>
      </c>
      <c r="C21" s="99"/>
      <c r="D21" s="31"/>
      <c r="E21" s="31"/>
      <c r="F21" s="31"/>
      <c r="G21" s="28"/>
      <c r="H21" s="31"/>
      <c r="I21" s="165"/>
      <c r="J21" s="17"/>
      <c r="K21" s="17"/>
      <c r="L21" s="11"/>
    </row>
    <row r="22" spans="1:14" x14ac:dyDescent="0.35">
      <c r="A22" s="46" t="s">
        <v>24</v>
      </c>
      <c r="C22" s="40">
        <f t="shared" ref="C22:K22" si="4">C15+($M$17*C$17)+($M$17*C$18)</f>
        <v>0</v>
      </c>
      <c r="D22" s="41">
        <f t="shared" si="4"/>
        <v>0</v>
      </c>
      <c r="E22" s="41">
        <f t="shared" si="4"/>
        <v>0</v>
      </c>
      <c r="F22" s="108">
        <f t="shared" si="4"/>
        <v>0</v>
      </c>
      <c r="G22" s="40">
        <f t="shared" si="4"/>
        <v>0</v>
      </c>
      <c r="H22" s="41">
        <f t="shared" si="4"/>
        <v>0</v>
      </c>
      <c r="I22" s="61">
        <f t="shared" si="4"/>
        <v>0</v>
      </c>
      <c r="J22" s="123">
        <f t="shared" si="4"/>
        <v>0</v>
      </c>
      <c r="K22" s="41">
        <f t="shared" si="4"/>
        <v>0</v>
      </c>
      <c r="L22" s="61">
        <f t="shared" ref="L22" si="5">L15+($M$17*L$17)+($M$17*L$18)+L$19*(1-$M$19)</f>
        <v>0</v>
      </c>
    </row>
    <row r="23" spans="1:14" x14ac:dyDescent="0.35">
      <c r="A23" s="46" t="s">
        <v>25</v>
      </c>
      <c r="C23" s="40">
        <f t="shared" ref="C23:K23" si="6">(C$16+$M$17*C$17)+C$18*$M$17</f>
        <v>0</v>
      </c>
      <c r="D23" s="41">
        <f t="shared" si="6"/>
        <v>0</v>
      </c>
      <c r="E23" s="41">
        <f t="shared" si="6"/>
        <v>0</v>
      </c>
      <c r="F23" s="108">
        <f t="shared" si="6"/>
        <v>0</v>
      </c>
      <c r="G23" s="40">
        <f t="shared" si="6"/>
        <v>0</v>
      </c>
      <c r="H23" s="41">
        <f t="shared" si="6"/>
        <v>0</v>
      </c>
      <c r="I23" s="61">
        <f t="shared" si="6"/>
        <v>0</v>
      </c>
      <c r="J23" s="123">
        <f t="shared" si="6"/>
        <v>0</v>
      </c>
      <c r="K23" s="41">
        <f t="shared" si="6"/>
        <v>0</v>
      </c>
      <c r="L23" s="61">
        <f t="shared" ref="L23" si="7">(L$16+$M$17*L$17+L$19*$M$19)+L$18*$M$17</f>
        <v>0</v>
      </c>
    </row>
    <row r="24" spans="1:14" x14ac:dyDescent="0.35">
      <c r="C24" s="99"/>
      <c r="D24" s="31"/>
      <c r="E24" s="31"/>
      <c r="F24" s="31"/>
      <c r="G24" s="28"/>
      <c r="H24" s="31"/>
      <c r="I24" s="11"/>
      <c r="J24" s="17"/>
      <c r="K24" s="17"/>
      <c r="L24" s="11"/>
    </row>
    <row r="25" spans="1:14" x14ac:dyDescent="0.35">
      <c r="A25" s="39" t="s">
        <v>47</v>
      </c>
      <c r="B25" s="39"/>
      <c r="C25" s="101"/>
      <c r="D25" s="31"/>
      <c r="E25" s="31"/>
      <c r="F25" s="31"/>
      <c r="G25" s="28"/>
      <c r="H25" s="31"/>
      <c r="I25" s="11"/>
      <c r="J25" s="17"/>
      <c r="K25" s="17"/>
      <c r="L25" s="11"/>
    </row>
    <row r="26" spans="1:14" x14ac:dyDescent="0.35">
      <c r="A26" s="46" t="s">
        <v>24</v>
      </c>
      <c r="C26" s="102">
        <v>-927322271</v>
      </c>
      <c r="D26" s="111">
        <f>+'[5]May 2022'!$F108</f>
        <v>229454498.07030001</v>
      </c>
      <c r="E26" s="111">
        <f>+'[5]Jun 2022'!$F108</f>
        <v>294635684.40819997</v>
      </c>
      <c r="F26" s="111">
        <f>+'[5]Jul 2022'!$F108</f>
        <v>409095948.52310002</v>
      </c>
      <c r="G26" s="184">
        <f>+'[5]Aug 2022'!$F116</f>
        <v>394888907.66869998</v>
      </c>
      <c r="H26" s="187">
        <f>+'[5]Sep 2022'!$F116</f>
        <v>344714484.33890009</v>
      </c>
      <c r="I26" s="179">
        <f>+'[5]Oct 2022'!$F116</f>
        <v>243448562.98229998</v>
      </c>
      <c r="J26" s="175">
        <f>+'[1]Billed kWh Sales'!O25</f>
        <v>226677610</v>
      </c>
      <c r="K26" s="139">
        <f>+'[1]Billed kWh Sales'!P25</f>
        <v>315283024</v>
      </c>
      <c r="L26" s="77">
        <f>+'[1]Billed kWh Sales'!Q25</f>
        <v>397130985.75999999</v>
      </c>
    </row>
    <row r="27" spans="1:14" x14ac:dyDescent="0.35">
      <c r="A27" s="46" t="s">
        <v>107</v>
      </c>
      <c r="C27" s="102">
        <v>-279567488</v>
      </c>
      <c r="D27" s="111">
        <f>+'[5]May 2022'!$F109</f>
        <v>91633685.374299988</v>
      </c>
      <c r="E27" s="111">
        <f>+'[5]Jun 2022'!$F109</f>
        <v>107093370.54520001</v>
      </c>
      <c r="F27" s="111">
        <f>+'[5]Jul 2022'!$F109</f>
        <v>125353962.28489998</v>
      </c>
      <c r="G27" s="184">
        <f>+'[5]Aug 2022'!$F117</f>
        <v>125296963.19490002</v>
      </c>
      <c r="H27" s="187">
        <f>+'[5]Sep 2022'!$F117</f>
        <v>120671398.91690005</v>
      </c>
      <c r="I27" s="179">
        <f>+'[5]Oct 2022'!$F117</f>
        <v>100501324.66429998</v>
      </c>
      <c r="J27" s="175">
        <f>+'[1]Billed kWh Sales'!O26</f>
        <v>89920050</v>
      </c>
      <c r="K27" s="139">
        <f>+'[1]Billed kWh Sales'!P26</f>
        <v>93068306</v>
      </c>
      <c r="L27" s="77">
        <f>+'[1]Billed kWh Sales'!Q26</f>
        <v>97586132</v>
      </c>
    </row>
    <row r="28" spans="1:14" x14ac:dyDescent="0.35">
      <c r="A28" s="46" t="s">
        <v>108</v>
      </c>
      <c r="C28" s="102">
        <v>-268324378</v>
      </c>
      <c r="D28" s="111">
        <f>+'[5]May 2022'!$F110</f>
        <v>87680650.619200021</v>
      </c>
      <c r="E28" s="111">
        <f>+'[5]Jun 2022'!$F110</f>
        <v>100075987.48370002</v>
      </c>
      <c r="F28" s="111">
        <f>+'[5]Jul 2022'!$F110</f>
        <v>112629562.63440001</v>
      </c>
      <c r="G28" s="184">
        <f>+'[5]Aug 2022'!$F118</f>
        <v>108646352.71389998</v>
      </c>
      <c r="H28" s="187">
        <f>+'[5]Sep 2022'!$F118</f>
        <v>107547101.61389999</v>
      </c>
      <c r="I28" s="179">
        <f>+'[5]Oct 2022'!$F118</f>
        <v>96400433.28110002</v>
      </c>
      <c r="J28" s="175">
        <f>+'[1]Billed kWh Sales'!O27</f>
        <v>86303817</v>
      </c>
      <c r="K28" s="139">
        <f>+'[1]Billed kWh Sales'!P27</f>
        <v>89325463</v>
      </c>
      <c r="L28" s="77">
        <f>+'[1]Billed kWh Sales'!Q27</f>
        <v>93661600</v>
      </c>
    </row>
    <row r="29" spans="1:14" x14ac:dyDescent="0.35">
      <c r="A29" s="46" t="s">
        <v>109</v>
      </c>
      <c r="C29" s="102">
        <v>-197450447</v>
      </c>
      <c r="D29" s="111">
        <f>+'[5]May 2022'!$F111</f>
        <v>63275362.390599996</v>
      </c>
      <c r="E29" s="111">
        <f>+'[5]Jun 2022'!$F111</f>
        <v>64138314.741799995</v>
      </c>
      <c r="F29" s="111">
        <f>+'[5]Jul 2022'!$F111</f>
        <v>67584276.436800003</v>
      </c>
      <c r="G29" s="184">
        <f>+'[5]Aug 2022'!$F119</f>
        <v>65348830.410700001</v>
      </c>
      <c r="H29" s="187">
        <f>+'[5]Sep 2022'!$F119</f>
        <v>69616491.926200002</v>
      </c>
      <c r="I29" s="179">
        <f>+'[5]Oct 2022'!$F119</f>
        <v>57752852.030699998</v>
      </c>
      <c r="J29" s="175">
        <f>+'[1]Billed kWh Sales'!O28</f>
        <v>63507935</v>
      </c>
      <c r="K29" s="139">
        <f>+'[1]Billed kWh Sales'!P28</f>
        <v>65731458</v>
      </c>
      <c r="L29" s="77">
        <f>+'[1]Billed kWh Sales'!Q28</f>
        <v>68922268</v>
      </c>
    </row>
    <row r="30" spans="1:14" x14ac:dyDescent="0.35">
      <c r="C30" s="99"/>
      <c r="D30" s="31"/>
      <c r="E30" s="31"/>
      <c r="F30" s="31"/>
      <c r="G30" s="28"/>
      <c r="H30" s="31"/>
      <c r="I30" s="11"/>
      <c r="J30" s="17"/>
      <c r="K30" s="17"/>
      <c r="L30" s="11"/>
    </row>
    <row r="31" spans="1:14" x14ac:dyDescent="0.35">
      <c r="A31" s="46" t="s">
        <v>34</v>
      </c>
      <c r="C31" s="99"/>
      <c r="D31" s="18"/>
      <c r="E31" s="18"/>
      <c r="F31" s="18"/>
      <c r="G31" s="91"/>
      <c r="H31" s="18"/>
      <c r="I31" s="11"/>
      <c r="J31" s="57"/>
      <c r="K31" s="57"/>
      <c r="L31" s="58"/>
      <c r="M31" s="63" t="s">
        <v>50</v>
      </c>
      <c r="N31" s="39"/>
    </row>
    <row r="32" spans="1:14" x14ac:dyDescent="0.35">
      <c r="A32" s="46" t="s">
        <v>24</v>
      </c>
      <c r="C32" s="97">
        <v>0</v>
      </c>
      <c r="D32" s="109">
        <f>ROUND('[5]May 2022'!$F36+'[5]May 2022'!$F44,2)</f>
        <v>0</v>
      </c>
      <c r="E32" s="109">
        <f>ROUND('[5]Jun 2022'!$F36+'[5]Jun 2022'!$F44,2)</f>
        <v>0</v>
      </c>
      <c r="F32" s="111">
        <f>ROUND('[5]Jul 2022'!$F36+'[5]Jul 2022'!$F44,2)</f>
        <v>0</v>
      </c>
      <c r="G32" s="185">
        <f>ROUND('[5]Aug 2022'!$F36+'[5]Aug 2022'!$F44,2)</f>
        <v>0</v>
      </c>
      <c r="H32" s="55">
        <f>ROUND('[5]Sep 2022'!$F36+'[5]Sep 2022'!$F44,2)</f>
        <v>0</v>
      </c>
      <c r="I32" s="177">
        <f>ROUND('[5]Oct 2022'!$F36+'[5]Oct 2022'!$F44,2)</f>
        <v>0</v>
      </c>
      <c r="J32" s="123">
        <f t="shared" ref="J32:L35" si="8">ROUND(J26*$M32,2)</f>
        <v>0</v>
      </c>
      <c r="K32" s="41">
        <f t="shared" si="8"/>
        <v>0</v>
      </c>
      <c r="L32" s="61">
        <f t="shared" si="8"/>
        <v>0</v>
      </c>
      <c r="M32" s="72">
        <v>0</v>
      </c>
    </row>
    <row r="33" spans="1:13" x14ac:dyDescent="0.35">
      <c r="A33" s="46" t="s">
        <v>107</v>
      </c>
      <c r="C33" s="97">
        <v>22365.4</v>
      </c>
      <c r="D33" s="109">
        <f>ROUND('[5]May 2022'!$F37+'[5]May 2022'!$F45,2)</f>
        <v>-6172.61</v>
      </c>
      <c r="E33" s="109">
        <f>ROUND('[5]Jun 2022'!$F37+'[5]Jun 2022'!$F45,2)</f>
        <v>-7026.26</v>
      </c>
      <c r="F33" s="111">
        <f>ROUND('[5]Jul 2022'!$F37+'[5]Jul 2022'!$F45,2)</f>
        <v>-8359.42</v>
      </c>
      <c r="G33" s="185">
        <f>ROUND('[5]Aug 2022'!$F37+'[5]Aug 2022'!$F45,2)</f>
        <v>-4467.16</v>
      </c>
      <c r="H33" s="55">
        <f>ROUND('[5]Sep 2022'!$F37+'[5]Sep 2022'!$F45,2)</f>
        <v>-4077.68</v>
      </c>
      <c r="I33" s="177">
        <f>ROUND('[5]Oct 2022'!$F37+'[5]Oct 2022'!$F45,2)</f>
        <v>-3207.59</v>
      </c>
      <c r="J33" s="123">
        <f t="shared" si="8"/>
        <v>-4496</v>
      </c>
      <c r="K33" s="41">
        <f t="shared" si="8"/>
        <v>-4653.42</v>
      </c>
      <c r="L33" s="61">
        <f t="shared" si="8"/>
        <v>-4879.3100000000004</v>
      </c>
      <c r="M33" s="72">
        <v>-5.0000000000000002E-5</v>
      </c>
    </row>
    <row r="34" spans="1:13" x14ac:dyDescent="0.35">
      <c r="A34" s="46" t="s">
        <v>108</v>
      </c>
      <c r="C34" s="97">
        <v>26832.44</v>
      </c>
      <c r="D34" s="109">
        <f>ROUND('[5]May 2022'!$F38+'[5]May 2022'!$F46,2)</f>
        <v>-8024.67</v>
      </c>
      <c r="E34" s="109">
        <f>ROUND('[5]Jun 2022'!$F38+'[5]Jun 2022'!$F46,2)</f>
        <v>-8641.18</v>
      </c>
      <c r="F34" s="111">
        <f>ROUND('[5]Jul 2022'!$F38+'[5]Jul 2022'!$F46,2)</f>
        <v>-9756.41</v>
      </c>
      <c r="G34" s="185">
        <f>ROUND('[5]Aug 2022'!$F38+'[5]Aug 2022'!$F46,2)</f>
        <v>-4940.71</v>
      </c>
      <c r="H34" s="55">
        <f>ROUND('[5]Sep 2022'!$F38+'[5]Sep 2022'!$F46,2)</f>
        <v>-4683.17</v>
      </c>
      <c r="I34" s="177">
        <f>ROUND('[5]Oct 2022'!$F38+'[5]Oct 2022'!$F46,2)</f>
        <v>-4014.34</v>
      </c>
      <c r="J34" s="123">
        <f t="shared" si="8"/>
        <v>-5178.2299999999996</v>
      </c>
      <c r="K34" s="41">
        <f t="shared" si="8"/>
        <v>-5359.53</v>
      </c>
      <c r="L34" s="61">
        <f t="shared" si="8"/>
        <v>-5619.7</v>
      </c>
      <c r="M34" s="72">
        <v>-6.0000000000000002E-5</v>
      </c>
    </row>
    <row r="35" spans="1:13" x14ac:dyDescent="0.35">
      <c r="A35" s="46" t="s">
        <v>109</v>
      </c>
      <c r="C35" s="97">
        <v>9872.5299999999988</v>
      </c>
      <c r="D35" s="109">
        <f>ROUND('[5]May 2022'!$F39+'[5]May 2022'!$F47,2)</f>
        <v>-4714.67</v>
      </c>
      <c r="E35" s="109">
        <f>ROUND('[5]Jun 2022'!$F39+'[5]Jun 2022'!$F47,2)</f>
        <v>-2899.15</v>
      </c>
      <c r="F35" s="111">
        <f>ROUND('[5]Jul 2022'!$F39+'[5]Jul 2022'!$F47,2)</f>
        <v>-3077.37</v>
      </c>
      <c r="G35" s="185">
        <f>ROUND('[5]Aug 2022'!$F39+'[5]Aug 2022'!$F47,2)</f>
        <v>-1674.91</v>
      </c>
      <c r="H35" s="55">
        <f>ROUND('[5]Sep 2022'!$F39+'[5]Sep 2022'!$F47,2)</f>
        <v>-1713.32</v>
      </c>
      <c r="I35" s="177">
        <f>ROUND('[5]Oct 2022'!$F39+'[5]Oct 2022'!$F47,2)</f>
        <v>-1339.25</v>
      </c>
      <c r="J35" s="123">
        <f t="shared" si="8"/>
        <v>-1905.24</v>
      </c>
      <c r="K35" s="41">
        <f t="shared" si="8"/>
        <v>-1971.94</v>
      </c>
      <c r="L35" s="61">
        <f t="shared" si="8"/>
        <v>-2067.67</v>
      </c>
      <c r="M35" s="72">
        <v>-3.0000000000000001E-5</v>
      </c>
    </row>
    <row r="36" spans="1:13" x14ac:dyDescent="0.35">
      <c r="C36" s="67"/>
      <c r="D36" s="18"/>
      <c r="E36" s="18"/>
      <c r="F36" s="18"/>
      <c r="G36" s="91"/>
      <c r="H36" s="18"/>
      <c r="I36" s="11"/>
      <c r="J36" s="56"/>
      <c r="K36" s="56"/>
      <c r="L36" s="13"/>
      <c r="M36" s="4"/>
    </row>
    <row r="37" spans="1:13" ht="15" thickBot="1" x14ac:dyDescent="0.4">
      <c r="A37" s="46" t="s">
        <v>14</v>
      </c>
      <c r="C37" s="103">
        <v>566.75</v>
      </c>
      <c r="D37" s="112">
        <v>-352.19</v>
      </c>
      <c r="E37" s="112">
        <v>-393.08</v>
      </c>
      <c r="F37" s="113">
        <v>-433.34</v>
      </c>
      <c r="G37" s="26">
        <v>-428.01</v>
      </c>
      <c r="H37" s="122">
        <v>-449.62</v>
      </c>
      <c r="I37" s="178">
        <v>-473.56</v>
      </c>
      <c r="J37" s="176">
        <v>-435.87</v>
      </c>
      <c r="K37" s="140">
        <v>-391.3</v>
      </c>
      <c r="L37" s="81"/>
    </row>
    <row r="38" spans="1:13" x14ac:dyDescent="0.35">
      <c r="C38" s="99"/>
      <c r="D38" s="31"/>
      <c r="E38" s="31"/>
      <c r="F38" s="31"/>
      <c r="G38" s="28"/>
      <c r="H38" s="31"/>
      <c r="I38" s="11"/>
      <c r="J38" s="17"/>
      <c r="K38" s="17"/>
      <c r="L38" s="11"/>
    </row>
    <row r="39" spans="1:13" x14ac:dyDescent="0.35">
      <c r="A39" s="46" t="s">
        <v>52</v>
      </c>
      <c r="C39" s="99"/>
      <c r="D39" s="31"/>
      <c r="E39" s="31"/>
      <c r="F39" s="31"/>
      <c r="G39" s="28"/>
      <c r="H39" s="31"/>
      <c r="I39" s="11"/>
      <c r="J39" s="17"/>
      <c r="K39" s="17"/>
      <c r="L39" s="11"/>
    </row>
    <row r="40" spans="1:13" x14ac:dyDescent="0.35">
      <c r="A40" s="46" t="s">
        <v>24</v>
      </c>
      <c r="C40" s="40">
        <f t="shared" ref="C40:L40" si="9">C22-C32</f>
        <v>0</v>
      </c>
      <c r="D40" s="41">
        <f t="shared" si="9"/>
        <v>0</v>
      </c>
      <c r="E40" s="41">
        <f t="shared" si="9"/>
        <v>0</v>
      </c>
      <c r="F40" s="108">
        <f t="shared" si="9"/>
        <v>0</v>
      </c>
      <c r="G40" s="40">
        <f t="shared" si="9"/>
        <v>0</v>
      </c>
      <c r="H40" s="41">
        <f t="shared" si="9"/>
        <v>0</v>
      </c>
      <c r="I40" s="61">
        <f t="shared" si="9"/>
        <v>0</v>
      </c>
      <c r="J40" s="123">
        <f t="shared" si="9"/>
        <v>0</v>
      </c>
      <c r="K40" s="41">
        <f t="shared" si="9"/>
        <v>0</v>
      </c>
      <c r="L40" s="49">
        <f t="shared" si="9"/>
        <v>0</v>
      </c>
    </row>
    <row r="41" spans="1:13" x14ac:dyDescent="0.35">
      <c r="A41" s="46" t="s">
        <v>25</v>
      </c>
      <c r="C41" s="40">
        <f>C23-SUM(C33:C35)</f>
        <v>-59070.369999999995</v>
      </c>
      <c r="D41" s="41">
        <f t="shared" ref="D41:L41" si="10">D23-SUM(D33:D35)</f>
        <v>18911.949999999997</v>
      </c>
      <c r="E41" s="41">
        <f t="shared" si="10"/>
        <v>18566.59</v>
      </c>
      <c r="F41" s="108">
        <f t="shared" si="10"/>
        <v>21193.200000000001</v>
      </c>
      <c r="G41" s="40">
        <f t="shared" si="10"/>
        <v>11082.779999999999</v>
      </c>
      <c r="H41" s="41">
        <f t="shared" si="10"/>
        <v>10474.17</v>
      </c>
      <c r="I41" s="61">
        <f t="shared" si="10"/>
        <v>8561.18</v>
      </c>
      <c r="J41" s="123">
        <f t="shared" si="10"/>
        <v>11579.47</v>
      </c>
      <c r="K41" s="41">
        <f t="shared" si="10"/>
        <v>11984.890000000001</v>
      </c>
      <c r="L41" s="49">
        <f t="shared" si="10"/>
        <v>12566.68</v>
      </c>
    </row>
    <row r="42" spans="1:13" x14ac:dyDescent="0.35">
      <c r="C42" s="99"/>
      <c r="D42" s="31"/>
      <c r="E42" s="31"/>
      <c r="F42" s="31"/>
      <c r="G42" s="28"/>
      <c r="H42" s="31"/>
      <c r="I42" s="11"/>
      <c r="J42" s="17"/>
      <c r="K42" s="17"/>
      <c r="L42" s="11"/>
    </row>
    <row r="43" spans="1:13" ht="15" thickBot="1" x14ac:dyDescent="0.4">
      <c r="A43" s="46" t="s">
        <v>53</v>
      </c>
      <c r="C43" s="104"/>
      <c r="D43" s="31"/>
      <c r="E43" s="31"/>
      <c r="F43" s="31"/>
      <c r="G43" s="28"/>
      <c r="H43" s="31"/>
      <c r="I43" s="11"/>
      <c r="J43" s="17"/>
      <c r="K43" s="17"/>
      <c r="L43" s="11"/>
    </row>
    <row r="44" spans="1:13" x14ac:dyDescent="0.35">
      <c r="A44" s="46" t="s">
        <v>24</v>
      </c>
      <c r="B44" s="116">
        <v>-0.23768000013951607</v>
      </c>
      <c r="C44" s="41">
        <f>B44+C40+B49</f>
        <v>-0.23768000013951607</v>
      </c>
      <c r="D44" s="41">
        <f t="shared" ref="D44:L44" si="11">C44+D40+C49</f>
        <v>-0.23768000013951607</v>
      </c>
      <c r="E44" s="41">
        <f t="shared" si="11"/>
        <v>-0.23768000013951607</v>
      </c>
      <c r="F44" s="108">
        <f t="shared" si="11"/>
        <v>-0.23768000013951607</v>
      </c>
      <c r="G44" s="40">
        <f t="shared" si="11"/>
        <v>-0.23768000013951607</v>
      </c>
      <c r="H44" s="41">
        <f t="shared" si="11"/>
        <v>-0.23768000013951607</v>
      </c>
      <c r="I44" s="61">
        <f t="shared" si="11"/>
        <v>-0.23768000013951607</v>
      </c>
      <c r="J44" s="123">
        <f t="shared" si="11"/>
        <v>-0.23768000013951607</v>
      </c>
      <c r="K44" s="41">
        <f t="shared" si="11"/>
        <v>-0.23768000013951607</v>
      </c>
      <c r="L44" s="49">
        <f t="shared" si="11"/>
        <v>-0.23768000013951607</v>
      </c>
    </row>
    <row r="45" spans="1:13" ht="15" thickBot="1" x14ac:dyDescent="0.4">
      <c r="A45" s="46" t="s">
        <v>25</v>
      </c>
      <c r="B45" s="117">
        <v>-144522.08896000014</v>
      </c>
      <c r="C45" s="41">
        <f>B45+C41+B50</f>
        <v>-203592.45896000013</v>
      </c>
      <c r="D45" s="41">
        <f t="shared" ref="D45:L45" si="12">C45+D41+C50</f>
        <v>-184113.75896000012</v>
      </c>
      <c r="E45" s="41">
        <f t="shared" si="12"/>
        <v>-165899.34896000012</v>
      </c>
      <c r="F45" s="108">
        <f t="shared" si="12"/>
        <v>-145099.22896000009</v>
      </c>
      <c r="G45" s="40">
        <f t="shared" si="12"/>
        <v>-134449.78896000009</v>
      </c>
      <c r="H45" s="41">
        <f t="shared" si="12"/>
        <v>-124403.62896000009</v>
      </c>
      <c r="I45" s="61">
        <f t="shared" si="12"/>
        <v>-116292.0589600001</v>
      </c>
      <c r="J45" s="123">
        <f t="shared" si="12"/>
        <v>-105186.14896000009</v>
      </c>
      <c r="K45" s="41">
        <f t="shared" si="12"/>
        <v>-93637.128960000089</v>
      </c>
      <c r="L45" s="49">
        <f t="shared" si="12"/>
        <v>-81461.748960000099</v>
      </c>
    </row>
    <row r="46" spans="1:13" x14ac:dyDescent="0.35">
      <c r="C46" s="99"/>
      <c r="D46" s="31"/>
      <c r="E46" s="31"/>
      <c r="F46" s="31"/>
      <c r="G46" s="28"/>
      <c r="H46" s="31"/>
      <c r="I46" s="11"/>
      <c r="J46" s="17"/>
      <c r="K46" s="17"/>
      <c r="L46" s="11"/>
    </row>
    <row r="47" spans="1:13" x14ac:dyDescent="0.35">
      <c r="A47" s="39" t="s">
        <v>49</v>
      </c>
      <c r="B47" s="39"/>
      <c r="C47" s="104"/>
      <c r="D47" s="83">
        <f>+'[6]May 2022'!$E$43</f>
        <v>1.81941E-3</v>
      </c>
      <c r="E47" s="83">
        <f>+'[6]Jun 2022'!$E$42</f>
        <v>2.2438499999999999E-3</v>
      </c>
      <c r="F47" s="83">
        <f>+'[6]Jul 2022'!$E$43</f>
        <v>2.7832400000000002E-3</v>
      </c>
      <c r="G47" s="84">
        <f>+'[6]Aug 2022'!$E$43</f>
        <v>3.0573900000000001E-3</v>
      </c>
      <c r="H47" s="83">
        <f>+'[6]Sep 2022'!$E$42</f>
        <v>3.4681400000000002E-3</v>
      </c>
      <c r="I47" s="92">
        <f>+'[6]Oct 2022'!$E$43</f>
        <v>3.92758E-3</v>
      </c>
      <c r="J47" s="83">
        <f>+I47</f>
        <v>3.92758E-3</v>
      </c>
      <c r="K47" s="83">
        <f>+J47</f>
        <v>3.92758E-3</v>
      </c>
      <c r="L47" s="92"/>
    </row>
    <row r="48" spans="1:13" x14ac:dyDescent="0.35">
      <c r="A48" s="39" t="s">
        <v>37</v>
      </c>
      <c r="B48" s="39"/>
      <c r="C48" s="99"/>
      <c r="D48" s="31"/>
      <c r="E48" s="31"/>
      <c r="F48" s="31"/>
      <c r="G48" s="28"/>
      <c r="H48" s="31"/>
      <c r="I48" s="11"/>
      <c r="J48" s="17"/>
      <c r="K48" s="17"/>
      <c r="L48" s="11"/>
      <c r="M48" s="71"/>
    </row>
    <row r="49" spans="1:12" x14ac:dyDescent="0.35">
      <c r="A49" s="46" t="s">
        <v>24</v>
      </c>
      <c r="C49" s="40">
        <v>0</v>
      </c>
      <c r="D49" s="41">
        <f t="shared" ref="D49" si="13">ROUND((C44+C49+D40/2)*D$47,2)</f>
        <v>0</v>
      </c>
      <c r="E49" s="41">
        <f t="shared" ref="E49:E50" si="14">ROUND((D44+D49+E40/2)*E$47,2)</f>
        <v>0</v>
      </c>
      <c r="F49" s="108">
        <f t="shared" ref="F49:F50" si="15">ROUND((E44+E49+F40/2)*F$47,2)</f>
        <v>0</v>
      </c>
      <c r="G49" s="40">
        <f>ROUND((F44+F49+G40/2)*G$47,2)*0</f>
        <v>0</v>
      </c>
      <c r="H49" s="123">
        <f t="shared" ref="H49:I50" si="16">ROUND((G44+G49+H40/2)*H$47,2)</f>
        <v>0</v>
      </c>
      <c r="I49" s="61">
        <f t="shared" si="16"/>
        <v>0</v>
      </c>
      <c r="J49" s="123">
        <f t="shared" ref="J49:J50" si="17">ROUND((I44+I49+J40/2)*J$47,2)</f>
        <v>0</v>
      </c>
      <c r="K49" s="123">
        <f t="shared" ref="K49:K50" si="18">ROUND((J44+J49+K40/2)*K$47,2)</f>
        <v>0</v>
      </c>
      <c r="L49" s="49"/>
    </row>
    <row r="50" spans="1:12" ht="15" thickBot="1" x14ac:dyDescent="0.4">
      <c r="A50" s="46" t="s">
        <v>25</v>
      </c>
      <c r="C50" s="114">
        <v>566.75</v>
      </c>
      <c r="D50" s="41">
        <f>ROUND((C45+C50+D41/2)*D$47,2)</f>
        <v>-352.18</v>
      </c>
      <c r="E50" s="41">
        <f t="shared" si="14"/>
        <v>-393.08</v>
      </c>
      <c r="F50" s="108">
        <f t="shared" si="15"/>
        <v>-433.34</v>
      </c>
      <c r="G50" s="40">
        <f t="shared" ref="G50" si="19">ROUND((F45+F50+G41/2)*G$47,2)</f>
        <v>-428.01</v>
      </c>
      <c r="H50" s="123">
        <f t="shared" si="16"/>
        <v>-449.61</v>
      </c>
      <c r="I50" s="61">
        <f t="shared" si="16"/>
        <v>-473.56</v>
      </c>
      <c r="J50" s="123">
        <f t="shared" si="17"/>
        <v>-435.87</v>
      </c>
      <c r="K50" s="123">
        <f t="shared" si="18"/>
        <v>-391.3</v>
      </c>
      <c r="L50" s="49"/>
    </row>
    <row r="51" spans="1:12" ht="15.5" thickTop="1" thickBot="1" x14ac:dyDescent="0.4">
      <c r="A51" s="54" t="s">
        <v>22</v>
      </c>
      <c r="B51" s="54"/>
      <c r="C51" s="115">
        <v>0</v>
      </c>
      <c r="D51" s="32">
        <f t="shared" ref="D51:L51" si="20">SUM(D49:D50)+SUM(D44:D45)-D54</f>
        <v>0</v>
      </c>
      <c r="E51" s="32">
        <f t="shared" si="20"/>
        <v>0</v>
      </c>
      <c r="F51" s="50">
        <f t="shared" si="20"/>
        <v>0</v>
      </c>
      <c r="G51" s="124">
        <f t="shared" si="20"/>
        <v>0</v>
      </c>
      <c r="H51" s="32">
        <f t="shared" si="20"/>
        <v>0</v>
      </c>
      <c r="I51" s="62">
        <f t="shared" si="20"/>
        <v>0</v>
      </c>
      <c r="J51" s="163">
        <f t="shared" si="20"/>
        <v>0</v>
      </c>
      <c r="K51" s="32">
        <f t="shared" si="20"/>
        <v>0</v>
      </c>
      <c r="L51" s="96">
        <f t="shared" si="20"/>
        <v>0</v>
      </c>
    </row>
    <row r="52" spans="1:12" ht="15.5" thickTop="1" thickBot="1" x14ac:dyDescent="0.4">
      <c r="A52" s="54" t="s">
        <v>23</v>
      </c>
      <c r="B52" s="54"/>
      <c r="C52" s="107">
        <v>0</v>
      </c>
      <c r="D52" s="32">
        <f t="shared" ref="D52:L52" si="21">SUM(D49:D50)-D37</f>
        <v>9.9999999999909051E-3</v>
      </c>
      <c r="E52" s="32">
        <f t="shared" si="21"/>
        <v>0</v>
      </c>
      <c r="F52" s="50">
        <f t="shared" si="21"/>
        <v>0</v>
      </c>
      <c r="G52" s="51">
        <f t="shared" si="21"/>
        <v>0</v>
      </c>
      <c r="H52" s="32">
        <f t="shared" si="21"/>
        <v>9.9999999999909051E-3</v>
      </c>
      <c r="I52" s="62">
        <f t="shared" si="21"/>
        <v>0</v>
      </c>
      <c r="J52" s="163">
        <f t="shared" si="21"/>
        <v>0</v>
      </c>
      <c r="K52" s="32">
        <f t="shared" si="21"/>
        <v>0</v>
      </c>
      <c r="L52" s="96">
        <f t="shared" si="21"/>
        <v>0</v>
      </c>
    </row>
    <row r="53" spans="1:12" ht="15.5" thickTop="1" thickBot="1" x14ac:dyDescent="0.4">
      <c r="C53" s="99"/>
      <c r="D53" s="17"/>
      <c r="E53" s="17"/>
      <c r="F53" s="17"/>
      <c r="G53" s="10"/>
      <c r="H53" s="17"/>
      <c r="I53" s="11"/>
      <c r="J53" s="17"/>
      <c r="K53" s="17"/>
      <c r="L53" s="11"/>
    </row>
    <row r="54" spans="1:12" ht="15" thickBot="1" x14ac:dyDescent="0.4">
      <c r="A54" s="46" t="s">
        <v>36</v>
      </c>
      <c r="B54" s="119">
        <f>+B44+B45</f>
        <v>-144522.32664000028</v>
      </c>
      <c r="C54" s="40">
        <f t="shared" ref="C54:L54" si="22">(SUM(C15:C19)-SUM(C32:C35))+SUM(C49:C50)+B54</f>
        <v>-203025.94664000027</v>
      </c>
      <c r="D54" s="41">
        <f t="shared" si="22"/>
        <v>-184466.17664000028</v>
      </c>
      <c r="E54" s="41">
        <f t="shared" si="22"/>
        <v>-166292.66664000027</v>
      </c>
      <c r="F54" s="108">
        <f t="shared" si="22"/>
        <v>-145532.80664000026</v>
      </c>
      <c r="G54" s="40">
        <f t="shared" si="22"/>
        <v>-134878.03664000027</v>
      </c>
      <c r="H54" s="41">
        <f t="shared" si="22"/>
        <v>-124853.47664000027</v>
      </c>
      <c r="I54" s="61">
        <f t="shared" si="22"/>
        <v>-116765.85664000027</v>
      </c>
      <c r="J54" s="123">
        <f t="shared" si="22"/>
        <v>-105622.25664000027</v>
      </c>
      <c r="K54" s="41">
        <f t="shared" si="22"/>
        <v>-94028.666640000272</v>
      </c>
      <c r="L54" s="61">
        <f t="shared" si="22"/>
        <v>-81461.986640000279</v>
      </c>
    </row>
    <row r="55" spans="1:12" x14ac:dyDescent="0.35">
      <c r="A55" s="46" t="s">
        <v>12</v>
      </c>
      <c r="C55" s="120"/>
      <c r="D55" s="56"/>
      <c r="E55" s="56"/>
      <c r="F55" s="56"/>
      <c r="G55" s="12"/>
      <c r="H55" s="56"/>
      <c r="I55" s="11"/>
      <c r="J55" s="17"/>
      <c r="K55" s="17"/>
      <c r="L55" s="11"/>
    </row>
    <row r="56" spans="1:12" ht="15" thickBot="1" x14ac:dyDescent="0.4">
      <c r="B56" s="17"/>
      <c r="C56" s="43"/>
      <c r="D56" s="44"/>
      <c r="E56" s="44"/>
      <c r="F56" s="44"/>
      <c r="G56" s="43"/>
      <c r="H56" s="44"/>
      <c r="I56" s="45"/>
      <c r="J56" s="44"/>
      <c r="K56" s="44"/>
      <c r="L56" s="45"/>
    </row>
    <row r="58" spans="1:12" x14ac:dyDescent="0.35">
      <c r="A58" s="69" t="s">
        <v>11</v>
      </c>
      <c r="B58" s="69"/>
      <c r="C58" s="69"/>
    </row>
    <row r="59" spans="1:12" ht="42.75" customHeight="1" x14ac:dyDescent="0.35">
      <c r="A59" s="311" t="s">
        <v>169</v>
      </c>
      <c r="B59" s="311"/>
      <c r="C59" s="311"/>
      <c r="D59" s="311"/>
      <c r="E59" s="311"/>
      <c r="F59" s="311"/>
      <c r="G59" s="311"/>
      <c r="H59" s="311"/>
      <c r="I59" s="311"/>
      <c r="J59" s="144"/>
      <c r="K59" s="144"/>
      <c r="L59" s="144"/>
    </row>
    <row r="60" spans="1:12" ht="33.75" customHeight="1" x14ac:dyDescent="0.35">
      <c r="A60" s="311" t="s">
        <v>205</v>
      </c>
      <c r="B60" s="311"/>
      <c r="C60" s="311"/>
      <c r="D60" s="311"/>
      <c r="E60" s="311"/>
      <c r="F60" s="311"/>
      <c r="G60" s="311"/>
      <c r="H60" s="311"/>
      <c r="I60" s="311"/>
      <c r="J60" s="144"/>
      <c r="K60" s="144"/>
      <c r="L60" s="144"/>
    </row>
    <row r="61" spans="1:12" ht="33.75" customHeight="1" x14ac:dyDescent="0.35">
      <c r="A61" s="311" t="s">
        <v>181</v>
      </c>
      <c r="B61" s="311"/>
      <c r="C61" s="311"/>
      <c r="D61" s="311"/>
      <c r="E61" s="311"/>
      <c r="F61" s="311"/>
      <c r="G61" s="311"/>
      <c r="H61" s="311"/>
      <c r="I61" s="311"/>
      <c r="J61" s="144"/>
      <c r="K61" s="144"/>
      <c r="L61" s="144"/>
    </row>
    <row r="62" spans="1:12" x14ac:dyDescent="0.35">
      <c r="A62" s="3" t="s">
        <v>31</v>
      </c>
      <c r="B62" s="3"/>
      <c r="C62" s="3"/>
      <c r="I62" s="4"/>
    </row>
    <row r="63" spans="1:12" x14ac:dyDescent="0.35">
      <c r="A63" s="63" t="s">
        <v>202</v>
      </c>
      <c r="B63" s="3"/>
      <c r="C63" s="3"/>
      <c r="I63" s="4"/>
    </row>
    <row r="64" spans="1:12" x14ac:dyDescent="0.35">
      <c r="A64" s="3" t="s">
        <v>51</v>
      </c>
      <c r="B64" s="3"/>
      <c r="C64" s="3"/>
      <c r="I64" s="4"/>
    </row>
    <row r="65" spans="1:13" x14ac:dyDescent="0.35">
      <c r="A65" s="3" t="s">
        <v>213</v>
      </c>
    </row>
    <row r="74" spans="1:13" x14ac:dyDescent="0.35">
      <c r="M74" s="8"/>
    </row>
  </sheetData>
  <mergeCells count="6">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I74"/>
  <sheetViews>
    <sheetView topLeftCell="C4" zoomScale="90" zoomScaleNormal="90" workbookViewId="0">
      <selection activeCell="N26" sqref="N26"/>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Missouri West, Inc. - DSIM Rider Update Filed 12/02/2022</v>
      </c>
      <c r="B1" s="3"/>
      <c r="C1" s="3"/>
      <c r="D1" s="3"/>
    </row>
    <row r="2" spans="1:35" x14ac:dyDescent="0.35">
      <c r="E2" s="3" t="s">
        <v>137</v>
      </c>
    </row>
    <row r="3" spans="1:35" ht="29" x14ac:dyDescent="0.35">
      <c r="E3" s="48" t="s">
        <v>46</v>
      </c>
      <c r="F3" s="48" t="s">
        <v>45</v>
      </c>
      <c r="G3" s="70" t="s">
        <v>2</v>
      </c>
      <c r="H3" s="48" t="s">
        <v>3</v>
      </c>
      <c r="I3" s="70" t="s">
        <v>55</v>
      </c>
      <c r="J3" s="48" t="s">
        <v>10</v>
      </c>
      <c r="K3" s="48" t="s">
        <v>4</v>
      </c>
    </row>
    <row r="4" spans="1:35" x14ac:dyDescent="0.35">
      <c r="A4" s="20" t="s">
        <v>24</v>
      </c>
      <c r="E4" s="22">
        <f>SUM(C26:M26)</f>
        <v>5421654.7000000002</v>
      </c>
      <c r="F4" s="136">
        <f>SUM(C20:M20)</f>
        <v>1928007434.7515001</v>
      </c>
      <c r="G4" s="22">
        <f>SUM(C14:L14)</f>
        <v>5823277.5099999998</v>
      </c>
      <c r="H4" s="22">
        <f>G4-E4</f>
        <v>401622.80999999959</v>
      </c>
      <c r="I4" s="22">
        <f>+B40</f>
        <v>-592246.70000000019</v>
      </c>
      <c r="J4" s="22">
        <f>SUM(C47:L47)</f>
        <v>4812.34</v>
      </c>
      <c r="K4" s="25">
        <f>SUM(H4:J4)</f>
        <v>-185811.5500000006</v>
      </c>
      <c r="L4" s="47">
        <f>+K4-M40</f>
        <v>0</v>
      </c>
    </row>
    <row r="5" spans="1:35" x14ac:dyDescent="0.35">
      <c r="A5" s="20" t="s">
        <v>107</v>
      </c>
      <c r="E5" s="22">
        <f>SUM(C27:M27)</f>
        <v>2405537.21</v>
      </c>
      <c r="F5" s="136">
        <f>SUM(C21:M21)</f>
        <v>671557704.98049998</v>
      </c>
      <c r="G5" s="22">
        <f>SUM(C15:L15)</f>
        <v>1499432.45</v>
      </c>
      <c r="H5" s="22">
        <f>G5-E5</f>
        <v>-906104.76</v>
      </c>
      <c r="I5" s="22">
        <f>+B41</f>
        <v>208984.91</v>
      </c>
      <c r="J5" s="22">
        <f>SUM(C48:L48)</f>
        <v>-6881.22</v>
      </c>
      <c r="K5" s="25">
        <f>SUM(H5:J5)</f>
        <v>-704001.07</v>
      </c>
      <c r="L5" s="47">
        <f t="shared" ref="L5:L6" si="0">+K5-M41</f>
        <v>0</v>
      </c>
    </row>
    <row r="6" spans="1:35" x14ac:dyDescent="0.35">
      <c r="A6" s="20" t="s">
        <v>108</v>
      </c>
      <c r="E6" s="22">
        <f>SUM(C28:M28)</f>
        <v>2768513.6399999997</v>
      </c>
      <c r="F6" s="136">
        <f>SUM(C22:M22)</f>
        <v>613946590.34619999</v>
      </c>
      <c r="G6" s="22">
        <f>SUM(C16:L16)</f>
        <v>2279152.33</v>
      </c>
      <c r="H6" s="22">
        <f>G6-E6</f>
        <v>-489361.30999999959</v>
      </c>
      <c r="I6" s="22">
        <f>+B42</f>
        <v>589266.74999999965</v>
      </c>
      <c r="J6" s="22">
        <f>SUM(C49:L49)</f>
        <v>6112.0400000000009</v>
      </c>
      <c r="K6" s="25">
        <f>SUM(H6:J6)</f>
        <v>106017.48000000007</v>
      </c>
      <c r="L6" s="47">
        <f t="shared" si="0"/>
        <v>4.9476511776447296E-10</v>
      </c>
    </row>
    <row r="7" spans="1:35" ht="15" thickBot="1" x14ac:dyDescent="0.4">
      <c r="A7" s="20" t="s">
        <v>109</v>
      </c>
      <c r="E7" s="22">
        <f>SUM(C29:M29)</f>
        <v>1201282.0499999998</v>
      </c>
      <c r="F7" s="136">
        <f>SUM(C23:M23)</f>
        <v>388427341.9368</v>
      </c>
      <c r="G7" s="22">
        <f>SUM(C17:L17)</f>
        <v>905586.8</v>
      </c>
      <c r="H7" s="22">
        <f>G7-E7</f>
        <v>-295695.24999999977</v>
      </c>
      <c r="I7" s="22">
        <f>+B43</f>
        <v>-397361.76999999967</v>
      </c>
      <c r="J7" s="22">
        <f>SUM(C50:L50)</f>
        <v>-12181.11</v>
      </c>
      <c r="K7" s="25">
        <f>SUM(H7:J7)</f>
        <v>-705238.12999999942</v>
      </c>
      <c r="L7" s="47">
        <f>+K7-M43</f>
        <v>0</v>
      </c>
    </row>
    <row r="8" spans="1:35" ht="15.5" thickTop="1" thickBot="1" x14ac:dyDescent="0.4">
      <c r="E8" s="27">
        <f t="shared" ref="E8:K8" si="1">SUM(E4:E7)</f>
        <v>11796987.600000001</v>
      </c>
      <c r="F8" s="27">
        <f t="shared" si="1"/>
        <v>3601939072.0150003</v>
      </c>
      <c r="G8" s="27">
        <f t="shared" si="1"/>
        <v>10507449.09</v>
      </c>
      <c r="H8" s="27">
        <f t="shared" si="1"/>
        <v>-1289538.5099999998</v>
      </c>
      <c r="I8" s="27">
        <f t="shared" si="1"/>
        <v>-191356.81000000017</v>
      </c>
      <c r="J8" s="27">
        <f t="shared" si="1"/>
        <v>-8137.95</v>
      </c>
      <c r="K8" s="27">
        <f t="shared" si="1"/>
        <v>-1489033.27</v>
      </c>
    </row>
    <row r="9" spans="1:35" ht="15.5" thickTop="1" thickBot="1" x14ac:dyDescent="0.4"/>
    <row r="10" spans="1:35" ht="87.5" thickBot="1" x14ac:dyDescent="0.4">
      <c r="B10" s="118" t="str">
        <f>+'PCR Cycle 2'!B13</f>
        <v>Cumulative Over/Under Carryover From 06/01/2022 Filing</v>
      </c>
      <c r="C10" s="151" t="str">
        <f>+'PCR Cycle 2'!C13</f>
        <v>Reverse May 2022 - October 2022  Forecast From 06/01/2022 Filing</v>
      </c>
      <c r="D10" s="282"/>
      <c r="E10" s="312" t="s">
        <v>33</v>
      </c>
      <c r="F10" s="312"/>
      <c r="G10" s="313"/>
      <c r="H10" s="314" t="s">
        <v>33</v>
      </c>
      <c r="I10" s="315"/>
      <c r="J10" s="316"/>
      <c r="K10" s="308" t="s">
        <v>8</v>
      </c>
      <c r="L10" s="309"/>
      <c r="M10" s="310"/>
    </row>
    <row r="11" spans="1:35" x14ac:dyDescent="0.35">
      <c r="C11" s="14"/>
      <c r="D11" s="19"/>
      <c r="E11" s="19">
        <f>+'PCR Cycle 2'!D14</f>
        <v>44712</v>
      </c>
      <c r="F11" s="19">
        <f>+'PCR Cycle 2'!E14</f>
        <v>44742</v>
      </c>
      <c r="G11" s="19">
        <f>+'PCR Cycle 2'!F14</f>
        <v>44773</v>
      </c>
      <c r="H11" s="14">
        <f>+'PCR Cycle 2'!G14</f>
        <v>44804</v>
      </c>
      <c r="I11" s="19">
        <f>+'PCR Cycle 2'!H14</f>
        <v>44834</v>
      </c>
      <c r="J11" s="15">
        <f>+'PCR Cycle 2'!I14</f>
        <v>44865</v>
      </c>
      <c r="K11" s="19">
        <f>+'PCR Cycle 2'!J14</f>
        <v>44895</v>
      </c>
      <c r="L11" s="19">
        <f>+'PCR Cycle 2'!K14</f>
        <v>44926</v>
      </c>
      <c r="M11" s="95">
        <f>+'PCR Cycle 2'!L14</f>
        <v>44957</v>
      </c>
      <c r="Z11" s="1"/>
      <c r="AA11" s="1"/>
      <c r="AB11" s="1"/>
      <c r="AC11" s="1"/>
      <c r="AD11" s="1"/>
      <c r="AE11" s="1"/>
      <c r="AF11" s="1"/>
      <c r="AG11" s="1"/>
      <c r="AH11" s="1"/>
      <c r="AI11" s="1"/>
    </row>
    <row r="12" spans="1:35" x14ac:dyDescent="0.35">
      <c r="C12" s="98"/>
      <c r="D12" s="273"/>
      <c r="E12" s="31"/>
      <c r="F12" s="31"/>
      <c r="G12" s="31"/>
      <c r="H12" s="28"/>
      <c r="I12" s="31"/>
      <c r="J12" s="11"/>
      <c r="K12" s="31"/>
      <c r="L12" s="31"/>
      <c r="M12" s="29"/>
    </row>
    <row r="13" spans="1:35" x14ac:dyDescent="0.35">
      <c r="A13" s="46" t="s">
        <v>138</v>
      </c>
      <c r="C13" s="99"/>
      <c r="D13" s="149"/>
      <c r="E13" s="31"/>
      <c r="F13" s="31"/>
      <c r="G13" s="31"/>
      <c r="H13" s="28"/>
      <c r="I13" s="31"/>
      <c r="J13" s="165"/>
      <c r="K13" s="17"/>
      <c r="L13" s="17"/>
      <c r="M13" s="11"/>
    </row>
    <row r="14" spans="1:35" x14ac:dyDescent="0.35">
      <c r="A14" s="46" t="s">
        <v>24</v>
      </c>
      <c r="C14" s="97">
        <v>-1755150.57</v>
      </c>
      <c r="D14" s="274"/>
      <c r="E14" s="109">
        <f>ROUND([7]Pivot!$N$27,2)</f>
        <v>506774.07</v>
      </c>
      <c r="F14" s="109">
        <f>ROUND([8]Pivot!$N$27,2)</f>
        <v>1084676.9099999999</v>
      </c>
      <c r="G14" s="110">
        <f>ROUND([9]Pivot!$N$27,2)</f>
        <v>931260.84</v>
      </c>
      <c r="H14" s="16">
        <f>ROUND([10]Pivot!$N$27,2)</f>
        <v>840824.26</v>
      </c>
      <c r="I14" s="55">
        <f>ROUND([11]Pivot!$N$27,2)</f>
        <v>716017.63</v>
      </c>
      <c r="J14" s="164">
        <f>+[12]Pivot!$N$27</f>
        <v>1051717.4099999999</v>
      </c>
      <c r="K14" s="174">
        <f>ROUND('[2]Monthly Program Costs'!AP290,2)</f>
        <v>1459353.83</v>
      </c>
      <c r="L14" s="138">
        <f>ROUND('[2]Monthly Program Costs'!AQ290,2)</f>
        <v>987803.13</v>
      </c>
      <c r="M14" s="76"/>
    </row>
    <row r="15" spans="1:35" x14ac:dyDescent="0.35">
      <c r="A15" s="46" t="s">
        <v>107</v>
      </c>
      <c r="C15" s="97">
        <v>-778314.77</v>
      </c>
      <c r="D15" s="274"/>
      <c r="E15" s="109">
        <f>ROUND([7]Pivot!$O$27,2)</f>
        <v>132290.51</v>
      </c>
      <c r="F15" s="109">
        <f>ROUND([8]Pivot!$O$27,2)</f>
        <v>434121.11</v>
      </c>
      <c r="G15" s="110">
        <f>ROUND([9]Pivot!$O$27,2)</f>
        <v>300012.65999999997</v>
      </c>
      <c r="H15" s="16">
        <f>ROUND([10]Pivot!$O$27,2)</f>
        <v>164219.66</v>
      </c>
      <c r="I15" s="55">
        <f>ROUND([11]Pivot!$O$27,2)</f>
        <v>102064.84</v>
      </c>
      <c r="J15" s="164">
        <f>+[12]Pivot!$O$27</f>
        <v>142346.63</v>
      </c>
      <c r="K15" s="174">
        <f>ROUND('[2]Monthly Program Costs'!AP291,2)</f>
        <v>489702.25</v>
      </c>
      <c r="L15" s="138">
        <f>ROUND('[2]Monthly Program Costs'!AQ291,2)</f>
        <v>512989.56</v>
      </c>
      <c r="M15" s="76"/>
    </row>
    <row r="16" spans="1:35" x14ac:dyDescent="0.35">
      <c r="A16" s="46" t="s">
        <v>108</v>
      </c>
      <c r="C16" s="97">
        <v>-754394.29</v>
      </c>
      <c r="D16" s="274"/>
      <c r="E16" s="109">
        <f>ROUND([7]Pivot!$Q$27,2)</f>
        <v>46132.23</v>
      </c>
      <c r="F16" s="109">
        <f>ROUND([8]Pivot!$Q$27,2)</f>
        <v>258416.41</v>
      </c>
      <c r="G16" s="110">
        <f>ROUND([9]Pivot!$Q$27,2)</f>
        <v>105303.01</v>
      </c>
      <c r="H16" s="16">
        <f>ROUND([10]Pivot!$Q$27,2)</f>
        <v>588286.49</v>
      </c>
      <c r="I16" s="55">
        <f>ROUND([11]Pivot!$Q$27,2)</f>
        <v>502293.86</v>
      </c>
      <c r="J16" s="164">
        <f>+[12]Pivot!$Q$27</f>
        <v>508021.12</v>
      </c>
      <c r="K16" s="174">
        <f>ROUND('[2]Monthly Program Costs'!AP293,2)</f>
        <v>495686.09</v>
      </c>
      <c r="L16" s="138">
        <f>ROUND('[2]Monthly Program Costs'!AQ293,2)</f>
        <v>529407.41</v>
      </c>
      <c r="M16" s="76"/>
    </row>
    <row r="17" spans="1:15" x14ac:dyDescent="0.35">
      <c r="A17" s="46" t="s">
        <v>109</v>
      </c>
      <c r="C17" s="97">
        <v>-547798.74</v>
      </c>
      <c r="D17" s="274"/>
      <c r="E17" s="109">
        <f>ROUND([7]Pivot!$R$27,2)</f>
        <v>404759.34</v>
      </c>
      <c r="F17" s="109">
        <f>ROUND([8]Pivot!$R$27,2)</f>
        <v>105213.38</v>
      </c>
      <c r="G17" s="110">
        <f>ROUND([9]Pivot!$R$27,2)</f>
        <v>70928.38</v>
      </c>
      <c r="H17" s="16">
        <f>ROUND([10]Pivot!$R$27,2)</f>
        <v>72700.19</v>
      </c>
      <c r="I17" s="55">
        <f>ROUND([11]Pivot!$R$27,2)</f>
        <v>27568.28</v>
      </c>
      <c r="J17" s="164">
        <f>+[12]Pivot!$R$27</f>
        <v>45656.810000000063</v>
      </c>
      <c r="K17" s="174">
        <f>ROUND('[2]Monthly Program Costs'!AP294,2)</f>
        <v>351384.21</v>
      </c>
      <c r="L17" s="138">
        <f>ROUND('[2]Monthly Program Costs'!AQ294,2)</f>
        <v>375174.95</v>
      </c>
      <c r="M17" s="76"/>
    </row>
    <row r="18" spans="1:15" x14ac:dyDescent="0.35">
      <c r="C18" s="99"/>
      <c r="D18" s="149"/>
      <c r="E18" s="31"/>
      <c r="F18" s="31"/>
      <c r="G18" s="31"/>
      <c r="H18" s="28"/>
      <c r="I18" s="31"/>
      <c r="J18" s="11"/>
      <c r="K18" s="17"/>
      <c r="L18" s="17"/>
      <c r="M18" s="11"/>
    </row>
    <row r="19" spans="1:15" x14ac:dyDescent="0.35">
      <c r="A19" s="39" t="s">
        <v>47</v>
      </c>
      <c r="B19" s="39"/>
      <c r="C19" s="101"/>
      <c r="D19" s="275"/>
      <c r="E19" s="31"/>
      <c r="F19" s="31"/>
      <c r="G19" s="31"/>
      <c r="H19" s="28"/>
      <c r="I19" s="31"/>
      <c r="J19" s="11"/>
      <c r="K19" s="17"/>
      <c r="L19" s="17"/>
      <c r="M19" s="11"/>
    </row>
    <row r="20" spans="1:15" x14ac:dyDescent="0.35">
      <c r="A20" s="46" t="s">
        <v>24</v>
      </c>
      <c r="C20" s="102">
        <v>-927322271</v>
      </c>
      <c r="D20" s="276"/>
      <c r="E20" s="111">
        <f>+'PCR Cycle 2'!D26</f>
        <v>229454498.07030001</v>
      </c>
      <c r="F20" s="111">
        <f>+'PCR Cycle 2'!E26</f>
        <v>294635684.40819997</v>
      </c>
      <c r="G20" s="111">
        <f>+'PCR Cycle 2'!F26</f>
        <v>409095948.52310002</v>
      </c>
      <c r="H20" s="184">
        <f>+'PCR Cycle 2'!G26</f>
        <v>394888907.66869998</v>
      </c>
      <c r="I20" s="187">
        <f>+'PCR Cycle 2'!H26</f>
        <v>344714484.33890009</v>
      </c>
      <c r="J20" s="179">
        <f>+'PCR Cycle 2'!I26</f>
        <v>243448562.98229998</v>
      </c>
      <c r="K20" s="175">
        <f>+'PCR Cycle 2'!J26</f>
        <v>226677610</v>
      </c>
      <c r="L20" s="139">
        <f>+'PCR Cycle 2'!K26</f>
        <v>315283024</v>
      </c>
      <c r="M20" s="77">
        <f>+'PCR Cycle 2'!L26</f>
        <v>397130985.75999999</v>
      </c>
    </row>
    <row r="21" spans="1:15" x14ac:dyDescent="0.35">
      <c r="A21" s="46" t="s">
        <v>107</v>
      </c>
      <c r="C21" s="102">
        <v>-279567488</v>
      </c>
      <c r="D21" s="276"/>
      <c r="E21" s="111">
        <f>+'PCR Cycle 2'!D27</f>
        <v>91633685.374299988</v>
      </c>
      <c r="F21" s="111">
        <f>+'PCR Cycle 2'!E27</f>
        <v>107093370.54520001</v>
      </c>
      <c r="G21" s="111">
        <f>+'PCR Cycle 2'!F27</f>
        <v>125353962.28489998</v>
      </c>
      <c r="H21" s="184">
        <f>+'PCR Cycle 2'!G27</f>
        <v>125296963.19490002</v>
      </c>
      <c r="I21" s="187">
        <f>+'PCR Cycle 2'!H27</f>
        <v>120671398.91690005</v>
      </c>
      <c r="J21" s="179">
        <f>+'PCR Cycle 2'!I27</f>
        <v>100501324.66429998</v>
      </c>
      <c r="K21" s="175">
        <f>+'PCR Cycle 2'!J27</f>
        <v>89920050</v>
      </c>
      <c r="L21" s="139">
        <f>+'PCR Cycle 2'!K27</f>
        <v>93068306</v>
      </c>
      <c r="M21" s="77">
        <f>+'PCR Cycle 2'!L27</f>
        <v>97586132</v>
      </c>
    </row>
    <row r="22" spans="1:15" x14ac:dyDescent="0.35">
      <c r="A22" s="46" t="s">
        <v>108</v>
      </c>
      <c r="C22" s="102">
        <v>-268324378</v>
      </c>
      <c r="D22" s="276"/>
      <c r="E22" s="111">
        <f>+'PCR Cycle 2'!D28</f>
        <v>87680650.619200021</v>
      </c>
      <c r="F22" s="111">
        <f>+'PCR Cycle 2'!E28</f>
        <v>100075987.48370002</v>
      </c>
      <c r="G22" s="111">
        <f>+'PCR Cycle 2'!F28</f>
        <v>112629562.63440001</v>
      </c>
      <c r="H22" s="184">
        <f>+'PCR Cycle 2'!G28</f>
        <v>108646352.71389998</v>
      </c>
      <c r="I22" s="187">
        <f>+'PCR Cycle 2'!H28</f>
        <v>107547101.61389999</v>
      </c>
      <c r="J22" s="179">
        <f>+'PCR Cycle 2'!I28</f>
        <v>96400433.28110002</v>
      </c>
      <c r="K22" s="175">
        <f>+'PCR Cycle 2'!J28</f>
        <v>86303817</v>
      </c>
      <c r="L22" s="139">
        <f>+'PCR Cycle 2'!K28</f>
        <v>89325463</v>
      </c>
      <c r="M22" s="77">
        <f>+'PCR Cycle 2'!L28</f>
        <v>93661600</v>
      </c>
    </row>
    <row r="23" spans="1:15" x14ac:dyDescent="0.35">
      <c r="A23" s="46" t="s">
        <v>109</v>
      </c>
      <c r="C23" s="102">
        <v>-197450447</v>
      </c>
      <c r="D23" s="276"/>
      <c r="E23" s="111">
        <f>+'PCR Cycle 2'!D29</f>
        <v>63275362.390599996</v>
      </c>
      <c r="F23" s="111">
        <f>+'PCR Cycle 2'!E29</f>
        <v>64138314.741799995</v>
      </c>
      <c r="G23" s="111">
        <f>+'PCR Cycle 2'!F29</f>
        <v>67584276.436800003</v>
      </c>
      <c r="H23" s="184">
        <f>+'PCR Cycle 2'!G29</f>
        <v>65348830.410700001</v>
      </c>
      <c r="I23" s="187">
        <f>+'PCR Cycle 2'!H29</f>
        <v>69616491.926200002</v>
      </c>
      <c r="J23" s="179">
        <f>+'PCR Cycle 2'!I29</f>
        <v>57752852.030699998</v>
      </c>
      <c r="K23" s="175">
        <f>+'PCR Cycle 2'!J29</f>
        <v>63507935</v>
      </c>
      <c r="L23" s="139">
        <f>+'PCR Cycle 2'!K29</f>
        <v>65731458</v>
      </c>
      <c r="M23" s="77">
        <f>+'PCR Cycle 2'!L29</f>
        <v>68922268</v>
      </c>
    </row>
    <row r="24" spans="1:15" x14ac:dyDescent="0.35">
      <c r="C24" s="99"/>
      <c r="D24" s="149"/>
      <c r="E24" s="31"/>
      <c r="F24" s="31"/>
      <c r="G24" s="31"/>
      <c r="H24" s="28"/>
      <c r="I24" s="31"/>
      <c r="J24" s="11"/>
      <c r="K24" s="17"/>
      <c r="L24" s="17"/>
      <c r="M24" s="11"/>
    </row>
    <row r="25" spans="1:15" x14ac:dyDescent="0.35">
      <c r="A25" s="46" t="s">
        <v>34</v>
      </c>
      <c r="C25" s="99"/>
      <c r="D25" s="149"/>
      <c r="E25" s="18"/>
      <c r="F25" s="18"/>
      <c r="G25" s="18"/>
      <c r="H25" s="91"/>
      <c r="I25" s="18"/>
      <c r="J25" s="11"/>
      <c r="K25" s="57"/>
      <c r="L25" s="57"/>
      <c r="M25" s="58"/>
      <c r="N25" s="63" t="s">
        <v>50</v>
      </c>
      <c r="O25" s="39"/>
    </row>
    <row r="26" spans="1:15" x14ac:dyDescent="0.35">
      <c r="A26" s="46" t="s">
        <v>24</v>
      </c>
      <c r="C26" s="97">
        <v>-3217808.28</v>
      </c>
      <c r="D26" s="274"/>
      <c r="E26" s="109">
        <f>ROUND('[5]May 2022'!$F68+'[5]May 2022'!$F75,2)</f>
        <v>796197.27</v>
      </c>
      <c r="F26" s="109">
        <f>ROUND('[5]Jun 2022'!$F68+'[5]Jun 2022'!$F75,2)</f>
        <v>1022382.36</v>
      </c>
      <c r="G26" s="109">
        <f>ROUND('[5]Jul 2022'!$F68+'[5]Jul 2022'!$F75,2)</f>
        <v>1419645.2</v>
      </c>
      <c r="H26" s="185">
        <f>ROUND('[5]Aug 2022'!$F76+'[5]Aug 2022'!$F83,2)</f>
        <v>1109670.83</v>
      </c>
      <c r="I26" s="55">
        <f>ROUND('[5]Sep 2022'!$F76+'[5]Sep 2022'!$F83,2)</f>
        <v>968654.55</v>
      </c>
      <c r="J26" s="177">
        <f>ROUND('[5]Oct 2022'!$F76+'[5]Oct 2022'!$F83,2)</f>
        <v>684065.32</v>
      </c>
      <c r="K26" s="123">
        <f t="shared" ref="K26:M29" si="2">ROUND(K20*$N26,2)</f>
        <v>636964.07999999996</v>
      </c>
      <c r="L26" s="41">
        <f t="shared" si="2"/>
        <v>885945.3</v>
      </c>
      <c r="M26" s="61">
        <f t="shared" si="2"/>
        <v>1115938.07</v>
      </c>
      <c r="N26" s="72">
        <v>2.81E-3</v>
      </c>
    </row>
    <row r="27" spans="1:15" x14ac:dyDescent="0.35">
      <c r="A27" s="46" t="s">
        <v>107</v>
      </c>
      <c r="C27" s="97">
        <v>-584296.04</v>
      </c>
      <c r="D27" s="274"/>
      <c r="E27" s="109">
        <f>ROUND('[5]May 2022'!$F69+'[5]May 2022'!$F76,2)</f>
        <v>191516.57</v>
      </c>
      <c r="F27" s="109">
        <f>ROUND('[5]Jun 2022'!$F69+'[5]Jun 2022'!$F76,2)</f>
        <v>223912.54</v>
      </c>
      <c r="G27" s="109">
        <f>ROUND('[5]Jul 2022'!$F69+'[5]Jul 2022'!$F76,2)</f>
        <v>262226</v>
      </c>
      <c r="H27" s="185">
        <f>ROUND('[5]Aug 2022'!$F77+'[5]Aug 2022'!$F84,2)</f>
        <v>460774.8</v>
      </c>
      <c r="I27" s="55">
        <f>ROUND('[5]Sep 2022'!$F77+'[5]Sep 2022'!$F84,2)</f>
        <v>445257.34</v>
      </c>
      <c r="J27" s="177">
        <f>ROUND('[5]Oct 2022'!$F77+'[5]Oct 2022'!$F84,2)</f>
        <v>370826.14</v>
      </c>
      <c r="K27" s="123">
        <f t="shared" si="2"/>
        <v>331804.98</v>
      </c>
      <c r="L27" s="41">
        <f t="shared" si="2"/>
        <v>343422.05</v>
      </c>
      <c r="M27" s="61">
        <f t="shared" si="2"/>
        <v>360092.83</v>
      </c>
      <c r="N27" s="72">
        <v>3.6900000000000001E-3</v>
      </c>
    </row>
    <row r="28" spans="1:15" x14ac:dyDescent="0.35">
      <c r="A28" s="46" t="s">
        <v>108</v>
      </c>
      <c r="C28" s="97">
        <v>-1038415.34</v>
      </c>
      <c r="D28" s="274"/>
      <c r="E28" s="109">
        <f>ROUND('[5]May 2022'!$F70+'[5]May 2022'!$F77,2)</f>
        <v>339324.13</v>
      </c>
      <c r="F28" s="109">
        <f>ROUND('[5]Jun 2022'!$F70+'[5]Jun 2022'!$F77,2)</f>
        <v>384482.23</v>
      </c>
      <c r="G28" s="109">
        <f>ROUND('[5]Jul 2022'!$F70+'[5]Jul 2022'!$F77,2)</f>
        <v>435380.1</v>
      </c>
      <c r="H28" s="185">
        <f>ROUND('[5]Aug 2022'!$F78+'[5]Aug 2022'!$F85,2)</f>
        <v>494507.72</v>
      </c>
      <c r="I28" s="55">
        <f>ROUND('[5]Sep 2022'!$F78+'[5]Sep 2022'!$F85,2)</f>
        <v>489339.31</v>
      </c>
      <c r="J28" s="177">
        <f>ROUND('[5]Oct 2022'!$F78+'[5]Oct 2022'!$F85,2)</f>
        <v>438621.98</v>
      </c>
      <c r="K28" s="123">
        <f t="shared" si="2"/>
        <v>392682.37</v>
      </c>
      <c r="L28" s="41">
        <f t="shared" si="2"/>
        <v>406430.86</v>
      </c>
      <c r="M28" s="61">
        <f t="shared" si="2"/>
        <v>426160.28</v>
      </c>
      <c r="N28" s="72">
        <v>4.5500000000000002E-3</v>
      </c>
    </row>
    <row r="29" spans="1:15" x14ac:dyDescent="0.35">
      <c r="A29" s="46" t="s">
        <v>109</v>
      </c>
      <c r="C29" s="97">
        <v>-572606.30000000005</v>
      </c>
      <c r="D29" s="274"/>
      <c r="E29" s="109">
        <f>ROUND('[5]May 2022'!$F71+'[5]May 2022'!$F78,2)</f>
        <v>182085.93</v>
      </c>
      <c r="F29" s="109">
        <f>ROUND('[5]Jun 2022'!$F71+'[5]Jun 2022'!$F78,2)</f>
        <v>186001.11</v>
      </c>
      <c r="G29" s="109">
        <f>ROUND('[5]Jul 2022'!$F71+'[5]Jul 2022'!$F78,2)</f>
        <v>195994.4</v>
      </c>
      <c r="H29" s="185">
        <f>ROUND('[5]Aug 2022'!$F79+'[5]Aug 2022'!$F86,2)</f>
        <v>201696.74</v>
      </c>
      <c r="I29" s="55">
        <f>ROUND('[5]Sep 2022'!$F79+'[5]Sep 2022'!$F86,2)</f>
        <v>215114.96</v>
      </c>
      <c r="J29" s="177">
        <f>ROUND('[5]Oct 2022'!$F79+'[5]Oct 2022'!$F86,2)</f>
        <v>180675.67</v>
      </c>
      <c r="K29" s="123">
        <f t="shared" si="2"/>
        <v>196239.52</v>
      </c>
      <c r="L29" s="41">
        <f t="shared" si="2"/>
        <v>203110.21</v>
      </c>
      <c r="M29" s="61">
        <f t="shared" si="2"/>
        <v>212969.81</v>
      </c>
      <c r="N29" s="72">
        <v>3.0899999999999999E-3</v>
      </c>
    </row>
    <row r="30" spans="1:15" x14ac:dyDescent="0.35">
      <c r="C30" s="67"/>
      <c r="D30" s="68"/>
      <c r="E30" s="18"/>
      <c r="F30" s="18"/>
      <c r="G30" s="18"/>
      <c r="H30" s="91"/>
      <c r="I30" s="18"/>
      <c r="J30" s="11"/>
      <c r="K30" s="56"/>
      <c r="L30" s="56"/>
      <c r="M30" s="13"/>
      <c r="N30" s="4"/>
    </row>
    <row r="31" spans="1:15" ht="15" thickBot="1" x14ac:dyDescent="0.4">
      <c r="A31" s="46" t="s">
        <v>14</v>
      </c>
      <c r="C31" s="103">
        <v>-5008.119999999999</v>
      </c>
      <c r="D31" s="277">
        <v>0</v>
      </c>
      <c r="E31" s="112">
        <v>2131.4799999999996</v>
      </c>
      <c r="F31" s="112">
        <v>2236.87</v>
      </c>
      <c r="G31" s="113">
        <v>1611.7299999999998</v>
      </c>
      <c r="H31" s="26">
        <v>-527.3599999999999</v>
      </c>
      <c r="I31" s="122">
        <v>-2977.51</v>
      </c>
      <c r="J31" s="178">
        <v>-4752.16</v>
      </c>
      <c r="K31" s="176">
        <v>-2194.35</v>
      </c>
      <c r="L31" s="140">
        <v>1341.4699999999998</v>
      </c>
      <c r="M31" s="81"/>
    </row>
    <row r="32" spans="1:15" x14ac:dyDescent="0.35">
      <c r="C32" s="99"/>
      <c r="D32" s="149"/>
      <c r="E32" s="31"/>
      <c r="F32" s="31"/>
      <c r="G32" s="31"/>
      <c r="H32" s="28"/>
      <c r="I32" s="31"/>
      <c r="J32" s="11"/>
      <c r="K32" s="17"/>
      <c r="L32" s="17"/>
      <c r="M32" s="11"/>
    </row>
    <row r="33" spans="1:14" x14ac:dyDescent="0.35">
      <c r="A33" s="46" t="s">
        <v>52</v>
      </c>
      <c r="C33" s="99"/>
      <c r="D33" s="149"/>
      <c r="E33" s="31"/>
      <c r="F33" s="31"/>
      <c r="G33" s="31"/>
      <c r="H33" s="28"/>
      <c r="I33" s="31"/>
      <c r="J33" s="11"/>
      <c r="K33" s="17"/>
      <c r="L33" s="17"/>
      <c r="M33" s="11"/>
    </row>
    <row r="34" spans="1:14" x14ac:dyDescent="0.35">
      <c r="A34" s="46" t="s">
        <v>24</v>
      </c>
      <c r="C34" s="40">
        <f t="shared" ref="C34:M34" si="3">C14-C26</f>
        <v>1462657.7099999997</v>
      </c>
      <c r="D34" s="123">
        <f t="shared" ref="D34" si="4">D14-D26</f>
        <v>0</v>
      </c>
      <c r="E34" s="41">
        <f t="shared" si="3"/>
        <v>-289423.2</v>
      </c>
      <c r="F34" s="41">
        <f t="shared" si="3"/>
        <v>62294.54999999993</v>
      </c>
      <c r="G34" s="108">
        <f t="shared" si="3"/>
        <v>-488384.36</v>
      </c>
      <c r="H34" s="40">
        <f t="shared" si="3"/>
        <v>-268846.57000000007</v>
      </c>
      <c r="I34" s="41">
        <f t="shared" si="3"/>
        <v>-252636.92000000004</v>
      </c>
      <c r="J34" s="61">
        <f t="shared" si="3"/>
        <v>367652.08999999997</v>
      </c>
      <c r="K34" s="123">
        <f t="shared" si="3"/>
        <v>822389.75000000012</v>
      </c>
      <c r="L34" s="41">
        <f t="shared" si="3"/>
        <v>101857.82999999996</v>
      </c>
      <c r="M34" s="49">
        <f t="shared" si="3"/>
        <v>-1115938.07</v>
      </c>
    </row>
    <row r="35" spans="1:14" x14ac:dyDescent="0.35">
      <c r="A35" s="46" t="s">
        <v>107</v>
      </c>
      <c r="C35" s="40">
        <f t="shared" ref="C35:M35" si="5">C15-C27</f>
        <v>-194018.72999999998</v>
      </c>
      <c r="D35" s="123">
        <f t="shared" ref="D35" si="6">D15-D27</f>
        <v>0</v>
      </c>
      <c r="E35" s="41">
        <f t="shared" si="5"/>
        <v>-59226.06</v>
      </c>
      <c r="F35" s="41">
        <f t="shared" si="5"/>
        <v>210208.56999999998</v>
      </c>
      <c r="G35" s="108">
        <f t="shared" si="5"/>
        <v>37786.659999999974</v>
      </c>
      <c r="H35" s="40">
        <f t="shared" si="5"/>
        <v>-296555.14</v>
      </c>
      <c r="I35" s="41">
        <f t="shared" si="5"/>
        <v>-343192.5</v>
      </c>
      <c r="J35" s="61">
        <f t="shared" si="5"/>
        <v>-228479.51</v>
      </c>
      <c r="K35" s="123">
        <f t="shared" si="5"/>
        <v>157897.27000000002</v>
      </c>
      <c r="L35" s="41">
        <f t="shared" si="5"/>
        <v>169567.51</v>
      </c>
      <c r="M35" s="49">
        <f t="shared" si="5"/>
        <v>-360092.83</v>
      </c>
    </row>
    <row r="36" spans="1:14" x14ac:dyDescent="0.35">
      <c r="A36" s="46" t="s">
        <v>108</v>
      </c>
      <c r="C36" s="40">
        <f t="shared" ref="C36:M36" si="7">C16-C28</f>
        <v>284021.04999999993</v>
      </c>
      <c r="D36" s="123">
        <f t="shared" ref="D36" si="8">D16-D28</f>
        <v>0</v>
      </c>
      <c r="E36" s="41">
        <f t="shared" si="7"/>
        <v>-293191.90000000002</v>
      </c>
      <c r="F36" s="41">
        <f t="shared" si="7"/>
        <v>-126065.81999999998</v>
      </c>
      <c r="G36" s="108">
        <f t="shared" si="7"/>
        <v>-330077.08999999997</v>
      </c>
      <c r="H36" s="40">
        <f t="shared" si="7"/>
        <v>93778.770000000019</v>
      </c>
      <c r="I36" s="41">
        <f t="shared" si="7"/>
        <v>12954.549999999988</v>
      </c>
      <c r="J36" s="61">
        <f t="shared" si="7"/>
        <v>69399.140000000014</v>
      </c>
      <c r="K36" s="123">
        <f t="shared" si="7"/>
        <v>103003.72000000003</v>
      </c>
      <c r="L36" s="41">
        <f t="shared" si="7"/>
        <v>122976.55000000005</v>
      </c>
      <c r="M36" s="49">
        <f t="shared" si="7"/>
        <v>-426160.28</v>
      </c>
    </row>
    <row r="37" spans="1:14" x14ac:dyDescent="0.35">
      <c r="A37" s="46" t="s">
        <v>109</v>
      </c>
      <c r="C37" s="40">
        <f t="shared" ref="C37:M37" si="9">C17-C29</f>
        <v>24807.560000000056</v>
      </c>
      <c r="D37" s="123">
        <f t="shared" ref="D37" si="10">D17-D29</f>
        <v>0</v>
      </c>
      <c r="E37" s="41">
        <f t="shared" si="9"/>
        <v>222673.41000000003</v>
      </c>
      <c r="F37" s="41">
        <f t="shared" si="9"/>
        <v>-80787.729999999981</v>
      </c>
      <c r="G37" s="108">
        <f t="shared" si="9"/>
        <v>-125066.01999999999</v>
      </c>
      <c r="H37" s="40">
        <f t="shared" si="9"/>
        <v>-128996.54999999999</v>
      </c>
      <c r="I37" s="41">
        <f t="shared" si="9"/>
        <v>-187546.68</v>
      </c>
      <c r="J37" s="61">
        <f t="shared" si="9"/>
        <v>-135018.85999999996</v>
      </c>
      <c r="K37" s="123">
        <f t="shared" si="9"/>
        <v>155144.69000000003</v>
      </c>
      <c r="L37" s="41">
        <f t="shared" si="9"/>
        <v>172064.74000000002</v>
      </c>
      <c r="M37" s="49">
        <f t="shared" si="9"/>
        <v>-212969.81</v>
      </c>
    </row>
    <row r="38" spans="1:14" x14ac:dyDescent="0.35">
      <c r="C38" s="99"/>
      <c r="D38" s="149"/>
      <c r="E38" s="31"/>
      <c r="F38" s="31"/>
      <c r="G38" s="31"/>
      <c r="H38" s="28"/>
      <c r="I38" s="31"/>
      <c r="J38" s="11"/>
      <c r="K38" s="17"/>
      <c r="L38" s="17"/>
      <c r="M38" s="11"/>
    </row>
    <row r="39" spans="1:14" ht="15" thickBot="1" x14ac:dyDescent="0.4">
      <c r="A39" s="46" t="s">
        <v>53</v>
      </c>
      <c r="C39" s="104"/>
      <c r="D39" s="278"/>
      <c r="E39" s="31"/>
      <c r="F39" s="31"/>
      <c r="G39" s="31"/>
      <c r="H39" s="28"/>
      <c r="I39" s="31"/>
      <c r="J39" s="11"/>
      <c r="K39" s="17"/>
      <c r="L39" s="17"/>
      <c r="M39" s="11"/>
    </row>
    <row r="40" spans="1:14" x14ac:dyDescent="0.35">
      <c r="A40" s="46" t="s">
        <v>24</v>
      </c>
      <c r="B40" s="116">
        <v>-592246.70000000019</v>
      </c>
      <c r="C40" s="41">
        <f t="shared" ref="C40:M40" si="11">B40+C34+B47</f>
        <v>870411.00999999954</v>
      </c>
      <c r="D40" s="41">
        <f t="shared" ref="D40:D43" si="12">C40+D34+C47</f>
        <v>867846.3399999995</v>
      </c>
      <c r="E40" s="41">
        <f t="shared" ref="E40:E43" si="13">D40+E34+D47</f>
        <v>578423.13999999943</v>
      </c>
      <c r="F40" s="41">
        <f t="shared" si="11"/>
        <v>642033.36999999941</v>
      </c>
      <c r="G40" s="108">
        <f t="shared" si="11"/>
        <v>155019.74999999942</v>
      </c>
      <c r="H40" s="40">
        <f t="shared" si="11"/>
        <v>-112715.72000000064</v>
      </c>
      <c r="I40" s="41">
        <f t="shared" si="11"/>
        <v>-365286.27000000072</v>
      </c>
      <c r="J40" s="61">
        <f t="shared" si="11"/>
        <v>1537.0499999992503</v>
      </c>
      <c r="K40" s="123">
        <f t="shared" si="11"/>
        <v>823210.84999999939</v>
      </c>
      <c r="L40" s="41">
        <f t="shared" si="11"/>
        <v>926686.90999999933</v>
      </c>
      <c r="M40" s="49">
        <f t="shared" si="11"/>
        <v>-185811.55000000075</v>
      </c>
    </row>
    <row r="41" spans="1:14" x14ac:dyDescent="0.35">
      <c r="A41" s="46" t="s">
        <v>107</v>
      </c>
      <c r="B41" s="244">
        <v>208984.91</v>
      </c>
      <c r="C41" s="41">
        <f t="shared" ref="C41:M41" si="14">B41+C35+B48</f>
        <v>14966.180000000022</v>
      </c>
      <c r="D41" s="41">
        <f t="shared" si="12"/>
        <v>14363.580000000022</v>
      </c>
      <c r="E41" s="41">
        <f t="shared" si="13"/>
        <v>-44862.479999999974</v>
      </c>
      <c r="F41" s="41">
        <f t="shared" si="14"/>
        <v>165318.34</v>
      </c>
      <c r="G41" s="108">
        <f t="shared" si="14"/>
        <v>203240.10999999996</v>
      </c>
      <c r="H41" s="40">
        <f t="shared" si="14"/>
        <v>-92801.950000000055</v>
      </c>
      <c r="I41" s="41">
        <f t="shared" si="14"/>
        <v>-435824.84000000008</v>
      </c>
      <c r="J41" s="61">
        <f t="shared" si="14"/>
        <v>-665220.7300000001</v>
      </c>
      <c r="K41" s="123">
        <f t="shared" si="14"/>
        <v>-509487.4800000001</v>
      </c>
      <c r="L41" s="41">
        <f t="shared" si="14"/>
        <v>-342231.10000000009</v>
      </c>
      <c r="M41" s="49">
        <f t="shared" si="14"/>
        <v>-704001.07000000018</v>
      </c>
    </row>
    <row r="42" spans="1:14" x14ac:dyDescent="0.35">
      <c r="A42" s="46" t="s">
        <v>108</v>
      </c>
      <c r="B42" s="244">
        <v>589266.74999999965</v>
      </c>
      <c r="C42" s="41">
        <f t="shared" ref="C42:M42" si="15">B42+C36+B49</f>
        <v>873287.79999999958</v>
      </c>
      <c r="D42" s="41">
        <f t="shared" si="12"/>
        <v>870533.86999999953</v>
      </c>
      <c r="E42" s="41">
        <f t="shared" si="13"/>
        <v>577341.96999999951</v>
      </c>
      <c r="F42" s="41">
        <f t="shared" si="15"/>
        <v>452593.28999999957</v>
      </c>
      <c r="G42" s="108">
        <f t="shared" si="15"/>
        <v>123673.18999999961</v>
      </c>
      <c r="H42" s="40">
        <f t="shared" si="15"/>
        <v>218255.5099999996</v>
      </c>
      <c r="I42" s="41">
        <f t="shared" si="15"/>
        <v>231733.98999999958</v>
      </c>
      <c r="J42" s="61">
        <f t="shared" si="15"/>
        <v>301914.34999999957</v>
      </c>
      <c r="K42" s="123">
        <f t="shared" si="15"/>
        <v>405967.57999999961</v>
      </c>
      <c r="L42" s="41">
        <f t="shared" si="15"/>
        <v>530336.3199999996</v>
      </c>
      <c r="M42" s="49">
        <f t="shared" si="15"/>
        <v>106017.47999999957</v>
      </c>
    </row>
    <row r="43" spans="1:14" ht="15" thickBot="1" x14ac:dyDescent="0.4">
      <c r="A43" s="46" t="s">
        <v>109</v>
      </c>
      <c r="B43" s="117">
        <v>-397361.76999999967</v>
      </c>
      <c r="C43" s="41">
        <f t="shared" ref="C43:M43" si="16">B43+C37+B50</f>
        <v>-372554.20999999961</v>
      </c>
      <c r="D43" s="41">
        <f t="shared" si="12"/>
        <v>-371641.1299999996</v>
      </c>
      <c r="E43" s="41">
        <f t="shared" si="13"/>
        <v>-148967.71999999956</v>
      </c>
      <c r="F43" s="41">
        <f t="shared" si="16"/>
        <v>-230229.04999999955</v>
      </c>
      <c r="G43" s="108">
        <f t="shared" si="16"/>
        <v>-355721.02999999956</v>
      </c>
      <c r="H43" s="40">
        <f t="shared" si="16"/>
        <v>-485533.58999999956</v>
      </c>
      <c r="I43" s="41">
        <f t="shared" si="16"/>
        <v>-674367.53999999957</v>
      </c>
      <c r="J43" s="61">
        <f t="shared" si="16"/>
        <v>-811399.97999999952</v>
      </c>
      <c r="K43" s="123">
        <f t="shared" si="16"/>
        <v>-659176.9799999994</v>
      </c>
      <c r="L43" s="41">
        <f t="shared" si="16"/>
        <v>-490005.87999999942</v>
      </c>
      <c r="M43" s="49">
        <f t="shared" si="16"/>
        <v>-705238.12999999942</v>
      </c>
    </row>
    <row r="44" spans="1:14" x14ac:dyDescent="0.35">
      <c r="C44" s="99"/>
      <c r="D44" s="149"/>
      <c r="E44" s="31"/>
      <c r="F44" s="31"/>
      <c r="G44" s="31"/>
      <c r="H44" s="28"/>
      <c r="I44" s="31"/>
      <c r="J44" s="11"/>
      <c r="K44" s="17"/>
      <c r="L44" s="17"/>
      <c r="M44" s="11"/>
    </row>
    <row r="45" spans="1:14" x14ac:dyDescent="0.35">
      <c r="A45" s="39" t="s">
        <v>49</v>
      </c>
      <c r="B45" s="39"/>
      <c r="C45" s="104"/>
      <c r="D45" s="278"/>
      <c r="E45" s="83">
        <f>+'PCR Cycle 2'!D47</f>
        <v>1.81941E-3</v>
      </c>
      <c r="F45" s="83">
        <f>+'PCR Cycle 2'!E47</f>
        <v>2.2438499999999999E-3</v>
      </c>
      <c r="G45" s="83">
        <f>+'PCR Cycle 2'!F47</f>
        <v>2.7832400000000002E-3</v>
      </c>
      <c r="H45" s="84">
        <f>+'PCR Cycle 2'!G47</f>
        <v>3.0573900000000001E-3</v>
      </c>
      <c r="I45" s="83">
        <f>+'PCR Cycle 2'!H47</f>
        <v>3.4681400000000002E-3</v>
      </c>
      <c r="J45" s="92">
        <f>+'PCR Cycle 2'!I47</f>
        <v>3.92758E-3</v>
      </c>
      <c r="K45" s="83">
        <f>+'PCR Cycle 2'!J47</f>
        <v>3.92758E-3</v>
      </c>
      <c r="L45" s="83">
        <f>+'PCR Cycle 2'!K47</f>
        <v>3.92758E-3</v>
      </c>
      <c r="M45" s="92"/>
    </row>
    <row r="46" spans="1:14" x14ac:dyDescent="0.35">
      <c r="A46" s="39" t="s">
        <v>37</v>
      </c>
      <c r="B46" s="39"/>
      <c r="C46" s="99"/>
      <c r="D46" s="149"/>
      <c r="E46" s="31"/>
      <c r="F46" s="31"/>
      <c r="G46" s="31"/>
      <c r="H46" s="28"/>
      <c r="I46" s="31"/>
      <c r="J46" s="11"/>
      <c r="K46" s="17"/>
      <c r="L46" s="17"/>
      <c r="M46" s="11"/>
      <c r="N46" s="71"/>
    </row>
    <row r="47" spans="1:14" x14ac:dyDescent="0.35">
      <c r="A47" s="46" t="s">
        <v>24</v>
      </c>
      <c r="C47" s="40">
        <v>-2564.67</v>
      </c>
      <c r="D47" s="123"/>
      <c r="E47" s="41">
        <f>ROUND((C40+C47+D47+E34/2)*E$45,2)</f>
        <v>1315.68</v>
      </c>
      <c r="F47" s="41">
        <f t="shared" ref="F47:L50" si="17">ROUND((E40+E47+F34/2)*F$45,2)</f>
        <v>1370.74</v>
      </c>
      <c r="G47" s="108">
        <f t="shared" si="17"/>
        <v>1111.0999999999999</v>
      </c>
      <c r="H47" s="40">
        <f t="shared" si="17"/>
        <v>66.37</v>
      </c>
      <c r="I47" s="123">
        <f t="shared" si="17"/>
        <v>-828.77</v>
      </c>
      <c r="J47" s="61">
        <f t="shared" si="17"/>
        <v>-715.95</v>
      </c>
      <c r="K47" s="123">
        <f t="shared" si="17"/>
        <v>1618.23</v>
      </c>
      <c r="L47" s="123">
        <f t="shared" si="17"/>
        <v>3439.61</v>
      </c>
      <c r="M47" s="49"/>
    </row>
    <row r="48" spans="1:14" x14ac:dyDescent="0.35">
      <c r="A48" s="46" t="s">
        <v>107</v>
      </c>
      <c r="C48" s="245">
        <v>-602.6</v>
      </c>
      <c r="D48" s="279"/>
      <c r="E48" s="41">
        <f t="shared" ref="E48:E50" si="18">ROUND((C41+C48+D48+E35/2)*E$45,2)</f>
        <v>-27.75</v>
      </c>
      <c r="F48" s="41">
        <f t="shared" si="17"/>
        <v>135.11000000000001</v>
      </c>
      <c r="G48" s="108">
        <f t="shared" si="17"/>
        <v>513.08000000000004</v>
      </c>
      <c r="H48" s="40">
        <f t="shared" si="17"/>
        <v>169.61</v>
      </c>
      <c r="I48" s="123">
        <f t="shared" si="17"/>
        <v>-916.38</v>
      </c>
      <c r="J48" s="61">
        <f t="shared" si="17"/>
        <v>-2164.02</v>
      </c>
      <c r="K48" s="123">
        <f t="shared" si="17"/>
        <v>-2311.13</v>
      </c>
      <c r="L48" s="123">
        <f t="shared" si="17"/>
        <v>-1677.14</v>
      </c>
      <c r="M48" s="49"/>
    </row>
    <row r="49" spans="1:13" x14ac:dyDescent="0.35">
      <c r="A49" s="46" t="s">
        <v>108</v>
      </c>
      <c r="C49" s="245">
        <v>-2753.93</v>
      </c>
      <c r="D49" s="279"/>
      <c r="E49" s="41">
        <f t="shared" si="18"/>
        <v>1317.14</v>
      </c>
      <c r="F49" s="41">
        <f t="shared" si="17"/>
        <v>1156.99</v>
      </c>
      <c r="G49" s="108">
        <f t="shared" si="17"/>
        <v>803.55</v>
      </c>
      <c r="H49" s="40">
        <f t="shared" si="17"/>
        <v>523.92999999999995</v>
      </c>
      <c r="I49" s="123">
        <f t="shared" si="17"/>
        <v>781.22</v>
      </c>
      <c r="J49" s="61">
        <f t="shared" si="17"/>
        <v>1049.51</v>
      </c>
      <c r="K49" s="123">
        <f t="shared" si="17"/>
        <v>1392.19</v>
      </c>
      <c r="L49" s="123">
        <f t="shared" si="17"/>
        <v>1841.44</v>
      </c>
      <c r="M49" s="49"/>
    </row>
    <row r="50" spans="1:13" ht="15" thickBot="1" x14ac:dyDescent="0.4">
      <c r="A50" s="46" t="s">
        <v>109</v>
      </c>
      <c r="C50" s="114">
        <v>913.08</v>
      </c>
      <c r="D50" s="279"/>
      <c r="E50" s="41">
        <f t="shared" si="18"/>
        <v>-473.6</v>
      </c>
      <c r="F50" s="41">
        <f t="shared" si="17"/>
        <v>-425.96</v>
      </c>
      <c r="G50" s="108">
        <f t="shared" si="17"/>
        <v>-816.01</v>
      </c>
      <c r="H50" s="40">
        <f t="shared" si="17"/>
        <v>-1287.27</v>
      </c>
      <c r="I50" s="123">
        <f t="shared" si="17"/>
        <v>-2013.58</v>
      </c>
      <c r="J50" s="61">
        <f t="shared" si="17"/>
        <v>-2921.69</v>
      </c>
      <c r="K50" s="123">
        <f t="shared" si="17"/>
        <v>-2893.64</v>
      </c>
      <c r="L50" s="123">
        <f t="shared" si="17"/>
        <v>-2262.44</v>
      </c>
      <c r="M50" s="49"/>
    </row>
    <row r="51" spans="1:13" ht="15.5" thickTop="1" thickBot="1" x14ac:dyDescent="0.4">
      <c r="A51" s="54" t="s">
        <v>22</v>
      </c>
      <c r="B51" s="54"/>
      <c r="C51" s="115">
        <v>0</v>
      </c>
      <c r="D51" s="280"/>
      <c r="E51" s="32">
        <f t="shared" ref="E51:M51" si="19">SUM(E47:E50)+SUM(E40:E43)-E54</f>
        <v>0</v>
      </c>
      <c r="F51" s="32">
        <f t="shared" si="19"/>
        <v>0</v>
      </c>
      <c r="G51" s="50">
        <f t="shared" si="19"/>
        <v>-9.0221874415874481E-10</v>
      </c>
      <c r="H51" s="124">
        <f t="shared" si="19"/>
        <v>-1.2223608791828156E-9</v>
      </c>
      <c r="I51" s="32">
        <f t="shared" si="19"/>
        <v>0</v>
      </c>
      <c r="J51" s="62">
        <f t="shared" si="19"/>
        <v>0</v>
      </c>
      <c r="K51" s="163">
        <f t="shared" si="19"/>
        <v>-1.3023964129388332E-9</v>
      </c>
      <c r="L51" s="32">
        <f t="shared" si="19"/>
        <v>-1.6298145055770874E-9</v>
      </c>
      <c r="M51" s="96">
        <f t="shared" si="19"/>
        <v>0</v>
      </c>
    </row>
    <row r="52" spans="1:13" ht="15.5" thickTop="1" thickBot="1" x14ac:dyDescent="0.4">
      <c r="A52" s="54" t="s">
        <v>23</v>
      </c>
      <c r="B52" s="54"/>
      <c r="C52" s="107">
        <v>0</v>
      </c>
      <c r="D52" s="281"/>
      <c r="E52" s="32">
        <f t="shared" ref="E52:M52" si="20">SUM(E47:E50)-E31</f>
        <v>-9.999999999308784E-3</v>
      </c>
      <c r="F52" s="32">
        <f t="shared" si="20"/>
        <v>1.0000000000218279E-2</v>
      </c>
      <c r="G52" s="50">
        <f t="shared" si="20"/>
        <v>-1.0000000000218279E-2</v>
      </c>
      <c r="H52" s="51">
        <f t="shared" si="20"/>
        <v>0</v>
      </c>
      <c r="I52" s="32">
        <f t="shared" si="20"/>
        <v>0</v>
      </c>
      <c r="J52" s="62">
        <f t="shared" si="20"/>
        <v>9.999999999308784E-3</v>
      </c>
      <c r="K52" s="163">
        <f t="shared" si="20"/>
        <v>0</v>
      </c>
      <c r="L52" s="32">
        <f t="shared" si="20"/>
        <v>0</v>
      </c>
      <c r="M52" s="96">
        <f t="shared" si="20"/>
        <v>0</v>
      </c>
    </row>
    <row r="53" spans="1:13" ht="15.5" thickTop="1" thickBot="1" x14ac:dyDescent="0.4">
      <c r="C53" s="99"/>
      <c r="D53" s="149"/>
      <c r="E53" s="17"/>
      <c r="F53" s="17"/>
      <c r="G53" s="17"/>
      <c r="H53" s="10"/>
      <c r="I53" s="17"/>
      <c r="J53" s="11"/>
      <c r="K53" s="17"/>
      <c r="L53" s="17"/>
      <c r="M53" s="11"/>
    </row>
    <row r="54" spans="1:13" ht="15" thickBot="1" x14ac:dyDescent="0.4">
      <c r="A54" s="46" t="s">
        <v>36</v>
      </c>
      <c r="B54" s="119">
        <f>SUM(B40:B43)</f>
        <v>-191356.81000000017</v>
      </c>
      <c r="C54" s="40">
        <f t="shared" ref="C54:M54" si="21">(SUM(C14:C17)-SUM(C26:C29))+SUM(C47:C50)+B54</f>
        <v>1381102.6599999997</v>
      </c>
      <c r="D54" s="123"/>
      <c r="E54" s="41">
        <f>(SUM(E14:E17)-SUM(E26:E29))+SUM(E47:E50)+C54</f>
        <v>964066.37999999966</v>
      </c>
      <c r="F54" s="41">
        <f t="shared" si="21"/>
        <v>1031952.83</v>
      </c>
      <c r="G54" s="108">
        <f t="shared" si="21"/>
        <v>127823.74000000034</v>
      </c>
      <c r="H54" s="40">
        <f t="shared" si="21"/>
        <v>-473323.1099999994</v>
      </c>
      <c r="I54" s="41">
        <f t="shared" si="21"/>
        <v>-1246722.1699999995</v>
      </c>
      <c r="J54" s="61">
        <f t="shared" si="21"/>
        <v>-1177921.459999999</v>
      </c>
      <c r="K54" s="123">
        <f t="shared" si="21"/>
        <v>58319.62000000081</v>
      </c>
      <c r="L54" s="41">
        <f t="shared" si="21"/>
        <v>626127.72000000114</v>
      </c>
      <c r="M54" s="61">
        <f t="shared" si="21"/>
        <v>-1489033.2699999991</v>
      </c>
    </row>
    <row r="55" spans="1:13" x14ac:dyDescent="0.35">
      <c r="A55" s="46" t="s">
        <v>12</v>
      </c>
      <c r="C55" s="120"/>
      <c r="D55" s="17"/>
      <c r="E55" s="56"/>
      <c r="F55" s="56"/>
      <c r="G55" s="56"/>
      <c r="H55" s="12"/>
      <c r="I55" s="56"/>
      <c r="J55" s="11"/>
      <c r="K55" s="17"/>
      <c r="L55" s="17"/>
      <c r="M55" s="11"/>
    </row>
    <row r="56" spans="1:13" ht="15" thickBot="1" x14ac:dyDescent="0.4">
      <c r="B56" s="17"/>
      <c r="C56" s="43"/>
      <c r="D56" s="44"/>
      <c r="E56" s="44"/>
      <c r="F56" s="44"/>
      <c r="G56" s="44"/>
      <c r="H56" s="43"/>
      <c r="I56" s="44"/>
      <c r="J56" s="45"/>
      <c r="K56" s="44"/>
      <c r="L56" s="44"/>
      <c r="M56" s="45"/>
    </row>
    <row r="58" spans="1:13" x14ac:dyDescent="0.35">
      <c r="A58" s="69" t="s">
        <v>11</v>
      </c>
      <c r="B58" s="69"/>
      <c r="C58" s="69"/>
      <c r="D58" s="69"/>
    </row>
    <row r="59" spans="1:13" ht="63" customHeight="1" x14ac:dyDescent="0.35">
      <c r="A59" s="311" t="s">
        <v>214</v>
      </c>
      <c r="B59" s="311"/>
      <c r="C59" s="311"/>
      <c r="D59" s="311"/>
      <c r="E59" s="311"/>
      <c r="F59" s="311"/>
      <c r="G59" s="311"/>
      <c r="H59" s="311"/>
      <c r="I59" s="311"/>
      <c r="J59" s="311"/>
      <c r="K59" s="233"/>
      <c r="L59" s="233"/>
      <c r="M59" s="233"/>
    </row>
    <row r="60" spans="1:13" ht="33.75" customHeight="1" x14ac:dyDescent="0.35">
      <c r="A60" s="311" t="s">
        <v>205</v>
      </c>
      <c r="B60" s="311"/>
      <c r="C60" s="311"/>
      <c r="D60" s="311"/>
      <c r="E60" s="311"/>
      <c r="F60" s="311"/>
      <c r="G60" s="311"/>
      <c r="H60" s="311"/>
      <c r="I60" s="311"/>
      <c r="J60" s="311"/>
      <c r="K60" s="233"/>
      <c r="L60" s="233"/>
      <c r="M60" s="233"/>
    </row>
    <row r="61" spans="1:13" ht="33.75" customHeight="1" x14ac:dyDescent="0.35">
      <c r="A61" s="311" t="s">
        <v>181</v>
      </c>
      <c r="B61" s="311"/>
      <c r="C61" s="311"/>
      <c r="D61" s="311"/>
      <c r="E61" s="311"/>
      <c r="F61" s="311"/>
      <c r="G61" s="311"/>
      <c r="H61" s="311"/>
      <c r="I61" s="311"/>
      <c r="J61" s="311"/>
      <c r="K61" s="233"/>
      <c r="L61" s="233"/>
      <c r="M61" s="233"/>
    </row>
    <row r="62" spans="1:13" x14ac:dyDescent="0.35">
      <c r="A62" s="3" t="s">
        <v>31</v>
      </c>
      <c r="B62" s="3"/>
      <c r="C62" s="3"/>
      <c r="D62" s="3"/>
      <c r="J62" s="4"/>
    </row>
    <row r="63" spans="1:13" x14ac:dyDescent="0.35">
      <c r="A63" s="63" t="s">
        <v>202</v>
      </c>
      <c r="B63" s="3"/>
      <c r="C63" s="3"/>
      <c r="D63" s="3"/>
      <c r="J63" s="4"/>
    </row>
    <row r="64" spans="1:13" x14ac:dyDescent="0.35">
      <c r="A64" s="3" t="s">
        <v>51</v>
      </c>
      <c r="B64" s="3"/>
      <c r="C64" s="3"/>
      <c r="D64" s="3"/>
      <c r="J64" s="4"/>
    </row>
    <row r="65" spans="1:14" x14ac:dyDescent="0.35">
      <c r="A65" s="3"/>
    </row>
    <row r="66" spans="1:14" ht="36" customHeight="1" x14ac:dyDescent="0.35">
      <c r="A66" s="317"/>
      <c r="B66" s="317"/>
      <c r="C66" s="317"/>
      <c r="D66" s="317"/>
      <c r="E66" s="317"/>
      <c r="F66" s="317"/>
      <c r="G66" s="317"/>
    </row>
    <row r="74" spans="1:14" x14ac:dyDescent="0.35">
      <c r="N74" s="8"/>
    </row>
  </sheetData>
  <mergeCells count="7">
    <mergeCell ref="A66:G66"/>
    <mergeCell ref="A61:J61"/>
    <mergeCell ref="E10:G10"/>
    <mergeCell ref="H10:J10"/>
    <mergeCell ref="K10:M10"/>
    <mergeCell ref="A59:J59"/>
    <mergeCell ref="A60:J60"/>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A20" sqref="A20"/>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Missouri West, Inc. - DSIM Rider Update Filed 12/02/2022</v>
      </c>
    </row>
    <row r="2" spans="1:23" x14ac:dyDescent="0.35">
      <c r="A2" s="9" t="str">
        <f>+'PPC Cycle 3'!A2</f>
        <v>Projections for Cycle 3 January 2023 - December 2023 DSIM</v>
      </c>
    </row>
    <row r="3" spans="1:23" s="46" customFormat="1" x14ac:dyDescent="0.35">
      <c r="A3" s="9"/>
    </row>
    <row r="4" spans="1:23" ht="40.5" customHeight="1" x14ac:dyDescent="0.35">
      <c r="B4" s="307" t="s">
        <v>64</v>
      </c>
      <c r="C4" s="307"/>
    </row>
    <row r="5" spans="1:23" ht="29" x14ac:dyDescent="0.35">
      <c r="B5" s="150" t="s">
        <v>65</v>
      </c>
      <c r="C5" s="6" t="s">
        <v>29</v>
      </c>
    </row>
    <row r="6" spans="1:23" x14ac:dyDescent="0.35">
      <c r="A6" s="20" t="s">
        <v>24</v>
      </c>
      <c r="B6" s="23">
        <f>SUM(0)</f>
        <v>0</v>
      </c>
      <c r="C6" s="86">
        <f>SUM(0)</f>
        <v>0</v>
      </c>
    </row>
    <row r="7" spans="1:23" x14ac:dyDescent="0.35">
      <c r="A7" s="30" t="s">
        <v>25</v>
      </c>
      <c r="B7" s="23">
        <f>+B13</f>
        <v>0</v>
      </c>
      <c r="C7" s="86">
        <f>+C13</f>
        <v>0</v>
      </c>
    </row>
    <row r="8" spans="1:23" x14ac:dyDescent="0.35">
      <c r="A8" s="20" t="s">
        <v>5</v>
      </c>
      <c r="B8" s="24">
        <f>SUM(B6:B7)</f>
        <v>0</v>
      </c>
      <c r="C8" s="22">
        <f>SUM(C6:C7)</f>
        <v>0</v>
      </c>
    </row>
    <row r="9" spans="1:23" s="46" customFormat="1" x14ac:dyDescent="0.35">
      <c r="A9" s="20"/>
    </row>
    <row r="10" spans="1:23" s="46" customFormat="1" x14ac:dyDescent="0.35">
      <c r="A10" s="20" t="s">
        <v>107</v>
      </c>
      <c r="B10" s="23">
        <f>SUM(0)</f>
        <v>0</v>
      </c>
      <c r="C10" s="86">
        <f>SUM(0)</f>
        <v>0</v>
      </c>
    </row>
    <row r="11" spans="1:23" s="46" customFormat="1" x14ac:dyDescent="0.35">
      <c r="A11" s="20" t="s">
        <v>108</v>
      </c>
      <c r="B11" s="23">
        <f t="shared" ref="B11:C12" si="0">SUM(0)</f>
        <v>0</v>
      </c>
      <c r="C11" s="86">
        <f t="shared" si="0"/>
        <v>0</v>
      </c>
    </row>
    <row r="12" spans="1:23" s="46" customFormat="1" x14ac:dyDescent="0.35">
      <c r="A12" s="20" t="s">
        <v>109</v>
      </c>
      <c r="B12" s="23">
        <f t="shared" si="0"/>
        <v>0</v>
      </c>
      <c r="C12" s="86">
        <f t="shared" si="0"/>
        <v>0</v>
      </c>
    </row>
    <row r="13" spans="1:23" x14ac:dyDescent="0.35">
      <c r="A13" s="30" t="s">
        <v>111</v>
      </c>
      <c r="B13" s="24">
        <f>SUM(B10:B12)</f>
        <v>0</v>
      </c>
      <c r="C13" s="22">
        <f>SUM(C10:C12)</f>
        <v>0</v>
      </c>
    </row>
    <row r="14" spans="1:23" x14ac:dyDescent="0.35">
      <c r="A14" s="46"/>
      <c r="B14" s="46"/>
      <c r="C14" s="46"/>
    </row>
    <row r="15" spans="1:23" x14ac:dyDescent="0.35">
      <c r="A15" s="69" t="s">
        <v>30</v>
      </c>
      <c r="B15" s="20"/>
      <c r="C15" s="21"/>
      <c r="N15" s="1"/>
      <c r="O15" s="1"/>
      <c r="P15" s="1"/>
      <c r="Q15" s="1"/>
      <c r="R15" s="1"/>
      <c r="S15" s="1"/>
      <c r="T15" s="1"/>
      <c r="U15" s="1"/>
      <c r="V15" s="1"/>
      <c r="W15" s="1"/>
    </row>
    <row r="16" spans="1:23" s="39" customFormat="1" x14ac:dyDescent="0.35">
      <c r="A16" s="318" t="s">
        <v>200</v>
      </c>
      <c r="B16" s="318"/>
      <c r="C16" s="318"/>
      <c r="D16" s="318"/>
      <c r="E16" s="318"/>
      <c r="F16" s="318"/>
      <c r="G16" s="318"/>
      <c r="H16" s="318"/>
      <c r="I16" s="318"/>
      <c r="J16" s="318"/>
      <c r="K16" s="318"/>
      <c r="L16" s="318"/>
      <c r="M16" s="318"/>
    </row>
    <row r="17" spans="1:13" s="39" customFormat="1" x14ac:dyDescent="0.35">
      <c r="A17" s="318" t="s">
        <v>201</v>
      </c>
      <c r="B17" s="318"/>
      <c r="C17" s="318"/>
      <c r="D17" s="318"/>
      <c r="E17" s="318"/>
      <c r="F17" s="318"/>
      <c r="G17" s="318"/>
      <c r="H17" s="318"/>
      <c r="I17" s="318"/>
      <c r="J17" s="318"/>
      <c r="K17" s="318"/>
      <c r="L17" s="318"/>
      <c r="M17" s="318"/>
    </row>
    <row r="29" spans="1:13" x14ac:dyDescent="0.35">
      <c r="E29" s="270"/>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E7" sqref="E7"/>
    </sheetView>
  </sheetViews>
  <sheetFormatPr defaultColWidth="9.1796875" defaultRowHeight="14.5" x14ac:dyDescent="0.35"/>
  <cols>
    <col min="1" max="1" width="24.7265625" style="46" customWidth="1"/>
    <col min="2" max="2" width="16.1796875" style="46" customWidth="1"/>
    <col min="3" max="3" width="15.1796875" style="46" customWidth="1"/>
    <col min="4" max="4" width="11.54296875" style="46" bestFit="1" customWidth="1"/>
    <col min="5" max="5" width="10.54296875" style="46" bestFit="1" customWidth="1"/>
    <col min="6" max="16384" width="9.1796875" style="46"/>
  </cols>
  <sheetData>
    <row r="1" spans="1:23" x14ac:dyDescent="0.35">
      <c r="A1" s="3" t="str">
        <f>+'PPC Cycle 3'!A1</f>
        <v>Evergy Missouri West, Inc. - DSIM Rider Update Filed 12/02/2022</v>
      </c>
    </row>
    <row r="2" spans="1:23" x14ac:dyDescent="0.35">
      <c r="A2" s="9" t="str">
        <f>+'PPC Cycle 3'!A2</f>
        <v>Projections for Cycle 3 January 2023 - December 2023 DSIM</v>
      </c>
    </row>
    <row r="3" spans="1:23" x14ac:dyDescent="0.35">
      <c r="A3" s="9"/>
    </row>
    <row r="4" spans="1:23" ht="40.5" customHeight="1" x14ac:dyDescent="0.35">
      <c r="B4" s="307" t="s">
        <v>113</v>
      </c>
      <c r="C4" s="307"/>
    </row>
    <row r="5" spans="1:23" ht="87" x14ac:dyDescent="0.35">
      <c r="B5" s="150" t="s">
        <v>65</v>
      </c>
      <c r="C5" s="48" t="s">
        <v>29</v>
      </c>
      <c r="D5" s="293" t="str">
        <f>+'PPC Cycle 3'!D4</f>
        <v>3. Cycle 3 Forecast - January 2023 - December 2023</v>
      </c>
      <c r="E5" s="293" t="str">
        <f>+'PPC Cycle 3'!E4</f>
        <v>4. Cycle 3 Extension - January 2023 - December 2023</v>
      </c>
    </row>
    <row r="6" spans="1:23" x14ac:dyDescent="0.35">
      <c r="A6" s="20" t="s">
        <v>24</v>
      </c>
      <c r="B6" s="23">
        <f>SUM('[2]Monthly TD Calc'!$AO461:$AZ461)+SUM('[13]Monthly TD Calc'!$AO460:$AZ460)</f>
        <v>37066805.063208744</v>
      </c>
      <c r="C6" s="86">
        <f>SUM(D6:E6)</f>
        <v>1771275.4100000001</v>
      </c>
      <c r="D6" s="230">
        <f>ROUND(SUM('[2]Monthly TD Calc'!$AO563:$AZ563),2)</f>
        <v>1098198.3400000001</v>
      </c>
      <c r="E6" s="230">
        <f>SUM('[13]Monthly TD Calc'!$AO562:$AZ562)</f>
        <v>673077.07000000018</v>
      </c>
    </row>
    <row r="7" spans="1:23" x14ac:dyDescent="0.35">
      <c r="A7" s="20" t="s">
        <v>107</v>
      </c>
      <c r="B7" s="23">
        <f>SUM('[2]Monthly TD Calc'!$AO462:$AZ462)+SUM('[13]Monthly TD Calc'!$AO461:$AZ461)</f>
        <v>13885440.087120876</v>
      </c>
      <c r="C7" s="86">
        <f t="shared" ref="C7:C9" si="0">SUM(D7:E7)</f>
        <v>685557.77</v>
      </c>
      <c r="D7" s="230">
        <f>ROUND(SUM('[2]Monthly TD Calc'!$AO564:$AZ564),2)</f>
        <v>467833.9</v>
      </c>
      <c r="E7" s="230">
        <f>SUM('[13]Monthly TD Calc'!$AO563:$AZ563)</f>
        <v>217723.87</v>
      </c>
    </row>
    <row r="8" spans="1:23" x14ac:dyDescent="0.35">
      <c r="A8" s="20" t="s">
        <v>108</v>
      </c>
      <c r="B8" s="23">
        <f>SUM('[2]Monthly TD Calc'!$AO464:$AZ464)+SUM('[13]Monthly TD Calc'!$AO463:$AZ463)</f>
        <v>22469063.75009295</v>
      </c>
      <c r="C8" s="86">
        <f t="shared" si="0"/>
        <v>641550.76</v>
      </c>
      <c r="D8" s="230">
        <f>ROUND(SUM('[2]Monthly TD Calc'!$AO566:$AZ566),2)</f>
        <v>421300.05</v>
      </c>
      <c r="E8" s="230">
        <f>SUM('[13]Monthly TD Calc'!$AO565:$AZ565)</f>
        <v>220250.70999999996</v>
      </c>
    </row>
    <row r="9" spans="1:23" x14ac:dyDescent="0.35">
      <c r="A9" s="20" t="s">
        <v>109</v>
      </c>
      <c r="B9" s="23">
        <f>SUM('[2]Monthly TD Calc'!$AO465:$AZ465)+SUM('[13]Monthly TD Calc'!$AO464:$AZ464)</f>
        <v>10088398.262512971</v>
      </c>
      <c r="C9" s="86">
        <f t="shared" si="0"/>
        <v>126767.53</v>
      </c>
      <c r="D9" s="230">
        <f>ROUND(SUM('[2]Monthly TD Calc'!$AO567:$AZ567),2)</f>
        <v>80548.28</v>
      </c>
      <c r="E9" s="230">
        <f>SUM('[13]Monthly TD Calc'!$AO566:$AZ566)</f>
        <v>46219.25</v>
      </c>
    </row>
    <row r="10" spans="1:23" x14ac:dyDescent="0.35">
      <c r="A10" s="30" t="s">
        <v>5</v>
      </c>
      <c r="B10" s="24">
        <f>SUM(B6:B9)</f>
        <v>83509707.16293554</v>
      </c>
      <c r="C10" s="24">
        <f>SUM(C6:C9)</f>
        <v>3225151.47</v>
      </c>
      <c r="D10" s="24">
        <f t="shared" ref="D10:E10" si="1">SUM(D6:D9)</f>
        <v>2067880.5700000003</v>
      </c>
      <c r="E10" s="24">
        <f t="shared" si="1"/>
        <v>1157270.9000000001</v>
      </c>
    </row>
    <row r="12" spans="1:23" x14ac:dyDescent="0.35">
      <c r="A12" s="69" t="s">
        <v>30</v>
      </c>
      <c r="B12" s="20"/>
      <c r="C12" s="21"/>
      <c r="N12" s="1"/>
      <c r="O12" s="1"/>
      <c r="P12" s="1"/>
      <c r="Q12" s="1"/>
      <c r="R12" s="1"/>
      <c r="S12" s="1"/>
      <c r="T12" s="1"/>
      <c r="U12" s="1"/>
      <c r="V12" s="1"/>
      <c r="W12" s="1"/>
    </row>
    <row r="13" spans="1:23" s="39" customFormat="1" ht="49.5" customHeight="1" x14ac:dyDescent="0.35">
      <c r="A13" s="306" t="s">
        <v>215</v>
      </c>
      <c r="B13" s="306"/>
      <c r="C13" s="306"/>
      <c r="D13" s="306"/>
      <c r="E13" s="306"/>
      <c r="F13" s="297"/>
      <c r="G13" s="297"/>
      <c r="H13" s="297"/>
      <c r="I13" s="297"/>
      <c r="J13" s="297"/>
      <c r="K13" s="297"/>
      <c r="L13" s="297"/>
      <c r="M13" s="297"/>
    </row>
    <row r="14" spans="1:23" s="39" customFormat="1" x14ac:dyDescent="0.35">
      <c r="A14" s="319" t="s">
        <v>182</v>
      </c>
      <c r="B14" s="319"/>
      <c r="C14" s="319"/>
      <c r="D14" s="319"/>
      <c r="E14" s="319"/>
      <c r="F14" s="298"/>
      <c r="G14" s="298"/>
      <c r="H14" s="298"/>
      <c r="I14" s="298"/>
      <c r="J14" s="298"/>
      <c r="K14" s="298"/>
      <c r="L14" s="298"/>
      <c r="M14" s="298"/>
    </row>
    <row r="15" spans="1:23" ht="34.5" customHeight="1" x14ac:dyDescent="0.35">
      <c r="A15" s="317" t="s">
        <v>216</v>
      </c>
      <c r="B15" s="317"/>
      <c r="C15" s="317"/>
      <c r="D15" s="317"/>
      <c r="E15" s="317"/>
      <c r="F15" s="298"/>
      <c r="G15" s="298"/>
      <c r="H15" s="298"/>
      <c r="I15" s="298"/>
      <c r="J15" s="298"/>
      <c r="K15" s="298"/>
      <c r="L15" s="298"/>
      <c r="M15" s="298"/>
    </row>
    <row r="16" spans="1:23" ht="30" customHeight="1" x14ac:dyDescent="0.35">
      <c r="A16" s="317" t="s">
        <v>183</v>
      </c>
      <c r="B16" s="317"/>
      <c r="C16" s="317"/>
      <c r="D16" s="317"/>
      <c r="E16" s="317"/>
      <c r="F16" s="298"/>
      <c r="G16" s="298"/>
      <c r="H16" s="298"/>
      <c r="I16" s="298"/>
      <c r="J16" s="298"/>
      <c r="K16" s="298"/>
      <c r="L16" s="298"/>
      <c r="M16" s="298"/>
    </row>
    <row r="29" spans="5:5" x14ac:dyDescent="0.35">
      <c r="E29" s="270"/>
    </row>
    <row r="34" spans="2:3" x14ac:dyDescent="0.35">
      <c r="B34" s="8"/>
      <c r="C34" s="8"/>
    </row>
    <row r="38" spans="2:3" x14ac:dyDescent="0.35">
      <c r="B38" s="8"/>
      <c r="C38" s="8"/>
    </row>
  </sheetData>
  <mergeCells count="5">
    <mergeCell ref="B4:C4"/>
    <mergeCell ref="A13:E13"/>
    <mergeCell ref="A14:E14"/>
    <mergeCell ref="A15:E15"/>
    <mergeCell ref="A16:E16"/>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3"/>
  <sheetViews>
    <sheetView zoomScale="90" zoomScaleNormal="90" workbookViewId="0">
      <pane xSplit="1" ySplit="2" topLeftCell="J9" activePane="bottomRight" state="frozen"/>
      <selection activeCell="K4" sqref="K4"/>
      <selection pane="topRight" activeCell="K4" sqref="K4"/>
      <selection pane="bottomLeft" activeCell="K4" sqref="K4"/>
      <selection pane="bottomRight" activeCell="N18" sqref="N18"/>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6" style="46"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12/02/2022</v>
      </c>
      <c r="B1" s="3"/>
      <c r="C1" s="3"/>
      <c r="D1" s="3"/>
    </row>
    <row r="2" spans="1:35" x14ac:dyDescent="0.35">
      <c r="E2" s="3" t="s">
        <v>61</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SUM(C18:M18)</f>
        <v>793016.15646159998</v>
      </c>
      <c r="F4" s="136">
        <f>N24</f>
        <v>18769085.53223956</v>
      </c>
      <c r="G4" s="22">
        <f>SUM(C30:L30)</f>
        <v>1273485.5699999998</v>
      </c>
      <c r="H4" s="22">
        <f>G4-E4</f>
        <v>480469.41353839985</v>
      </c>
      <c r="I4" s="22">
        <f>+B42</f>
        <v>222962.24235999989</v>
      </c>
      <c r="J4" s="22">
        <f>SUM(C47:L47)</f>
        <v>18174.27</v>
      </c>
      <c r="K4" s="25">
        <f>SUM(H4:J4)</f>
        <v>721605.92589839979</v>
      </c>
      <c r="L4" s="47">
        <f>+K4-M42</f>
        <v>0</v>
      </c>
    </row>
    <row r="5" spans="1:35" ht="15" thickBot="1" x14ac:dyDescent="0.4">
      <c r="A5" s="20" t="s">
        <v>25</v>
      </c>
      <c r="B5" s="20"/>
      <c r="C5" s="20"/>
      <c r="D5" s="20"/>
      <c r="E5" s="22">
        <f>SUM(C19:M21)</f>
        <v>807071.47646999976</v>
      </c>
      <c r="F5" s="136">
        <f>SUM(N25:N27)</f>
        <v>28751865.564224791</v>
      </c>
      <c r="G5" s="22">
        <f>SUM(C31:L33)</f>
        <v>1047972.2500000001</v>
      </c>
      <c r="H5" s="22">
        <f>G5-E5</f>
        <v>240900.77353000036</v>
      </c>
      <c r="I5" s="22">
        <f>+B43</f>
        <v>315943.78042000002</v>
      </c>
      <c r="J5" s="22">
        <f>SUM(C48:L48)</f>
        <v>14372.71</v>
      </c>
      <c r="K5" s="25">
        <f>SUM(H5:J5)</f>
        <v>571217.26395000028</v>
      </c>
      <c r="L5" s="47">
        <f>+K5-M43</f>
        <v>0</v>
      </c>
    </row>
    <row r="6" spans="1:35" ht="15.5" thickTop="1" thickBot="1" x14ac:dyDescent="0.4">
      <c r="E6" s="27">
        <f t="shared" ref="E6" si="0">SUM(E4:E5)</f>
        <v>1600087.6329315999</v>
      </c>
      <c r="F6" s="137">
        <f t="shared" ref="F6:I6" si="1">SUM(F4:F5)</f>
        <v>47520951.096464351</v>
      </c>
      <c r="G6" s="27">
        <f t="shared" si="1"/>
        <v>2321457.8199999998</v>
      </c>
      <c r="H6" s="27">
        <f t="shared" si="1"/>
        <v>721370.18706840021</v>
      </c>
      <c r="I6" s="27">
        <f t="shared" si="1"/>
        <v>538906.02277999988</v>
      </c>
      <c r="J6" s="27">
        <f>SUM(J4:J5)</f>
        <v>32546.98</v>
      </c>
      <c r="K6" s="27">
        <f>SUM(K4:K5)</f>
        <v>1292823.1898484002</v>
      </c>
      <c r="T6" s="5"/>
    </row>
    <row r="7" spans="1:35" ht="44" thickTop="1" x14ac:dyDescent="0.35">
      <c r="K7" s="227"/>
      <c r="L7" s="226" t="s">
        <v>124</v>
      </c>
    </row>
    <row r="8" spans="1:35" x14ac:dyDescent="0.35">
      <c r="A8" s="20" t="s">
        <v>107</v>
      </c>
      <c r="K8" s="25">
        <f>ROUND($K$5*L8,2)</f>
        <v>223970.22</v>
      </c>
      <c r="L8" s="224">
        <f>+'PCR Cycle 2'!K8</f>
        <v>0.39209287804949344</v>
      </c>
    </row>
    <row r="9" spans="1:35" x14ac:dyDescent="0.35">
      <c r="A9" s="20" t="s">
        <v>108</v>
      </c>
      <c r="K9" s="25">
        <f t="shared" ref="K9:K10" si="2">ROUND($K$5*L9,2)</f>
        <v>259537.75</v>
      </c>
      <c r="L9" s="224">
        <f>+'PCR Cycle 2'!K9</f>
        <v>0.45435908608374953</v>
      </c>
    </row>
    <row r="10" spans="1:35" ht="15" thickBot="1" x14ac:dyDescent="0.4">
      <c r="A10" s="20" t="s">
        <v>109</v>
      </c>
      <c r="J10" s="4"/>
      <c r="K10" s="25">
        <f t="shared" si="2"/>
        <v>87709.29</v>
      </c>
      <c r="L10" s="224">
        <f>+'PCR Cycle 2'!K10</f>
        <v>0.15354803586675725</v>
      </c>
      <c r="V10" s="4"/>
    </row>
    <row r="11" spans="1:35" ht="15.5" thickTop="1" thickBot="1" x14ac:dyDescent="0.4">
      <c r="A11" s="20" t="s">
        <v>111</v>
      </c>
      <c r="K11" s="27">
        <f>SUM(K8:K10)</f>
        <v>571217.26</v>
      </c>
      <c r="L11" s="225">
        <f>SUM(L8:L10)</f>
        <v>1.0000000000000002</v>
      </c>
      <c r="V11" s="4"/>
      <c r="W11" s="5"/>
    </row>
    <row r="12" spans="1:35" ht="15.5" thickTop="1" thickBot="1" x14ac:dyDescent="0.4">
      <c r="V12" s="4"/>
      <c r="W12" s="5"/>
    </row>
    <row r="13" spans="1:35" ht="102" thickBot="1" x14ac:dyDescent="0.4">
      <c r="B13" s="118" t="str">
        <f>+'PCR Cycle 2'!B13</f>
        <v>Cumulative Over/Under Carryover From 06/01/2022 Filing</v>
      </c>
      <c r="C13" s="151" t="str">
        <f>+'PCR Cycle 2'!C13:F13</f>
        <v>Reverse May 2022 - October 2022  Forecast From 06/01/2022 Filing</v>
      </c>
      <c r="D13" s="211"/>
      <c r="E13" s="312" t="s">
        <v>33</v>
      </c>
      <c r="F13" s="312"/>
      <c r="G13" s="313"/>
      <c r="H13" s="320" t="s">
        <v>33</v>
      </c>
      <c r="I13" s="321"/>
      <c r="J13" s="322"/>
      <c r="K13" s="308" t="s">
        <v>8</v>
      </c>
      <c r="L13" s="309"/>
      <c r="M13" s="310"/>
    </row>
    <row r="14" spans="1:35" x14ac:dyDescent="0.35">
      <c r="A14" s="46" t="s">
        <v>63</v>
      </c>
      <c r="C14" s="105"/>
      <c r="D14" s="212"/>
      <c r="E14" s="19">
        <f>+'PCR Cycle 2'!D14</f>
        <v>44712</v>
      </c>
      <c r="F14" s="19">
        <f t="shared" ref="F14:M14" si="3">EOMONTH(E14,1)</f>
        <v>44742</v>
      </c>
      <c r="G14" s="19">
        <f t="shared" si="3"/>
        <v>44773</v>
      </c>
      <c r="H14" s="14">
        <f t="shared" si="3"/>
        <v>44804</v>
      </c>
      <c r="I14" s="19">
        <f t="shared" si="3"/>
        <v>44834</v>
      </c>
      <c r="J14" s="15">
        <f t="shared" si="3"/>
        <v>44865</v>
      </c>
      <c r="K14" s="19">
        <f t="shared" si="3"/>
        <v>44895</v>
      </c>
      <c r="L14" s="19">
        <f t="shared" si="3"/>
        <v>44926</v>
      </c>
      <c r="M14" s="15">
        <f t="shared" si="3"/>
        <v>44957</v>
      </c>
      <c r="Z14" s="1"/>
      <c r="AA14" s="1"/>
      <c r="AB14" s="1"/>
      <c r="AC14" s="1"/>
      <c r="AD14" s="1"/>
      <c r="AE14" s="1"/>
      <c r="AF14" s="1"/>
      <c r="AG14" s="1"/>
      <c r="AH14" s="1"/>
      <c r="AI14" s="1"/>
    </row>
    <row r="15" spans="1:35" x14ac:dyDescent="0.35">
      <c r="A15" s="46" t="s">
        <v>5</v>
      </c>
      <c r="C15" s="192">
        <v>-891001.41999999993</v>
      </c>
      <c r="D15" s="195">
        <f>+D30+D33</f>
        <v>0</v>
      </c>
      <c r="E15" s="109">
        <f t="shared" ref="E15:L15" si="4">SUM(E30:E33)</f>
        <v>348934.06</v>
      </c>
      <c r="F15" s="109">
        <f t="shared" si="4"/>
        <v>542067.36</v>
      </c>
      <c r="G15" s="110">
        <f t="shared" si="4"/>
        <v>602241.13</v>
      </c>
      <c r="H15" s="16">
        <f t="shared" si="4"/>
        <v>586040.64</v>
      </c>
      <c r="I15" s="55">
        <f t="shared" si="4"/>
        <v>498588.54</v>
      </c>
      <c r="J15" s="164">
        <f t="shared" si="4"/>
        <v>322343.54999999993</v>
      </c>
      <c r="K15" s="157">
        <f t="shared" si="4"/>
        <v>312243.95999999996</v>
      </c>
      <c r="L15" s="78">
        <f t="shared" si="4"/>
        <v>0</v>
      </c>
      <c r="M15" s="79"/>
    </row>
    <row r="16" spans="1:35" x14ac:dyDescent="0.35">
      <c r="C16" s="99"/>
      <c r="D16" s="196"/>
      <c r="E16" s="17"/>
      <c r="F16" s="17"/>
      <c r="G16" s="17"/>
      <c r="H16" s="10"/>
      <c r="I16" s="17"/>
      <c r="J16" s="11"/>
      <c r="K16" s="31"/>
      <c r="L16" s="31"/>
      <c r="M16" s="29"/>
    </row>
    <row r="17" spans="1:15" x14ac:dyDescent="0.35">
      <c r="A17" s="46" t="s">
        <v>62</v>
      </c>
      <c r="C17" s="99"/>
      <c r="D17" s="196"/>
      <c r="E17" s="18"/>
      <c r="F17" s="18"/>
      <c r="G17" s="18"/>
      <c r="H17" s="91"/>
      <c r="I17" s="18"/>
      <c r="J17" s="165"/>
      <c r="K17" s="31"/>
      <c r="L17" s="31"/>
      <c r="M17" s="29"/>
      <c r="N17" s="3" t="s">
        <v>68</v>
      </c>
      <c r="O17" s="39"/>
    </row>
    <row r="18" spans="1:15" x14ac:dyDescent="0.35">
      <c r="A18" s="46" t="s">
        <v>24</v>
      </c>
      <c r="C18" s="192">
        <v>-778950.70764000004</v>
      </c>
      <c r="D18" s="195">
        <v>0</v>
      </c>
      <c r="E18" s="134">
        <f>ROUND('[5]May 2022'!$F52,2)</f>
        <v>192737.72</v>
      </c>
      <c r="F18" s="134">
        <f>ROUND('[5]Jun 2022'!$F52,2)</f>
        <v>247492.73</v>
      </c>
      <c r="G18" s="134">
        <f>ROUND('[5]Jul 2022'!$F52,2)</f>
        <v>343653.9</v>
      </c>
      <c r="H18" s="16">
        <f>ROUND('[5]Aug 2022'!$F52,2)</f>
        <v>161917.82</v>
      </c>
      <c r="I18" s="121">
        <f>ROUND('[5]Sep 2022'!$F52,2)</f>
        <v>141334.24</v>
      </c>
      <c r="J18" s="169">
        <f>ROUND('[5]Oct 2022'!$F52,2)</f>
        <v>99802.89</v>
      </c>
      <c r="K18" s="123">
        <f>'PCR Cycle 2'!J26*'TDR Cycle 2'!$N18</f>
        <v>92937.820099999997</v>
      </c>
      <c r="L18" s="41">
        <f>'PCR Cycle 2'!K26*'TDR Cycle 2'!$N18</f>
        <v>129266.03984</v>
      </c>
      <c r="M18" s="61">
        <f>'PCR Cycle 2'!L26*'TDR Cycle 2'!$N18</f>
        <v>162823.70416160001</v>
      </c>
      <c r="N18" s="72">
        <v>4.0999999999999999E-4</v>
      </c>
      <c r="O18" s="4"/>
    </row>
    <row r="19" spans="1:15" x14ac:dyDescent="0.35">
      <c r="A19" s="46" t="s">
        <v>107</v>
      </c>
      <c r="C19" s="192">
        <v>-296341.53727999999</v>
      </c>
      <c r="D19" s="195"/>
      <c r="E19" s="134">
        <f>ROUND('[5]May 2022'!$F53,2)</f>
        <v>97308.09</v>
      </c>
      <c r="F19" s="134">
        <f>ROUND('[5]Jun 2022'!$F53,2)</f>
        <v>113785.12</v>
      </c>
      <c r="G19" s="134">
        <f>ROUND('[5]Jul 2022'!$F53,2)</f>
        <v>133276.57999999999</v>
      </c>
      <c r="H19" s="16">
        <f>ROUND('[5]Aug 2022'!$F53,2)</f>
        <v>71884.789999999994</v>
      </c>
      <c r="I19" s="121">
        <f>ROUND('[5]Sep 2022'!$F53,2)</f>
        <v>68791.16</v>
      </c>
      <c r="J19" s="169">
        <f>ROUND('[5]Oct 2022'!$F53,2)</f>
        <v>57281.46</v>
      </c>
      <c r="K19" s="123">
        <f>'PCR Cycle 2'!J27*'TDR Cycle 2'!$N19</f>
        <v>51254.428499999995</v>
      </c>
      <c r="L19" s="41">
        <f>'PCR Cycle 2'!K27*'TDR Cycle 2'!$N19</f>
        <v>53048.934419999998</v>
      </c>
      <c r="M19" s="61">
        <f>'PCR Cycle 2'!L27*'TDR Cycle 2'!$N19</f>
        <v>55624.095239999995</v>
      </c>
      <c r="N19" s="72">
        <v>5.6999999999999998E-4</v>
      </c>
      <c r="O19" s="4"/>
    </row>
    <row r="20" spans="1:15" x14ac:dyDescent="0.35">
      <c r="A20" s="46" t="s">
        <v>108</v>
      </c>
      <c r="C20" s="192">
        <v>-268324.37800000003</v>
      </c>
      <c r="D20" s="195"/>
      <c r="E20" s="134">
        <f>ROUND('[5]May 2022'!$F54,2)</f>
        <v>87808.18</v>
      </c>
      <c r="F20" s="134">
        <f>ROUND('[5]Jun 2022'!$F54,2)</f>
        <v>99538.42</v>
      </c>
      <c r="G20" s="134">
        <f>ROUND('[5]Jul 2022'!$F54,2)</f>
        <v>112623.25</v>
      </c>
      <c r="H20" s="16">
        <f>ROUND('[5]Aug 2022'!$F54,2)</f>
        <v>57762.85</v>
      </c>
      <c r="I20" s="121">
        <f>ROUND('[5]Sep 2022'!$F54,2)</f>
        <v>57020.89</v>
      </c>
      <c r="J20" s="169">
        <f>ROUND('[5]Oct 2022'!$F54,2)</f>
        <v>51102.78</v>
      </c>
      <c r="K20" s="123">
        <f>'PCR Cycle 2'!J28*'TDR Cycle 2'!$N20</f>
        <v>45741.023009999997</v>
      </c>
      <c r="L20" s="41">
        <f>'PCR Cycle 2'!K28*'TDR Cycle 2'!$N20</f>
        <v>47342.495389999996</v>
      </c>
      <c r="M20" s="61">
        <f>'PCR Cycle 2'!L28*'TDR Cycle 2'!$N20</f>
        <v>49640.648000000001</v>
      </c>
      <c r="N20" s="72">
        <v>5.2999999999999998E-4</v>
      </c>
      <c r="O20" s="4"/>
    </row>
    <row r="21" spans="1:15" x14ac:dyDescent="0.35">
      <c r="A21" s="46" t="s">
        <v>109</v>
      </c>
      <c r="C21" s="192">
        <v>-61209.638569999996</v>
      </c>
      <c r="D21" s="195">
        <v>0</v>
      </c>
      <c r="E21" s="134">
        <f>ROUND('[5]May 2022'!$F55,2)</f>
        <v>18624.34</v>
      </c>
      <c r="F21" s="134">
        <f>ROUND('[5]Jun 2022'!$F55,2)</f>
        <v>19923.7</v>
      </c>
      <c r="G21" s="134">
        <f>ROUND('[5]Jul 2022'!$F55,2)</f>
        <v>20991.47</v>
      </c>
      <c r="H21" s="16">
        <f>ROUND('[5]Aug 2022'!$F55,2)</f>
        <v>10679.46</v>
      </c>
      <c r="I21" s="121">
        <f>ROUND('[5]Sep 2022'!$F55,2)</f>
        <v>11146.1</v>
      </c>
      <c r="J21" s="169">
        <f>ROUND('[5]Oct 2022'!$F55,2)</f>
        <v>9040.9</v>
      </c>
      <c r="K21" s="123">
        <f>'PCR Cycle 2'!J29*'TDR Cycle 2'!$N21</f>
        <v>10161.269600000001</v>
      </c>
      <c r="L21" s="41">
        <f>'PCR Cycle 2'!K29*'TDR Cycle 2'!$N21</f>
        <v>10517.033280000001</v>
      </c>
      <c r="M21" s="61">
        <f>'PCR Cycle 2'!L29*'TDR Cycle 2'!$N21</f>
        <v>11027.562880000001</v>
      </c>
      <c r="N21" s="72">
        <v>1.6000000000000001E-4</v>
      </c>
      <c r="O21" s="4"/>
    </row>
    <row r="22" spans="1:15" x14ac:dyDescent="0.35">
      <c r="C22" s="67"/>
      <c r="D22" s="197"/>
      <c r="E22" s="68"/>
      <c r="F22" s="68"/>
      <c r="G22" s="68"/>
      <c r="H22" s="67"/>
      <c r="I22" s="68"/>
      <c r="J22" s="167"/>
      <c r="K22" s="56"/>
      <c r="L22" s="56"/>
      <c r="M22" s="13"/>
      <c r="O22" s="4"/>
    </row>
    <row r="23" spans="1:15" x14ac:dyDescent="0.35">
      <c r="A23" s="39" t="s">
        <v>66</v>
      </c>
      <c r="B23" s="39"/>
      <c r="C23" s="67"/>
      <c r="D23" s="197"/>
      <c r="E23" s="56"/>
      <c r="F23" s="56"/>
      <c r="G23" s="56"/>
      <c r="H23" s="12"/>
      <c r="I23" s="56"/>
      <c r="J23" s="168"/>
      <c r="K23" s="56"/>
      <c r="L23" s="56"/>
      <c r="M23" s="13"/>
      <c r="N23" s="7"/>
    </row>
    <row r="24" spans="1:15" x14ac:dyDescent="0.35">
      <c r="A24" s="46" t="s">
        <v>24</v>
      </c>
      <c r="C24" s="193">
        <v>-7471425.5156057086</v>
      </c>
      <c r="D24" s="198"/>
      <c r="E24" s="111">
        <f>+'[4]Monthly TD Calc'!BX285</f>
        <v>3622617.1364313252</v>
      </c>
      <c r="F24" s="111">
        <f>+'[4]Monthly TD Calc'!BY285</f>
        <v>3848808.3791743834</v>
      </c>
      <c r="G24" s="125">
        <f>+'[4]Monthly TD Calc'!BZ285</f>
        <v>4524482.8033801541</v>
      </c>
      <c r="H24" s="74">
        <f>+'[4]Monthly TD Calc'!CA285</f>
        <v>4254139.1572805867</v>
      </c>
      <c r="I24" s="75">
        <f>+'[4]Monthly TD Calc'!CB285</f>
        <v>3438765.3625207683</v>
      </c>
      <c r="J24" s="169">
        <f>+'[4]Monthly TD Calc'!CC285</f>
        <v>3350801.0955900047</v>
      </c>
      <c r="K24" s="158">
        <f>+'[4]Monthly TD Calc'!CD285</f>
        <v>3200897.113468044</v>
      </c>
      <c r="L24" s="142">
        <f>+'[4]Monthly TD Calc'!CE285</f>
        <v>0</v>
      </c>
      <c r="M24" s="80"/>
      <c r="N24" s="59">
        <f>SUM(C24:L24)</f>
        <v>18769085.53223956</v>
      </c>
    </row>
    <row r="25" spans="1:15" x14ac:dyDescent="0.35">
      <c r="A25" s="46" t="s">
        <v>107</v>
      </c>
      <c r="C25" s="193">
        <v>-3857736.6930329697</v>
      </c>
      <c r="D25" s="198"/>
      <c r="E25" s="111">
        <f>+'[4]Monthly TD Calc'!BX286</f>
        <v>1929862.7740866141</v>
      </c>
      <c r="F25" s="111">
        <f>+'[4]Monthly TD Calc'!BY286</f>
        <v>1927873.9189463556</v>
      </c>
      <c r="G25" s="125">
        <f>+'[4]Monthly TD Calc'!BZ286</f>
        <v>1997647.6114853616</v>
      </c>
      <c r="H25" s="74">
        <f>+'[4]Monthly TD Calc'!CA286</f>
        <v>2027066.2414548299</v>
      </c>
      <c r="I25" s="75">
        <f>+'[4]Monthly TD Calc'!CB286</f>
        <v>1834054.3366449273</v>
      </c>
      <c r="J25" s="169">
        <f>+'[4]Monthly TD Calc'!CC286</f>
        <v>1888743.4323475384</v>
      </c>
      <c r="K25" s="158">
        <f>+'[4]Monthly TD Calc'!CD286</f>
        <v>1783272.6144496959</v>
      </c>
      <c r="L25" s="142">
        <f>+'[4]Monthly TD Calc'!CE286</f>
        <v>0</v>
      </c>
      <c r="M25" s="80"/>
      <c r="N25" s="59">
        <f t="shared" ref="N25:N27" si="5">SUM(C25:L25)</f>
        <v>9530784.2363823541</v>
      </c>
    </row>
    <row r="26" spans="1:15" x14ac:dyDescent="0.35">
      <c r="A26" s="46" t="s">
        <v>108</v>
      </c>
      <c r="C26" s="193">
        <v>-5722496.8780121692</v>
      </c>
      <c r="D26" s="198"/>
      <c r="E26" s="111">
        <f>+'[4]Monthly TD Calc'!BX288</f>
        <v>2890409.8209900213</v>
      </c>
      <c r="F26" s="111">
        <f>+'[4]Monthly TD Calc'!BY288</f>
        <v>2832087.0570221478</v>
      </c>
      <c r="G26" s="125">
        <f>+'[4]Monthly TD Calc'!BZ288</f>
        <v>2914197.0369588025</v>
      </c>
      <c r="H26" s="74">
        <f>+'[4]Monthly TD Calc'!CA288</f>
        <v>2970935.0270213811</v>
      </c>
      <c r="I26" s="75">
        <f>+'[4]Monthly TD Calc'!CB288</f>
        <v>2715680.539241707</v>
      </c>
      <c r="J26" s="169">
        <f>+'[4]Monthly TD Calc'!CC288</f>
        <v>2862809.8842250369</v>
      </c>
      <c r="K26" s="158">
        <f>+'[4]Monthly TD Calc'!CD288</f>
        <v>2703012.0649789949</v>
      </c>
      <c r="L26" s="142">
        <f>+'[4]Monthly TD Calc'!CE288</f>
        <v>0</v>
      </c>
      <c r="M26" s="80"/>
      <c r="N26" s="59">
        <f t="shared" si="5"/>
        <v>14166634.552425921</v>
      </c>
    </row>
    <row r="27" spans="1:15" x14ac:dyDescent="0.35">
      <c r="A27" s="46" t="s">
        <v>109</v>
      </c>
      <c r="C27" s="193">
        <v>-2042366.6808370957</v>
      </c>
      <c r="D27" s="198"/>
      <c r="E27" s="111">
        <f>+'[4]Monthly TD Calc'!BX289</f>
        <v>1031776.4605094917</v>
      </c>
      <c r="F27" s="111">
        <f>+'[4]Monthly TD Calc'!BY289</f>
        <v>1010590.2203276039</v>
      </c>
      <c r="G27" s="125">
        <f>+'[4]Monthly TD Calc'!BZ289</f>
        <v>1039178.5305886413</v>
      </c>
      <c r="H27" s="74">
        <f>+'[4]Monthly TD Calc'!CA289</f>
        <v>1060465.2308712879</v>
      </c>
      <c r="I27" s="75">
        <f>+'[4]Monthly TD Calc'!CB289</f>
        <v>967808.71359927149</v>
      </c>
      <c r="J27" s="169">
        <f>+'[4]Monthly TD Calc'!CC289</f>
        <v>1022288.2013225708</v>
      </c>
      <c r="K27" s="158">
        <f>+'[4]Monthly TD Calc'!CD289</f>
        <v>964706.0990347442</v>
      </c>
      <c r="L27" s="142">
        <f>+'[4]Monthly TD Calc'!CE289</f>
        <v>0</v>
      </c>
      <c r="M27" s="80"/>
      <c r="N27" s="59">
        <f t="shared" si="5"/>
        <v>5054446.7754165158</v>
      </c>
    </row>
    <row r="28" spans="1:15" x14ac:dyDescent="0.35">
      <c r="C28" s="67"/>
      <c r="D28" s="197"/>
      <c r="E28" s="68"/>
      <c r="F28" s="68"/>
      <c r="G28" s="68"/>
      <c r="H28" s="67"/>
      <c r="I28" s="68"/>
      <c r="J28" s="167"/>
      <c r="K28" s="56"/>
      <c r="L28" s="56"/>
      <c r="M28" s="13"/>
    </row>
    <row r="29" spans="1:15" x14ac:dyDescent="0.35">
      <c r="A29" s="46" t="s">
        <v>69</v>
      </c>
      <c r="C29" s="36"/>
      <c r="D29" s="199"/>
      <c r="E29" s="37"/>
      <c r="F29" s="37"/>
      <c r="G29" s="37"/>
      <c r="H29" s="36"/>
      <c r="I29" s="37"/>
      <c r="J29" s="170"/>
      <c r="K29" s="52"/>
      <c r="L29" s="52"/>
      <c r="M29" s="38"/>
    </row>
    <row r="30" spans="1:15" x14ac:dyDescent="0.35">
      <c r="A30" s="46" t="s">
        <v>24</v>
      </c>
      <c r="C30" s="192">
        <v>-475141.51</v>
      </c>
      <c r="D30" s="195"/>
      <c r="E30" s="109">
        <f>ROUND('[4]Monthly TD Calc'!BX326,2)</f>
        <v>172528.95</v>
      </c>
      <c r="F30" s="109">
        <f>ROUND('[4]Monthly TD Calc'!BY326,2)</f>
        <v>302612.56</v>
      </c>
      <c r="G30" s="110">
        <f>ROUND('[4]Monthly TD Calc'!BZ326,2)</f>
        <v>360467.8</v>
      </c>
      <c r="H30" s="16">
        <f>ROUND('[4]Monthly TD Calc'!CA326,2)</f>
        <v>338929.39</v>
      </c>
      <c r="I30" s="55">
        <f>ROUND('[4]Monthly TD Calc'!CB326,2)</f>
        <v>271074.44</v>
      </c>
      <c r="J30" s="169">
        <f>ROUND('[4]Monthly TD Calc'!CC326,2)</f>
        <v>153317.57999999999</v>
      </c>
      <c r="K30" s="159">
        <f>ROUND('[4]Monthly TD Calc'!CD326,2)</f>
        <v>149696.35999999999</v>
      </c>
      <c r="L30" s="141">
        <f>ROUND('[4]Monthly TD Calc'!CE326,2)</f>
        <v>0</v>
      </c>
      <c r="M30" s="79"/>
    </row>
    <row r="31" spans="1:15" x14ac:dyDescent="0.35">
      <c r="A31" s="46" t="s">
        <v>107</v>
      </c>
      <c r="C31" s="192">
        <v>-206638.61</v>
      </c>
      <c r="D31" s="195"/>
      <c r="E31" s="109">
        <f>ROUND('[4]Monthly TD Calc'!BX327,2)</f>
        <v>80341.75</v>
      </c>
      <c r="F31" s="109">
        <f>ROUND('[4]Monthly TD Calc'!BY327,2)</f>
        <v>126296.86</v>
      </c>
      <c r="G31" s="110">
        <f>ROUND('[4]Monthly TD Calc'!BZ327,2)</f>
        <v>128643.41</v>
      </c>
      <c r="H31" s="16">
        <f>ROUND('[4]Monthly TD Calc'!CA327,2)</f>
        <v>130888.34</v>
      </c>
      <c r="I31" s="55">
        <f>ROUND('[4]Monthly TD Calc'!CB327,2)</f>
        <v>119321.89</v>
      </c>
      <c r="J31" s="169">
        <f>ROUND('[4]Monthly TD Calc'!CC327,2)</f>
        <v>77840.95</v>
      </c>
      <c r="K31" s="159">
        <f>ROUND('[4]Monthly TD Calc'!CD327,2)</f>
        <v>74091.149999999994</v>
      </c>
      <c r="L31" s="141">
        <f>ROUND('[4]Monthly TD Calc'!CE327,2)</f>
        <v>0</v>
      </c>
      <c r="M31" s="79"/>
    </row>
    <row r="32" spans="1:15" x14ac:dyDescent="0.35">
      <c r="A32" s="46" t="s">
        <v>108</v>
      </c>
      <c r="C32" s="192">
        <v>-177648.91999999998</v>
      </c>
      <c r="D32" s="195"/>
      <c r="E32" s="109">
        <f>ROUND('[4]Monthly TD Calc'!BX329,2)</f>
        <v>81992.95</v>
      </c>
      <c r="F32" s="109">
        <f>ROUND('[4]Monthly TD Calc'!BY329,2)</f>
        <v>95655.97</v>
      </c>
      <c r="G32" s="110">
        <f>ROUND('[4]Monthly TD Calc'!BZ329,2)</f>
        <v>95158.56</v>
      </c>
      <c r="H32" s="16">
        <f>ROUND('[4]Monthly TD Calc'!CA329,2)</f>
        <v>97995.36</v>
      </c>
      <c r="I32" s="55">
        <f>ROUND('[4]Monthly TD Calc'!CB329,2)</f>
        <v>91010.55</v>
      </c>
      <c r="J32" s="169">
        <f>ROUND('[4]Monthly TD Calc'!CC329,2)</f>
        <v>77920.800000000003</v>
      </c>
      <c r="K32" s="159">
        <f>ROUND('[4]Monthly TD Calc'!CD329,2)</f>
        <v>75716.31</v>
      </c>
      <c r="L32" s="141">
        <f>ROUND('[4]Monthly TD Calc'!CE329,2)</f>
        <v>0</v>
      </c>
      <c r="M32" s="79"/>
    </row>
    <row r="33" spans="1:15" x14ac:dyDescent="0.35">
      <c r="A33" s="46" t="s">
        <v>109</v>
      </c>
      <c r="C33" s="192">
        <v>-31572.38</v>
      </c>
      <c r="D33" s="195"/>
      <c r="E33" s="109">
        <f>ROUND('[4]Monthly TD Calc'!BX330,2)</f>
        <v>14070.41</v>
      </c>
      <c r="F33" s="109">
        <f>ROUND('[4]Monthly TD Calc'!BY330,2)</f>
        <v>17501.97</v>
      </c>
      <c r="G33" s="110">
        <f>ROUND('[4]Monthly TD Calc'!BZ330,2)</f>
        <v>17971.36</v>
      </c>
      <c r="H33" s="16">
        <f>ROUND('[4]Monthly TD Calc'!CA330,2)</f>
        <v>18227.55</v>
      </c>
      <c r="I33" s="55">
        <f>ROUND('[4]Monthly TD Calc'!CB330,2)</f>
        <v>17181.66</v>
      </c>
      <c r="J33" s="169">
        <f>ROUND('[4]Monthly TD Calc'!CC330,2)</f>
        <v>13264.22</v>
      </c>
      <c r="K33" s="159">
        <f>ROUND('[4]Monthly TD Calc'!CD330,2)</f>
        <v>12740.14</v>
      </c>
      <c r="L33" s="141">
        <f>ROUND('[4]Monthly TD Calc'!CE330,2)</f>
        <v>0</v>
      </c>
      <c r="M33" s="79"/>
      <c r="O33" s="47"/>
    </row>
    <row r="34" spans="1:15" x14ac:dyDescent="0.35">
      <c r="C34" s="99"/>
      <c r="D34" s="196"/>
      <c r="E34" s="18"/>
      <c r="F34" s="18"/>
      <c r="G34" s="18"/>
      <c r="H34" s="91"/>
      <c r="I34" s="18"/>
      <c r="J34" s="165"/>
      <c r="K34" s="56"/>
      <c r="L34" s="56"/>
      <c r="M34" s="13"/>
    </row>
    <row r="35" spans="1:15" ht="15" thickBot="1" x14ac:dyDescent="0.4">
      <c r="A35" s="3" t="s">
        <v>15</v>
      </c>
      <c r="B35" s="3"/>
      <c r="C35" s="194">
        <v>-3200.16</v>
      </c>
      <c r="D35" s="200"/>
      <c r="E35" s="134">
        <v>1866.27</v>
      </c>
      <c r="F35" s="134">
        <v>2321.3000000000002</v>
      </c>
      <c r="G35" s="135">
        <v>2959.5600000000004</v>
      </c>
      <c r="H35" s="26">
        <v>3681.27</v>
      </c>
      <c r="I35" s="122">
        <v>5062.7299999999996</v>
      </c>
      <c r="J35" s="171">
        <v>6392.33</v>
      </c>
      <c r="K35" s="160">
        <v>6844.1</v>
      </c>
      <c r="L35" s="143">
        <v>6619.57</v>
      </c>
      <c r="M35" s="82"/>
    </row>
    <row r="36" spans="1:15" x14ac:dyDescent="0.35">
      <c r="C36" s="64"/>
      <c r="D36" s="203"/>
      <c r="E36" s="66"/>
      <c r="F36" s="66"/>
      <c r="G36" s="33"/>
      <c r="H36" s="64"/>
      <c r="I36" s="33"/>
      <c r="J36" s="172"/>
      <c r="K36" s="34"/>
      <c r="L36" s="34"/>
      <c r="M36" s="60"/>
    </row>
    <row r="37" spans="1:15" x14ac:dyDescent="0.35">
      <c r="A37" s="46" t="s">
        <v>52</v>
      </c>
      <c r="C37" s="65"/>
      <c r="D37" s="204"/>
      <c r="E37" s="35"/>
      <c r="F37" s="35"/>
      <c r="G37" s="35"/>
      <c r="H37" s="65"/>
      <c r="I37" s="35"/>
      <c r="J37" s="173"/>
      <c r="K37" s="34"/>
      <c r="L37" s="34"/>
      <c r="M37" s="60"/>
    </row>
    <row r="38" spans="1:15" x14ac:dyDescent="0.35">
      <c r="A38" s="46" t="s">
        <v>24</v>
      </c>
      <c r="C38" s="201">
        <f t="shared" ref="C38:M38" si="6">C30-C18</f>
        <v>303809.19764000003</v>
      </c>
      <c r="D38" s="205">
        <f t="shared" si="6"/>
        <v>0</v>
      </c>
      <c r="E38" s="41">
        <f t="shared" si="6"/>
        <v>-20208.76999999999</v>
      </c>
      <c r="F38" s="41">
        <f t="shared" si="6"/>
        <v>55119.829999999987</v>
      </c>
      <c r="G38" s="108">
        <f t="shared" si="6"/>
        <v>16813.899999999965</v>
      </c>
      <c r="H38" s="40">
        <f t="shared" si="6"/>
        <v>177011.57</v>
      </c>
      <c r="I38" s="41">
        <f t="shared" si="6"/>
        <v>129740.20000000001</v>
      </c>
      <c r="J38" s="61">
        <f t="shared" si="6"/>
        <v>53514.689999999988</v>
      </c>
      <c r="K38" s="123">
        <f t="shared" si="6"/>
        <v>56758.539899999989</v>
      </c>
      <c r="L38" s="41">
        <f t="shared" si="6"/>
        <v>-129266.03984</v>
      </c>
      <c r="M38" s="61">
        <f t="shared" si="6"/>
        <v>-162823.70416160001</v>
      </c>
    </row>
    <row r="39" spans="1:15" x14ac:dyDescent="0.35">
      <c r="A39" s="46" t="s">
        <v>25</v>
      </c>
      <c r="C39" s="201">
        <f>SUM(C31:C33)-SUM(C19:C21)</f>
        <v>210015.64385000005</v>
      </c>
      <c r="D39" s="205">
        <f t="shared" ref="D39:M39" si="7">SUM(D31:D33)-SUM(D19:D21)</f>
        <v>0</v>
      </c>
      <c r="E39" s="41">
        <f t="shared" si="7"/>
        <v>-27335.499999999971</v>
      </c>
      <c r="F39" s="41">
        <f t="shared" si="7"/>
        <v>6207.5600000000268</v>
      </c>
      <c r="G39" s="108">
        <f t="shared" si="7"/>
        <v>-25117.969999999972</v>
      </c>
      <c r="H39" s="40">
        <f t="shared" si="7"/>
        <v>106784.15000000002</v>
      </c>
      <c r="I39" s="41">
        <f t="shared" si="7"/>
        <v>90555.950000000012</v>
      </c>
      <c r="J39" s="61">
        <f t="shared" si="7"/>
        <v>51600.830000000016</v>
      </c>
      <c r="K39" s="123">
        <f t="shared" si="7"/>
        <v>55390.878889999993</v>
      </c>
      <c r="L39" s="41">
        <f t="shared" si="7"/>
        <v>-110908.46309</v>
      </c>
      <c r="M39" s="61">
        <f t="shared" si="7"/>
        <v>-116292.30611999999</v>
      </c>
    </row>
    <row r="40" spans="1:15" x14ac:dyDescent="0.35">
      <c r="C40" s="99"/>
      <c r="D40" s="196"/>
      <c r="E40" s="17"/>
      <c r="F40" s="17"/>
      <c r="G40" s="17"/>
      <c r="H40" s="10"/>
      <c r="I40" s="17"/>
      <c r="J40" s="11"/>
      <c r="K40" s="17"/>
      <c r="L40" s="17"/>
      <c r="M40" s="11"/>
    </row>
    <row r="41" spans="1:15" ht="15" thickBot="1" x14ac:dyDescent="0.4">
      <c r="A41" s="46" t="s">
        <v>53</v>
      </c>
      <c r="C41" s="99"/>
      <c r="D41" s="196"/>
      <c r="E41" s="17"/>
      <c r="F41" s="17"/>
      <c r="G41" s="17"/>
      <c r="H41" s="10"/>
      <c r="I41" s="17"/>
      <c r="J41" s="11"/>
      <c r="K41" s="17"/>
      <c r="L41" s="17"/>
      <c r="M41" s="11"/>
    </row>
    <row r="42" spans="1:15" x14ac:dyDescent="0.35">
      <c r="A42" s="46" t="s">
        <v>24</v>
      </c>
      <c r="B42" s="116">
        <v>222962.24235999989</v>
      </c>
      <c r="C42" s="201">
        <f t="shared" ref="C42:E43" si="8">+B42+C38+B47</f>
        <v>526771.43999999994</v>
      </c>
      <c r="D42" s="205">
        <f t="shared" si="8"/>
        <v>525155.5</v>
      </c>
      <c r="E42" s="41">
        <f t="shared" si="8"/>
        <v>504946.73</v>
      </c>
      <c r="F42" s="41">
        <f t="shared" ref="F42:M42" si="9">+E42+F38+E47</f>
        <v>561003.64999999991</v>
      </c>
      <c r="G42" s="108">
        <f t="shared" si="9"/>
        <v>579014.51999999979</v>
      </c>
      <c r="H42" s="40">
        <f t="shared" si="9"/>
        <v>757614.22999999986</v>
      </c>
      <c r="I42" s="41">
        <f t="shared" si="9"/>
        <v>889400.15999999992</v>
      </c>
      <c r="J42" s="61">
        <f t="shared" si="9"/>
        <v>945774.43999999983</v>
      </c>
      <c r="K42" s="123">
        <f t="shared" si="9"/>
        <v>1006142.4898999998</v>
      </c>
      <c r="L42" s="41">
        <f t="shared" si="9"/>
        <v>880716.69005999982</v>
      </c>
      <c r="M42" s="61">
        <f t="shared" si="9"/>
        <v>721605.92589839979</v>
      </c>
    </row>
    <row r="43" spans="1:15" ht="15" thickBot="1" x14ac:dyDescent="0.4">
      <c r="A43" s="46" t="s">
        <v>25</v>
      </c>
      <c r="B43" s="117">
        <v>315943.78042000002</v>
      </c>
      <c r="C43" s="201">
        <f t="shared" si="8"/>
        <v>525959.42427000008</v>
      </c>
      <c r="D43" s="205">
        <f t="shared" si="8"/>
        <v>524375.2042700001</v>
      </c>
      <c r="E43" s="41">
        <f t="shared" si="8"/>
        <v>497039.7042700001</v>
      </c>
      <c r="F43" s="41">
        <f t="shared" ref="F43:M43" si="10">+E43+F39+E48</f>
        <v>504176.45427000016</v>
      </c>
      <c r="G43" s="108">
        <f t="shared" si="10"/>
        <v>480182.81427000021</v>
      </c>
      <c r="H43" s="40">
        <f t="shared" si="10"/>
        <v>588338.38427000027</v>
      </c>
      <c r="I43" s="41">
        <f t="shared" si="10"/>
        <v>680529.87427000026</v>
      </c>
      <c r="J43" s="61">
        <f t="shared" si="10"/>
        <v>734333.84427000035</v>
      </c>
      <c r="K43" s="123">
        <f t="shared" si="10"/>
        <v>792507.54316000023</v>
      </c>
      <c r="L43" s="41">
        <f t="shared" si="10"/>
        <v>684602.94007000024</v>
      </c>
      <c r="M43" s="61">
        <f t="shared" si="10"/>
        <v>571217.26395000028</v>
      </c>
    </row>
    <row r="44" spans="1:15" x14ac:dyDescent="0.35">
      <c r="C44" s="99"/>
      <c r="D44" s="196"/>
      <c r="E44" s="17"/>
      <c r="F44" s="17"/>
      <c r="G44" s="17"/>
      <c r="H44" s="10"/>
      <c r="I44" s="17"/>
      <c r="J44" s="11"/>
      <c r="K44" s="17"/>
      <c r="L44" s="17"/>
      <c r="M44" s="11"/>
    </row>
    <row r="45" spans="1:15" x14ac:dyDescent="0.35">
      <c r="A45" s="39" t="s">
        <v>123</v>
      </c>
      <c r="B45" s="39"/>
      <c r="C45" s="104"/>
      <c r="D45" s="206"/>
      <c r="E45" s="83">
        <f>+'PCR Cycle 2'!D47</f>
        <v>1.81941E-3</v>
      </c>
      <c r="F45" s="83">
        <f>+'PCR Cycle 2'!E47</f>
        <v>2.2438499999999999E-3</v>
      </c>
      <c r="G45" s="83">
        <f>+'PCR Cycle 2'!F47</f>
        <v>2.7832400000000002E-3</v>
      </c>
      <c r="H45" s="84">
        <f>+'PCR Cycle 2'!G47</f>
        <v>3.0573900000000001E-3</v>
      </c>
      <c r="I45" s="83">
        <f>+'PCR Cycle 2'!H47</f>
        <v>3.4681400000000002E-3</v>
      </c>
      <c r="J45" s="92">
        <f>+'PCR Cycle 2'!I47</f>
        <v>3.92758E-3</v>
      </c>
      <c r="K45" s="83">
        <f>+'PCR Cycle 2'!J47</f>
        <v>3.92758E-3</v>
      </c>
      <c r="L45" s="83">
        <f>+'PCR Cycle 2'!K47</f>
        <v>3.92758E-3</v>
      </c>
      <c r="M45" s="85"/>
    </row>
    <row r="46" spans="1:15" x14ac:dyDescent="0.35">
      <c r="A46" s="39" t="s">
        <v>37</v>
      </c>
      <c r="B46" s="39"/>
      <c r="C46" s="106"/>
      <c r="D46" s="207"/>
      <c r="E46" s="83"/>
      <c r="F46" s="83"/>
      <c r="G46" s="83"/>
      <c r="H46" s="84"/>
      <c r="I46" s="83"/>
      <c r="J46" s="85"/>
      <c r="K46" s="83"/>
      <c r="L46" s="83"/>
      <c r="M46" s="85"/>
    </row>
    <row r="47" spans="1:15" x14ac:dyDescent="0.35">
      <c r="A47" s="46" t="s">
        <v>24</v>
      </c>
      <c r="C47" s="201">
        <v>-1615.94</v>
      </c>
      <c r="D47" s="205"/>
      <c r="E47" s="41">
        <f>ROUND((D42+D47+E38/2)*E$45,2)</f>
        <v>937.09</v>
      </c>
      <c r="F47" s="41">
        <f t="shared" ref="F47:F48" si="11">ROUND((E42+E47+F38/2)*F$45,2)</f>
        <v>1196.97</v>
      </c>
      <c r="G47" s="108">
        <f t="shared" ref="G47:G48" si="12">ROUND((F42+F47+G38/2)*G$45,2)</f>
        <v>1588.14</v>
      </c>
      <c r="H47" s="40">
        <f t="shared" ref="H47:H48" si="13">ROUND((G42+G47+H38/2)*H$45,2)</f>
        <v>2045.73</v>
      </c>
      <c r="I47" s="123">
        <f t="shared" ref="I47:J48" si="14">ROUND((H42+H47+I38/2)*I$45,2)</f>
        <v>2859.59</v>
      </c>
      <c r="J47" s="61">
        <f t="shared" si="14"/>
        <v>3609.51</v>
      </c>
      <c r="K47" s="161">
        <f t="shared" ref="K47:K48" si="15">ROUND((J42+J47+K38/2)*K$45,2)</f>
        <v>3840.24</v>
      </c>
      <c r="L47" s="108">
        <f t="shared" ref="L47:L48" si="16">ROUND((K42+K47+L38/2)*L$45,2)</f>
        <v>3712.94</v>
      </c>
      <c r="M47" s="61">
        <f t="shared" ref="M47:M48" si="17">ROUND((L42+L47+M38/2)*M$45,2)</f>
        <v>0</v>
      </c>
    </row>
    <row r="48" spans="1:15" ht="15" thickBot="1" x14ac:dyDescent="0.4">
      <c r="A48" s="46" t="s">
        <v>25</v>
      </c>
      <c r="C48" s="201">
        <v>-1584.2199999999998</v>
      </c>
      <c r="D48" s="205"/>
      <c r="E48" s="41">
        <f>ROUND((D43+D48+E39/2)*E$45,2)</f>
        <v>929.19</v>
      </c>
      <c r="F48" s="41">
        <f t="shared" si="11"/>
        <v>1124.33</v>
      </c>
      <c r="G48" s="108">
        <f t="shared" si="12"/>
        <v>1371.42</v>
      </c>
      <c r="H48" s="40">
        <f t="shared" si="13"/>
        <v>1635.54</v>
      </c>
      <c r="I48" s="123">
        <f t="shared" si="14"/>
        <v>2203.14</v>
      </c>
      <c r="J48" s="61">
        <f t="shared" si="14"/>
        <v>2782.82</v>
      </c>
      <c r="K48" s="161">
        <f t="shared" si="15"/>
        <v>3003.86</v>
      </c>
      <c r="L48" s="108">
        <f t="shared" si="16"/>
        <v>2906.63</v>
      </c>
      <c r="M48" s="61">
        <f t="shared" si="17"/>
        <v>0</v>
      </c>
    </row>
    <row r="49" spans="1:13" ht="15.5" thickTop="1" thickBot="1" x14ac:dyDescent="0.4">
      <c r="A49" s="54" t="s">
        <v>22</v>
      </c>
      <c r="B49" s="54"/>
      <c r="C49" s="202">
        <v>0</v>
      </c>
      <c r="D49" s="208"/>
      <c r="E49" s="42">
        <f>SUM(E47:E48)+SUM(E42:E43)-E52</f>
        <v>0</v>
      </c>
      <c r="F49" s="42">
        <f t="shared" ref="F49:M49" si="18">SUM(F47:F48)+SUM(F42:F43)-F52</f>
        <v>0</v>
      </c>
      <c r="G49" s="50">
        <f t="shared" si="18"/>
        <v>0</v>
      </c>
      <c r="H49" s="51">
        <f t="shared" si="18"/>
        <v>0</v>
      </c>
      <c r="I49" s="42">
        <f t="shared" si="18"/>
        <v>0</v>
      </c>
      <c r="J49" s="62">
        <f t="shared" si="18"/>
        <v>0</v>
      </c>
      <c r="K49" s="162">
        <f t="shared" si="18"/>
        <v>0</v>
      </c>
      <c r="L49" s="50">
        <f t="shared" si="18"/>
        <v>0</v>
      </c>
      <c r="M49" s="62">
        <f t="shared" si="18"/>
        <v>0</v>
      </c>
    </row>
    <row r="50" spans="1:13" ht="15.5" thickTop="1" thickBot="1" x14ac:dyDescent="0.4">
      <c r="A50" s="54" t="s">
        <v>23</v>
      </c>
      <c r="B50" s="54"/>
      <c r="C50" s="202">
        <v>0</v>
      </c>
      <c r="D50" s="208"/>
      <c r="E50" s="42">
        <f>SUM(E47:E48)-E35</f>
        <v>1.0000000000218279E-2</v>
      </c>
      <c r="F50" s="42">
        <f t="shared" ref="F50:J50" si="19">SUM(F47:F48)-F35</f>
        <v>0</v>
      </c>
      <c r="G50" s="50">
        <f t="shared" ref="G50:I50" si="20">SUM(G47:G48)-G35</f>
        <v>0</v>
      </c>
      <c r="H50" s="51">
        <f t="shared" si="20"/>
        <v>0</v>
      </c>
      <c r="I50" s="42">
        <f t="shared" si="20"/>
        <v>0</v>
      </c>
      <c r="J50" s="62">
        <f t="shared" si="19"/>
        <v>0</v>
      </c>
      <c r="K50" s="163">
        <f t="shared" ref="K50:M50" si="21">SUM(K47:K48)-K35</f>
        <v>0</v>
      </c>
      <c r="L50" s="42">
        <f t="shared" si="21"/>
        <v>0</v>
      </c>
      <c r="M50" s="42">
        <f t="shared" si="21"/>
        <v>0</v>
      </c>
    </row>
    <row r="51" spans="1:13" ht="15.5" thickTop="1" thickBot="1" x14ac:dyDescent="0.4">
      <c r="C51" s="99"/>
      <c r="D51" s="196"/>
      <c r="E51" s="17"/>
      <c r="F51" s="17"/>
      <c r="G51" s="17"/>
      <c r="H51" s="10"/>
      <c r="I51" s="17"/>
      <c r="J51" s="11"/>
      <c r="K51" s="17"/>
      <c r="L51" s="17"/>
      <c r="M51" s="11"/>
    </row>
    <row r="52" spans="1:13" ht="15" thickBot="1" x14ac:dyDescent="0.4">
      <c r="A52" s="46" t="s">
        <v>36</v>
      </c>
      <c r="B52" s="119">
        <f>+B42+B43</f>
        <v>538906.02277999988</v>
      </c>
      <c r="C52" s="201">
        <f t="shared" ref="C52:M52" si="22">(C15-SUM(C18:C21))+SUM(C47:C48)+B52</f>
        <v>1049530.7042699999</v>
      </c>
      <c r="D52" s="205">
        <f t="shared" si="22"/>
        <v>1049530.7042699999</v>
      </c>
      <c r="E52" s="41">
        <f t="shared" si="22"/>
        <v>1003852.7142699999</v>
      </c>
      <c r="F52" s="41">
        <f t="shared" si="22"/>
        <v>1067501.4042699998</v>
      </c>
      <c r="G52" s="108">
        <f t="shared" si="22"/>
        <v>1062156.8942699998</v>
      </c>
      <c r="H52" s="40">
        <f t="shared" si="22"/>
        <v>1349633.8842699998</v>
      </c>
      <c r="I52" s="41">
        <f t="shared" si="22"/>
        <v>1574992.7642699999</v>
      </c>
      <c r="J52" s="61">
        <f t="shared" si="22"/>
        <v>1686500.6142699998</v>
      </c>
      <c r="K52" s="161">
        <f t="shared" si="22"/>
        <v>1805494.1330599997</v>
      </c>
      <c r="L52" s="108">
        <f t="shared" si="22"/>
        <v>1571939.2001299998</v>
      </c>
      <c r="M52" s="61">
        <f t="shared" si="22"/>
        <v>1292823.1898483997</v>
      </c>
    </row>
    <row r="53" spans="1:13" x14ac:dyDescent="0.35">
      <c r="A53" s="46" t="s">
        <v>12</v>
      </c>
      <c r="C53" s="120"/>
      <c r="D53" s="209"/>
      <c r="E53" s="17"/>
      <c r="F53" s="17"/>
      <c r="G53" s="17"/>
      <c r="H53" s="10"/>
      <c r="I53" s="17"/>
      <c r="J53" s="11"/>
      <c r="K53" s="17"/>
      <c r="L53" s="17"/>
      <c r="M53" s="11"/>
    </row>
    <row r="54" spans="1:13" ht="15" thickBot="1" x14ac:dyDescent="0.4">
      <c r="A54" s="37"/>
      <c r="B54" s="37"/>
      <c r="C54" s="146"/>
      <c r="D54" s="210"/>
      <c r="E54" s="44"/>
      <c r="F54" s="44"/>
      <c r="G54" s="44"/>
      <c r="H54" s="43"/>
      <c r="I54" s="44"/>
      <c r="J54" s="45"/>
      <c r="K54" s="44"/>
      <c r="L54" s="44"/>
      <c r="M54" s="45"/>
    </row>
    <row r="56" spans="1:13" x14ac:dyDescent="0.35">
      <c r="A56" s="69" t="s">
        <v>11</v>
      </c>
      <c r="B56" s="69"/>
      <c r="C56" s="69"/>
      <c r="D56" s="69"/>
    </row>
    <row r="57" spans="1:13" ht="34.5" customHeight="1" x14ac:dyDescent="0.35">
      <c r="A57" s="311" t="s">
        <v>217</v>
      </c>
      <c r="B57" s="311"/>
      <c r="C57" s="311"/>
      <c r="D57" s="311"/>
      <c r="E57" s="311"/>
      <c r="F57" s="311"/>
      <c r="G57" s="311"/>
      <c r="H57" s="311"/>
      <c r="I57" s="311"/>
      <c r="J57" s="311"/>
      <c r="K57" s="191"/>
      <c r="L57" s="144"/>
      <c r="M57" s="144"/>
    </row>
    <row r="58" spans="1:13" ht="42.75" customHeight="1" x14ac:dyDescent="0.35">
      <c r="A58" s="311" t="s">
        <v>184</v>
      </c>
      <c r="B58" s="311"/>
      <c r="C58" s="311"/>
      <c r="D58" s="311"/>
      <c r="E58" s="311"/>
      <c r="F58" s="311"/>
      <c r="G58" s="311"/>
      <c r="H58" s="311"/>
      <c r="I58" s="311"/>
      <c r="J58" s="311"/>
      <c r="K58" s="311"/>
      <c r="L58" s="144"/>
      <c r="M58" s="144"/>
    </row>
    <row r="59" spans="1:13" ht="33.75" customHeight="1" x14ac:dyDescent="0.35">
      <c r="A59" s="311" t="s">
        <v>218</v>
      </c>
      <c r="B59" s="311"/>
      <c r="C59" s="311"/>
      <c r="D59" s="311"/>
      <c r="E59" s="311"/>
      <c r="F59" s="311"/>
      <c r="G59" s="311"/>
      <c r="H59" s="311"/>
      <c r="I59" s="311"/>
      <c r="J59" s="311"/>
      <c r="K59" s="191"/>
      <c r="L59" s="144"/>
      <c r="M59" s="144"/>
    </row>
    <row r="60" spans="1:13" x14ac:dyDescent="0.35">
      <c r="A60" s="3" t="s">
        <v>67</v>
      </c>
      <c r="B60" s="3"/>
      <c r="C60" s="3"/>
      <c r="D60" s="3"/>
    </row>
    <row r="61" spans="1:13" x14ac:dyDescent="0.35">
      <c r="A61" s="63" t="s">
        <v>203</v>
      </c>
      <c r="B61" s="3"/>
      <c r="C61" s="3"/>
      <c r="D61" s="3"/>
    </row>
    <row r="62" spans="1:13" x14ac:dyDescent="0.35">
      <c r="A62" s="3" t="s">
        <v>70</v>
      </c>
      <c r="B62" s="3"/>
      <c r="C62" s="3"/>
      <c r="D62" s="3"/>
    </row>
    <row r="63" spans="1:13" x14ac:dyDescent="0.35">
      <c r="A63" s="3" t="s">
        <v>219</v>
      </c>
      <c r="B63" s="3"/>
      <c r="C63" s="3"/>
      <c r="D63" s="3"/>
    </row>
  </sheetData>
  <mergeCells count="6">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66"/>
  <sheetViews>
    <sheetView zoomScaleNormal="100" workbookViewId="0">
      <pane xSplit="1" ySplit="2" topLeftCell="J12" activePane="bottomRight" state="frozen"/>
      <selection activeCell="K4" sqref="K4"/>
      <selection pane="topRight" activeCell="K4" sqref="K4"/>
      <selection pane="bottomLeft" activeCell="K4" sqref="K4"/>
      <selection pane="bottomRight" activeCell="P1" sqref="P1:P1048576"/>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12/02/2022</v>
      </c>
      <c r="B1" s="3"/>
      <c r="C1" s="3"/>
      <c r="D1" s="3"/>
    </row>
    <row r="2" spans="1:35" x14ac:dyDescent="0.35">
      <c r="E2" s="3" t="s">
        <v>139</v>
      </c>
    </row>
    <row r="3" spans="1:35" ht="29" x14ac:dyDescent="0.35">
      <c r="E3" s="48" t="s">
        <v>46</v>
      </c>
      <c r="F3" s="70" t="s">
        <v>71</v>
      </c>
      <c r="G3" s="70" t="s">
        <v>54</v>
      </c>
      <c r="H3" s="48" t="s">
        <v>3</v>
      </c>
      <c r="I3" s="70" t="s">
        <v>55</v>
      </c>
      <c r="J3" s="48" t="s">
        <v>10</v>
      </c>
      <c r="K3" s="48" t="s">
        <v>9</v>
      </c>
      <c r="S3" s="48"/>
    </row>
    <row r="4" spans="1:35" x14ac:dyDescent="0.35">
      <c r="A4" s="20" t="s">
        <v>24</v>
      </c>
      <c r="B4" s="20"/>
      <c r="C4" s="20"/>
      <c r="D4" s="20"/>
      <c r="E4" s="22">
        <f>SUM(C15:M15)</f>
        <v>1200829.7842012001</v>
      </c>
      <c r="F4" s="136">
        <f>N21</f>
        <v>43331524.412874453</v>
      </c>
      <c r="G4" s="22">
        <f>SUM(C27:L27)</f>
        <v>2218331.8400000003</v>
      </c>
      <c r="H4" s="22">
        <f>G4-E4</f>
        <v>1017502.0557988002</v>
      </c>
      <c r="I4" s="22">
        <f>+B41</f>
        <v>-1219743.2400499997</v>
      </c>
      <c r="J4" s="22">
        <f>SUM(C48:L48)</f>
        <v>-5143.2300000000005</v>
      </c>
      <c r="K4" s="25">
        <f>SUM(H4:J4)</f>
        <v>-207384.41425119949</v>
      </c>
      <c r="L4" s="47">
        <f>+K4-M41</f>
        <v>4.0745362639427185E-10</v>
      </c>
    </row>
    <row r="5" spans="1:35" x14ac:dyDescent="0.35">
      <c r="A5" s="20" t="s">
        <v>107</v>
      </c>
      <c r="B5" s="20"/>
      <c r="C5" s="20"/>
      <c r="D5" s="20"/>
      <c r="E5" s="22">
        <f>SUM(C16:M16)</f>
        <v>353774.27120000002</v>
      </c>
      <c r="F5" s="136">
        <f>N22</f>
        <v>7512836.2407243419</v>
      </c>
      <c r="G5" s="22">
        <f>SUM(C28:L28)</f>
        <v>424001.20000000007</v>
      </c>
      <c r="H5" s="22">
        <f t="shared" ref="H5:H6" si="0">G5-E5</f>
        <v>70226.928800000052</v>
      </c>
      <c r="I5" s="22">
        <f>+B42</f>
        <v>-266963.32255999994</v>
      </c>
      <c r="J5" s="22">
        <f>SUM(C49:L49)</f>
        <v>-3744.04</v>
      </c>
      <c r="K5" s="25">
        <f t="shared" ref="K5:K6" si="1">SUM(H5:J5)</f>
        <v>-200480.4337599999</v>
      </c>
      <c r="L5" s="47">
        <f t="shared" ref="L5:L6" si="2">+K5-M42</f>
        <v>0</v>
      </c>
    </row>
    <row r="6" spans="1:35" x14ac:dyDescent="0.35">
      <c r="A6" s="20" t="s">
        <v>108</v>
      </c>
      <c r="B6" s="20"/>
      <c r="C6" s="20"/>
      <c r="D6" s="20"/>
      <c r="E6" s="22">
        <f>SUM(C17:M17)</f>
        <v>317830.1917599999</v>
      </c>
      <c r="F6" s="136">
        <f>N23</f>
        <v>13572197.391333517</v>
      </c>
      <c r="G6" s="22">
        <f>SUM(C29:L29)</f>
        <v>407861.2</v>
      </c>
      <c r="H6" s="22">
        <f t="shared" si="0"/>
        <v>90031.008240000112</v>
      </c>
      <c r="I6" s="22">
        <f>+B43</f>
        <v>-98066.877039999978</v>
      </c>
      <c r="J6" s="22">
        <f>SUM(C50:L50)</f>
        <v>-52.169999999999902</v>
      </c>
      <c r="K6" s="25">
        <f t="shared" si="1"/>
        <v>-8088.0387999998657</v>
      </c>
      <c r="L6" s="47">
        <f t="shared" si="2"/>
        <v>4.5474735088646412E-11</v>
      </c>
    </row>
    <row r="7" spans="1:35" ht="15" thickBot="1" x14ac:dyDescent="0.4">
      <c r="A7" s="20" t="s">
        <v>109</v>
      </c>
      <c r="B7" s="20"/>
      <c r="C7" s="20"/>
      <c r="D7" s="20"/>
      <c r="E7" s="22">
        <f>SUM(C18:M18)</f>
        <v>54010.593140000004</v>
      </c>
      <c r="F7" s="136">
        <f>N24</f>
        <v>9051939.3965756521</v>
      </c>
      <c r="G7" s="22">
        <f>SUM(C30:L30)</f>
        <v>115325.21999999999</v>
      </c>
      <c r="H7" s="22">
        <f>G7-E7</f>
        <v>61314.626859999982</v>
      </c>
      <c r="I7" s="22">
        <f>+B44</f>
        <v>-57048.339399999975</v>
      </c>
      <c r="J7" s="22">
        <f>SUM(C51:L51)</f>
        <v>-106.53</v>
      </c>
      <c r="K7" s="25">
        <f>SUM(H7:J7)</f>
        <v>4159.7574600000071</v>
      </c>
      <c r="L7" s="47">
        <f>+K7-M44</f>
        <v>-1.0913936421275139E-11</v>
      </c>
    </row>
    <row r="8" spans="1:35" ht="15.5" thickTop="1" thickBot="1" x14ac:dyDescent="0.4">
      <c r="E8" s="27">
        <f t="shared" ref="E8:K8" si="3">SUM(E4:E7)</f>
        <v>1926444.8403012</v>
      </c>
      <c r="F8" s="137">
        <f t="shared" si="3"/>
        <v>73468497.441507965</v>
      </c>
      <c r="G8" s="27">
        <f t="shared" si="3"/>
        <v>3165519.4600000009</v>
      </c>
      <c r="H8" s="27">
        <f t="shared" si="3"/>
        <v>1239074.6196988004</v>
      </c>
      <c r="I8" s="27">
        <f t="shared" si="3"/>
        <v>-1641821.7790499995</v>
      </c>
      <c r="J8" s="27">
        <f t="shared" si="3"/>
        <v>-9045.9700000000012</v>
      </c>
      <c r="K8" s="27">
        <f t="shared" si="3"/>
        <v>-411793.12935119926</v>
      </c>
      <c r="T8" s="5"/>
    </row>
    <row r="9" spans="1:35" ht="15.5" thickTop="1" thickBot="1" x14ac:dyDescent="0.4">
      <c r="V9" s="4"/>
      <c r="W9" s="5"/>
    </row>
    <row r="10" spans="1:35" ht="102" thickBot="1" x14ac:dyDescent="0.4">
      <c r="B10" s="118" t="str">
        <f>+'PCR Cycle 2'!B13</f>
        <v>Cumulative Over/Under Carryover From 06/01/2022 Filing</v>
      </c>
      <c r="C10" s="151" t="str">
        <f>+'PCR Cycle 2'!C13</f>
        <v>Reverse May 2022 - October 2022  Forecast From 06/01/2022 Filing</v>
      </c>
      <c r="D10" s="211"/>
      <c r="E10" s="323" t="s">
        <v>33</v>
      </c>
      <c r="F10" s="312"/>
      <c r="G10" s="313"/>
      <c r="H10" s="320" t="s">
        <v>33</v>
      </c>
      <c r="I10" s="321"/>
      <c r="J10" s="322"/>
      <c r="K10" s="308" t="s">
        <v>8</v>
      </c>
      <c r="L10" s="309"/>
      <c r="M10" s="310"/>
    </row>
    <row r="11" spans="1:35" x14ac:dyDescent="0.35">
      <c r="A11" s="46" t="s">
        <v>63</v>
      </c>
      <c r="C11" s="105"/>
      <c r="D11" s="212"/>
      <c r="E11" s="19">
        <f>+'PCR Cycle 2'!D14</f>
        <v>44712</v>
      </c>
      <c r="F11" s="19">
        <f t="shared" ref="F11:M11" si="4">EOMONTH(E11,1)</f>
        <v>44742</v>
      </c>
      <c r="G11" s="19">
        <f t="shared" si="4"/>
        <v>44773</v>
      </c>
      <c r="H11" s="14">
        <f t="shared" si="4"/>
        <v>44804</v>
      </c>
      <c r="I11" s="19">
        <f t="shared" si="4"/>
        <v>44834</v>
      </c>
      <c r="J11" s="15">
        <f t="shared" si="4"/>
        <v>44865</v>
      </c>
      <c r="K11" s="19">
        <f t="shared" si="4"/>
        <v>44895</v>
      </c>
      <c r="L11" s="19">
        <f t="shared" si="4"/>
        <v>44926</v>
      </c>
      <c r="M11" s="15">
        <f t="shared" si="4"/>
        <v>44957</v>
      </c>
      <c r="Z11" s="1"/>
      <c r="AA11" s="1"/>
      <c r="AB11" s="1"/>
      <c r="AC11" s="1"/>
      <c r="AD11" s="1"/>
      <c r="AE11" s="1"/>
      <c r="AF11" s="1"/>
      <c r="AG11" s="1"/>
      <c r="AH11" s="1"/>
      <c r="AI11" s="1"/>
    </row>
    <row r="12" spans="1:35" x14ac:dyDescent="0.35">
      <c r="A12" s="46" t="s">
        <v>5</v>
      </c>
      <c r="C12" s="192">
        <v>-1141112.19</v>
      </c>
      <c r="D12" s="195"/>
      <c r="E12" s="109">
        <f t="shared" ref="E12:L12" si="5">SUM(E27:E30)</f>
        <v>439766.8</v>
      </c>
      <c r="F12" s="109">
        <f t="shared" si="5"/>
        <v>678094.55</v>
      </c>
      <c r="G12" s="110">
        <f t="shared" si="5"/>
        <v>808374.51000000013</v>
      </c>
      <c r="H12" s="16">
        <f t="shared" si="5"/>
        <v>695979.54</v>
      </c>
      <c r="I12" s="55">
        <f t="shared" si="5"/>
        <v>580572.91</v>
      </c>
      <c r="J12" s="164">
        <f t="shared" si="5"/>
        <v>402753.56</v>
      </c>
      <c r="K12" s="157">
        <f t="shared" si="5"/>
        <v>499619.59999999992</v>
      </c>
      <c r="L12" s="78">
        <f t="shared" si="5"/>
        <v>201470.18</v>
      </c>
      <c r="M12" s="79"/>
    </row>
    <row r="13" spans="1:35" x14ac:dyDescent="0.35">
      <c r="C13" s="99"/>
      <c r="D13" s="196"/>
      <c r="E13" s="17"/>
      <c r="F13" s="17"/>
      <c r="G13" s="17"/>
      <c r="H13" s="10"/>
      <c r="I13" s="17"/>
      <c r="J13" s="11"/>
      <c r="K13" s="31"/>
      <c r="L13" s="31"/>
      <c r="M13" s="29"/>
    </row>
    <row r="14" spans="1:35" x14ac:dyDescent="0.35">
      <c r="A14" s="46" t="s">
        <v>62</v>
      </c>
      <c r="C14" s="99"/>
      <c r="D14" s="196"/>
      <c r="E14" s="18"/>
      <c r="F14" s="18"/>
      <c r="G14" s="18"/>
      <c r="H14" s="91"/>
      <c r="I14" s="18"/>
      <c r="J14" s="165"/>
      <c r="K14" s="31"/>
      <c r="L14" s="31"/>
      <c r="M14" s="29"/>
      <c r="N14" s="3" t="s">
        <v>68</v>
      </c>
      <c r="O14" s="39"/>
    </row>
    <row r="15" spans="1:35" x14ac:dyDescent="0.35">
      <c r="A15" s="46" t="s">
        <v>24</v>
      </c>
      <c r="C15" s="192">
        <v>-1437349.5200499999</v>
      </c>
      <c r="D15" s="195">
        <v>0</v>
      </c>
      <c r="E15" s="134">
        <f>ROUND('[5]May 2022'!$F82,2)</f>
        <v>355652.19</v>
      </c>
      <c r="F15" s="134">
        <f>ROUND('[5]Jun 2022'!$F82,2)</f>
        <v>456684.88</v>
      </c>
      <c r="G15" s="134">
        <f>ROUND('[5]Jul 2022'!$F82,2)</f>
        <v>634101.91</v>
      </c>
      <c r="H15" s="16">
        <f>ROUND('[5]Aug 2022'!$F90,2)</f>
        <v>244850.06</v>
      </c>
      <c r="I15" s="121">
        <f>ROUND('[5]Sep 2022'!$F90,2)</f>
        <v>213727.83</v>
      </c>
      <c r="J15" s="169">
        <f>ROUND('[5]Oct 2022'!$F90,2)</f>
        <v>150925.63</v>
      </c>
      <c r="K15" s="123">
        <f>'PCR Cycle 2'!J26*'TDR Cycle 3'!$N15</f>
        <v>140540.1182</v>
      </c>
      <c r="L15" s="41">
        <f>'PCR Cycle 2'!K26*'TDR Cycle 3'!$N15</f>
        <v>195475.47487999999</v>
      </c>
      <c r="M15" s="61">
        <f>'PCR Cycle 2'!L26*'TDR Cycle 3'!$N15</f>
        <v>246221.2111712</v>
      </c>
      <c r="N15" s="72">
        <v>6.2E-4</v>
      </c>
      <c r="O15" s="4"/>
    </row>
    <row r="16" spans="1:35" x14ac:dyDescent="0.35">
      <c r="A16" s="46" t="s">
        <v>107</v>
      </c>
      <c r="C16" s="192">
        <v>-173331.84256000002</v>
      </c>
      <c r="D16" s="195">
        <v>0</v>
      </c>
      <c r="E16" s="134">
        <f>ROUND('[5]May 2022'!$F83,2)</f>
        <v>56813.29</v>
      </c>
      <c r="F16" s="134">
        <f>ROUND('[5]Jun 2022'!$F83,2)</f>
        <v>66413.89</v>
      </c>
      <c r="G16" s="134">
        <f>ROUND('[5]Jul 2022'!$F83,2)</f>
        <v>77772.63</v>
      </c>
      <c r="H16" s="16">
        <f>ROUND('[5]Aug 2022'!$F91,2)</f>
        <v>65196.160000000003</v>
      </c>
      <c r="I16" s="121">
        <f>ROUND('[5]Sep 2022'!$F91,2)</f>
        <v>62749.87</v>
      </c>
      <c r="J16" s="169">
        <f>ROUND('[5]Oct 2022'!$F91,2)</f>
        <v>52261.54</v>
      </c>
      <c r="K16" s="123">
        <f>'PCR Cycle 2'!J27*'TDR Cycle 3'!$N16</f>
        <v>46758.426000000007</v>
      </c>
      <c r="L16" s="41">
        <f>'PCR Cycle 2'!K27*'TDR Cycle 3'!$N16</f>
        <v>48395.519120000004</v>
      </c>
      <c r="M16" s="61">
        <f>'PCR Cycle 2'!L27*'TDR Cycle 3'!$N16</f>
        <v>50744.788640000006</v>
      </c>
      <c r="N16" s="72">
        <v>5.2000000000000006E-4</v>
      </c>
      <c r="O16" s="4"/>
    </row>
    <row r="17" spans="1:15" x14ac:dyDescent="0.35">
      <c r="A17" s="46" t="s">
        <v>108</v>
      </c>
      <c r="C17" s="192">
        <v>-182460.57704</v>
      </c>
      <c r="D17" s="195">
        <v>0</v>
      </c>
      <c r="E17" s="134">
        <f>ROUND('[5]May 2022'!$F84,2)</f>
        <v>59622.84</v>
      </c>
      <c r="F17" s="134">
        <f>ROUND('[5]Jun 2022'!$F84,2)</f>
        <v>67414.039999999994</v>
      </c>
      <c r="G17" s="134">
        <f>ROUND('[5]Jul 2022'!$F84,2)</f>
        <v>76498.84</v>
      </c>
      <c r="H17" s="16">
        <f>ROUND('[5]Aug 2022'!$F92,2)</f>
        <v>55403.46</v>
      </c>
      <c r="I17" s="121">
        <f>ROUND('[5]Sep 2022'!$F92,2)</f>
        <v>54849.02</v>
      </c>
      <c r="J17" s="169">
        <f>ROUND('[5]Oct 2022'!$F92,2)</f>
        <v>49164.22</v>
      </c>
      <c r="K17" s="123">
        <f>'PCR Cycle 2'!J28*'TDR Cycle 3'!$N17</f>
        <v>44014.94666999999</v>
      </c>
      <c r="L17" s="41">
        <f>'PCR Cycle 2'!K28*'TDR Cycle 3'!$N17</f>
        <v>45555.98612999999</v>
      </c>
      <c r="M17" s="61">
        <f>'PCR Cycle 2'!L28*'TDR Cycle 3'!$N17</f>
        <v>47767.41599999999</v>
      </c>
      <c r="N17" s="72">
        <v>5.0999999999999993E-4</v>
      </c>
      <c r="O17" s="4"/>
    </row>
    <row r="18" spans="1:15" x14ac:dyDescent="0.35">
      <c r="A18" s="46" t="s">
        <v>109</v>
      </c>
      <c r="C18" s="192">
        <v>-39490.089399999997</v>
      </c>
      <c r="D18" s="195">
        <v>0</v>
      </c>
      <c r="E18" s="134">
        <f>ROUND('[5]May 2022'!$F85,2)</f>
        <v>12580.05</v>
      </c>
      <c r="F18" s="134">
        <f>ROUND('[5]Jun 2022'!$F85,2)</f>
        <v>12827.66</v>
      </c>
      <c r="G18" s="134">
        <f>ROUND('[5]Jul 2022'!$F85,2)</f>
        <v>13516.86</v>
      </c>
      <c r="H18" s="16">
        <f>ROUND('[5]Aug 2022'!$F93,2)</f>
        <v>9221.83</v>
      </c>
      <c r="I18" s="121">
        <f>ROUND('[5]Sep 2022'!$F93,2)</f>
        <v>9746.31</v>
      </c>
      <c r="J18" s="169">
        <f>ROUND('[5]Oct 2022'!$F93,2)</f>
        <v>7865.34</v>
      </c>
      <c r="K18" s="123">
        <f>'PCR Cycle 2'!J29*'TDR Cycle 3'!$N18</f>
        <v>8891.1109000000015</v>
      </c>
      <c r="L18" s="41">
        <f>'PCR Cycle 2'!K29*'TDR Cycle 3'!$N18</f>
        <v>9202.4041200000011</v>
      </c>
      <c r="M18" s="61">
        <f>'PCR Cycle 2'!L29*'TDR Cycle 3'!$N18</f>
        <v>9649.1175200000016</v>
      </c>
      <c r="N18" s="72">
        <v>1.4000000000000001E-4</v>
      </c>
      <c r="O18" s="4"/>
    </row>
    <row r="19" spans="1:15" x14ac:dyDescent="0.35">
      <c r="C19" s="67"/>
      <c r="D19" s="197"/>
      <c r="E19" s="68"/>
      <c r="F19" s="68"/>
      <c r="G19" s="68"/>
      <c r="H19" s="67"/>
      <c r="I19" s="68"/>
      <c r="J19" s="167"/>
      <c r="K19" s="56"/>
      <c r="L19" s="56"/>
      <c r="M19" s="13"/>
      <c r="O19" s="4"/>
    </row>
    <row r="20" spans="1:15" x14ac:dyDescent="0.35">
      <c r="A20" s="39" t="s">
        <v>66</v>
      </c>
      <c r="B20" s="39"/>
      <c r="C20" s="67"/>
      <c r="D20" s="197"/>
      <c r="E20" s="56"/>
      <c r="F20" s="56"/>
      <c r="G20" s="56"/>
      <c r="H20" s="12"/>
      <c r="I20" s="56"/>
      <c r="J20" s="168"/>
      <c r="K20" s="56"/>
      <c r="L20" s="56"/>
      <c r="M20" s="13"/>
      <c r="N20" s="7"/>
    </row>
    <row r="21" spans="1:15" x14ac:dyDescent="0.35">
      <c r="A21" s="46" t="s">
        <v>24</v>
      </c>
      <c r="C21" s="193">
        <v>-15902652.487397341</v>
      </c>
      <c r="D21" s="198"/>
      <c r="E21" s="111">
        <f>+'[14]Monthly TD Calc'!AG460</f>
        <v>8026377.2756715454</v>
      </c>
      <c r="F21" s="111">
        <f>+'[14]Monthly TD Calc'!AH460</f>
        <v>7646792.0236792583</v>
      </c>
      <c r="G21" s="125">
        <f>+'[14]Monthly TD Calc'!AI460</f>
        <v>9143783.3831370194</v>
      </c>
      <c r="H21" s="74">
        <f>+'[14]Monthly TD Calc'!AJ460</f>
        <v>7874355.3278410137</v>
      </c>
      <c r="I21" s="75">
        <f>+'[14]Monthly TD Calc'!AK460</f>
        <v>6692759.1104118004</v>
      </c>
      <c r="J21" s="169">
        <f>+'[14]Monthly TD Calc'!AL460</f>
        <v>7451724.8329568505</v>
      </c>
      <c r="K21" s="158">
        <f>+'[2]Monthly TD Calc'!AM461</f>
        <v>8843983.2991499696</v>
      </c>
      <c r="L21" s="142">
        <f>+'[2]Monthly TD Calc'!AN461</f>
        <v>3554401.6474243421</v>
      </c>
      <c r="M21" s="80"/>
      <c r="N21" s="59">
        <f>SUM(C21:L21)</f>
        <v>43331524.412874453</v>
      </c>
    </row>
    <row r="22" spans="1:15" x14ac:dyDescent="0.35">
      <c r="A22" s="46" t="s">
        <v>107</v>
      </c>
      <c r="C22" s="193">
        <v>-2607471.8725683531</v>
      </c>
      <c r="D22" s="198"/>
      <c r="E22" s="111">
        <f>+'[14]Monthly TD Calc'!AG461</f>
        <v>1248615.4300899154</v>
      </c>
      <c r="F22" s="111">
        <f>+'[14]Monthly TD Calc'!AH461</f>
        <v>1232699.7958355902</v>
      </c>
      <c r="G22" s="125">
        <f>+'[14]Monthly TD Calc'!AI461</f>
        <v>1317794.1079470678</v>
      </c>
      <c r="H22" s="74">
        <f>+'[14]Monthly TD Calc'!AJ461</f>
        <v>1367006.3233401456</v>
      </c>
      <c r="I22" s="75">
        <f>+'[14]Monthly TD Calc'!AK461</f>
        <v>1278459.2018725718</v>
      </c>
      <c r="J22" s="169">
        <f>+'[14]Monthly TD Calc'!AL461</f>
        <v>1391774.0381549313</v>
      </c>
      <c r="K22" s="158">
        <f>+'[2]Monthly TD Calc'!AM462</f>
        <v>1609645.3629677589</v>
      </c>
      <c r="L22" s="142">
        <f>+'[2]Monthly TD Calc'!AN462</f>
        <v>674313.85308471322</v>
      </c>
      <c r="M22" s="80"/>
      <c r="N22" s="59">
        <f t="shared" ref="N22:N24" si="6">SUM(C22:L22)</f>
        <v>7512836.2407243419</v>
      </c>
    </row>
    <row r="23" spans="1:15" x14ac:dyDescent="0.35">
      <c r="A23" s="46" t="s">
        <v>108</v>
      </c>
      <c r="C23" s="193">
        <v>-4477254.9279043004</v>
      </c>
      <c r="D23" s="198"/>
      <c r="E23" s="111">
        <f>+'[14]Monthly TD Calc'!AG463</f>
        <v>2167706.3617175319</v>
      </c>
      <c r="F23" s="111">
        <f>+'[14]Monthly TD Calc'!AH463</f>
        <v>2105329.3808307657</v>
      </c>
      <c r="G23" s="125">
        <f>+'[14]Monthly TD Calc'!AI463</f>
        <v>2183817.4717358137</v>
      </c>
      <c r="H23" s="74">
        <f>+'[14]Monthly TD Calc'!AJ463</f>
        <v>2355496.3782926891</v>
      </c>
      <c r="I23" s="75">
        <f>+'[14]Monthly TD Calc'!AK463</f>
        <v>2421548.9069532542</v>
      </c>
      <c r="J23" s="169">
        <f>+'[14]Monthly TD Calc'!AL463</f>
        <v>2805431.0681680948</v>
      </c>
      <c r="K23" s="158">
        <f>+'[2]Monthly TD Calc'!AM464</f>
        <v>2910418.2641265937</v>
      </c>
      <c r="L23" s="142">
        <f>+'[2]Monthly TD Calc'!AN464</f>
        <v>1099704.4874130751</v>
      </c>
      <c r="M23" s="80"/>
      <c r="N23" s="59">
        <f t="shared" si="6"/>
        <v>13572197.391333517</v>
      </c>
    </row>
    <row r="24" spans="1:15" x14ac:dyDescent="0.35">
      <c r="A24" s="46" t="s">
        <v>109</v>
      </c>
      <c r="C24" s="193">
        <v>-2318968.8186526233</v>
      </c>
      <c r="D24" s="198"/>
      <c r="E24" s="111">
        <f>+'[14]Monthly TD Calc'!AG464</f>
        <v>1336212.1453938775</v>
      </c>
      <c r="F24" s="111">
        <f>+'[14]Monthly TD Calc'!AH464</f>
        <v>1525671.1100649403</v>
      </c>
      <c r="G24" s="125">
        <f>+'[14]Monthly TD Calc'!AI464</f>
        <v>1576427.9245366182</v>
      </c>
      <c r="H24" s="74">
        <f>+'[14]Monthly TD Calc'!AJ464</f>
        <v>1606544.8738100473</v>
      </c>
      <c r="I24" s="75">
        <f>+'[14]Monthly TD Calc'!AK464</f>
        <v>1501071.3382335389</v>
      </c>
      <c r="J24" s="169">
        <f>+'[14]Monthly TD Calc'!AL464</f>
        <v>1606600.5772200932</v>
      </c>
      <c r="K24" s="158">
        <f>+'[2]Monthly TD Calc'!AM465</f>
        <v>1770947.1334448706</v>
      </c>
      <c r="L24" s="142">
        <f>+'[2]Monthly TD Calc'!AN465</f>
        <v>447433.11252428975</v>
      </c>
      <c r="M24" s="80"/>
      <c r="N24" s="59">
        <f t="shared" si="6"/>
        <v>9051939.3965756521</v>
      </c>
    </row>
    <row r="25" spans="1:15" x14ac:dyDescent="0.35">
      <c r="C25" s="67"/>
      <c r="D25" s="197"/>
      <c r="E25" s="68"/>
      <c r="F25" s="68"/>
      <c r="G25" s="68"/>
      <c r="H25" s="67"/>
      <c r="I25" s="68"/>
      <c r="J25" s="167"/>
      <c r="K25" s="56"/>
      <c r="L25" s="56"/>
      <c r="M25" s="13"/>
    </row>
    <row r="26" spans="1:15" x14ac:dyDescent="0.35">
      <c r="A26" s="46" t="s">
        <v>69</v>
      </c>
      <c r="C26" s="36"/>
      <c r="D26" s="199"/>
      <c r="E26" s="37"/>
      <c r="F26" s="37"/>
      <c r="G26" s="37"/>
      <c r="H26" s="36"/>
      <c r="I26" s="37"/>
      <c r="J26" s="170"/>
      <c r="K26" s="52"/>
      <c r="L26" s="52"/>
      <c r="M26" s="38"/>
    </row>
    <row r="27" spans="1:15" x14ac:dyDescent="0.35">
      <c r="A27" s="46" t="s">
        <v>24</v>
      </c>
      <c r="C27" s="192">
        <v>-822951.15</v>
      </c>
      <c r="D27" s="195"/>
      <c r="E27" s="109">
        <f>ROUND('[14]Monthly TD Calc'!AG562,2)</f>
        <v>307944.59000000003</v>
      </c>
      <c r="F27" s="109">
        <f>ROUND('[14]Monthly TD Calc'!AH562,2)</f>
        <v>499121.55</v>
      </c>
      <c r="G27" s="110">
        <f>ROUND('[14]Monthly TD Calc'!AI562,2)</f>
        <v>624103.18000000005</v>
      </c>
      <c r="H27" s="16">
        <f>ROUND('[14]Monthly TD Calc'!AJ562,2)</f>
        <v>501470.76</v>
      </c>
      <c r="I27" s="55">
        <f>ROUND('[14]Monthly TD Calc'!AK562,2)</f>
        <v>390307.02</v>
      </c>
      <c r="J27" s="252">
        <f>ROUND('[14]Monthly TD Calc'!AL562,2)</f>
        <v>249398.11</v>
      </c>
      <c r="K27" s="159">
        <f>ROUND('[2]Monthly TD Calc'!AM563,2)</f>
        <v>328783.84999999998</v>
      </c>
      <c r="L27" s="141">
        <f>ROUND('[2]Monthly TD Calc'!AN563,2)</f>
        <v>140153.93</v>
      </c>
      <c r="M27" s="79"/>
    </row>
    <row r="28" spans="1:15" x14ac:dyDescent="0.35">
      <c r="A28" s="46" t="s">
        <v>107</v>
      </c>
      <c r="C28" s="192">
        <v>-147851.81</v>
      </c>
      <c r="D28" s="195"/>
      <c r="E28" s="109">
        <f>ROUND('[14]Monthly TD Calc'!AG563,2)</f>
        <v>55043.81</v>
      </c>
      <c r="F28" s="109">
        <f>ROUND('[14]Monthly TD Calc'!AH563,2)</f>
        <v>85960.37</v>
      </c>
      <c r="G28" s="110">
        <f>ROUND('[14]Monthly TD Calc'!AI563,2)</f>
        <v>90443.01</v>
      </c>
      <c r="H28" s="16">
        <f>ROUND('[14]Monthly TD Calc'!AJ563,2)</f>
        <v>94116.88</v>
      </c>
      <c r="I28" s="55">
        <f>ROUND('[14]Monthly TD Calc'!AK563,2)</f>
        <v>88388.55</v>
      </c>
      <c r="J28" s="252">
        <f>ROUND('[14]Monthly TD Calc'!AL563,2)</f>
        <v>60749.9</v>
      </c>
      <c r="K28" s="159">
        <f>ROUND('[2]Monthly TD Calc'!AM564,2)</f>
        <v>70489.97</v>
      </c>
      <c r="L28" s="141">
        <f>ROUND('[2]Monthly TD Calc'!AN564,2)</f>
        <v>26660.52</v>
      </c>
      <c r="M28" s="79"/>
    </row>
    <row r="29" spans="1:15" x14ac:dyDescent="0.35">
      <c r="A29" s="46" t="s">
        <v>108</v>
      </c>
      <c r="C29" s="192">
        <v>-138784.44</v>
      </c>
      <c r="D29" s="195"/>
      <c r="E29" s="109">
        <f>ROUND('[14]Monthly TD Calc'!AG565,2)</f>
        <v>61261.43</v>
      </c>
      <c r="F29" s="109">
        <f>ROUND('[14]Monthly TD Calc'!AH565,2)</f>
        <v>71223.070000000007</v>
      </c>
      <c r="G29" s="110">
        <f>ROUND('[14]Monthly TD Calc'!AI565,2)</f>
        <v>71420.77</v>
      </c>
      <c r="H29" s="16">
        <f>ROUND('[14]Monthly TD Calc'!AJ565,2)</f>
        <v>77565.399999999994</v>
      </c>
      <c r="I29" s="55">
        <f>ROUND('[14]Monthly TD Calc'!AK565,2)</f>
        <v>80087.69</v>
      </c>
      <c r="J29" s="252">
        <f>ROUND('[14]Monthly TD Calc'!AL565,2)</f>
        <v>75125.84</v>
      </c>
      <c r="K29" s="159">
        <f>ROUND('[2]Monthly TD Calc'!AM566,2)</f>
        <v>80781.100000000006</v>
      </c>
      <c r="L29" s="141">
        <f>ROUND('[2]Monthly TD Calc'!AN566,2)</f>
        <v>29180.34</v>
      </c>
      <c r="M29" s="79"/>
    </row>
    <row r="30" spans="1:15" x14ac:dyDescent="0.35">
      <c r="A30" s="46" t="s">
        <v>109</v>
      </c>
      <c r="C30" s="192">
        <v>-31524.79</v>
      </c>
      <c r="D30" s="195"/>
      <c r="E30" s="109">
        <f>ROUND('[14]Monthly TD Calc'!AG566,2)</f>
        <v>15516.97</v>
      </c>
      <c r="F30" s="109">
        <f>ROUND('[14]Monthly TD Calc'!AH566,2)</f>
        <v>21789.56</v>
      </c>
      <c r="G30" s="110">
        <f>ROUND('[14]Monthly TD Calc'!AI566,2)</f>
        <v>22407.55</v>
      </c>
      <c r="H30" s="16">
        <f>ROUND('[14]Monthly TD Calc'!AJ566,2)</f>
        <v>22826.5</v>
      </c>
      <c r="I30" s="55">
        <f>ROUND('[14]Monthly TD Calc'!AK566,2)</f>
        <v>21789.65</v>
      </c>
      <c r="J30" s="252">
        <f>ROUND('[14]Monthly TD Calc'!AL566,2)</f>
        <v>17479.71</v>
      </c>
      <c r="K30" s="159">
        <f>ROUND('[2]Monthly TD Calc'!AM567,2)</f>
        <v>19564.68</v>
      </c>
      <c r="L30" s="141">
        <f>ROUND('[2]Monthly TD Calc'!AN567,2)</f>
        <v>5475.39</v>
      </c>
      <c r="M30" s="79"/>
      <c r="O30" s="47"/>
    </row>
    <row r="31" spans="1:15" x14ac:dyDescent="0.35">
      <c r="C31" s="99"/>
      <c r="D31" s="196"/>
      <c r="E31" s="18"/>
      <c r="F31" s="18"/>
      <c r="G31" s="18"/>
      <c r="H31" s="91"/>
      <c r="I31" s="18"/>
      <c r="J31" s="165"/>
      <c r="K31" s="56"/>
      <c r="L31" s="56"/>
      <c r="M31" s="13"/>
    </row>
    <row r="32" spans="1:15" ht="15" thickBot="1" x14ac:dyDescent="0.4">
      <c r="A32" s="3" t="s">
        <v>15</v>
      </c>
      <c r="B32" s="3"/>
      <c r="C32" s="194">
        <v>2918.3</v>
      </c>
      <c r="D32" s="200">
        <v>0.14999999999999947</v>
      </c>
      <c r="E32" s="134">
        <v>-1764.53</v>
      </c>
      <c r="F32" s="134">
        <v>-2146.6299999999997</v>
      </c>
      <c r="G32" s="135">
        <v>-2555.58</v>
      </c>
      <c r="H32" s="26">
        <v>-2314.0100000000002</v>
      </c>
      <c r="I32" s="122">
        <v>-1660.45</v>
      </c>
      <c r="J32" s="171">
        <v>-1136.69</v>
      </c>
      <c r="K32" s="160">
        <v>-351.79999999999995</v>
      </c>
      <c r="L32" s="143">
        <v>-34.549999999999983</v>
      </c>
      <c r="M32" s="82"/>
    </row>
    <row r="33" spans="1:13" x14ac:dyDescent="0.35">
      <c r="C33" s="64"/>
      <c r="D33" s="203"/>
      <c r="E33" s="66"/>
      <c r="F33" s="66"/>
      <c r="G33" s="33"/>
      <c r="H33" s="64"/>
      <c r="I33" s="33"/>
      <c r="J33" s="172"/>
      <c r="K33" s="34"/>
      <c r="L33" s="34"/>
      <c r="M33" s="60"/>
    </row>
    <row r="34" spans="1:13" x14ac:dyDescent="0.35">
      <c r="A34" s="46" t="s">
        <v>52</v>
      </c>
      <c r="C34" s="65"/>
      <c r="D34" s="204"/>
      <c r="E34" s="35"/>
      <c r="F34" s="35"/>
      <c r="G34" s="35"/>
      <c r="H34" s="65"/>
      <c r="I34" s="35"/>
      <c r="J34" s="173"/>
      <c r="K34" s="34"/>
      <c r="L34" s="34"/>
      <c r="M34" s="60"/>
    </row>
    <row r="35" spans="1:13" x14ac:dyDescent="0.35">
      <c r="A35" s="46" t="s">
        <v>24</v>
      </c>
      <c r="C35" s="201">
        <f t="shared" ref="C35:M35" si="7">C27-C15</f>
        <v>614398.37004999991</v>
      </c>
      <c r="D35" s="205">
        <f t="shared" si="7"/>
        <v>0</v>
      </c>
      <c r="E35" s="41">
        <f t="shared" si="7"/>
        <v>-47707.599999999977</v>
      </c>
      <c r="F35" s="41">
        <f t="shared" si="7"/>
        <v>42436.669999999984</v>
      </c>
      <c r="G35" s="108">
        <f t="shared" si="7"/>
        <v>-9998.7299999999814</v>
      </c>
      <c r="H35" s="40">
        <f t="shared" si="7"/>
        <v>256620.7</v>
      </c>
      <c r="I35" s="41">
        <f t="shared" si="7"/>
        <v>176579.19000000003</v>
      </c>
      <c r="J35" s="61">
        <f t="shared" si="7"/>
        <v>98472.479999999981</v>
      </c>
      <c r="K35" s="123">
        <f t="shared" si="7"/>
        <v>188243.73179999998</v>
      </c>
      <c r="L35" s="41">
        <f t="shared" si="7"/>
        <v>-55321.544880000001</v>
      </c>
      <c r="M35" s="61">
        <f t="shared" si="7"/>
        <v>-246221.2111712</v>
      </c>
    </row>
    <row r="36" spans="1:13" x14ac:dyDescent="0.35">
      <c r="A36" s="46" t="s">
        <v>107</v>
      </c>
      <c r="C36" s="201">
        <f t="shared" ref="C36:M36" si="8">C28-C16</f>
        <v>25480.032560000021</v>
      </c>
      <c r="D36" s="205">
        <f t="shared" si="8"/>
        <v>0</v>
      </c>
      <c r="E36" s="41">
        <f t="shared" si="8"/>
        <v>-1769.4800000000032</v>
      </c>
      <c r="F36" s="41">
        <f t="shared" si="8"/>
        <v>19546.479999999996</v>
      </c>
      <c r="G36" s="108">
        <f t="shared" si="8"/>
        <v>12670.37999999999</v>
      </c>
      <c r="H36" s="40">
        <f t="shared" si="8"/>
        <v>28920.720000000001</v>
      </c>
      <c r="I36" s="41">
        <f t="shared" si="8"/>
        <v>25638.68</v>
      </c>
      <c r="J36" s="61">
        <f t="shared" si="8"/>
        <v>8488.36</v>
      </c>
      <c r="K36" s="123">
        <f t="shared" si="8"/>
        <v>23731.543999999994</v>
      </c>
      <c r="L36" s="41">
        <f t="shared" si="8"/>
        <v>-21734.999120000004</v>
      </c>
      <c r="M36" s="61">
        <f t="shared" si="8"/>
        <v>-50744.788640000006</v>
      </c>
    </row>
    <row r="37" spans="1:13" x14ac:dyDescent="0.35">
      <c r="A37" s="46" t="s">
        <v>108</v>
      </c>
      <c r="C37" s="201">
        <f t="shared" ref="C37:M37" si="9">C29-C17</f>
        <v>43676.137040000001</v>
      </c>
      <c r="D37" s="205">
        <f t="shared" si="9"/>
        <v>0</v>
      </c>
      <c r="E37" s="41">
        <f t="shared" si="9"/>
        <v>1638.5900000000038</v>
      </c>
      <c r="F37" s="41">
        <f t="shared" si="9"/>
        <v>3809.0300000000134</v>
      </c>
      <c r="G37" s="108">
        <f t="shared" si="9"/>
        <v>-5078.0699999999924</v>
      </c>
      <c r="H37" s="40">
        <f t="shared" si="9"/>
        <v>22161.939999999995</v>
      </c>
      <c r="I37" s="41">
        <f t="shared" si="9"/>
        <v>25238.670000000006</v>
      </c>
      <c r="J37" s="61">
        <f t="shared" si="9"/>
        <v>25961.619999999995</v>
      </c>
      <c r="K37" s="123">
        <f t="shared" si="9"/>
        <v>36766.153330000016</v>
      </c>
      <c r="L37" s="41">
        <f t="shared" si="9"/>
        <v>-16375.64612999999</v>
      </c>
      <c r="M37" s="61">
        <f t="shared" si="9"/>
        <v>-47767.41599999999</v>
      </c>
    </row>
    <row r="38" spans="1:13" x14ac:dyDescent="0.35">
      <c r="A38" s="46" t="s">
        <v>109</v>
      </c>
      <c r="C38" s="201">
        <f t="shared" ref="C38:M38" si="10">C30-C18</f>
        <v>7965.2993999999962</v>
      </c>
      <c r="D38" s="205">
        <f t="shared" si="10"/>
        <v>0</v>
      </c>
      <c r="E38" s="41">
        <f t="shared" si="10"/>
        <v>2936.92</v>
      </c>
      <c r="F38" s="41">
        <f t="shared" si="10"/>
        <v>8961.9000000000015</v>
      </c>
      <c r="G38" s="108">
        <f t="shared" si="10"/>
        <v>8890.6899999999987</v>
      </c>
      <c r="H38" s="40">
        <f t="shared" si="10"/>
        <v>13604.67</v>
      </c>
      <c r="I38" s="41">
        <f t="shared" si="10"/>
        <v>12043.340000000002</v>
      </c>
      <c r="J38" s="61">
        <f t="shared" si="10"/>
        <v>9614.369999999999</v>
      </c>
      <c r="K38" s="123">
        <f t="shared" si="10"/>
        <v>10673.569099999999</v>
      </c>
      <c r="L38" s="41">
        <f t="shared" si="10"/>
        <v>-3727.0141200000007</v>
      </c>
      <c r="M38" s="61">
        <f t="shared" si="10"/>
        <v>-9649.1175200000016</v>
      </c>
    </row>
    <row r="39" spans="1:13" x14ac:dyDescent="0.35">
      <c r="C39" s="99"/>
      <c r="D39" s="196"/>
      <c r="E39" s="17"/>
      <c r="F39" s="17"/>
      <c r="G39" s="17"/>
      <c r="H39" s="10"/>
      <c r="I39" s="17"/>
      <c r="J39" s="11"/>
      <c r="K39" s="17"/>
      <c r="L39" s="17"/>
      <c r="M39" s="11"/>
    </row>
    <row r="40" spans="1:13" ht="15" thickBot="1" x14ac:dyDescent="0.4">
      <c r="A40" s="46" t="s">
        <v>53</v>
      </c>
      <c r="C40" s="99"/>
      <c r="D40" s="196"/>
      <c r="E40" s="17"/>
      <c r="F40" s="17"/>
      <c r="G40" s="17"/>
      <c r="H40" s="10"/>
      <c r="I40" s="17"/>
      <c r="J40" s="11"/>
      <c r="K40" s="17"/>
      <c r="L40" s="17"/>
      <c r="M40" s="11"/>
    </row>
    <row r="41" spans="1:13" x14ac:dyDescent="0.35">
      <c r="A41" s="46" t="s">
        <v>24</v>
      </c>
      <c r="B41" s="116">
        <v>-1219743.2400499997</v>
      </c>
      <c r="C41" s="201">
        <f t="shared" ref="C41:M41" si="11">+B41+C35+B48</f>
        <v>-605344.86999999976</v>
      </c>
      <c r="D41" s="205">
        <f t="shared" si="11"/>
        <v>-603431.1599999998</v>
      </c>
      <c r="E41" s="41">
        <f t="shared" si="11"/>
        <v>-651138.75999999978</v>
      </c>
      <c r="F41" s="41">
        <f t="shared" si="11"/>
        <v>-609843.37999999989</v>
      </c>
      <c r="G41" s="108">
        <f t="shared" si="11"/>
        <v>-621258.11999999988</v>
      </c>
      <c r="H41" s="40">
        <f t="shared" si="11"/>
        <v>-366352.61999999988</v>
      </c>
      <c r="I41" s="41">
        <f t="shared" si="11"/>
        <v>-191285.80999999985</v>
      </c>
      <c r="J41" s="61">
        <f t="shared" si="11"/>
        <v>-93782.939999999871</v>
      </c>
      <c r="K41" s="123">
        <f t="shared" si="11"/>
        <v>93899.071800000107</v>
      </c>
      <c r="L41" s="41">
        <f t="shared" si="11"/>
        <v>38576.646920000108</v>
      </c>
      <c r="M41" s="61">
        <f t="shared" si="11"/>
        <v>-207384.41425119989</v>
      </c>
    </row>
    <row r="42" spans="1:13" x14ac:dyDescent="0.35">
      <c r="A42" s="46" t="s">
        <v>107</v>
      </c>
      <c r="B42" s="244">
        <v>-266963.32255999994</v>
      </c>
      <c r="C42" s="201">
        <f t="shared" ref="C42:M42" si="12">+B42+C36+B49</f>
        <v>-241483.28999999992</v>
      </c>
      <c r="D42" s="205">
        <f t="shared" si="12"/>
        <v>-240768.56999999992</v>
      </c>
      <c r="E42" s="41">
        <f t="shared" si="12"/>
        <v>-242538.04999999993</v>
      </c>
      <c r="F42" s="41">
        <f t="shared" si="12"/>
        <v>-223431.23999999996</v>
      </c>
      <c r="G42" s="108">
        <f t="shared" si="12"/>
        <v>-211284.13999999998</v>
      </c>
      <c r="H42" s="40">
        <f t="shared" si="12"/>
        <v>-182969.11</v>
      </c>
      <c r="I42" s="41">
        <f t="shared" si="12"/>
        <v>-157934.04999999999</v>
      </c>
      <c r="J42" s="61">
        <f t="shared" si="12"/>
        <v>-150037.89000000001</v>
      </c>
      <c r="K42" s="123">
        <f t="shared" si="12"/>
        <v>-126912.30600000003</v>
      </c>
      <c r="L42" s="41">
        <f t="shared" si="12"/>
        <v>-149192.36512000003</v>
      </c>
      <c r="M42" s="61">
        <f t="shared" si="12"/>
        <v>-200480.43376000004</v>
      </c>
    </row>
    <row r="43" spans="1:13" x14ac:dyDescent="0.35">
      <c r="A43" s="46" t="s">
        <v>108</v>
      </c>
      <c r="B43" s="244">
        <v>-98066.877039999978</v>
      </c>
      <c r="C43" s="201">
        <f t="shared" ref="C43:M43" si="13">+B43+C37+B50</f>
        <v>-54390.739999999976</v>
      </c>
      <c r="D43" s="205">
        <f t="shared" si="13"/>
        <v>-54245.699999999975</v>
      </c>
      <c r="E43" s="41">
        <f t="shared" si="13"/>
        <v>-52607.109999999971</v>
      </c>
      <c r="F43" s="41">
        <f t="shared" si="13"/>
        <v>-48895.279999999955</v>
      </c>
      <c r="G43" s="108">
        <f t="shared" si="13"/>
        <v>-54087.339999999946</v>
      </c>
      <c r="H43" s="40">
        <f t="shared" si="13"/>
        <v>-32068.869999999952</v>
      </c>
      <c r="I43" s="41">
        <f t="shared" si="13"/>
        <v>-6962.1299999999464</v>
      </c>
      <c r="J43" s="61">
        <f t="shared" si="13"/>
        <v>18931.580000000049</v>
      </c>
      <c r="K43" s="123">
        <f t="shared" si="13"/>
        <v>55721.103330000064</v>
      </c>
      <c r="L43" s="41">
        <f t="shared" si="13"/>
        <v>39492.107200000079</v>
      </c>
      <c r="M43" s="61">
        <f t="shared" si="13"/>
        <v>-8088.0387999999111</v>
      </c>
    </row>
    <row r="44" spans="1:13" ht="15" thickBot="1" x14ac:dyDescent="0.4">
      <c r="A44" s="46" t="s">
        <v>109</v>
      </c>
      <c r="B44" s="117">
        <v>-57048.339399999975</v>
      </c>
      <c r="C44" s="201">
        <f t="shared" ref="C44:M44" si="14">+B44+C38+B51</f>
        <v>-49083.039999999979</v>
      </c>
      <c r="D44" s="205">
        <f t="shared" si="14"/>
        <v>-48938.209999999977</v>
      </c>
      <c r="E44" s="41">
        <f t="shared" si="14"/>
        <v>-46001.289999999979</v>
      </c>
      <c r="F44" s="41">
        <f t="shared" si="14"/>
        <v>-37125.75999999998</v>
      </c>
      <c r="G44" s="108">
        <f t="shared" si="14"/>
        <v>-28328.429999999982</v>
      </c>
      <c r="H44" s="40">
        <f t="shared" si="14"/>
        <v>-14814.979999999981</v>
      </c>
      <c r="I44" s="41">
        <f t="shared" si="14"/>
        <v>-2837.7299999999796</v>
      </c>
      <c r="J44" s="61">
        <f t="shared" si="14"/>
        <v>6745.9100000000199</v>
      </c>
      <c r="K44" s="123">
        <f t="shared" si="14"/>
        <v>17427.089100000019</v>
      </c>
      <c r="L44" s="41">
        <f t="shared" si="14"/>
        <v>13747.564980000019</v>
      </c>
      <c r="M44" s="61">
        <f t="shared" si="14"/>
        <v>4159.757460000018</v>
      </c>
    </row>
    <row r="45" spans="1:13" x14ac:dyDescent="0.35">
      <c r="C45" s="99"/>
      <c r="D45" s="196"/>
      <c r="E45" s="17"/>
      <c r="F45" s="17"/>
      <c r="G45" s="17"/>
      <c r="H45" s="10"/>
      <c r="I45" s="17"/>
      <c r="J45" s="11"/>
      <c r="K45" s="17"/>
      <c r="L45" s="17"/>
      <c r="M45" s="11"/>
    </row>
    <row r="46" spans="1:13" x14ac:dyDescent="0.35">
      <c r="A46" s="39" t="s">
        <v>123</v>
      </c>
      <c r="B46" s="39"/>
      <c r="C46" s="104"/>
      <c r="D46" s="206"/>
      <c r="E46" s="83">
        <f>+'PCR Cycle 2'!D47</f>
        <v>1.81941E-3</v>
      </c>
      <c r="F46" s="83">
        <f>+'PCR Cycle 2'!E47</f>
        <v>2.2438499999999999E-3</v>
      </c>
      <c r="G46" s="83">
        <f>+'PCR Cycle 2'!F47</f>
        <v>2.7832400000000002E-3</v>
      </c>
      <c r="H46" s="84">
        <f>+'PCR Cycle 2'!G47</f>
        <v>3.0573900000000001E-3</v>
      </c>
      <c r="I46" s="83">
        <f>+'PCR Cycle 2'!H47</f>
        <v>3.4681400000000002E-3</v>
      </c>
      <c r="J46" s="92">
        <f>+'PCR Cycle 2'!I47</f>
        <v>3.92758E-3</v>
      </c>
      <c r="K46" s="83">
        <f>+'PCR Cycle 2'!J47</f>
        <v>3.92758E-3</v>
      </c>
      <c r="L46" s="83">
        <f>+'PCR Cycle 2'!K47</f>
        <v>3.92758E-3</v>
      </c>
      <c r="M46" s="85"/>
    </row>
    <row r="47" spans="1:13" x14ac:dyDescent="0.35">
      <c r="A47" s="39" t="s">
        <v>37</v>
      </c>
      <c r="B47" s="39"/>
      <c r="C47" s="106"/>
      <c r="D47" s="207"/>
      <c r="E47" s="83"/>
      <c r="F47" s="83"/>
      <c r="G47" s="83"/>
      <c r="H47" s="84"/>
      <c r="I47" s="83"/>
      <c r="J47" s="85"/>
      <c r="K47" s="83"/>
      <c r="L47" s="83"/>
      <c r="M47" s="85"/>
    </row>
    <row r="48" spans="1:13" x14ac:dyDescent="0.35">
      <c r="A48" s="46" t="s">
        <v>24</v>
      </c>
      <c r="C48" s="201">
        <v>1913.71</v>
      </c>
      <c r="D48" s="205"/>
      <c r="E48" s="41">
        <f t="shared" ref="E48:M48" si="15">ROUND((D41+D48+E35/2)*E$46,2)</f>
        <v>-1141.29</v>
      </c>
      <c r="F48" s="41">
        <f t="shared" si="15"/>
        <v>-1416.01</v>
      </c>
      <c r="G48" s="108">
        <f t="shared" si="15"/>
        <v>-1715.2</v>
      </c>
      <c r="H48" s="40">
        <f t="shared" si="15"/>
        <v>-1512.38</v>
      </c>
      <c r="I48" s="123">
        <f t="shared" si="15"/>
        <v>-969.61</v>
      </c>
      <c r="J48" s="61">
        <f t="shared" si="15"/>
        <v>-561.72</v>
      </c>
      <c r="K48" s="161">
        <f t="shared" si="15"/>
        <v>-0.88</v>
      </c>
      <c r="L48" s="108">
        <f t="shared" si="15"/>
        <v>260.14999999999998</v>
      </c>
      <c r="M48" s="61">
        <f t="shared" si="15"/>
        <v>0</v>
      </c>
    </row>
    <row r="49" spans="1:13" x14ac:dyDescent="0.35">
      <c r="A49" s="46" t="s">
        <v>107</v>
      </c>
      <c r="C49" s="201">
        <v>714.72</v>
      </c>
      <c r="D49" s="205"/>
      <c r="E49" s="41">
        <f t="shared" ref="E49:L49" si="16">ROUND((D42+D49+E36/2)*E$46,2)</f>
        <v>-439.67</v>
      </c>
      <c r="F49" s="41">
        <f t="shared" si="16"/>
        <v>-523.28</v>
      </c>
      <c r="G49" s="108">
        <f t="shared" si="16"/>
        <v>-605.69000000000005</v>
      </c>
      <c r="H49" s="40">
        <f t="shared" si="16"/>
        <v>-603.62</v>
      </c>
      <c r="I49" s="123">
        <f t="shared" si="16"/>
        <v>-592.20000000000005</v>
      </c>
      <c r="J49" s="61">
        <f t="shared" si="16"/>
        <v>-605.96</v>
      </c>
      <c r="K49" s="161">
        <f t="shared" si="16"/>
        <v>-545.05999999999995</v>
      </c>
      <c r="L49" s="108">
        <f t="shared" si="16"/>
        <v>-543.28</v>
      </c>
      <c r="M49" s="61"/>
    </row>
    <row r="50" spans="1:13" x14ac:dyDescent="0.35">
      <c r="A50" s="46" t="s">
        <v>108</v>
      </c>
      <c r="C50" s="201">
        <v>145.04000000000002</v>
      </c>
      <c r="D50" s="205"/>
      <c r="E50" s="41">
        <f t="shared" ref="E50:L50" si="17">ROUND((D43+D50+E37/2)*E$46,2)</f>
        <v>-97.2</v>
      </c>
      <c r="F50" s="41">
        <f t="shared" si="17"/>
        <v>-113.99</v>
      </c>
      <c r="G50" s="108">
        <f t="shared" si="17"/>
        <v>-143.47</v>
      </c>
      <c r="H50" s="40">
        <f t="shared" si="17"/>
        <v>-131.93</v>
      </c>
      <c r="I50" s="123">
        <f t="shared" si="17"/>
        <v>-67.91</v>
      </c>
      <c r="J50" s="61">
        <f t="shared" si="17"/>
        <v>23.37</v>
      </c>
      <c r="K50" s="161">
        <f t="shared" si="17"/>
        <v>146.65</v>
      </c>
      <c r="L50" s="108">
        <f t="shared" si="17"/>
        <v>187.27</v>
      </c>
      <c r="M50" s="61"/>
    </row>
    <row r="51" spans="1:13" ht="15" thickBot="1" x14ac:dyDescent="0.4">
      <c r="A51" s="46" t="s">
        <v>109</v>
      </c>
      <c r="C51" s="201">
        <v>144.82999999999998</v>
      </c>
      <c r="D51" s="205"/>
      <c r="E51" s="41">
        <f t="shared" ref="E51:L51" si="18">ROUND((D44+D51+E38/2)*E$46,2)</f>
        <v>-86.37</v>
      </c>
      <c r="F51" s="41">
        <f t="shared" si="18"/>
        <v>-93.36</v>
      </c>
      <c r="G51" s="108">
        <f t="shared" si="18"/>
        <v>-91.22</v>
      </c>
      <c r="H51" s="40">
        <f t="shared" si="18"/>
        <v>-66.09</v>
      </c>
      <c r="I51" s="123">
        <f t="shared" si="18"/>
        <v>-30.73</v>
      </c>
      <c r="J51" s="61">
        <f t="shared" si="18"/>
        <v>7.61</v>
      </c>
      <c r="K51" s="161">
        <f t="shared" si="18"/>
        <v>47.49</v>
      </c>
      <c r="L51" s="108">
        <f t="shared" si="18"/>
        <v>61.31</v>
      </c>
      <c r="M51" s="61">
        <f>ROUND((L44+L51+M38/2)*M$46,2)</f>
        <v>0</v>
      </c>
    </row>
    <row r="52" spans="1:13" ht="15.5" thickTop="1" thickBot="1" x14ac:dyDescent="0.4">
      <c r="A52" s="54" t="s">
        <v>22</v>
      </c>
      <c r="B52" s="54"/>
      <c r="C52" s="202">
        <v>0</v>
      </c>
      <c r="D52" s="208"/>
      <c r="E52" s="42">
        <f t="shared" ref="E52:M52" si="19">SUM(E48:E51)+SUM(E41:E44)-E55</f>
        <v>0</v>
      </c>
      <c r="F52" s="42">
        <f t="shared" si="19"/>
        <v>0</v>
      </c>
      <c r="G52" s="50">
        <f t="shared" si="19"/>
        <v>0</v>
      </c>
      <c r="H52" s="51">
        <f t="shared" si="19"/>
        <v>0</v>
      </c>
      <c r="I52" s="42">
        <f t="shared" si="19"/>
        <v>-5.2386894822120667E-10</v>
      </c>
      <c r="J52" s="62">
        <f t="shared" si="19"/>
        <v>-5.2386894822120667E-10</v>
      </c>
      <c r="K52" s="162">
        <f t="shared" si="19"/>
        <v>-4.8021320253610611E-10</v>
      </c>
      <c r="L52" s="50">
        <f t="shared" si="19"/>
        <v>-4.4383341446518898E-10</v>
      </c>
      <c r="M52" s="62">
        <f t="shared" si="19"/>
        <v>-5.2386894822120667E-10</v>
      </c>
    </row>
    <row r="53" spans="1:13" ht="15.5" thickTop="1" thickBot="1" x14ac:dyDescent="0.4">
      <c r="A53" s="54" t="s">
        <v>23</v>
      </c>
      <c r="B53" s="54"/>
      <c r="C53" s="202">
        <v>0</v>
      </c>
      <c r="D53" s="208"/>
      <c r="E53" s="42">
        <f t="shared" ref="E53:M53" si="20">SUM(E48:E51)-E32</f>
        <v>0</v>
      </c>
      <c r="F53" s="42">
        <f t="shared" si="20"/>
        <v>-1.0000000000218279E-2</v>
      </c>
      <c r="G53" s="50">
        <f t="shared" si="20"/>
        <v>0</v>
      </c>
      <c r="H53" s="51">
        <f t="shared" si="20"/>
        <v>-9.9999999997635314E-3</v>
      </c>
      <c r="I53" s="42">
        <f t="shared" si="20"/>
        <v>0</v>
      </c>
      <c r="J53" s="62">
        <f t="shared" si="20"/>
        <v>-1.0000000000218279E-2</v>
      </c>
      <c r="K53" s="163">
        <f>SUM(K48:K51)-K32</f>
        <v>0</v>
      </c>
      <c r="L53" s="42">
        <f t="shared" si="20"/>
        <v>0</v>
      </c>
      <c r="M53" s="42">
        <f t="shared" si="20"/>
        <v>0</v>
      </c>
    </row>
    <row r="54" spans="1:13" ht="15.5" thickTop="1" thickBot="1" x14ac:dyDescent="0.4">
      <c r="C54" s="99"/>
      <c r="D54" s="196"/>
      <c r="E54" s="17"/>
      <c r="F54" s="17"/>
      <c r="G54" s="17"/>
      <c r="H54" s="10"/>
      <c r="I54" s="17"/>
      <c r="J54" s="11"/>
      <c r="K54" s="17"/>
      <c r="L54" s="17"/>
      <c r="M54" s="11"/>
    </row>
    <row r="55" spans="1:13" ht="15" thickBot="1" x14ac:dyDescent="0.4">
      <c r="A55" s="46" t="s">
        <v>36</v>
      </c>
      <c r="B55" s="119">
        <f>SUM(B41:B44)</f>
        <v>-1641821.7790499995</v>
      </c>
      <c r="C55" s="201">
        <f t="shared" ref="C55:M55" si="21">(C12-SUM(C15:C18))+SUM(C48:C51)+B55</f>
        <v>-947383.63999999943</v>
      </c>
      <c r="D55" s="205">
        <f t="shared" si="21"/>
        <v>-947383.63999999943</v>
      </c>
      <c r="E55" s="41">
        <f t="shared" si="21"/>
        <v>-994049.73999999941</v>
      </c>
      <c r="F55" s="41">
        <f t="shared" si="21"/>
        <v>-921442.29999999946</v>
      </c>
      <c r="G55" s="108">
        <f t="shared" si="21"/>
        <v>-917513.60999999929</v>
      </c>
      <c r="H55" s="40">
        <f t="shared" si="21"/>
        <v>-598519.59999999928</v>
      </c>
      <c r="I55" s="41">
        <f t="shared" si="21"/>
        <v>-360680.16999999929</v>
      </c>
      <c r="J55" s="61">
        <f t="shared" si="21"/>
        <v>-219280.03999999931</v>
      </c>
      <c r="K55" s="161">
        <f t="shared" si="21"/>
        <v>39783.158230000641</v>
      </c>
      <c r="L55" s="108">
        <f t="shared" si="21"/>
        <v>-57410.596019999371</v>
      </c>
      <c r="M55" s="61">
        <f t="shared" si="21"/>
        <v>-411793.12935119937</v>
      </c>
    </row>
    <row r="56" spans="1:13" x14ac:dyDescent="0.35">
      <c r="A56" s="46" t="s">
        <v>12</v>
      </c>
      <c r="C56" s="120"/>
      <c r="D56" s="209"/>
      <c r="E56" s="17"/>
      <c r="F56" s="17"/>
      <c r="G56" s="17"/>
      <c r="H56" s="10"/>
      <c r="I56" s="17"/>
      <c r="J56" s="11"/>
      <c r="K56" s="17"/>
      <c r="L56" s="17"/>
      <c r="M56" s="11"/>
    </row>
    <row r="57" spans="1:13" ht="15" thickBot="1" x14ac:dyDescent="0.4">
      <c r="A57" s="37"/>
      <c r="B57" s="37"/>
      <c r="C57" s="146"/>
      <c r="D57" s="210"/>
      <c r="E57" s="44"/>
      <c r="F57" s="44"/>
      <c r="G57" s="44"/>
      <c r="H57" s="43"/>
      <c r="I57" s="44"/>
      <c r="J57" s="45"/>
      <c r="K57" s="44"/>
      <c r="L57" s="44"/>
      <c r="M57" s="45"/>
    </row>
    <row r="59" spans="1:13" x14ac:dyDescent="0.35">
      <c r="A59" s="69" t="s">
        <v>11</v>
      </c>
      <c r="B59" s="69"/>
      <c r="C59" s="69"/>
      <c r="D59" s="69"/>
    </row>
    <row r="60" spans="1:13" ht="34.5" customHeight="1" x14ac:dyDescent="0.35">
      <c r="A60" s="311" t="s">
        <v>220</v>
      </c>
      <c r="B60" s="311"/>
      <c r="C60" s="311"/>
      <c r="D60" s="311"/>
      <c r="E60" s="311"/>
      <c r="F60" s="311"/>
      <c r="G60" s="311"/>
      <c r="H60" s="311"/>
      <c r="I60" s="311"/>
      <c r="J60" s="311"/>
      <c r="K60" s="253"/>
      <c r="L60" s="233"/>
      <c r="M60" s="233"/>
    </row>
    <row r="61" spans="1:13" ht="42.75" customHeight="1" x14ac:dyDescent="0.35">
      <c r="A61" s="311" t="s">
        <v>184</v>
      </c>
      <c r="B61" s="311"/>
      <c r="C61" s="311"/>
      <c r="D61" s="311"/>
      <c r="E61" s="311"/>
      <c r="F61" s="311"/>
      <c r="G61" s="311"/>
      <c r="H61" s="311"/>
      <c r="I61" s="311"/>
      <c r="J61" s="311"/>
      <c r="K61" s="311"/>
      <c r="L61" s="233"/>
      <c r="M61" s="233"/>
    </row>
    <row r="62" spans="1:13" ht="33.75" customHeight="1" x14ac:dyDescent="0.35">
      <c r="A62" s="311" t="s">
        <v>221</v>
      </c>
      <c r="B62" s="311"/>
      <c r="C62" s="311"/>
      <c r="D62" s="311"/>
      <c r="E62" s="311"/>
      <c r="F62" s="311"/>
      <c r="G62" s="311"/>
      <c r="H62" s="311"/>
      <c r="I62" s="311"/>
      <c r="J62" s="311"/>
      <c r="K62" s="253"/>
      <c r="L62" s="233"/>
      <c r="M62" s="233"/>
    </row>
    <row r="63" spans="1:13" x14ac:dyDescent="0.35">
      <c r="A63" s="63" t="s">
        <v>67</v>
      </c>
      <c r="B63" s="63"/>
      <c r="C63" s="63"/>
      <c r="D63" s="63"/>
      <c r="E63" s="39"/>
      <c r="F63" s="39"/>
      <c r="G63" s="39"/>
      <c r="H63" s="39"/>
      <c r="I63" s="39"/>
      <c r="J63" s="39"/>
      <c r="K63" s="39"/>
    </row>
    <row r="64" spans="1:13" x14ac:dyDescent="0.35">
      <c r="A64" s="63" t="s">
        <v>203</v>
      </c>
      <c r="B64" s="63"/>
      <c r="C64" s="63"/>
      <c r="D64" s="63"/>
      <c r="E64" s="39"/>
      <c r="F64" s="39"/>
      <c r="G64" s="39"/>
      <c r="H64" s="39"/>
      <c r="I64" s="39"/>
      <c r="J64" s="39"/>
      <c r="K64" s="39"/>
    </row>
    <row r="65" spans="1:11" x14ac:dyDescent="0.35">
      <c r="A65" s="63" t="s">
        <v>70</v>
      </c>
      <c r="B65" s="63"/>
      <c r="C65" s="63"/>
      <c r="D65" s="63"/>
      <c r="E65" s="39"/>
      <c r="F65" s="39"/>
      <c r="G65" s="39"/>
      <c r="H65" s="39"/>
      <c r="I65" s="39"/>
      <c r="J65" s="39"/>
      <c r="K65" s="39"/>
    </row>
    <row r="66" spans="1:11" x14ac:dyDescent="0.35">
      <c r="A66" s="3"/>
      <c r="B66" s="3"/>
      <c r="C66" s="3"/>
      <c r="D66" s="3"/>
    </row>
  </sheetData>
  <mergeCells count="6">
    <mergeCell ref="A62:J62"/>
    <mergeCell ref="E10:G10"/>
    <mergeCell ref="H10:J10"/>
    <mergeCell ref="K10:M10"/>
    <mergeCell ref="A60:J60"/>
    <mergeCell ref="A61:K61"/>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omments0 xmlns="37C40F9E-044B-4F26-A90E-5C1316E525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8B3B3C2A568948A3B61DE5471DEA1E" ma:contentTypeVersion="0" ma:contentTypeDescription="Create a new document." ma:contentTypeScope="" ma:versionID="e21325dc62556425e3e549579d3cac03">
  <xsd:schema xmlns:xsd="http://www.w3.org/2001/XMLSchema" xmlns:p="http://schemas.microsoft.com/office/2006/metadata/properties" xmlns:ns2="37C40F9E-044B-4F26-A90E-5C1316E52537" targetNamespace="http://schemas.microsoft.com/office/2006/metadata/properties" ma:root="true" ma:fieldsID="4b5ea1123175a8313d90db415902c5cf" ns2:_="">
    <xsd:import namespace="37C40F9E-044B-4F26-A90E-5C1316E52537"/>
    <xsd:element name="properties">
      <xsd:complexType>
        <xsd:sequence>
          <xsd:element name="documentManagement">
            <xsd:complexType>
              <xsd:all>
                <xsd:element ref="ns2:Comments0" minOccurs="0"/>
              </xsd:all>
            </xsd:complexType>
          </xsd:element>
        </xsd:sequence>
      </xsd:complexType>
    </xsd:element>
  </xsd:schema>
  <xsd:schema xmlns:xsd="http://www.w3.org/2001/XMLSchema" xmlns:dms="http://schemas.microsoft.com/office/2006/documentManagement/types" targetNamespace="37C40F9E-044B-4F26-A90E-5C1316E52537" elementFormDefault="qualified">
    <xsd:import namespace="http://schemas.microsoft.com/office/2006/documentManagement/types"/>
    <xsd:element name="Comments0" ma:index="8" nillable="true" ma:displayName="Comments" ma:description="Comments" ma:internalName="Comments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http://purl.org/dc/elements/1.1/"/>
    <ds:schemaRef ds:uri="http://purl.org/dc/dcmitype/"/>
    <ds:schemaRef ds:uri="http://www.w3.org/XML/1998/namespace"/>
    <ds:schemaRef ds:uri="37C40F9E-044B-4F26-A90E-5C1316E52537"/>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C7C2647-B5FC-4364-86FA-9C4ECAED7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40F9E-044B-4F26-A90E-5C1316E5253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tariff tables</vt:lpstr>
      <vt:lpstr>DSIM Cycle Tables</vt:lpstr>
      <vt:lpstr>PPC Cycle 3</vt:lpstr>
      <vt:lpstr>PCR Cycle 2</vt:lpstr>
      <vt:lpstr>PCR Cycle 3</vt:lpstr>
      <vt:lpstr>PTD Cycle 2</vt:lpstr>
      <vt:lpstr>PTD Cycle 3</vt:lpstr>
      <vt:lpstr>TDR Cycle 2</vt:lpstr>
      <vt:lpstr>TDR Cycle 3</vt:lpstr>
      <vt:lpstr>EO Cycle 2</vt:lpstr>
      <vt:lpstr>EO Cycle 3</vt:lpstr>
      <vt:lpstr>EOR Cycle 2</vt:lpstr>
      <vt:lpstr>EOR Cycle 3</vt:lpstr>
      <vt:lpstr>OA Cycle 2</vt:lpstr>
      <vt:lpstr>OAR Cycle 2</vt:lpstr>
      <vt:lpstr>OA Cycle 3</vt:lpstr>
      <vt:lpstr>OAR Cycle 3</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2022-11-29T15:48:37Z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0x0101009C8B3B3C2A568948A3B61DE5471DEA1E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ies>
</file>