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caseworks\DavWWWRoot\379\DataRequests\19582\Library\Red lines\"/>
    </mc:Choice>
  </mc:AlternateContent>
  <bookViews>
    <workbookView xWindow="120" yWindow="225" windowWidth="15240" windowHeight="4605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71027"/>
</workbook>
</file>

<file path=xl/calcChain.xml><?xml version="1.0" encoding="utf-8"?>
<calcChain xmlns="http://schemas.openxmlformats.org/spreadsheetml/2006/main">
  <c r="B6" i="12" l="1"/>
  <c r="B7" i="12" l="1"/>
  <c r="K13" i="15" l="1"/>
  <c r="K12" i="15"/>
  <c r="K11" i="15"/>
  <c r="K10" i="15"/>
  <c r="J13" i="15"/>
  <c r="J12" i="15"/>
  <c r="J11" i="15"/>
  <c r="J10" i="15"/>
  <c r="I8" i="4"/>
  <c r="H8" i="4"/>
  <c r="G8" i="4"/>
  <c r="F8" i="4"/>
  <c r="A1" i="10" l="1"/>
  <c r="D9" i="10"/>
  <c r="D10" i="10" s="1"/>
  <c r="D11" i="10" s="1"/>
  <c r="E19" i="16" l="1"/>
  <c r="D19" i="16" l="1"/>
  <c r="D20" i="16"/>
  <c r="E20" i="16" l="1"/>
  <c r="D24" i="16"/>
  <c r="D23" i="16"/>
  <c r="F19" i="16" l="1"/>
  <c r="F20" i="16"/>
  <c r="F23" i="16"/>
  <c r="F24" i="16"/>
  <c r="E24" i="16" l="1"/>
  <c r="G20" i="16"/>
  <c r="G19" i="16"/>
  <c r="G23" i="16"/>
  <c r="G24" i="16"/>
  <c r="H19" i="16" l="1"/>
  <c r="H20" i="16"/>
  <c r="H23" i="16"/>
  <c r="H24" i="16"/>
  <c r="E23" i="16" l="1"/>
  <c r="I20" i="16"/>
  <c r="I19" i="16"/>
  <c r="I23" i="16"/>
  <c r="I24" i="16"/>
  <c r="I16" i="16" l="1"/>
  <c r="H16" i="16"/>
  <c r="G16" i="16"/>
  <c r="F16" i="16"/>
  <c r="E16" i="16"/>
  <c r="I15" i="16"/>
  <c r="H15" i="16"/>
  <c r="G15" i="16"/>
  <c r="F15" i="16"/>
  <c r="E15" i="16"/>
  <c r="D16" i="16"/>
  <c r="D15" i="16"/>
  <c r="B6" i="4"/>
  <c r="B5" i="4"/>
  <c r="I26" i="15"/>
  <c r="H26" i="15"/>
  <c r="G26" i="15"/>
  <c r="F26" i="15"/>
  <c r="E26" i="15"/>
  <c r="I25" i="15"/>
  <c r="H25" i="15"/>
  <c r="G25" i="15"/>
  <c r="F25" i="15"/>
  <c r="E25" i="15"/>
  <c r="D26" i="15"/>
  <c r="D25" i="15"/>
  <c r="I22" i="15"/>
  <c r="H22" i="15"/>
  <c r="G22" i="15"/>
  <c r="F22" i="15"/>
  <c r="E22" i="15"/>
  <c r="I21" i="15"/>
  <c r="H21" i="15"/>
  <c r="G21" i="15"/>
  <c r="F21" i="15"/>
  <c r="E21" i="15"/>
  <c r="D22" i="15"/>
  <c r="D21" i="15"/>
  <c r="I13" i="15"/>
  <c r="H13" i="15"/>
  <c r="G13" i="15"/>
  <c r="F13" i="15"/>
  <c r="E13" i="15"/>
  <c r="I12" i="15"/>
  <c r="H12" i="15"/>
  <c r="G12" i="15"/>
  <c r="F12" i="15"/>
  <c r="E12" i="15"/>
  <c r="I11" i="15"/>
  <c r="H11" i="15"/>
  <c r="G11" i="15"/>
  <c r="F11" i="15"/>
  <c r="E11" i="15"/>
  <c r="I10" i="15"/>
  <c r="H10" i="15"/>
  <c r="G10" i="15"/>
  <c r="F10" i="15"/>
  <c r="E10" i="15"/>
  <c r="D13" i="15"/>
  <c r="D12" i="15"/>
  <c r="D11" i="15"/>
  <c r="D10" i="15"/>
  <c r="C23" i="9"/>
  <c r="C22" i="9"/>
  <c r="I17" i="9" l="1"/>
  <c r="H17" i="9"/>
  <c r="G17" i="9"/>
  <c r="F17" i="9"/>
  <c r="E17" i="9"/>
  <c r="I16" i="9"/>
  <c r="H16" i="9"/>
  <c r="G16" i="9"/>
  <c r="F16" i="9"/>
  <c r="E16" i="9"/>
  <c r="D17" i="9"/>
  <c r="D16" i="9"/>
  <c r="I16" i="11"/>
  <c r="H16" i="11"/>
  <c r="G16" i="11"/>
  <c r="F16" i="11"/>
  <c r="E16" i="11"/>
  <c r="I15" i="11"/>
  <c r="H15" i="11"/>
  <c r="G15" i="11"/>
  <c r="F15" i="11"/>
  <c r="E15" i="11"/>
  <c r="D16" i="11"/>
  <c r="D15" i="11"/>
  <c r="L22" i="1"/>
  <c r="K22" i="1"/>
  <c r="L21" i="1"/>
  <c r="K21" i="1"/>
  <c r="J22" i="1"/>
  <c r="J21" i="1"/>
  <c r="I38" i="1" l="1"/>
  <c r="H38" i="1"/>
  <c r="G38" i="1"/>
  <c r="F38" i="1"/>
  <c r="E38" i="1"/>
  <c r="D38" i="1"/>
  <c r="I26" i="1" l="1"/>
  <c r="H26" i="1"/>
  <c r="G26" i="1"/>
  <c r="F26" i="1"/>
  <c r="E26" i="1"/>
  <c r="I25" i="1"/>
  <c r="H25" i="1"/>
  <c r="G25" i="1"/>
  <c r="F25" i="1"/>
  <c r="E25" i="1"/>
  <c r="D26" i="1"/>
  <c r="D25" i="1"/>
  <c r="I22" i="1"/>
  <c r="H22" i="1"/>
  <c r="G22" i="1"/>
  <c r="F22" i="1"/>
  <c r="E22" i="1"/>
  <c r="I21" i="1"/>
  <c r="H21" i="1"/>
  <c r="G21" i="1"/>
  <c r="F21" i="1"/>
  <c r="E21" i="1"/>
  <c r="D22" i="1"/>
  <c r="D21" i="1"/>
  <c r="C8" i="9" l="1"/>
  <c r="B8" i="9"/>
  <c r="D9" i="9" l="1"/>
  <c r="I29" i="9" l="1"/>
  <c r="A1" i="8" l="1"/>
  <c r="H29" i="9" l="1"/>
  <c r="G29" i="9"/>
  <c r="F29" i="9"/>
  <c r="E29" i="9"/>
  <c r="D29" i="9" l="1"/>
  <c r="B36" i="9" l="1"/>
  <c r="C36" i="9" s="1"/>
  <c r="L34" i="9"/>
  <c r="H23" i="9"/>
  <c r="H22" i="9"/>
  <c r="G22" i="9"/>
  <c r="D23" i="9"/>
  <c r="F23" i="9"/>
  <c r="E23" i="9"/>
  <c r="D22" i="9"/>
  <c r="E9" i="9"/>
  <c r="F9" i="9" s="1"/>
  <c r="G9" i="9" s="1"/>
  <c r="H9" i="9" s="1"/>
  <c r="G5" i="9"/>
  <c r="G4" i="9"/>
  <c r="A1" i="9"/>
  <c r="I9" i="9" l="1"/>
  <c r="J9" i="9" s="1"/>
  <c r="K9" i="9" s="1"/>
  <c r="L9" i="9" s="1"/>
  <c r="G6" i="9"/>
  <c r="E22" i="9"/>
  <c r="F22" i="9"/>
  <c r="G23" i="9"/>
  <c r="E5" i="9"/>
  <c r="C26" i="9"/>
  <c r="C27" i="9"/>
  <c r="J29" i="9"/>
  <c r="K29" i="9" s="1"/>
  <c r="E4" i="9" l="1"/>
  <c r="E6" i="9" s="1"/>
  <c r="D26" i="9"/>
  <c r="D31" i="9"/>
  <c r="D32" i="9"/>
  <c r="D27" i="9"/>
  <c r="D36" i="9" l="1"/>
  <c r="D34" i="9"/>
  <c r="E31" i="9"/>
  <c r="E26" i="9"/>
  <c r="E32" i="9"/>
  <c r="E27" i="9"/>
  <c r="A2" i="8"/>
  <c r="E36" i="9" l="1"/>
  <c r="E34" i="9"/>
  <c r="F27" i="9"/>
  <c r="F32" i="9"/>
  <c r="D33" i="9"/>
  <c r="F31" i="9"/>
  <c r="F26" i="9"/>
  <c r="E9" i="8"/>
  <c r="E8" i="8"/>
  <c r="B9" i="8"/>
  <c r="B8" i="8"/>
  <c r="D5" i="8"/>
  <c r="F36" i="9" l="1"/>
  <c r="F34" i="9"/>
  <c r="G26" i="9"/>
  <c r="G31" i="9"/>
  <c r="E33" i="9"/>
  <c r="G32" i="9"/>
  <c r="G27" i="9"/>
  <c r="E10" i="8"/>
  <c r="G36" i="9" l="1"/>
  <c r="H32" i="9"/>
  <c r="H27" i="9"/>
  <c r="G34" i="9"/>
  <c r="F33" i="9"/>
  <c r="H31" i="9"/>
  <c r="H26" i="9"/>
  <c r="H36" i="9" l="1"/>
  <c r="H34" i="9"/>
  <c r="G33" i="9"/>
  <c r="H33" i="9" l="1"/>
  <c r="L17" i="9" l="1"/>
  <c r="L23" i="9" s="1"/>
  <c r="L16" i="9"/>
  <c r="L22" i="9" s="1"/>
  <c r="B10" i="8" l="1"/>
  <c r="C8" i="8" s="1"/>
  <c r="D8" i="8" s="1"/>
  <c r="F8" i="8" s="1"/>
  <c r="G8" i="8" l="1"/>
  <c r="C9" i="8"/>
  <c r="E10" i="5" l="1"/>
  <c r="L4" i="9"/>
  <c r="D9" i="8"/>
  <c r="F9" i="8" s="1"/>
  <c r="C10" i="8"/>
  <c r="G9" i="8" l="1"/>
  <c r="F10" i="8"/>
  <c r="D10" i="8"/>
  <c r="D11" i="8" s="1"/>
  <c r="L5" i="9" l="1"/>
  <c r="E11" i="5"/>
  <c r="G10" i="8"/>
  <c r="K17" i="9" l="1"/>
  <c r="K23" i="9" s="1"/>
  <c r="J17" i="9"/>
  <c r="J23" i="9" s="1"/>
  <c r="K16" i="9"/>
  <c r="J16" i="9"/>
  <c r="K22" i="9" l="1"/>
  <c r="J22" i="9"/>
  <c r="D4" i="9"/>
  <c r="I22" i="9"/>
  <c r="I23" i="9"/>
  <c r="D5" i="9"/>
  <c r="F5" i="9" s="1"/>
  <c r="C10" i="16"/>
  <c r="B10" i="16"/>
  <c r="H12" i="11"/>
  <c r="G12" i="11"/>
  <c r="F12" i="11"/>
  <c r="E12" i="11"/>
  <c r="D12" i="11"/>
  <c r="H38" i="15"/>
  <c r="H36" i="16" s="1"/>
  <c r="G38" i="15"/>
  <c r="G36" i="16" s="1"/>
  <c r="F38" i="15"/>
  <c r="F36" i="16" s="1"/>
  <c r="E38" i="15"/>
  <c r="E36" i="16" s="1"/>
  <c r="D38" i="15"/>
  <c r="D36" i="16" s="1"/>
  <c r="C17" i="15"/>
  <c r="C18" i="15"/>
  <c r="C8" i="15"/>
  <c r="B8" i="15"/>
  <c r="I32" i="9" l="1"/>
  <c r="I27" i="9"/>
  <c r="I31" i="9"/>
  <c r="I26" i="9"/>
  <c r="D6" i="9"/>
  <c r="F4" i="9"/>
  <c r="C18" i="1"/>
  <c r="C17" i="1"/>
  <c r="H18" i="1"/>
  <c r="G18" i="1"/>
  <c r="F18" i="1"/>
  <c r="E18" i="1"/>
  <c r="D18" i="1"/>
  <c r="H17" i="1"/>
  <c r="G17" i="1"/>
  <c r="F17" i="1"/>
  <c r="E17" i="1"/>
  <c r="D17" i="1"/>
  <c r="I36" i="9" l="1"/>
  <c r="I33" i="9" s="1"/>
  <c r="J26" i="9"/>
  <c r="J31" i="9"/>
  <c r="F6" i="9"/>
  <c r="J32" i="9"/>
  <c r="J27" i="9"/>
  <c r="I34" i="9"/>
  <c r="E9" i="1"/>
  <c r="F9" i="1" s="1"/>
  <c r="J36" i="9" l="1"/>
  <c r="J33" i="9" s="1"/>
  <c r="K27" i="9"/>
  <c r="K32" i="9"/>
  <c r="H5" i="9" s="1"/>
  <c r="I5" i="9" s="1"/>
  <c r="J34" i="9"/>
  <c r="K31" i="9"/>
  <c r="K26" i="9"/>
  <c r="H5" i="11"/>
  <c r="H4" i="11"/>
  <c r="K5" i="9" l="1"/>
  <c r="M5" i="9" s="1"/>
  <c r="E17" i="5" s="1"/>
  <c r="E5" i="5" s="1"/>
  <c r="K36" i="9"/>
  <c r="L36" i="9" s="1"/>
  <c r="K34" i="9"/>
  <c r="H4" i="9"/>
  <c r="L27" i="9"/>
  <c r="J5" i="9" s="1"/>
  <c r="L26" i="9"/>
  <c r="I38" i="15"/>
  <c r="L33" i="9" l="1"/>
  <c r="K33" i="9"/>
  <c r="H6" i="9"/>
  <c r="I4" i="9"/>
  <c r="M20" i="11"/>
  <c r="K4" i="9" l="1"/>
  <c r="M4" i="9" s="1"/>
  <c r="J4" i="9"/>
  <c r="I6" i="9"/>
  <c r="H18" i="15"/>
  <c r="G18" i="15"/>
  <c r="F18" i="15"/>
  <c r="E18" i="15"/>
  <c r="D18" i="15"/>
  <c r="H17" i="15"/>
  <c r="G17" i="15"/>
  <c r="F17" i="15"/>
  <c r="E17" i="15"/>
  <c r="D17" i="15"/>
  <c r="I18" i="15"/>
  <c r="I17" i="15"/>
  <c r="E16" i="5" l="1"/>
  <c r="E4" i="5" s="1"/>
  <c r="B43" i="11"/>
  <c r="B45" i="1" l="1"/>
  <c r="C45" i="1" s="1"/>
  <c r="I36" i="16" l="1"/>
  <c r="L22" i="15" l="1"/>
  <c r="K22" i="15"/>
  <c r="J22" i="15"/>
  <c r="L21" i="15"/>
  <c r="K21" i="15"/>
  <c r="J21" i="15"/>
  <c r="J25" i="15" s="1"/>
  <c r="J38" i="15"/>
  <c r="D9" i="15"/>
  <c r="J36" i="16" l="1"/>
  <c r="M19" i="11"/>
  <c r="C10" i="11" l="1"/>
  <c r="B10" i="11"/>
  <c r="J38" i="1" l="1"/>
  <c r="C43" i="16" l="1"/>
  <c r="C30" i="16"/>
  <c r="C34" i="16" s="1"/>
  <c r="C29" i="16"/>
  <c r="C33" i="16" s="1"/>
  <c r="L16" i="16"/>
  <c r="L30" i="16" s="1"/>
  <c r="K16" i="16"/>
  <c r="J16" i="16"/>
  <c r="L15" i="16"/>
  <c r="L29" i="16" s="1"/>
  <c r="K15" i="16"/>
  <c r="J15" i="16"/>
  <c r="D11" i="16"/>
  <c r="E11" i="16" s="1"/>
  <c r="F11" i="16" s="1"/>
  <c r="G11" i="16" s="1"/>
  <c r="H11" i="16" s="1"/>
  <c r="H5" i="16"/>
  <c r="H4" i="16"/>
  <c r="A1" i="16"/>
  <c r="C45" i="15"/>
  <c r="L43" i="15"/>
  <c r="K38" i="15"/>
  <c r="C32" i="15"/>
  <c r="C36" i="15" s="1"/>
  <c r="C31" i="15"/>
  <c r="C35" i="15" s="1"/>
  <c r="L26" i="15"/>
  <c r="K26" i="15"/>
  <c r="J26" i="15"/>
  <c r="A26" i="15"/>
  <c r="L25" i="15"/>
  <c r="K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E9" i="15"/>
  <c r="F9" i="15" s="1"/>
  <c r="G9" i="15" s="1"/>
  <c r="H9" i="15" s="1"/>
  <c r="H5" i="15"/>
  <c r="E5" i="15"/>
  <c r="H4" i="15"/>
  <c r="E4" i="15"/>
  <c r="A1" i="15"/>
  <c r="I9" i="15" l="1"/>
  <c r="J9" i="15" s="1"/>
  <c r="K9" i="15" s="1"/>
  <c r="L9" i="15" s="1"/>
  <c r="I11" i="16"/>
  <c r="J11" i="16" s="1"/>
  <c r="K11" i="16" s="1"/>
  <c r="L11" i="16" s="1"/>
  <c r="H6" i="15"/>
  <c r="D36" i="15"/>
  <c r="D41" i="15"/>
  <c r="D35" i="15"/>
  <c r="D40" i="15"/>
  <c r="D5" i="15"/>
  <c r="K36" i="16"/>
  <c r="H6" i="16"/>
  <c r="E6" i="15"/>
  <c r="D4" i="15"/>
  <c r="L32" i="15"/>
  <c r="L31" i="15"/>
  <c r="D5" i="16"/>
  <c r="D4" i="16"/>
  <c r="G32" i="15"/>
  <c r="E35" i="15" l="1"/>
  <c r="E36" i="15"/>
  <c r="E40" i="15"/>
  <c r="E41" i="15"/>
  <c r="D6" i="15"/>
  <c r="D6" i="16"/>
  <c r="D43" i="15"/>
  <c r="D45" i="15"/>
  <c r="D42" i="15" s="1"/>
  <c r="F36" i="15" l="1"/>
  <c r="F35" i="15"/>
  <c r="F40" i="15"/>
  <c r="F41" i="15"/>
  <c r="E43" i="15"/>
  <c r="E45" i="15"/>
  <c r="E42" i="15" s="1"/>
  <c r="K16" i="11"/>
  <c r="J16" i="11"/>
  <c r="K15" i="11"/>
  <c r="J15" i="11"/>
  <c r="G41" i="15" l="1"/>
  <c r="G40" i="15"/>
  <c r="G36" i="15"/>
  <c r="G35" i="15"/>
  <c r="F45" i="15"/>
  <c r="F42" i="15" s="1"/>
  <c r="F43" i="15"/>
  <c r="F5" i="11"/>
  <c r="F4" i="11"/>
  <c r="H41" i="15" l="1"/>
  <c r="H40" i="15"/>
  <c r="H35" i="15"/>
  <c r="G43" i="15"/>
  <c r="H36" i="15"/>
  <c r="K38" i="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I36" i="15" l="1"/>
  <c r="I41" i="15"/>
  <c r="I35" i="15"/>
  <c r="I40" i="15"/>
  <c r="H45" i="15"/>
  <c r="H42" i="15" s="1"/>
  <c r="H43" i="15"/>
  <c r="K31" i="1"/>
  <c r="J32" i="1"/>
  <c r="K32" i="1"/>
  <c r="J31" i="1"/>
  <c r="I45" i="15" l="1"/>
  <c r="I42" i="15" l="1"/>
  <c r="I43" i="15"/>
  <c r="H5" i="1" l="1"/>
  <c r="H4" i="1"/>
  <c r="H6" i="11" l="1"/>
  <c r="H6" i="1"/>
  <c r="C30" i="11"/>
  <c r="C34" i="11" s="1"/>
  <c r="C29" i="11"/>
  <c r="C33" i="11" s="1"/>
  <c r="C43" i="11" l="1"/>
  <c r="C32" i="1"/>
  <c r="C36" i="1" s="1"/>
  <c r="C31" i="1"/>
  <c r="C35" i="1" s="1"/>
  <c r="I12" i="11" l="1"/>
  <c r="E5" i="1" l="1"/>
  <c r="E4" i="1"/>
  <c r="H30" i="11" l="1"/>
  <c r="H29" i="11"/>
  <c r="G30" i="11"/>
  <c r="G29" i="11"/>
  <c r="F30" i="11"/>
  <c r="F29" i="11"/>
  <c r="H32" i="1"/>
  <c r="H31" i="1"/>
  <c r="F32" i="1"/>
  <c r="F31" i="1"/>
  <c r="G31" i="1" l="1"/>
  <c r="G32" i="1"/>
  <c r="L16" i="11" l="1"/>
  <c r="L30" i="11" s="1"/>
  <c r="L15" i="11"/>
  <c r="L29" i="11" s="1"/>
  <c r="L43" i="1" l="1"/>
  <c r="L26" i="1"/>
  <c r="L32" i="1" s="1"/>
  <c r="L25" i="1"/>
  <c r="L31" i="1" l="1"/>
  <c r="A1" i="5"/>
  <c r="A1" i="11"/>
  <c r="A1" i="12"/>
  <c r="A1" i="1"/>
  <c r="I18" i="1" l="1"/>
  <c r="F5" i="1" s="1"/>
  <c r="I17" i="1" l="1"/>
  <c r="F4" i="1" s="1"/>
  <c r="A2" i="12" l="1"/>
  <c r="D11" i="11" l="1"/>
  <c r="G6" i="4" l="1"/>
  <c r="F5" i="5" l="1"/>
  <c r="F4" i="5"/>
  <c r="E6" i="1" l="1"/>
  <c r="E31" i="1" l="1"/>
  <c r="E32" i="1"/>
  <c r="D31" i="1" l="1"/>
  <c r="D40" i="1" s="1"/>
  <c r="D32" i="1"/>
  <c r="D41" i="1" s="1"/>
  <c r="D43" i="1" l="1"/>
  <c r="D45" i="1"/>
  <c r="D35" i="1"/>
  <c r="D36" i="1"/>
  <c r="E41" i="1" l="1"/>
  <c r="E35" i="1"/>
  <c r="E40" i="1"/>
  <c r="D42" i="1" l="1"/>
  <c r="F40" i="1"/>
  <c r="E43" i="1"/>
  <c r="F35" i="1"/>
  <c r="E30" i="11"/>
  <c r="E29" i="11"/>
  <c r="G40" i="1" l="1"/>
  <c r="G35" i="1"/>
  <c r="D30" i="11"/>
  <c r="D39" i="11" s="1"/>
  <c r="D29" i="11"/>
  <c r="D38" i="11" s="1"/>
  <c r="E4" i="11"/>
  <c r="D33" i="11" l="1"/>
  <c r="E38" i="11" s="1"/>
  <c r="D34" i="11"/>
  <c r="E39" i="11" s="1"/>
  <c r="H40" i="1"/>
  <c r="H35" i="1"/>
  <c r="E5" i="11"/>
  <c r="D43" i="11" l="1"/>
  <c r="D40" i="11" s="1"/>
  <c r="E34" i="11"/>
  <c r="F39" i="11" s="1"/>
  <c r="E33" i="11"/>
  <c r="F38" i="11" s="1"/>
  <c r="F34" i="11" l="1"/>
  <c r="G39" i="11" s="1"/>
  <c r="F33" i="11"/>
  <c r="G38" i="11" s="1"/>
  <c r="D41" i="11"/>
  <c r="G34" i="11" l="1"/>
  <c r="H39" i="11" s="1"/>
  <c r="G33" i="11"/>
  <c r="H38" i="11" s="1"/>
  <c r="F41" i="11"/>
  <c r="E43" i="11"/>
  <c r="E40" i="11" s="1"/>
  <c r="E41" i="11"/>
  <c r="D5" i="11"/>
  <c r="H34" i="11" l="1"/>
  <c r="H33" i="11"/>
  <c r="D4" i="11"/>
  <c r="F43" i="11"/>
  <c r="F40" i="11" s="1"/>
  <c r="G41" i="11"/>
  <c r="G43" i="11" l="1"/>
  <c r="G40" i="11" s="1"/>
  <c r="H41" i="11"/>
  <c r="D6" i="11"/>
  <c r="F6" i="1"/>
  <c r="B7" i="4"/>
  <c r="F7" i="4"/>
  <c r="D4" i="1" l="1"/>
  <c r="D5" i="1"/>
  <c r="H43" i="11"/>
  <c r="H40" i="11" s="1"/>
  <c r="I32" i="1"/>
  <c r="I31" i="1"/>
  <c r="I35" i="1" l="1"/>
  <c r="I40" i="1"/>
  <c r="D6" i="1"/>
  <c r="G4" i="1"/>
  <c r="E11" i="11"/>
  <c r="F11" i="11" s="1"/>
  <c r="G11" i="11" s="1"/>
  <c r="H11" i="11" s="1"/>
  <c r="I11" i="11" s="1"/>
  <c r="J11" i="11" l="1"/>
  <c r="K11" i="11" s="1"/>
  <c r="L11" i="11" s="1"/>
  <c r="G5" i="5" l="1"/>
  <c r="G4" i="5"/>
  <c r="A26" i="1"/>
  <c r="L4" i="5" l="1"/>
  <c r="L5" i="5"/>
  <c r="H7" i="4" l="1"/>
  <c r="G7" i="4"/>
  <c r="I7" i="4" l="1"/>
  <c r="G5" i="1"/>
  <c r="G6" i="1" l="1"/>
  <c r="G9" i="1" l="1"/>
  <c r="H9" i="1" s="1"/>
  <c r="I9" i="1" s="1"/>
  <c r="J9" i="1" l="1"/>
  <c r="K9" i="1" s="1"/>
  <c r="L9" i="1" s="1"/>
  <c r="E36" i="1" l="1"/>
  <c r="F36" i="1" l="1"/>
  <c r="F41" i="1"/>
  <c r="F43" i="1" s="1"/>
  <c r="E45" i="1"/>
  <c r="J40" i="1" l="1"/>
  <c r="J35" i="1"/>
  <c r="E42" i="1"/>
  <c r="F45" i="1"/>
  <c r="G41" i="1"/>
  <c r="G43" i="1" s="1"/>
  <c r="G36" i="1"/>
  <c r="K40" i="1" l="1"/>
  <c r="F42" i="1"/>
  <c r="G45" i="1"/>
  <c r="H36" i="1"/>
  <c r="H41" i="1"/>
  <c r="H43" i="1" s="1"/>
  <c r="I41" i="1" l="1"/>
  <c r="I36" i="1"/>
  <c r="G42" i="1"/>
  <c r="H45" i="1"/>
  <c r="I45" i="1" l="1"/>
  <c r="I42" i="1" s="1"/>
  <c r="H42" i="1"/>
  <c r="J41" i="1" l="1"/>
  <c r="J36" i="1"/>
  <c r="K41" i="1" l="1"/>
  <c r="J45" i="1"/>
  <c r="I43" i="1"/>
  <c r="K35" i="1" l="1"/>
  <c r="L35" i="1" l="1"/>
  <c r="I4" i="1"/>
  <c r="J4" i="1" s="1"/>
  <c r="L4" i="1" l="1"/>
  <c r="K4" i="1"/>
  <c r="J43" i="1" l="1"/>
  <c r="K36" i="1" l="1"/>
  <c r="J42" i="1" l="1"/>
  <c r="K45" i="1"/>
  <c r="I5" i="1"/>
  <c r="K43" i="1"/>
  <c r="L36" i="1"/>
  <c r="I30" i="11"/>
  <c r="I29" i="11"/>
  <c r="I38" i="11" l="1"/>
  <c r="I33" i="11"/>
  <c r="I39" i="11"/>
  <c r="I34" i="11"/>
  <c r="J5" i="1"/>
  <c r="I6" i="1"/>
  <c r="K42" i="1"/>
  <c r="L45" i="1"/>
  <c r="L42" i="1" s="1"/>
  <c r="F6" i="11"/>
  <c r="E6" i="11"/>
  <c r="G5" i="11"/>
  <c r="G4" i="11"/>
  <c r="L5" i="1" l="1"/>
  <c r="I43" i="11"/>
  <c r="J36" i="11"/>
  <c r="J38" i="11" s="1"/>
  <c r="J33" i="11"/>
  <c r="J34" i="11"/>
  <c r="K5" i="1"/>
  <c r="J6" i="1"/>
  <c r="G6" i="11"/>
  <c r="I41" i="11" l="1"/>
  <c r="I40" i="11"/>
  <c r="K36" i="11"/>
  <c r="K39" i="11" s="1"/>
  <c r="J39" i="11"/>
  <c r="K34" i="11"/>
  <c r="L39" i="11" s="1"/>
  <c r="K33" i="11"/>
  <c r="L38" i="11" s="1"/>
  <c r="J43" i="11" l="1"/>
  <c r="J40" i="11" s="1"/>
  <c r="K38" i="11"/>
  <c r="M38" i="11" s="1"/>
  <c r="M39" i="11"/>
  <c r="L33" i="11"/>
  <c r="L34" i="11"/>
  <c r="J41" i="11" l="1"/>
  <c r="I5" i="11" l="1"/>
  <c r="J5" i="11" s="1"/>
  <c r="I4" i="11"/>
  <c r="J4" i="11" s="1"/>
  <c r="K43" i="11"/>
  <c r="K40" i="11" s="1"/>
  <c r="K41" i="11"/>
  <c r="L4" i="11" l="1"/>
  <c r="L5" i="11"/>
  <c r="K4" i="11"/>
  <c r="K5" i="11"/>
  <c r="I6" i="11"/>
  <c r="J6" i="11"/>
  <c r="L41" i="11"/>
  <c r="L43" i="11"/>
  <c r="L40" i="11" s="1"/>
  <c r="L6" i="11" l="1"/>
  <c r="I9" i="4" l="1"/>
  <c r="I10" i="4"/>
  <c r="H10" i="4" l="1"/>
  <c r="H9" i="4"/>
  <c r="K18" i="15" l="1"/>
  <c r="K32" i="15" s="1"/>
  <c r="G10" i="4" l="1"/>
  <c r="J18" i="15"/>
  <c r="G9" i="4" l="1"/>
  <c r="F5" i="15"/>
  <c r="G5" i="15" s="1"/>
  <c r="J32" i="15"/>
  <c r="J36" i="15" l="1"/>
  <c r="J41" i="15"/>
  <c r="K36" i="15" l="1"/>
  <c r="K41" i="15"/>
  <c r="I5" i="15" s="1"/>
  <c r="J5" i="15" s="1"/>
  <c r="C17" i="5" l="1"/>
  <c r="L36" i="15"/>
  <c r="K5" i="15" s="1"/>
  <c r="J17" i="15" l="1"/>
  <c r="K17" i="15"/>
  <c r="K31" i="15" s="1"/>
  <c r="J31" i="15" l="1"/>
  <c r="F4" i="15"/>
  <c r="F10" i="4" l="1"/>
  <c r="C6" i="4" s="1"/>
  <c r="F9" i="4"/>
  <c r="C5" i="4" s="1"/>
  <c r="G4" i="15"/>
  <c r="F6" i="15"/>
  <c r="J35" i="15"/>
  <c r="J40" i="15"/>
  <c r="J43" i="15" l="1"/>
  <c r="J45" i="15"/>
  <c r="J42" i="15" s="1"/>
  <c r="C7" i="4"/>
  <c r="C8" i="4" s="1"/>
  <c r="C10" i="5"/>
  <c r="G6" i="15"/>
  <c r="K40" i="15"/>
  <c r="I4" i="15" s="1"/>
  <c r="K35" i="15"/>
  <c r="C11" i="5"/>
  <c r="J5" i="5" s="1"/>
  <c r="I6" i="15" l="1"/>
  <c r="J4" i="15"/>
  <c r="C5" i="5"/>
  <c r="L35" i="15"/>
  <c r="K43" i="15"/>
  <c r="K45" i="15"/>
  <c r="L45" i="15" s="1"/>
  <c r="L42" i="15" l="1"/>
  <c r="K42" i="15"/>
  <c r="J6" i="15"/>
  <c r="K4" i="15"/>
  <c r="C16" i="5"/>
  <c r="J4" i="5" s="1"/>
  <c r="C4" i="5" l="1"/>
  <c r="D30" i="16" l="1"/>
  <c r="D39" i="16" s="1"/>
  <c r="D29" i="16"/>
  <c r="E30" i="16" l="1"/>
  <c r="E29" i="16"/>
  <c r="D12" i="16"/>
  <c r="D34" i="16"/>
  <c r="D38" i="16"/>
  <c r="D33" i="16"/>
  <c r="E12" i="16" l="1"/>
  <c r="F29" i="16"/>
  <c r="G30" i="16"/>
  <c r="G29" i="16"/>
  <c r="D41" i="16"/>
  <c r="D43" i="16"/>
  <c r="D40" i="16" s="1"/>
  <c r="E39" i="16"/>
  <c r="E34" i="16"/>
  <c r="E38" i="16"/>
  <c r="E33" i="16"/>
  <c r="G12" i="16" l="1"/>
  <c r="H29" i="16"/>
  <c r="H30" i="16"/>
  <c r="E41" i="16"/>
  <c r="F38" i="16"/>
  <c r="F33" i="16"/>
  <c r="E43" i="16"/>
  <c r="E40" i="16" s="1"/>
  <c r="H12" i="16" l="1"/>
  <c r="G33" i="16"/>
  <c r="G38" i="16"/>
  <c r="I30" i="16" l="1"/>
  <c r="I29" i="16"/>
  <c r="H33" i="16"/>
  <c r="H38" i="16"/>
  <c r="I33" i="16" l="1"/>
  <c r="I38" i="16"/>
  <c r="I12" i="16"/>
  <c r="F30" i="16" l="1"/>
  <c r="F12" i="16" l="1"/>
  <c r="F39" i="16"/>
  <c r="F34" i="16"/>
  <c r="F41" i="16" l="1"/>
  <c r="G34" i="16"/>
  <c r="G39" i="16"/>
  <c r="G41" i="16" s="1"/>
  <c r="F43" i="16"/>
  <c r="F40" i="16" l="1"/>
  <c r="G43" i="16"/>
  <c r="H39" i="16"/>
  <c r="H41" i="16" s="1"/>
  <c r="H34" i="16"/>
  <c r="I39" i="16" l="1"/>
  <c r="I34" i="16"/>
  <c r="G40" i="16"/>
  <c r="H43" i="16"/>
  <c r="I43" i="16" l="1"/>
  <c r="I41" i="16"/>
  <c r="H40" i="16"/>
  <c r="I40" i="16" l="1"/>
  <c r="J19" i="16" l="1"/>
  <c r="K19" i="16" l="1"/>
  <c r="M19" i="16" s="1"/>
  <c r="E4" i="16" s="1"/>
  <c r="J23" i="16"/>
  <c r="J20" i="16"/>
  <c r="J29" i="16" l="1"/>
  <c r="J24" i="16"/>
  <c r="K20" i="16"/>
  <c r="M20" i="16" s="1"/>
  <c r="E5" i="16" s="1"/>
  <c r="E6" i="16" s="1"/>
  <c r="J30" i="16" l="1"/>
  <c r="J12" i="16"/>
  <c r="J33" i="16"/>
  <c r="J38" i="16"/>
  <c r="K23" i="16"/>
  <c r="K24" i="16"/>
  <c r="K30" i="16" s="1"/>
  <c r="K29" i="16" l="1"/>
  <c r="K33" i="16" s="1"/>
  <c r="K12" i="16"/>
  <c r="F4" i="16"/>
  <c r="F5" i="16"/>
  <c r="G5" i="16" s="1"/>
  <c r="K38" i="16"/>
  <c r="J34" i="16"/>
  <c r="J39" i="16"/>
  <c r="J43" i="16" s="1"/>
  <c r="J40" i="16" l="1"/>
  <c r="K34" i="16"/>
  <c r="K39" i="16"/>
  <c r="I5" i="16" s="1"/>
  <c r="J5" i="16" s="1"/>
  <c r="J41" i="16"/>
  <c r="F6" i="16"/>
  <c r="G4" i="16"/>
  <c r="I4" i="16"/>
  <c r="L33" i="16"/>
  <c r="L38" i="16"/>
  <c r="I6" i="16" l="1"/>
  <c r="J4" i="16"/>
  <c r="G6" i="16"/>
  <c r="D17" i="5"/>
  <c r="L39" i="16"/>
  <c r="L41" i="16" s="1"/>
  <c r="L34" i="16"/>
  <c r="K5" i="16" s="1"/>
  <c r="K43" i="16"/>
  <c r="K41" i="16"/>
  <c r="K40" i="16" l="1"/>
  <c r="L43" i="16"/>
  <c r="L40" i="16" s="1"/>
  <c r="J6" i="16"/>
  <c r="K4" i="16"/>
  <c r="D16" i="5"/>
  <c r="C6" i="12" l="1"/>
  <c r="B8" i="12"/>
  <c r="D10" i="5" l="1"/>
  <c r="C7" i="12"/>
  <c r="D11" i="5" l="1"/>
  <c r="C8" i="12"/>
  <c r="D4" i="5"/>
  <c r="H4" i="5" s="1"/>
  <c r="K4" i="5"/>
  <c r="K5" i="5" l="1"/>
  <c r="D5" i="5"/>
  <c r="H5" i="5" s="1"/>
</calcChain>
</file>

<file path=xl/sharedStrings.xml><?xml version="1.0" encoding="utf-8"?>
<sst xmlns="http://schemas.openxmlformats.org/spreadsheetml/2006/main" count="341" uniqueCount="151">
  <si>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</si>
  <si>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</si>
  <si>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</si>
  <si>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</si>
  <si>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</si>
  <si>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</si>
  <si>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</si>
  <si>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</si>
  <si>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</si>
  <si>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</si>
  <si>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</si>
  <si>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</si>
  <si>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</si>
  <si>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</si>
  <si>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</si>
  <si>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</si>
  <si>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</si>
  <si>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</si>
  <si>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</si>
  <si>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</si>
  <si>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</si>
  <si>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</si>
  <si>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</si>
  <si>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</si>
  <si>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</si>
  <si>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</si>
  <si>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</si>
  <si>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</si>
  <si>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</si>
  <si>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</si>
  <si>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</si>
  <si>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</si>
  <si>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</si>
  <si>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</si>
  <si>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</si>
  <si>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</si>
  <si>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</si>
  <si>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</si>
  <si>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</si>
  <si>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</si>
  <si>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</si>
  <si>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</si>
  <si>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</si>
  <si>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</si>
  <si>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</si>
  <si>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</si>
  <si>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</si>
  <si>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</si>
  <si>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</si>
  <si>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</si>
  <si>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</si>
  <si>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</si>
  <si>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</si>
  <si>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</si>
  <si>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</si>
  <si>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</si>
  <si>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</si>
  <si>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</si>
  <si>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</si>
  <si>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</si>
  <si>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</si>
  <si>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</si>
  <si>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</si>
  <si>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</si>
  <si>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</si>
  <si>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</si>
  <si>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</si>
  <si>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</si>
  <si>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</si>
  <si>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</si>
  <si>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</si>
  <si>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</si>
  <si>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</si>
  <si>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</si>
  <si>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</si>
  <si>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</si>
  <si>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</si>
  <si>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</si>
  <si>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</si>
  <si>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</si>
  <si>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</si>
  <si>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</si>
  <si>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</si>
  <si>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</si>
  <si>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Throughput Disincentive (PTD) TD Calculation</t>
  </si>
  <si>
    <t>Cycle 2 Projected Program Costs (PPC) Calculation</t>
  </si>
  <si>
    <t>Cycle 1 Throughput Disincentive TD-NSB Reconciliation (TDR) Calculation</t>
  </si>
  <si>
    <t>Amortization Over 24 Month Recovery Period</t>
  </si>
  <si>
    <t>1. Forecasted kWh Sales Impact</t>
  </si>
  <si>
    <t>4. Actual/Forecasted TD-NSB</t>
  </si>
  <si>
    <t>5. Total monthly interest - Source: calculated</t>
  </si>
  <si>
    <t>6. AFUDC Rate</t>
  </si>
  <si>
    <t>7. Actual TD-NSB rate component of the tariff rate</t>
  </si>
  <si>
    <t>7. Current Tariff Rate</t>
  </si>
  <si>
    <t>4. Actual/Forecasted TD</t>
  </si>
  <si>
    <t>7. Actual TD rate component of the tariff rate</t>
  </si>
  <si>
    <t>6. Short-Term Interest Rate</t>
  </si>
  <si>
    <t>3. kWh sales impact</t>
  </si>
  <si>
    <t>Cumulative kWh Sales Impact</t>
  </si>
  <si>
    <t>TD</t>
  </si>
  <si>
    <t>Cycle 1 Earnings Opportunity (EO) Calculation</t>
  </si>
  <si>
    <t>EO Rate</t>
  </si>
  <si>
    <t>1. Total Performance Incentive</t>
  </si>
  <si>
    <t>2. Verified kWh Savings</t>
  </si>
  <si>
    <t>3. Allocation %</t>
  </si>
  <si>
    <t>4. Carrying Costs @ Short-Term Borrowing Rate</t>
  </si>
  <si>
    <t>5. Total Performance Incentive plus Carrying Costs</t>
  </si>
  <si>
    <t>1. Verified kWh Savings - Source: GMO Cycle 1 Performance Incentive with Carrying Costs.xlsx</t>
  </si>
  <si>
    <t>2. Total Performance Incentive - Source: GMO Cycle 1 Performance Incentive with Carrying Costs.xlsx</t>
  </si>
  <si>
    <t>3. Allocation % - Calculated % of Residential and Non-Residential kWh Savings to Total Savings.</t>
  </si>
  <si>
    <t>4. Carrying Costs @ Short-Term Borrowing Rate - Source: GMO Cycle 1 Performance Incentive with Carrying Costs.xlsx</t>
  </si>
  <si>
    <t>5. Total Performance Incentive plus Carrying Costs - Sum</t>
  </si>
  <si>
    <t>Cycle 1 Earnings Opportunity Reconciliation (EOR) Calculation</t>
  </si>
  <si>
    <t>Carrying Cost</t>
  </si>
  <si>
    <t>Less: EO Amortization</t>
  </si>
  <si>
    <t>Net EOR</t>
  </si>
  <si>
    <t>1. Forecasted kWh by Residential/Non-Residential for August 2017 - January 2018 (Reduced for Opt-Out) - Source: Billed kWh Budget GMO 2017-2018.xlsx</t>
  </si>
  <si>
    <t>1. &amp; 4. Actual monthly TD-NSB - Source: None</t>
  </si>
  <si>
    <t>2. Actual monthly kWh billed sales by Residential/Non-Residential (reduced for opt-out) - Source: GMO MEEIA 2016 Revenue Analysis.xlsx, GMO MEEIA 2017 Revenue Analysis.xlsx
    Forecasted monthly kWh billed sales by Residential/Non-Residential (reduced for opt-out) - Source: Billed kWh Budget GMO 2017.xlsx</t>
  </si>
  <si>
    <t>1. Allocated Actual Earnings Opportunity</t>
  </si>
  <si>
    <t>1. Actual monthly earnings opportunity - Source: None</t>
  </si>
  <si>
    <t>2. Actual/Forecasted Revenues - Earnings Opportunity Only</t>
  </si>
  <si>
    <t>3. Total Interest</t>
  </si>
  <si>
    <t>4. Short-Term Interest Rate</t>
  </si>
  <si>
    <t>3. Total monthly interest - Source: calculated</t>
  </si>
  <si>
    <t>5. Actual EO rate component of the tariff rate</t>
  </si>
  <si>
    <t>Projections for Cycle 2 January - July 2018 DSIM</t>
  </si>
  <si>
    <t>Cumulative Over/Under Carryover From 06/01/2017 Filing</t>
  </si>
  <si>
    <t>Reverse May-17 - July-17  Forecast From 06/01/2017 Filing</t>
  </si>
  <si>
    <t>Cycle 1 Ordered Adjustment (OA) Calculation</t>
  </si>
  <si>
    <t>1. Ordered Adjustment</t>
  </si>
  <si>
    <t>2. Carrying Costs on OA</t>
  </si>
  <si>
    <t>1. Ordered Adjustment - Source: None</t>
  </si>
  <si>
    <t>2. Carrying Costs on OA - Source: None</t>
  </si>
  <si>
    <t>2. Forecasted program costs by allocation bucket (Residential, Non-Residential, Income-Eligible, Common/General) - Source: GMO MEEIA Cycle 2 Forecast 2017-2019 102017 actuals 11212017.xlsx</t>
  </si>
  <si>
    <t>1. Forecasted Residential/Non-Residential kWh Sales Impact (July - December 2016) - Source: GMO MEEIA Cycle 2 Forecast 2017-2019 102017 actuals 11212017.xlsx</t>
  </si>
  <si>
    <t>2. Forecasted Throughput Disincentive (July - December 2016) - Source: GMO MEEIA Cycle 2 Forecast 2017-2019 102017 actuals 11212017.xlsx</t>
  </si>
  <si>
    <t>1. Actual monthly program costs by allocation bucket Residential, Non-Residential, Low Income, Common/General, Programmable Thermostat) - Source: None</t>
  </si>
  <si>
    <t>2. Actual monthly kWh billed sales by Residential/Non-Residential (reduced for opt-out) - Source: GMO MEEIA 2017 Revenue Analysis.xlsx
    Forecasted monthly kWh billed sales by Residential/Non-Residential (reduced for opt-out) - Source: Billed kWh Budget GMO 2017-2018.xlsx</t>
  </si>
  <si>
    <t>3. Actual monthly billed revenues by Residential/Non-Residential (program cost revenues only) - GMO MEEIA 2017 Revenue Analysis.xlsx
Forecasted monthly billed revenues by Residential/Non-Residential (program cost revenues only) - Source: calculated = Forecasted billed kWh sales X tariff rate</t>
  </si>
  <si>
    <t>5. Monthly Short-Term Borrowing Rate - Source: GMO Short-Term Borrowing Rate May - October 2017.xls</t>
  </si>
  <si>
    <t>1. Actual monthly program costs by allocation bucket Residential, Non-Residential, Income-Eligible, Common/General) - Source: SI Projects 052017-102017 GMO.xls
    Forecasted monthly program costs by allocation bucket - Source: GMO MEEIA Cycle 2 Forecast 2017-2019 102017 actuals 11212017.xlsx</t>
  </si>
  <si>
    <t>3. Actual monthly billed revenues by Residential/Non-Residential (program cost revenues only) - GMO MEEIA 2017 Revenue Analysis.xlsx
    Forecasted monthly billed revenues by Residential/Non-Residential (program cost revenues only) - Source: calculated = Forecasted billed kWh sales X tariff rate</t>
  </si>
  <si>
    <t>2. Actual monthly kWh billed sales by Residential/Non-Residential (reduced for opt-out) - Source: GMO MEEIA 2016 Revenue Analysis.xlsx 
    Forecasted monthly kWh billed sales by Residential/Non-Residential (reduced for opt-out) - Source: Billed kWh Budget GMO 2017-2018.xlsx</t>
  </si>
  <si>
    <t>3. Actual monthly billed revenues by Residential/Non-Residential (TD-NSB only) - GMO MEEIA 2017 Revenue Analysis.xlsx
Forecasted monthly billed revenues by Residential/Non-Residential (TD-NSB revenues only) - Source: calculated = Forecasted billed kWh sales X tariff rate</t>
  </si>
  <si>
    <t>1. &amp; 4. Actual monthly TD - Source: TD Model GMO 102017 final 11092017.xlsx
    Forecasted monthly TD - Source: GMO MEEIA Cycle 2 Forecast 2017-2019 102017 actuals 11212017.xlsx</t>
  </si>
  <si>
    <t>3. Actual monthly kWh Sales Impact - Source: TD Model GMO 102017 final 11092017.xlsx
    Forecasted monthly kWh Sales Impact - Source: GMO MEEIA Cycle 2 Forecast 2017-2019 102017 actuals 11212017.xlsx</t>
  </si>
  <si>
    <t>2. Actual monthly billed revenues by Residential/Non-Residential (program cost revenues only) - GMO MEEIA 2017 Revenue Analysis.xlsx,  
Forecasted monthly billed revenues by Residential/Non-Residential (program cost revenues only) - Source: calculated = Forecasted billed kWh sales X tariff rate</t>
  </si>
  <si>
    <t>4. Monthly Short-Term Borrowing Rate - Source: GMO Short-Term Borrowing Rate May - October 2017.xls</t>
  </si>
  <si>
    <t>6. Monthly AFUDC Rate - Source: GMO AFUDC Rate Computation May-October 2017.xlsx</t>
  </si>
  <si>
    <t>KCP&amp;L Greater Missouri Operations Company - DSIM Rider Update Filed 11/30/2017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</si>
</sst>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?????_);_(@_)"/>
    <numFmt numFmtId="170" formatCode="0.000000%"/>
    <numFmt numFmtId="171" formatCode="_(&quot;$&quot;* #,##0.0_);_(&quot;$&quot;* \(#,##0.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urier New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45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165" fontId="5" fillId="5" borderId="22" xfId="6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8" fontId="0" fillId="0" borderId="9" xfId="0" applyNumberFormat="1" applyBorder="1"/>
    <xf numFmtId="169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42" fontId="14" fillId="7" borderId="33" xfId="13" applyNumberFormat="1" applyBorder="1"/>
    <xf numFmtId="170" fontId="0" fillId="0" borderId="0" xfId="2" applyNumberFormat="1" applyFont="1" applyBorder="1"/>
    <xf numFmtId="170" fontId="0" fillId="0" borderId="0" xfId="0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44" fontId="7" fillId="0" borderId="0" xfId="8" applyNumberFormat="1" applyFill="1" applyBorder="1"/>
    <xf numFmtId="0" fontId="30" fillId="0" borderId="3" xfId="0" applyFont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0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0" fontId="0" fillId="0" borderId="9" xfId="0" applyNumberFormat="1" applyFill="1" applyBorder="1"/>
    <xf numFmtId="164" fontId="0" fillId="0" borderId="7" xfId="0" applyNumberFormat="1" applyFill="1" applyBorder="1"/>
    <xf numFmtId="170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1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2" fontId="30" fillId="0" borderId="4" xfId="0" applyNumberFormat="1" applyFont="1" applyBorder="1" applyAlignment="1">
      <alignment horizontal="center" wrapText="1"/>
    </xf>
    <xf numFmtId="41" fontId="10" fillId="0" borderId="6" xfId="0" applyNumberFormat="1" applyFont="1" applyBorder="1" applyAlignment="1">
      <alignment vertical="center"/>
    </xf>
    <xf numFmtId="169" fontId="10" fillId="0" borderId="6" xfId="0" applyNumberFormat="1" applyFont="1" applyFill="1" applyBorder="1" applyAlignment="1">
      <alignment vertical="center"/>
    </xf>
    <xf numFmtId="169" fontId="0" fillId="0" borderId="0" xfId="0" applyNumberFormat="1" applyFill="1" applyAlignment="1"/>
    <xf numFmtId="169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2" fontId="14" fillId="7" borderId="52" xfId="13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0" fontId="8" fillId="0" borderId="0" xfId="0" applyFont="1" applyAlignment="1">
      <alignment horizontal="left" vertical="center" wrapText="1"/>
    </xf>
    <xf numFmtId="42" fontId="5" fillId="5" borderId="1" xfId="6" applyNumberFormat="1" applyBorder="1"/>
    <xf numFmtId="42" fontId="5" fillId="5" borderId="22" xfId="6" applyNumberFormat="1" applyBorder="1"/>
    <xf numFmtId="165" fontId="4" fillId="4" borderId="54" xfId="11" applyNumberFormat="1" applyFont="1" applyFill="1" applyBorder="1"/>
    <xf numFmtId="3" fontId="4" fillId="4" borderId="54" xfId="5" applyNumberFormat="1" applyBorder="1"/>
    <xf numFmtId="44" fontId="0" fillId="0" borderId="55" xfId="0" applyNumberFormat="1" applyBorder="1"/>
    <xf numFmtId="165" fontId="14" fillId="7" borderId="56" xfId="13" applyNumberFormat="1" applyBorder="1"/>
    <xf numFmtId="165" fontId="4" fillId="4" borderId="57" xfId="5" applyNumberFormat="1" applyBorder="1"/>
    <xf numFmtId="44" fontId="6" fillId="6" borderId="58" xfId="7" applyNumberFormat="1" applyBorder="1"/>
    <xf numFmtId="165" fontId="4" fillId="4" borderId="59" xfId="5" applyNumberFormat="1" applyBorder="1"/>
    <xf numFmtId="42" fontId="14" fillId="7" borderId="56" xfId="13" applyNumberFormat="1" applyBorder="1"/>
    <xf numFmtId="41" fontId="4" fillId="4" borderId="54" xfId="5" applyNumberFormat="1" applyBorder="1"/>
    <xf numFmtId="37" fontId="4" fillId="0" borderId="9" xfId="5" applyNumberFormat="1" applyFill="1" applyBorder="1"/>
    <xf numFmtId="165" fontId="4" fillId="4" borderId="54" xfId="5" applyNumberFormat="1" applyBorder="1"/>
    <xf numFmtId="165" fontId="4" fillId="4" borderId="57" xfId="11" applyNumberFormat="1" applyFont="1" applyFill="1" applyBorder="1"/>
    <xf numFmtId="165" fontId="4" fillId="0" borderId="9" xfId="11" applyNumberFormat="1" applyFont="1" applyFill="1" applyBorder="1"/>
    <xf numFmtId="44" fontId="6" fillId="6" borderId="60" xfId="7" applyNumberFormat="1" applyBorder="1"/>
    <xf numFmtId="165" fontId="5" fillId="0" borderId="11" xfId="6" applyNumberFormat="1" applyFill="1" applyBorder="1"/>
    <xf numFmtId="42" fontId="14" fillId="7" borderId="23" xfId="13" applyNumberFormat="1" applyBorder="1" applyAlignment="1">
      <alignment horizontal="right"/>
    </xf>
    <xf numFmtId="167" fontId="14" fillId="7" borderId="46" xfId="1" applyNumberFormat="1" applyFont="1" applyFill="1" applyBorder="1"/>
    <xf numFmtId="167" fontId="14" fillId="7" borderId="47" xfId="1" applyNumberFormat="1" applyFont="1" applyFill="1" applyBorder="1"/>
    <xf numFmtId="42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center"/>
    </xf>
    <xf numFmtId="10" fontId="14" fillId="7" borderId="1" xfId="2" applyNumberFormat="1" applyFont="1" applyFill="1" applyBorder="1"/>
    <xf numFmtId="170" fontId="0" fillId="0" borderId="0" xfId="2" quotePrefix="1" applyNumberFormat="1" applyFont="1" applyFill="1" applyBorder="1" applyAlignment="1">
      <alignment horizontal="center" wrapText="1"/>
    </xf>
    <xf numFmtId="170" fontId="0" fillId="0" borderId="9" xfId="2" quotePrefix="1" applyNumberFormat="1" applyFont="1" applyBorder="1" applyAlignment="1">
      <alignment horizontal="center" wrapText="1"/>
    </xf>
    <xf numFmtId="42" fontId="14" fillId="7" borderId="1" xfId="13" applyNumberFormat="1"/>
    <xf numFmtId="43" fontId="5" fillId="0" borderId="0" xfId="1" applyFont="1" applyFill="1" applyBorder="1"/>
    <xf numFmtId="43" fontId="5" fillId="0" borderId="9" xfId="1" applyFont="1" applyFill="1" applyBorder="1"/>
    <xf numFmtId="0" fontId="8" fillId="0" borderId="0" xfId="0" applyFont="1" applyAlignment="1">
      <alignment horizontal="left" vertical="center" wrapText="1"/>
    </xf>
    <xf numFmtId="41" fontId="5" fillId="5" borderId="22" xfId="6" applyNumberFormat="1" applyBorder="1"/>
    <xf numFmtId="165" fontId="5" fillId="5" borderId="44" xfId="11" applyNumberFormat="1" applyFont="1" applyFill="1" applyBorder="1"/>
    <xf numFmtId="165" fontId="14" fillId="7" borderId="52" xfId="13" applyNumberFormat="1" applyBorder="1"/>
    <xf numFmtId="171" fontId="14" fillId="7" borderId="22" xfId="13" applyNumberFormat="1" applyBorder="1"/>
    <xf numFmtId="165" fontId="5" fillId="5" borderId="52" xfId="6" applyNumberFormat="1" applyBorder="1"/>
    <xf numFmtId="165" fontId="5" fillId="5" borderId="61" xfId="11" applyNumberFormat="1" applyFont="1" applyFill="1" applyBorder="1"/>
    <xf numFmtId="41" fontId="5" fillId="5" borderId="56" xfId="6" applyNumberFormat="1" applyBorder="1"/>
    <xf numFmtId="43" fontId="0" fillId="0" borderId="0" xfId="0" applyNumberFormat="1"/>
    <xf numFmtId="44" fontId="7" fillId="0" borderId="0" xfId="8" applyNumberFormat="1" applyBorder="1"/>
    <xf numFmtId="44" fontId="14" fillId="7" borderId="1" xfId="13" applyNumberFormat="1" applyBorder="1"/>
    <xf numFmtId="43" fontId="0" fillId="0" borderId="0" xfId="1" applyFont="1"/>
    <xf numFmtId="8" fontId="0" fillId="0" borderId="0" xfId="0" applyNumberFormat="1"/>
    <xf numFmtId="44" fontId="14" fillId="7" borderId="22" xfId="13" applyNumberFormat="1" applyBorder="1"/>
    <xf numFmtId="0" fontId="0" fillId="39" borderId="19" xfId="0" applyFill="1" applyBorder="1" applyAlignment="1">
      <alignment horizontal="center" wrapText="1"/>
    </xf>
    <xf numFmtId="42" fontId="5" fillId="5" borderId="13" xfId="6" applyNumberFormat="1" applyBorder="1"/>
    <xf numFmtId="41" fontId="5" fillId="5" borderId="62" xfId="6" applyNumberFormat="1" applyBorder="1"/>
    <xf numFmtId="42" fontId="5" fillId="37" borderId="22" xfId="6" applyNumberFormat="1" applyFill="1" applyBorder="1"/>
    <xf numFmtId="44" fontId="8" fillId="0" borderId="0" xfId="1" applyNumberFormat="1" applyFont="1" applyAlignment="1">
      <alignment horizontal="center"/>
    </xf>
    <xf numFmtId="169" fontId="34" fillId="0" borderId="3" xfId="0" applyNumberFormat="1" applyFont="1" applyFill="1" applyBorder="1" applyAlignment="1">
      <alignment vertical="center"/>
    </xf>
    <xf numFmtId="169" fontId="10" fillId="0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/>
    <cellStyle name="20% - Accent2" xfId="28" builtinId="34" customBuiltin="1"/>
    <cellStyle name="20% - Accent2 2" xfId="56"/>
    <cellStyle name="20% - Accent3" xfId="32" builtinId="38" customBuiltin="1"/>
    <cellStyle name="20% - Accent3 2" xfId="58"/>
    <cellStyle name="20% - Accent4" xfId="36" builtinId="42" customBuiltin="1"/>
    <cellStyle name="20% - Accent4 2" xfId="60"/>
    <cellStyle name="20% - Accent5" xfId="40" builtinId="46" customBuiltin="1"/>
    <cellStyle name="20% - Accent5 2" xfId="62"/>
    <cellStyle name="20% - Accent6" xfId="44" builtinId="50" customBuiltin="1"/>
    <cellStyle name="20% - Accent6 2" xfId="64"/>
    <cellStyle name="40% - Accent1" xfId="25" builtinId="31" customBuiltin="1"/>
    <cellStyle name="40% - Accent1 2" xfId="55"/>
    <cellStyle name="40% - Accent2" xfId="29" builtinId="35" customBuiltin="1"/>
    <cellStyle name="40% - Accent2 2" xfId="57"/>
    <cellStyle name="40% - Accent3" xfId="33" builtinId="39" customBuiltin="1"/>
    <cellStyle name="40% - Accent3 2" xfId="59"/>
    <cellStyle name="40% - Accent4" xfId="37" builtinId="43" customBuiltin="1"/>
    <cellStyle name="40% - Accent4 2" xfId="61"/>
    <cellStyle name="40% - Accent5" xfId="41" builtinId="47" customBuiltin="1"/>
    <cellStyle name="40% - Accent5 2" xfId="63"/>
    <cellStyle name="40% - Accent6" xfId="45" builtinId="51" customBuiltin="1"/>
    <cellStyle name="40% - Accent6 2" xfId="65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/>
    <cellStyle name="Comma 2 2" xfId="282"/>
    <cellStyle name="Comma 3" xfId="66"/>
    <cellStyle name="Comma 3 2" xfId="9"/>
    <cellStyle name="Comma 4" xfId="192"/>
    <cellStyle name="Comma 5" xfId="52"/>
    <cellStyle name="Currency" xfId="11" builtinId="4"/>
    <cellStyle name="Currency [0] 2" xfId="114"/>
    <cellStyle name="Currency [0] 2 2" xfId="203"/>
    <cellStyle name="Currency 10" xfId="193"/>
    <cellStyle name="Currency 11" xfId="112"/>
    <cellStyle name="Currency 12" xfId="197"/>
    <cellStyle name="Currency 13" xfId="50"/>
    <cellStyle name="Currency 13 2" xfId="288"/>
    <cellStyle name="Currency 14" xfId="285"/>
    <cellStyle name="Currency 15" xfId="289"/>
    <cellStyle name="Currency 16" xfId="291"/>
    <cellStyle name="Currency 17" xfId="292"/>
    <cellStyle name="Currency 18" xfId="293"/>
    <cellStyle name="Currency 19" xfId="294"/>
    <cellStyle name="Currency 2" xfId="69"/>
    <cellStyle name="Currency 2 2" xfId="111"/>
    <cellStyle name="Currency 2 2 2" xfId="202"/>
    <cellStyle name="Currency 2 3" xfId="280"/>
    <cellStyle name="Currency 20" xfId="295"/>
    <cellStyle name="Currency 21" xfId="296"/>
    <cellStyle name="Currency 22" xfId="297"/>
    <cellStyle name="Currency 3" xfId="67"/>
    <cellStyle name="Currency 3 2" xfId="279"/>
    <cellStyle name="Currency 4" xfId="115"/>
    <cellStyle name="Currency 4 2" xfId="204"/>
    <cellStyle name="Currency 4 3" xfId="281"/>
    <cellStyle name="Currency 5" xfId="116"/>
    <cellStyle name="Currency 5 2" xfId="205"/>
    <cellStyle name="Currency 6" xfId="117"/>
    <cellStyle name="Currency 6 2" xfId="206"/>
    <cellStyle name="Currency 7" xfId="118"/>
    <cellStyle name="Currency 7 2" xfId="207"/>
    <cellStyle name="Currency 8" xfId="194"/>
    <cellStyle name="Currency 9" xfId="195"/>
    <cellStyle name="Data Field" xfId="119"/>
    <cellStyle name="Data Field 2" xfId="208"/>
    <cellStyle name="Data Name" xfId="120"/>
    <cellStyle name="Data Name 2" xfId="209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/>
    <cellStyle name="Hyperlink 3" xfId="122"/>
    <cellStyle name="Hyperlink 4" xfId="300"/>
    <cellStyle name="Hyperlink 5" xfId="298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/>
    <cellStyle name="Normal 10 2" xfId="124"/>
    <cellStyle name="Normal 10 2 2" xfId="211"/>
    <cellStyle name="Normal 10 3" xfId="210"/>
    <cellStyle name="Normal 11" xfId="125"/>
    <cellStyle name="Normal 11 2" xfId="212"/>
    <cellStyle name="Normal 12" xfId="126"/>
    <cellStyle name="Normal 12 2" xfId="213"/>
    <cellStyle name="Normal 13" xfId="127"/>
    <cellStyle name="Normal 13 2" xfId="214"/>
    <cellStyle name="Normal 14" xfId="128"/>
    <cellStyle name="Normal 14 2" xfId="215"/>
    <cellStyle name="Normal 15" xfId="129"/>
    <cellStyle name="Normal 16" xfId="130"/>
    <cellStyle name="Normal 16 2" xfId="216"/>
    <cellStyle name="Normal 17" xfId="48"/>
    <cellStyle name="Normal 18" xfId="131"/>
    <cellStyle name="Normal 18 2" xfId="217"/>
    <cellStyle name="Normal 19" xfId="132"/>
    <cellStyle name="Normal 19 2" xfId="218"/>
    <cellStyle name="Normal 2" xfId="51"/>
    <cellStyle name="Normal 2 2" xfId="71"/>
    <cellStyle name="Normal 2 2 2" xfId="72"/>
    <cellStyle name="Normal 2 2 3" xfId="73"/>
    <cellStyle name="Normal 2 2 4" xfId="74"/>
    <cellStyle name="Normal 2 2 5" xfId="75"/>
    <cellStyle name="Normal 2 2 6" xfId="76"/>
    <cellStyle name="Normal 2 2 7" xfId="77"/>
    <cellStyle name="Normal 2 2 8" xfId="78"/>
    <cellStyle name="Normal 2 2 9" xfId="79"/>
    <cellStyle name="Normal 2 3" xfId="80"/>
    <cellStyle name="Normal 2 4" xfId="81"/>
    <cellStyle name="Normal 2 4 2" xfId="82"/>
    <cellStyle name="Normal 2 5" xfId="110"/>
    <cellStyle name="Normal 2 5 2" xfId="201"/>
    <cellStyle name="Normal 2 6" xfId="47"/>
    <cellStyle name="Normal 2 6 2" xfId="70"/>
    <cellStyle name="Normal 2 7" xfId="299"/>
    <cellStyle name="Normal 26" xfId="106"/>
    <cellStyle name="Normal 26 2" xfId="199"/>
    <cellStyle name="Normal 27" xfId="107"/>
    <cellStyle name="Normal 27 2" xfId="200"/>
    <cellStyle name="Normal 28" xfId="133"/>
    <cellStyle name="Normal 28 2" xfId="219"/>
    <cellStyle name="Normal 3" xfId="83"/>
    <cellStyle name="Normal 3 2" xfId="84"/>
    <cellStyle name="Normal 3 2 2" xfId="85"/>
    <cellStyle name="Normal 3 2 3" xfId="86"/>
    <cellStyle name="Normal 3 2 4" xfId="87"/>
    <cellStyle name="Normal 3 2 5" xfId="88"/>
    <cellStyle name="Normal 3 2 6" xfId="89"/>
    <cellStyle name="Normal 3 2 7" xfId="90"/>
    <cellStyle name="Normal 3 2 8" xfId="91"/>
    <cellStyle name="Normal 3 2 9" xfId="92"/>
    <cellStyle name="Normal 3 3" xfId="108"/>
    <cellStyle name="Normal 3 40" xfId="109"/>
    <cellStyle name="Normal 33" xfId="277"/>
    <cellStyle name="Normal 35" xfId="301"/>
    <cellStyle name="Normal 36" xfId="134"/>
    <cellStyle name="Normal 36 2" xfId="220"/>
    <cellStyle name="Normal 37" xfId="135"/>
    <cellStyle name="Normal 37 2" xfId="221"/>
    <cellStyle name="Normal 38" xfId="136"/>
    <cellStyle name="Normal 38 2" xfId="222"/>
    <cellStyle name="Normal 39" xfId="137"/>
    <cellStyle name="Normal 39 2" xfId="223"/>
    <cellStyle name="Normal 4" xfId="10"/>
    <cellStyle name="Normal 4 2" xfId="94"/>
    <cellStyle name="Normal 4 3" xfId="93"/>
    <cellStyle name="Normal 4 4" xfId="278"/>
    <cellStyle name="Normal 40" xfId="138"/>
    <cellStyle name="Normal 40 2" xfId="224"/>
    <cellStyle name="Normal 41" xfId="139"/>
    <cellStyle name="Normal 41 2" xfId="225"/>
    <cellStyle name="Normal 42" xfId="140"/>
    <cellStyle name="Normal 42 2" xfId="226"/>
    <cellStyle name="Normal 43" xfId="141"/>
    <cellStyle name="Normal 43 2" xfId="227"/>
    <cellStyle name="Normal 44" xfId="142"/>
    <cellStyle name="Normal 44 2" xfId="228"/>
    <cellStyle name="Normal 45" xfId="143"/>
    <cellStyle name="Normal 45 2" xfId="229"/>
    <cellStyle name="Normal 46" xfId="144"/>
    <cellStyle name="Normal 46 2" xfId="230"/>
    <cellStyle name="Normal 47" xfId="145"/>
    <cellStyle name="Normal 47 2" xfId="231"/>
    <cellStyle name="Normal 48" xfId="146"/>
    <cellStyle name="Normal 48 2" xfId="232"/>
    <cellStyle name="Normal 49" xfId="147"/>
    <cellStyle name="Normal 49 2" xfId="233"/>
    <cellStyle name="Normal 5" xfId="95"/>
    <cellStyle name="Normal 5 2" xfId="96"/>
    <cellStyle name="Normal 5 3" xfId="97"/>
    <cellStyle name="Normal 5 4" xfId="98"/>
    <cellStyle name="Normal 50" xfId="148"/>
    <cellStyle name="Normal 50 2" xfId="234"/>
    <cellStyle name="Normal 51" xfId="149"/>
    <cellStyle name="Normal 51 2" xfId="235"/>
    <cellStyle name="Normal 52" xfId="150"/>
    <cellStyle name="Normal 52 2" xfId="236"/>
    <cellStyle name="Normal 53" xfId="151"/>
    <cellStyle name="Normal 53 2" xfId="237"/>
    <cellStyle name="Normal 54" xfId="152"/>
    <cellStyle name="Normal 54 2" xfId="238"/>
    <cellStyle name="Normal 55" xfId="153"/>
    <cellStyle name="Normal 55 2" xfId="239"/>
    <cellStyle name="Normal 56" xfId="154"/>
    <cellStyle name="Normal 56 2" xfId="240"/>
    <cellStyle name="Normal 57" xfId="155"/>
    <cellStyle name="Normal 57 2" xfId="241"/>
    <cellStyle name="Normal 58" xfId="156"/>
    <cellStyle name="Normal 58 2" xfId="242"/>
    <cellStyle name="Normal 59" xfId="157"/>
    <cellStyle name="Normal 59 2" xfId="243"/>
    <cellStyle name="Normal 6" xfId="99"/>
    <cellStyle name="Normal 6 2" xfId="100"/>
    <cellStyle name="Normal 6 3" xfId="101"/>
    <cellStyle name="Normal 60" xfId="158"/>
    <cellStyle name="Normal 60 2" xfId="244"/>
    <cellStyle name="Normal 61" xfId="159"/>
    <cellStyle name="Normal 61 2" xfId="245"/>
    <cellStyle name="Normal 62" xfId="160"/>
    <cellStyle name="Normal 62 2" xfId="246"/>
    <cellStyle name="Normal 63" xfId="161"/>
    <cellStyle name="Normal 63 2" xfId="247"/>
    <cellStyle name="Normal 64" xfId="162"/>
    <cellStyle name="Normal 64 2" xfId="248"/>
    <cellStyle name="Normal 65" xfId="163"/>
    <cellStyle name="Normal 65 2" xfId="249"/>
    <cellStyle name="Normal 66" xfId="164"/>
    <cellStyle name="Normal 66 2" xfId="250"/>
    <cellStyle name="Normal 67" xfId="165"/>
    <cellStyle name="Normal 67 2" xfId="251"/>
    <cellStyle name="Normal 69" xfId="166"/>
    <cellStyle name="Normal 69 2" xfId="252"/>
    <cellStyle name="Normal 7" xfId="102"/>
    <cellStyle name="Normal 70" xfId="167"/>
    <cellStyle name="Normal 70 2" xfId="253"/>
    <cellStyle name="Normal 71" xfId="168"/>
    <cellStyle name="Normal 71 2" xfId="254"/>
    <cellStyle name="Normal 72" xfId="169"/>
    <cellStyle name="Normal 72 2" xfId="255"/>
    <cellStyle name="Normal 73" xfId="170"/>
    <cellStyle name="Normal 73 2" xfId="256"/>
    <cellStyle name="Normal 74" xfId="171"/>
    <cellStyle name="Normal 74 2" xfId="257"/>
    <cellStyle name="Normal 75" xfId="172"/>
    <cellStyle name="Normal 75 2" xfId="258"/>
    <cellStyle name="Normal 76" xfId="173"/>
    <cellStyle name="Normal 76 2" xfId="259"/>
    <cellStyle name="Normal 77" xfId="174"/>
    <cellStyle name="Normal 77 2" xfId="260"/>
    <cellStyle name="Normal 78" xfId="175"/>
    <cellStyle name="Normal 78 2" xfId="261"/>
    <cellStyle name="Normal 79" xfId="176"/>
    <cellStyle name="Normal 79 2" xfId="262"/>
    <cellStyle name="Normal 8" xfId="103"/>
    <cellStyle name="Normal 80" xfId="177"/>
    <cellStyle name="Normal 80 2" xfId="263"/>
    <cellStyle name="Normal 81" xfId="178"/>
    <cellStyle name="Normal 81 2" xfId="264"/>
    <cellStyle name="Normal 82" xfId="179"/>
    <cellStyle name="Normal 82 2" xfId="265"/>
    <cellStyle name="Normal 83" xfId="180"/>
    <cellStyle name="Normal 83 2" xfId="266"/>
    <cellStyle name="Normal 84" xfId="181"/>
    <cellStyle name="Normal 84 2" xfId="267"/>
    <cellStyle name="Normal 85" xfId="182"/>
    <cellStyle name="Normal 85 2" xfId="268"/>
    <cellStyle name="Normal 86" xfId="183"/>
    <cellStyle name="Normal 86 2" xfId="269"/>
    <cellStyle name="Normal 87" xfId="184"/>
    <cellStyle name="Normal 87 2" xfId="270"/>
    <cellStyle name="Normal 9" xfId="104"/>
    <cellStyle name="Normal 9 2" xfId="105"/>
    <cellStyle name="Normal 9 2 2" xfId="198"/>
    <cellStyle name="Note" xfId="14" builtinId="10" customBuiltin="1"/>
    <cellStyle name="Note 2" xfId="53"/>
    <cellStyle name="Output" xfId="12" builtinId="21" customBuiltin="1"/>
    <cellStyle name="Percent" xfId="2" builtinId="5"/>
    <cellStyle name="Percent 10" xfId="113"/>
    <cellStyle name="Percent 11" xfId="49"/>
    <cellStyle name="Percent 11 2" xfId="290"/>
    <cellStyle name="Percent 2" xfId="185"/>
    <cellStyle name="Percent 2 2" xfId="271"/>
    <cellStyle name="Percent 3" xfId="186"/>
    <cellStyle name="Percent 3 2" xfId="272"/>
    <cellStyle name="Percent 3 3" xfId="283"/>
    <cellStyle name="Percent 4" xfId="187"/>
    <cellStyle name="Percent 4 2" xfId="273"/>
    <cellStyle name="Percent 4 3" xfId="284"/>
    <cellStyle name="Percent 5" xfId="188"/>
    <cellStyle name="Percent 5 2" xfId="274"/>
    <cellStyle name="Percent 6" xfId="189"/>
    <cellStyle name="Percent 6 2" xfId="275"/>
    <cellStyle name="Percent 7" xfId="190"/>
    <cellStyle name="Percent 8" xfId="191"/>
    <cellStyle name="Percent 8 2" xfId="276"/>
    <cellStyle name="Percent 9" xfId="196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33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Billed%20kWh%20Budget%20GMO%20201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MEEIA%20Cycle%202%20Forecast%202017-2019%20102017%20actuals%20112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MEEIA%202017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Short-Term%20Borrowing%20Rate%20May%20-%20October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SI%20Projects%20052017-102017%20GM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TD%20Model%20GMO%20102017%201109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Cycle%201%20MEEIA%20Performance%20Incentive%20with%20Carrying%20C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O"/>
    </sheetNames>
    <sheetDataSet>
      <sheetData sheetId="0">
        <row r="14">
          <cell r="L14">
            <v>223327637</v>
          </cell>
          <cell r="M14">
            <v>315541066</v>
          </cell>
          <cell r="N14">
            <v>382118212</v>
          </cell>
        </row>
        <row r="15">
          <cell r="L15">
            <v>261977849.10526147</v>
          </cell>
          <cell r="M15">
            <v>277685698.33197641</v>
          </cell>
          <cell r="N15">
            <v>289343839.20698243</v>
          </cell>
        </row>
        <row r="19">
          <cell r="T19">
            <v>1683385959</v>
          </cell>
        </row>
        <row r="20">
          <cell r="T20">
            <v>1689661063.5728161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GMO Monthly TD Calc"/>
      <sheetName val="Program Costs - GMO"/>
    </sheetNames>
    <sheetDataSet>
      <sheetData sheetId="0"/>
      <sheetData sheetId="1"/>
      <sheetData sheetId="2"/>
      <sheetData sheetId="3">
        <row r="317">
          <cell r="V317">
            <v>218731.92</v>
          </cell>
          <cell r="W317">
            <v>205430.82</v>
          </cell>
        </row>
        <row r="318">
          <cell r="V318">
            <v>213167.48</v>
          </cell>
          <cell r="W318">
            <v>215366.67</v>
          </cell>
        </row>
        <row r="321">
          <cell r="AC321">
            <v>1747839.6999999997</v>
          </cell>
        </row>
        <row r="322">
          <cell r="AC322">
            <v>1747278.66</v>
          </cell>
        </row>
        <row r="338">
          <cell r="V338">
            <v>4390833.0868920051</v>
          </cell>
          <cell r="W338">
            <v>4946020.9558922183</v>
          </cell>
        </row>
        <row r="339">
          <cell r="V339">
            <v>5587987.1696117399</v>
          </cell>
          <cell r="W339">
            <v>5764442.6776050897</v>
          </cell>
        </row>
        <row r="343">
          <cell r="AC343">
            <v>33029877.405083545</v>
          </cell>
        </row>
        <row r="344">
          <cell r="AC344">
            <v>43486318.797883265</v>
          </cell>
        </row>
      </sheetData>
      <sheetData sheetId="4">
        <row r="153">
          <cell r="W153">
            <v>591456.99818713451</v>
          </cell>
          <cell r="X153">
            <v>600652.04807748529</v>
          </cell>
        </row>
        <row r="154">
          <cell r="W154">
            <v>599686.69368421042</v>
          </cell>
          <cell r="X154">
            <v>641696.59368421056</v>
          </cell>
        </row>
        <row r="155">
          <cell r="W155">
            <v>322346.73999999993</v>
          </cell>
          <cell r="X155">
            <v>45186.22</v>
          </cell>
        </row>
        <row r="156">
          <cell r="W156"/>
          <cell r="X156"/>
        </row>
        <row r="159">
          <cell r="AD159">
            <v>3840564.0591181046</v>
          </cell>
        </row>
        <row r="160">
          <cell r="AD160">
            <v>5014760.292105264</v>
          </cell>
        </row>
        <row r="161">
          <cell r="AD161">
            <v>281984.51</v>
          </cell>
        </row>
        <row r="162">
          <cell r="AD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Analysis"/>
      <sheetName val="GMO DSIM Rate Table"/>
      <sheetName val="DSIM Rates - Tracker"/>
      <sheetName val="DSIM Rates - Initial RP Cycle 2"/>
      <sheetName val="DSIM RP2"/>
      <sheetName val="DSIM RP3"/>
      <sheetName val="DSIM RP4"/>
    </sheetNames>
    <sheetDataSet>
      <sheetData sheetId="0">
        <row r="105">
          <cell r="G105">
            <v>1.89</v>
          </cell>
          <cell r="H105">
            <v>2.52</v>
          </cell>
          <cell r="I105">
            <v>5.34</v>
          </cell>
          <cell r="J105">
            <v>14.64</v>
          </cell>
          <cell r="K105">
            <v>2.36</v>
          </cell>
          <cell r="L105">
            <v>0.04</v>
          </cell>
        </row>
        <row r="106">
          <cell r="G106">
            <v>1207.26</v>
          </cell>
          <cell r="H106">
            <v>0</v>
          </cell>
          <cell r="I106">
            <v>0</v>
          </cell>
          <cell r="J106">
            <v>2145.25</v>
          </cell>
          <cell r="K106">
            <v>18.59</v>
          </cell>
          <cell r="L106">
            <v>0</v>
          </cell>
        </row>
        <row r="110">
          <cell r="G110">
            <v>-185346.72</v>
          </cell>
          <cell r="H110">
            <v>-243855.14</v>
          </cell>
          <cell r="I110">
            <v>-319958.5</v>
          </cell>
          <cell r="J110">
            <v>-320152.42</v>
          </cell>
          <cell r="K110">
            <v>-255554</v>
          </cell>
          <cell r="L110">
            <v>-227581.02</v>
          </cell>
        </row>
        <row r="111">
          <cell r="G111">
            <v>982385.31</v>
          </cell>
          <cell r="H111">
            <v>1216670.06</v>
          </cell>
          <cell r="I111">
            <v>1315763.1499999999</v>
          </cell>
          <cell r="J111">
            <v>1274113.25</v>
          </cell>
          <cell r="K111">
            <v>1239000.19</v>
          </cell>
          <cell r="L111">
            <v>1212446.82</v>
          </cell>
        </row>
        <row r="115">
          <cell r="G115">
            <v>-54145.78</v>
          </cell>
          <cell r="H115">
            <v>-71238.05</v>
          </cell>
          <cell r="I115">
            <v>-93469.82</v>
          </cell>
          <cell r="J115">
            <v>-93524.24</v>
          </cell>
          <cell r="K115">
            <v>-74655.63</v>
          </cell>
          <cell r="L115">
            <v>-66484.47</v>
          </cell>
        </row>
        <row r="116">
          <cell r="G116">
            <v>87902.71</v>
          </cell>
          <cell r="H116">
            <v>108080.08</v>
          </cell>
          <cell r="I116">
            <v>116882.49</v>
          </cell>
          <cell r="J116">
            <v>109809.61</v>
          </cell>
          <cell r="K116">
            <v>105673.74</v>
          </cell>
          <cell r="L116">
            <v>103398.63</v>
          </cell>
        </row>
        <row r="120">
          <cell r="G120">
            <v>68722.460000000006</v>
          </cell>
          <cell r="H120">
            <v>90413.37</v>
          </cell>
          <cell r="I120">
            <v>118640.02</v>
          </cell>
          <cell r="J120">
            <v>115115.59</v>
          </cell>
          <cell r="K120">
            <v>91883.5</v>
          </cell>
          <cell r="L120">
            <v>81824.02</v>
          </cell>
        </row>
        <row r="121">
          <cell r="G121">
            <v>122174.82</v>
          </cell>
          <cell r="H121">
            <v>151310.18</v>
          </cell>
          <cell r="I121">
            <v>163635.69</v>
          </cell>
          <cell r="J121">
            <v>161122.98000000001</v>
          </cell>
          <cell r="K121">
            <v>156870.41</v>
          </cell>
          <cell r="L121">
            <v>153498.18</v>
          </cell>
        </row>
        <row r="125">
          <cell r="G125">
            <v>433169.55</v>
          </cell>
          <cell r="H125">
            <v>569907.59</v>
          </cell>
          <cell r="I125">
            <v>747769.58</v>
          </cell>
          <cell r="J125">
            <v>927591.24</v>
          </cell>
          <cell r="K125">
            <v>740809.78</v>
          </cell>
          <cell r="L125">
            <v>659735.85</v>
          </cell>
        </row>
        <row r="126">
          <cell r="G126">
            <v>668221.48</v>
          </cell>
          <cell r="H126">
            <v>827580.19</v>
          </cell>
          <cell r="I126">
            <v>894986.37</v>
          </cell>
          <cell r="J126">
            <v>705946.23</v>
          </cell>
          <cell r="K126">
            <v>685608.8</v>
          </cell>
          <cell r="L126">
            <v>670803.72</v>
          </cell>
        </row>
        <row r="130">
          <cell r="G130">
            <v>-24988.35</v>
          </cell>
          <cell r="H130">
            <v>-32873.17</v>
          </cell>
          <cell r="I130">
            <v>-43144.85</v>
          </cell>
          <cell r="J130">
            <v>279707.77</v>
          </cell>
          <cell r="K130">
            <v>223953.62</v>
          </cell>
          <cell r="L130">
            <v>199469.03</v>
          </cell>
        </row>
        <row r="131">
          <cell r="G131">
            <v>-29920.36</v>
          </cell>
          <cell r="H131">
            <v>-37055.160000000003</v>
          </cell>
          <cell r="I131">
            <v>-40074.089999999997</v>
          </cell>
          <cell r="J131">
            <v>785130.43</v>
          </cell>
          <cell r="K131">
            <v>769146.35</v>
          </cell>
          <cell r="L131">
            <v>753145.5</v>
          </cell>
        </row>
        <row r="135">
          <cell r="G135">
            <v>52064.88</v>
          </cell>
          <cell r="H135">
            <v>68502.049999999988</v>
          </cell>
          <cell r="I135">
            <v>89874.36</v>
          </cell>
          <cell r="J135">
            <v>427151.58</v>
          </cell>
          <cell r="K135">
            <v>341679.08</v>
          </cell>
          <cell r="L135">
            <v>304309.08</v>
          </cell>
        </row>
        <row r="136">
          <cell r="G136">
            <v>42387.18</v>
          </cell>
          <cell r="H136">
            <v>52495.58</v>
          </cell>
          <cell r="I136">
            <v>56771.54</v>
          </cell>
          <cell r="J136">
            <v>231910.6</v>
          </cell>
          <cell r="K136">
            <v>226789.55</v>
          </cell>
          <cell r="L136">
            <v>222029.1</v>
          </cell>
        </row>
        <row r="144">
          <cell r="G144">
            <v>208252866</v>
          </cell>
          <cell r="H144">
            <v>273994606.99000001</v>
          </cell>
          <cell r="I144">
            <v>359503074.99000001</v>
          </cell>
          <cell r="J144">
            <v>359728883.99000001</v>
          </cell>
          <cell r="K144">
            <v>287138869.99000001</v>
          </cell>
          <cell r="L144">
            <v>255707997.99000001</v>
          </cell>
        </row>
        <row r="145">
          <cell r="G145">
            <v>250247736.00999999</v>
          </cell>
          <cell r="H145">
            <v>308799279.63</v>
          </cell>
          <cell r="I145">
            <v>333949292.00999999</v>
          </cell>
          <cell r="J145">
            <v>330904467</v>
          </cell>
          <cell r="K145">
            <v>320150904</v>
          </cell>
          <cell r="L145">
            <v>313281831</v>
          </cell>
        </row>
        <row r="150">
          <cell r="E150">
            <v>233642209.42999989</v>
          </cell>
          <cell r="F150">
            <v>212906160.89000002</v>
          </cell>
          <cell r="G150">
            <v>208252113</v>
          </cell>
          <cell r="H150">
            <v>273993601.99000001</v>
          </cell>
          <cell r="I150">
            <v>359500940.99000001</v>
          </cell>
          <cell r="J150">
            <v>359723043.99000001</v>
          </cell>
        </row>
        <row r="151">
          <cell r="E151">
            <v>267978699.4000001</v>
          </cell>
          <cell r="F151">
            <v>274187582.91000003</v>
          </cell>
          <cell r="G151">
            <v>249335736.00999999</v>
          </cell>
          <cell r="H151">
            <v>308799279.63</v>
          </cell>
          <cell r="I151">
            <v>333949292.00999999</v>
          </cell>
          <cell r="J151">
            <v>329283897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7"/>
      <sheetName val="June 2017"/>
      <sheetName val="July 2017"/>
      <sheetName val="Aug 2017"/>
      <sheetName val="Sept 2017"/>
      <sheetName val="Oct 2017"/>
    </sheetNames>
    <sheetDataSet>
      <sheetData sheetId="0">
        <row r="51">
          <cell r="F51">
            <v>1.8848000000000001E-3</v>
          </cell>
        </row>
      </sheetData>
      <sheetData sheetId="1">
        <row r="51">
          <cell r="F51">
            <v>2.0156100000000001E-3</v>
          </cell>
        </row>
      </sheetData>
      <sheetData sheetId="2">
        <row r="51">
          <cell r="F51">
            <v>2.0650299999999998E-3</v>
          </cell>
        </row>
      </sheetData>
      <sheetData sheetId="3">
        <row r="51">
          <cell r="F51">
            <v>2.0681900000000001E-3</v>
          </cell>
        </row>
      </sheetData>
      <sheetData sheetId="4">
        <row r="51">
          <cell r="F51">
            <v>2.0708300000000001E-3</v>
          </cell>
        </row>
      </sheetData>
      <sheetData sheetId="5">
        <row r="51">
          <cell r="F51">
            <v>2.0734999999999998E-3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52017-102017"/>
    </sheetNames>
    <sheetDataSet>
      <sheetData sheetId="0">
        <row r="61">
          <cell r="C61">
            <v>778314.15999999852</v>
          </cell>
          <cell r="D61">
            <v>1291513.9600000002</v>
          </cell>
          <cell r="E61">
            <v>1296747.6499999997</v>
          </cell>
          <cell r="F61">
            <v>721837.52000000014</v>
          </cell>
          <cell r="G61">
            <v>828818.34000000008</v>
          </cell>
          <cell r="H61">
            <v>934330.73000000056</v>
          </cell>
        </row>
        <row r="62">
          <cell r="C62">
            <v>738721.73999999685</v>
          </cell>
          <cell r="D62">
            <v>742755.64</v>
          </cell>
          <cell r="E62">
            <v>899599.08000000007</v>
          </cell>
          <cell r="F62">
            <v>1072111.8500000001</v>
          </cell>
          <cell r="G62">
            <v>974310.45000000019</v>
          </cell>
          <cell r="H62">
            <v>1404776.67</v>
          </cell>
        </row>
        <row r="63">
          <cell r="C63">
            <v>34538.359999999979</v>
          </cell>
          <cell r="D63">
            <v>30602.210000000003</v>
          </cell>
          <cell r="E63">
            <v>40174.61</v>
          </cell>
          <cell r="F63">
            <v>8402.8500000000076</v>
          </cell>
          <cell r="G63">
            <v>18160.740000000005</v>
          </cell>
          <cell r="H63">
            <v>34608.740000000013</v>
          </cell>
        </row>
        <row r="64">
          <cell r="C64">
            <v>1.8189894035458565E-12</v>
          </cell>
          <cell r="D64">
            <v>1.432454155292362E-11</v>
          </cell>
          <cell r="E64">
            <v>-1.3642420526593924E-12</v>
          </cell>
          <cell r="F64">
            <v>9.0949470177292824E-13</v>
          </cell>
          <cell r="G64">
            <v>-4.5474735088646412E-13</v>
          </cell>
          <cell r="H64">
            <v>-2.2737367544323206E-13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/>
      <sheetData sheetId="1">
        <row r="285">
          <cell r="P285">
            <v>3224515.1065502628</v>
          </cell>
          <cell r="Q285">
            <v>3923713.093904227</v>
          </cell>
          <cell r="R285">
            <v>5156331.7325637145</v>
          </cell>
          <cell r="S285">
            <v>5459903.9135365281</v>
          </cell>
          <cell r="T285">
            <v>4854585.0191654339</v>
          </cell>
          <cell r="U285">
            <v>4306483.9620386567</v>
          </cell>
        </row>
        <row r="286">
          <cell r="P286">
            <v>4513146.602052697</v>
          </cell>
          <cell r="Q286">
            <v>4641799.764627181</v>
          </cell>
          <cell r="R286">
            <v>5018712.5530966222</v>
          </cell>
          <cell r="S286">
            <v>5280984.0309871519</v>
          </cell>
          <cell r="T286">
            <v>5060237.7666452527</v>
          </cell>
          <cell r="U286">
            <v>5618272.1866051657</v>
          </cell>
        </row>
        <row r="318">
          <cell r="P318">
            <v>173412.81</v>
          </cell>
          <cell r="Q318">
            <v>328679.64</v>
          </cell>
          <cell r="R318">
            <v>431976.85</v>
          </cell>
          <cell r="S318">
            <v>457501.73</v>
          </cell>
          <cell r="T318">
            <v>406656.45</v>
          </cell>
          <cell r="U318">
            <v>225084.85</v>
          </cell>
        </row>
        <row r="319">
          <cell r="P319">
            <v>161475.29999999999</v>
          </cell>
          <cell r="Q319">
            <v>233766.01</v>
          </cell>
          <cell r="R319">
            <v>246644.85</v>
          </cell>
          <cell r="S319">
            <v>260846.26</v>
          </cell>
          <cell r="T319">
            <v>252757.71</v>
          </cell>
          <cell r="U319">
            <v>204196.7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O PI Cycle 1"/>
      <sheetName val="PI Allocation"/>
    </sheetNames>
    <sheetDataSet>
      <sheetData sheetId="0">
        <row r="65">
          <cell r="K65">
            <v>41263.03</v>
          </cell>
          <cell r="X65">
            <v>62132.61</v>
          </cell>
        </row>
      </sheetData>
      <sheetData sheetId="1">
        <row r="5">
          <cell r="B5">
            <v>5461152.9000000004</v>
          </cell>
        </row>
        <row r="28">
          <cell r="B28">
            <v>85567046</v>
          </cell>
        </row>
        <row r="29">
          <cell r="B29">
            <v>128844235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8.7109375" customWidth="1"/>
    <col min="3" max="3" width="16.5703125" customWidth="1"/>
    <col min="4" max="4" width="15.5703125" customWidth="1"/>
    <col min="5" max="5" width="14.85546875" bestFit="1" customWidth="1"/>
    <col min="6" max="6" width="17.28515625" bestFit="1" customWidth="1"/>
    <col min="7" max="7" width="17.85546875" customWidth="1"/>
    <col min="8" max="8" width="13.42578125" customWidth="1"/>
    <col min="9" max="9" width="3.5703125" customWidth="1"/>
    <col min="10" max="12" width="14.85546875" bestFit="1" customWidth="1"/>
  </cols>
  <sheetData>
    <row r="1" spans="1:14" x14ac:dyDescent="0.25">
      <c r="A1" s="3" t="str">
        <f>+PPC!A1</f>
        <v>KCP&amp;L Greater Missouri Operations Company - DSIM Rider Update Filed 11/30/2017</v>
      </c>
      <c r="M1" s="61"/>
      <c r="N1" s="61"/>
    </row>
    <row r="2" spans="1:14" ht="15.75" thickBot="1" x14ac:dyDescent="0.3">
      <c r="H2" s="61"/>
      <c r="I2" s="61"/>
      <c r="J2" s="63"/>
      <c r="K2" s="63"/>
      <c r="M2" s="61"/>
      <c r="N2" s="61"/>
    </row>
    <row r="3" spans="1:14" ht="27.75" thickBot="1" x14ac:dyDescent="0.3">
      <c r="B3" s="112" t="s">
        <v>8</v>
      </c>
      <c r="C3" s="159" t="s">
        <v>22</v>
      </c>
      <c r="D3" s="159" t="s">
        <v>23</v>
      </c>
      <c r="E3" s="159" t="s">
        <v>75</v>
      </c>
      <c r="F3" s="159" t="s">
        <v>24</v>
      </c>
      <c r="G3" s="159" t="s">
        <v>47</v>
      </c>
      <c r="H3" s="113" t="s">
        <v>33</v>
      </c>
      <c r="I3" s="52"/>
      <c r="J3" s="114" t="s">
        <v>15</v>
      </c>
      <c r="K3" s="115" t="s">
        <v>74</v>
      </c>
      <c r="L3" s="115" t="s">
        <v>101</v>
      </c>
      <c r="M3" s="61"/>
      <c r="N3" s="61"/>
    </row>
    <row r="4" spans="1:14" ht="15.75" thickBot="1" x14ac:dyDescent="0.3">
      <c r="B4" s="116" t="s">
        <v>29</v>
      </c>
      <c r="C4" s="157">
        <f t="shared" ref="C4:F5" si="0">C10+C16</f>
        <v>4480279.3599499995</v>
      </c>
      <c r="D4" s="158">
        <f t="shared" si="0"/>
        <v>1573110.0753100419</v>
      </c>
      <c r="E4" s="158">
        <f t="shared" si="0"/>
        <v>578320.41359999985</v>
      </c>
      <c r="F4" s="155">
        <f t="shared" si="0"/>
        <v>0</v>
      </c>
      <c r="G4" s="162">
        <f>PPC!B5</f>
        <v>1683385959</v>
      </c>
      <c r="H4" s="163">
        <f>ROUND(SUM(C4:F4)/G4,5)</f>
        <v>3.9399999999999999E-3</v>
      </c>
      <c r="I4" s="164"/>
      <c r="J4" s="227">
        <f>ROUND((C10+C16)/G4,5)+0.00001</f>
        <v>2.6700000000000001E-3</v>
      </c>
      <c r="K4" s="165">
        <f>ROUND((D10+D16)/G4,5)</f>
        <v>9.3000000000000005E-4</v>
      </c>
      <c r="L4" s="165">
        <f>ROUND((E10+E16)/G4,5)</f>
        <v>3.4000000000000002E-4</v>
      </c>
      <c r="M4" s="61"/>
      <c r="N4" s="61"/>
    </row>
    <row r="5" spans="1:14" ht="15.75" thickBot="1" x14ac:dyDescent="0.3">
      <c r="B5" s="116" t="s">
        <v>30</v>
      </c>
      <c r="C5" s="157">
        <f t="shared" si="0"/>
        <v>10565314.314455668</v>
      </c>
      <c r="D5" s="158">
        <f t="shared" si="0"/>
        <v>2648167.6804323387</v>
      </c>
      <c r="E5" s="158">
        <f t="shared" si="0"/>
        <v>848672.88527216576</v>
      </c>
      <c r="F5" s="155">
        <f t="shared" si="0"/>
        <v>0</v>
      </c>
      <c r="G5" s="162">
        <f>PPC!B6</f>
        <v>1689661063.5728161</v>
      </c>
      <c r="H5" s="163">
        <f>ROUND(SUM(C5:F5)/G5,5)</f>
        <v>8.3199999999999993E-3</v>
      </c>
      <c r="I5" s="164"/>
      <c r="J5" s="226">
        <f>ROUND((C11+C17)/G5,5)</f>
        <v>6.2500000000000003E-3</v>
      </c>
      <c r="K5" s="163">
        <f>ROUND((D11+D17)/G5,5)</f>
        <v>1.57E-3</v>
      </c>
      <c r="L5" s="163">
        <f>ROUND((E11+E17)/G5,5)</f>
        <v>5.0000000000000001E-4</v>
      </c>
      <c r="M5" s="61"/>
      <c r="N5" s="61"/>
    </row>
    <row r="6" spans="1:14" x14ac:dyDescent="0.25">
      <c r="C6" s="154"/>
      <c r="D6" s="154"/>
      <c r="E6" s="154"/>
      <c r="F6" s="154"/>
      <c r="G6" s="153"/>
      <c r="M6" s="61"/>
      <c r="N6" s="61"/>
    </row>
    <row r="7" spans="1:14" x14ac:dyDescent="0.25">
      <c r="C7" s="154"/>
      <c r="D7" s="154"/>
      <c r="E7" s="154"/>
      <c r="F7" s="154"/>
      <c r="G7" s="153"/>
      <c r="M7" s="61"/>
      <c r="N7" s="61"/>
    </row>
    <row r="8" spans="1:14" ht="15.75" thickBot="1" x14ac:dyDescent="0.3">
      <c r="C8" s="154"/>
      <c r="D8" s="154"/>
      <c r="E8" s="154"/>
      <c r="F8" s="154"/>
      <c r="G8" s="153"/>
      <c r="M8" s="61"/>
      <c r="N8" s="61"/>
    </row>
    <row r="9" spans="1:14" ht="15.75" thickBot="1" x14ac:dyDescent="0.3">
      <c r="B9" s="112" t="s">
        <v>8</v>
      </c>
      <c r="C9" s="160" t="s">
        <v>7</v>
      </c>
      <c r="D9" s="160" t="s">
        <v>19</v>
      </c>
      <c r="E9" s="161" t="s">
        <v>76</v>
      </c>
      <c r="F9" s="161" t="s">
        <v>20</v>
      </c>
      <c r="G9" s="153"/>
      <c r="M9" s="61"/>
      <c r="N9" s="61"/>
    </row>
    <row r="10" spans="1:14" ht="15.75" thickBot="1" x14ac:dyDescent="0.3">
      <c r="B10" s="116" t="s">
        <v>29</v>
      </c>
      <c r="C10" s="158">
        <f>PPC!C5</f>
        <v>3981556.3149999999</v>
      </c>
      <c r="D10" s="158">
        <f>PTD!C6</f>
        <v>1747839.7</v>
      </c>
      <c r="E10" s="155">
        <f>+EO!G8</f>
        <v>555173.66</v>
      </c>
      <c r="F10" s="156">
        <v>0</v>
      </c>
      <c r="G10" s="153"/>
      <c r="M10" s="61"/>
      <c r="N10" s="61"/>
    </row>
    <row r="11" spans="1:14" ht="15.75" thickBot="1" x14ac:dyDescent="0.3">
      <c r="B11" s="116" t="s">
        <v>30</v>
      </c>
      <c r="C11" s="158">
        <f>PPC!C6</f>
        <v>5155752.5449999999</v>
      </c>
      <c r="D11" s="158">
        <f>PTD!C7</f>
        <v>1747278.66</v>
      </c>
      <c r="E11" s="155">
        <f>+EO!G9</f>
        <v>835963.48</v>
      </c>
      <c r="F11" s="156">
        <v>0</v>
      </c>
      <c r="G11" s="153"/>
      <c r="M11" s="61"/>
      <c r="N11" s="61"/>
    </row>
    <row r="12" spans="1:14" x14ac:dyDescent="0.25">
      <c r="C12" s="154"/>
      <c r="D12" s="154"/>
      <c r="E12" s="154"/>
      <c r="F12" s="154"/>
      <c r="G12" s="153"/>
      <c r="M12" s="61"/>
      <c r="N12" s="61"/>
    </row>
    <row r="13" spans="1:14" x14ac:dyDescent="0.25">
      <c r="C13" s="154"/>
      <c r="D13" s="154"/>
      <c r="E13" s="154"/>
      <c r="F13" s="154"/>
      <c r="G13" s="153"/>
      <c r="M13" s="61"/>
      <c r="N13" s="61"/>
    </row>
    <row r="14" spans="1:14" ht="15.75" thickBot="1" x14ac:dyDescent="0.3">
      <c r="C14" s="154"/>
      <c r="D14" s="154"/>
      <c r="E14" s="154"/>
      <c r="F14" s="154"/>
      <c r="G14" s="153"/>
      <c r="M14" s="61"/>
      <c r="N14" s="61"/>
    </row>
    <row r="15" spans="1:14" ht="15.75" thickBot="1" x14ac:dyDescent="0.3">
      <c r="B15" s="112" t="s">
        <v>8</v>
      </c>
      <c r="C15" s="160" t="s">
        <v>4</v>
      </c>
      <c r="D15" s="160" t="s">
        <v>10</v>
      </c>
      <c r="E15" s="161" t="s">
        <v>77</v>
      </c>
      <c r="F15" s="161" t="s">
        <v>21</v>
      </c>
      <c r="G15" s="153"/>
      <c r="M15" s="61"/>
      <c r="N15" s="61"/>
    </row>
    <row r="16" spans="1:14" ht="15.75" thickBot="1" x14ac:dyDescent="0.3">
      <c r="B16" s="116" t="s">
        <v>29</v>
      </c>
      <c r="C16" s="158">
        <f>+'PCR Cycle 1'!L4+'PCR Cycle 2'!J4</f>
        <v>498723.04494999989</v>
      </c>
      <c r="D16" s="158">
        <f>+'TDR Cycle 1'!L4+'TDR Cycle 2'!J4</f>
        <v>-174729.62468995797</v>
      </c>
      <c r="E16" s="155">
        <f>+EOR!M4</f>
        <v>23146.753599999822</v>
      </c>
      <c r="F16" s="156">
        <v>0</v>
      </c>
      <c r="G16" s="153"/>
      <c r="M16" s="61"/>
      <c r="N16" s="61"/>
    </row>
    <row r="17" spans="2:14" ht="15.75" thickBot="1" x14ac:dyDescent="0.3">
      <c r="B17" s="116" t="s">
        <v>30</v>
      </c>
      <c r="C17" s="158">
        <f>+'PCR Cycle 1'!L5+'PCR Cycle 2'!J5</f>
        <v>5409561.7694556676</v>
      </c>
      <c r="D17" s="158">
        <f>+'TDR Cycle 1'!L5+'TDR Cycle 2'!J5</f>
        <v>900889.0204323387</v>
      </c>
      <c r="E17" s="155">
        <f>+EOR!M5</f>
        <v>12709.405272165779</v>
      </c>
      <c r="F17" s="156">
        <v>0</v>
      </c>
      <c r="G17" s="153"/>
      <c r="M17" s="61"/>
      <c r="N17" s="61"/>
    </row>
    <row r="18" spans="2:14" x14ac:dyDescent="0.25">
      <c r="M18" s="61"/>
      <c r="N18" s="61"/>
    </row>
    <row r="19" spans="2:14" x14ac:dyDescent="0.25">
      <c r="B19" s="120" t="s">
        <v>48</v>
      </c>
      <c r="M19" s="61"/>
      <c r="N19" s="61"/>
    </row>
    <row r="20" spans="2:14" x14ac:dyDescent="0.25">
      <c r="B20" s="121" t="s">
        <v>49</v>
      </c>
      <c r="M20" s="61"/>
      <c r="N20" s="61"/>
    </row>
    <row r="21" spans="2:14" x14ac:dyDescent="0.25">
      <c r="B21" s="121" t="s">
        <v>59</v>
      </c>
      <c r="M21" s="61"/>
      <c r="N21" s="61"/>
    </row>
    <row r="22" spans="2:14" x14ac:dyDescent="0.25">
      <c r="B22" s="121" t="s">
        <v>50</v>
      </c>
      <c r="M22" s="61"/>
      <c r="N22" s="61"/>
    </row>
    <row r="23" spans="2:14" x14ac:dyDescent="0.25">
      <c r="B23" s="121" t="s">
        <v>51</v>
      </c>
      <c r="M23" s="61"/>
      <c r="N23" s="61"/>
    </row>
    <row r="24" spans="2:14" x14ac:dyDescent="0.25">
      <c r="B24" s="121" t="s">
        <v>52</v>
      </c>
      <c r="M24" s="61"/>
      <c r="N24" s="61"/>
    </row>
    <row r="25" spans="2:14" x14ac:dyDescent="0.25">
      <c r="B25" s="121" t="s">
        <v>53</v>
      </c>
      <c r="M25" s="61"/>
      <c r="N25" s="61"/>
    </row>
    <row r="26" spans="2:14" x14ac:dyDescent="0.25">
      <c r="B26" s="121" t="s">
        <v>64</v>
      </c>
      <c r="M26" s="61"/>
      <c r="N26" s="61"/>
    </row>
    <row r="27" spans="2:14" x14ac:dyDescent="0.25">
      <c r="B27" s="121" t="s">
        <v>54</v>
      </c>
      <c r="M27" s="61"/>
      <c r="N27" s="61"/>
    </row>
    <row r="28" spans="2:14" x14ac:dyDescent="0.25">
      <c r="B28" s="121" t="s">
        <v>71</v>
      </c>
      <c r="M28" s="61"/>
      <c r="N28" s="61"/>
    </row>
    <row r="29" spans="2:14" x14ac:dyDescent="0.25">
      <c r="B29" s="121" t="s">
        <v>73</v>
      </c>
      <c r="M29" s="61"/>
      <c r="N29" s="61"/>
    </row>
    <row r="30" spans="2:14" x14ac:dyDescent="0.25">
      <c r="B30" s="121" t="s">
        <v>72</v>
      </c>
      <c r="M30" s="61"/>
      <c r="N30" s="61"/>
    </row>
    <row r="31" spans="2:14" x14ac:dyDescent="0.25">
      <c r="B31" s="121" t="s">
        <v>55</v>
      </c>
      <c r="M31" s="61"/>
      <c r="N31" s="61"/>
    </row>
    <row r="32" spans="2:14" x14ac:dyDescent="0.25">
      <c r="B32" s="121" t="s">
        <v>56</v>
      </c>
      <c r="M32" s="61"/>
      <c r="N32" s="61"/>
    </row>
    <row r="33" spans="2:14" x14ac:dyDescent="0.25">
      <c r="B33" s="121" t="s">
        <v>57</v>
      </c>
      <c r="M33" s="61"/>
      <c r="N33" s="61"/>
    </row>
    <row r="34" spans="2:14" x14ac:dyDescent="0.25">
      <c r="B34" s="121" t="s">
        <v>58</v>
      </c>
      <c r="M34" s="61"/>
      <c r="N34" s="61"/>
    </row>
    <row r="35" spans="2:14" x14ac:dyDescent="0.25">
      <c r="M35" s="61"/>
      <c r="N35" s="61"/>
    </row>
    <row r="36" spans="2:14" x14ac:dyDescent="0.25">
      <c r="M36" s="61"/>
      <c r="N36" s="61"/>
    </row>
    <row r="37" spans="2:14" x14ac:dyDescent="0.25">
      <c r="M37" s="61"/>
      <c r="N37" s="61"/>
    </row>
    <row r="38" spans="2:14" x14ac:dyDescent="0.25">
      <c r="M38" s="61"/>
      <c r="N38" s="61"/>
    </row>
    <row r="39" spans="2:14" x14ac:dyDescent="0.25">
      <c r="M39" s="61"/>
      <c r="N39" s="61"/>
    </row>
    <row r="40" spans="2:14" x14ac:dyDescent="0.25">
      <c r="M40" s="61"/>
      <c r="N40" s="61"/>
    </row>
    <row r="41" spans="2:14" x14ac:dyDescent="0.25">
      <c r="M41" s="61"/>
      <c r="N41" s="61"/>
    </row>
    <row r="42" spans="2:14" x14ac:dyDescent="0.25">
      <c r="M42" s="61"/>
      <c r="N42" s="61"/>
    </row>
    <row r="43" spans="2:14" x14ac:dyDescent="0.25">
      <c r="M43" s="61"/>
      <c r="N43" s="61"/>
    </row>
    <row r="44" spans="2:14" x14ac:dyDescent="0.25">
      <c r="M44" s="61"/>
      <c r="N44" s="61"/>
    </row>
  </sheetData>
  <pageMargins left="0.2" right="0.2" top="0.75" bottom="0.25" header="0.3" footer="0.3"/>
  <pageSetup scale="79" orientation="landscape" r:id="rId1"/>
  <headerFooter>
    <oddHeader>&amp;C&amp;F 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H1" sqref="H1"/>
    </sheetView>
  </sheetViews>
  <sheetFormatPr defaultRowHeight="15" x14ac:dyDescent="0.25"/>
  <cols>
    <col min="1" max="1" width="26.42578125" style="61" customWidth="1"/>
    <col min="2" max="2" width="14.28515625" style="61" bestFit="1" customWidth="1"/>
    <col min="3" max="3" width="14.28515625" style="61" customWidth="1"/>
    <col min="4" max="4" width="13.28515625" style="61" bestFit="1" customWidth="1"/>
    <col min="5" max="16384" width="9.140625" style="61"/>
  </cols>
  <sheetData>
    <row r="1" spans="1:5" x14ac:dyDescent="0.25">
      <c r="A1" s="79" t="str">
        <f>+PPC!A1</f>
        <v>KCP&amp;L Greater Missouri Operations Company - DSIM Rider Update Filed 11/30/2017</v>
      </c>
    </row>
    <row r="2" spans="1:5" x14ac:dyDescent="0.25">
      <c r="A2" s="9" t="s">
        <v>126</v>
      </c>
    </row>
    <row r="3" spans="1:5" ht="45.75" customHeight="1" x14ac:dyDescent="0.25">
      <c r="B3" s="228" t="s">
        <v>129</v>
      </c>
      <c r="C3" s="228"/>
      <c r="D3" s="228"/>
    </row>
    <row r="4" spans="1:5" x14ac:dyDescent="0.25">
      <c r="B4" s="86"/>
      <c r="C4" s="86"/>
      <c r="D4" s="63" t="s">
        <v>20</v>
      </c>
    </row>
    <row r="5" spans="1:5" x14ac:dyDescent="0.25">
      <c r="A5" s="22" t="s">
        <v>130</v>
      </c>
      <c r="B5" s="86"/>
      <c r="C5" s="86"/>
      <c r="D5" s="225">
        <v>0</v>
      </c>
    </row>
    <row r="6" spans="1:5" x14ac:dyDescent="0.25">
      <c r="A6" s="22" t="s">
        <v>131</v>
      </c>
      <c r="B6" s="86"/>
      <c r="C6" s="86"/>
      <c r="D6" s="225">
        <v>0</v>
      </c>
    </row>
    <row r="7" spans="1:5" x14ac:dyDescent="0.25">
      <c r="A7" s="22"/>
      <c r="B7" s="86"/>
      <c r="C7" s="86"/>
      <c r="D7" s="200"/>
    </row>
    <row r="8" spans="1:5" x14ac:dyDescent="0.25">
      <c r="A8" s="22" t="s">
        <v>29</v>
      </c>
      <c r="B8" s="86"/>
      <c r="C8" s="86"/>
      <c r="D8" s="36">
        <v>0</v>
      </c>
      <c r="E8" s="4"/>
    </row>
    <row r="9" spans="1:5" x14ac:dyDescent="0.25">
      <c r="A9" s="22" t="s">
        <v>30</v>
      </c>
      <c r="B9" s="86"/>
      <c r="C9" s="86"/>
      <c r="D9" s="36">
        <f>ROUND($D$5+D6,2)</f>
        <v>0</v>
      </c>
      <c r="E9" s="4"/>
    </row>
    <row r="10" spans="1:5" ht="15.75" thickBot="1" x14ac:dyDescent="0.3">
      <c r="A10" s="22" t="s">
        <v>6</v>
      </c>
      <c r="B10" s="86"/>
      <c r="C10" s="86"/>
      <c r="D10" s="24">
        <f>SUM(D8:D9)</f>
        <v>0</v>
      </c>
      <c r="E10" s="4"/>
    </row>
    <row r="11" spans="1:5" ht="16.5" thickTop="1" thickBot="1" x14ac:dyDescent="0.3">
      <c r="B11" s="33"/>
      <c r="C11" s="33"/>
      <c r="D11" s="21">
        <f>ROUND(D5+D6,2)-D10</f>
        <v>0</v>
      </c>
      <c r="E11" s="2"/>
    </row>
    <row r="12" spans="1:5" ht="15.75" thickTop="1" x14ac:dyDescent="0.25">
      <c r="E12" s="4"/>
    </row>
    <row r="13" spans="1:5" x14ac:dyDescent="0.25">
      <c r="E13" s="4"/>
    </row>
    <row r="17" spans="1:1" x14ac:dyDescent="0.25">
      <c r="A17" s="68" t="s">
        <v>13</v>
      </c>
    </row>
    <row r="18" spans="1:1" x14ac:dyDescent="0.25">
      <c r="A18" s="3" t="s">
        <v>132</v>
      </c>
    </row>
    <row r="19" spans="1:1" x14ac:dyDescent="0.25">
      <c r="A19" s="3" t="s">
        <v>133</v>
      </c>
    </row>
  </sheetData>
  <mergeCells count="1">
    <mergeCell ref="B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" sqref="H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workbookViewId="0">
      <selection activeCell="H1" sqref="H1"/>
    </sheetView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9" width="17.7109375" customWidth="1"/>
  </cols>
  <sheetData>
    <row r="1" spans="1:32" s="61" customFormat="1" x14ac:dyDescent="0.25">
      <c r="A1" s="79" t="s">
        <v>150</v>
      </c>
    </row>
    <row r="2" spans="1:32" ht="15.75" thickBot="1" x14ac:dyDescent="0.3">
      <c r="A2" s="9" t="s">
        <v>126</v>
      </c>
    </row>
    <row r="3" spans="1:32" ht="35.25" customHeight="1" thickBot="1" x14ac:dyDescent="0.3">
      <c r="B3" s="228" t="s">
        <v>85</v>
      </c>
      <c r="C3" s="228"/>
      <c r="E3" s="229" t="s">
        <v>5</v>
      </c>
      <c r="F3" s="230"/>
      <c r="G3" s="230"/>
      <c r="H3" s="230"/>
      <c r="I3" s="231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79</v>
      </c>
      <c r="I4" s="91" t="s">
        <v>1</v>
      </c>
    </row>
    <row r="5" spans="1:32" x14ac:dyDescent="0.25">
      <c r="A5" s="22" t="s">
        <v>29</v>
      </c>
      <c r="B5" s="93">
        <f>+[1]GMO!T19</f>
        <v>1683385959</v>
      </c>
      <c r="C5" s="36">
        <f>SUM(F9:I9)</f>
        <v>3981556.3149999999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+[1]GMO!T20</f>
        <v>1689661063.5728161</v>
      </c>
      <c r="C6" s="36">
        <f>SUM(F10:I10)</f>
        <v>5155752.5449999999</v>
      </c>
      <c r="D6" s="4"/>
      <c r="E6" s="25"/>
      <c r="F6" s="27">
        <v>0</v>
      </c>
      <c r="G6" s="27">
        <f>B6/SUM($B$6:$B$6)</f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3373047022.5728159</v>
      </c>
      <c r="C7" s="24">
        <f>SUM(C5:C6)</f>
        <v>9137308.8599999994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GMO'!$AD$159,2)</f>
        <v>3840564.06</v>
      </c>
      <c r="G8" s="37">
        <f>ROUND('[2]Program Costs - GMO'!$AD$160,2)</f>
        <v>5014760.29</v>
      </c>
      <c r="H8" s="37">
        <f>ROUND('[2]Program Costs - GMO'!$AD$161,2)</f>
        <v>281984.51</v>
      </c>
      <c r="I8" s="38">
        <f>ROUND('[2]Program Costs - GMO'!$AD$162,2)</f>
        <v>0</v>
      </c>
    </row>
    <row r="9" spans="1:32" ht="15.75" thickTop="1" x14ac:dyDescent="0.25">
      <c r="D9" s="4"/>
      <c r="E9" s="108" t="s">
        <v>29</v>
      </c>
      <c r="F9" s="109">
        <f t="shared" ref="F9:I10" si="0">F5*F$8</f>
        <v>3840564.06</v>
      </c>
      <c r="G9" s="109">
        <f t="shared" si="0"/>
        <v>0</v>
      </c>
      <c r="H9" s="109">
        <f t="shared" si="0"/>
        <v>140992.255</v>
      </c>
      <c r="I9" s="110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5014760.29</v>
      </c>
      <c r="H10" s="29">
        <f t="shared" si="0"/>
        <v>140992.255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8" t="s">
        <v>13</v>
      </c>
      <c r="F14" s="60"/>
      <c r="G14" s="60"/>
      <c r="H14" s="60"/>
      <c r="I14" s="60"/>
      <c r="J14" s="60"/>
    </row>
    <row r="15" spans="1:32" x14ac:dyDescent="0.25">
      <c r="A15" s="232" t="s">
        <v>116</v>
      </c>
      <c r="B15" s="232"/>
      <c r="C15" s="232"/>
      <c r="D15" s="232"/>
      <c r="E15" s="232"/>
      <c r="F15" s="232"/>
      <c r="G15" s="232"/>
      <c r="H15" s="232"/>
      <c r="I15" s="232"/>
    </row>
    <row r="16" spans="1:32" x14ac:dyDescent="0.25">
      <c r="A16" s="233" t="s">
        <v>134</v>
      </c>
      <c r="B16" s="233"/>
      <c r="C16" s="233"/>
      <c r="D16" s="233"/>
      <c r="E16" s="233"/>
      <c r="F16" s="233"/>
      <c r="G16" s="233"/>
      <c r="H16" s="233"/>
      <c r="I16" s="233"/>
    </row>
    <row r="26" spans="1:10" x14ac:dyDescent="0.25">
      <c r="C26" s="2"/>
    </row>
    <row r="28" spans="1:10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5">
      <c r="A29" s="61"/>
      <c r="B29" s="61"/>
      <c r="C29" s="61"/>
      <c r="E29" s="61"/>
      <c r="F29" s="61"/>
      <c r="G29" s="61"/>
      <c r="H29" s="61"/>
      <c r="I29" s="61"/>
      <c r="J29" s="61"/>
    </row>
    <row r="30" spans="1:10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spans="1:10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0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0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</row>
    <row r="37" spans="1:10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80" orientation="landscape" r:id="rId1"/>
  <headerFooter>
    <oddHeader>&amp;C&amp;F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workbookViewId="0">
      <selection activeCell="H1" sqref="H1"/>
    </sheetView>
  </sheetViews>
  <sheetFormatPr defaultRowHeight="15" x14ac:dyDescent="0.25"/>
  <cols>
    <col min="1" max="1" width="54.5703125" customWidth="1"/>
    <col min="2" max="2" width="14.7109375" style="61" bestFit="1" customWidth="1"/>
    <col min="3" max="3" width="15" style="61" customWidth="1"/>
    <col min="4" max="4" width="13.85546875" customWidth="1"/>
    <col min="5" max="5" width="15.85546875" customWidth="1"/>
    <col min="6" max="6" width="17.5703125" style="61" customWidth="1"/>
    <col min="7" max="8" width="13.28515625" style="61" customWidth="1"/>
    <col min="9" max="9" width="16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bestFit="1" customWidth="1"/>
    <col min="14" max="14" width="16.28515625" bestFit="1" customWidth="1"/>
    <col min="15" max="15" width="16.140625" customWidth="1"/>
    <col min="16" max="16" width="17.28515625" bestFit="1" customWidth="1"/>
    <col min="17" max="17" width="17.42578125" customWidth="1"/>
    <col min="18" max="18" width="15.5703125" customWidth="1"/>
    <col min="19" max="19" width="13" customWidth="1"/>
    <col min="21" max="21" width="14.28515625" bestFit="1" customWidth="1"/>
  </cols>
  <sheetData>
    <row r="1" spans="1:34" x14ac:dyDescent="0.25">
      <c r="A1" s="3" t="str">
        <f>+PPC!A1</f>
        <v>KCP&amp;L Greater Missouri Operations Company - DSIM Rider Update Filed 11/30/2017</v>
      </c>
      <c r="B1" s="3"/>
      <c r="C1" s="3"/>
    </row>
    <row r="2" spans="1:34" x14ac:dyDescent="0.25">
      <c r="D2" s="3" t="s">
        <v>78</v>
      </c>
    </row>
    <row r="3" spans="1:34" ht="45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70</v>
      </c>
      <c r="I3" s="6" t="s">
        <v>11</v>
      </c>
      <c r="J3" s="6" t="s">
        <v>4</v>
      </c>
      <c r="L3" s="86" t="s">
        <v>87</v>
      </c>
    </row>
    <row r="4" spans="1:34" x14ac:dyDescent="0.25">
      <c r="A4" s="61" t="s">
        <v>29</v>
      </c>
      <c r="D4" s="24">
        <f>SUM(C25:L25)</f>
        <v>-1638029.21288</v>
      </c>
      <c r="E4" s="168">
        <f>SUM(C21:L21)</f>
        <v>1840515291.95</v>
      </c>
      <c r="F4" s="24">
        <f>SUM(C17:K17)</f>
        <v>0</v>
      </c>
      <c r="G4" s="24">
        <f>F4-D4</f>
        <v>1638029.21288</v>
      </c>
      <c r="H4" s="24">
        <f>+B35</f>
        <v>-2419006.5085300002</v>
      </c>
      <c r="I4" s="24">
        <f>SUM(C40:K40)</f>
        <v>-23879.64</v>
      </c>
      <c r="J4" s="36">
        <f>SUM(G4:I4)</f>
        <v>-804856.93565000023</v>
      </c>
      <c r="K4" s="62">
        <f>+J4-L35</f>
        <v>0</v>
      </c>
      <c r="L4" s="36">
        <f>+J4/3*3</f>
        <v>-804856.93565000023</v>
      </c>
    </row>
    <row r="5" spans="1:34" ht="15.75" thickBot="1" x14ac:dyDescent="0.3">
      <c r="A5" t="s">
        <v>30</v>
      </c>
      <c r="D5" s="24">
        <f>SUM(C26:L26)</f>
        <v>6988415.5521550849</v>
      </c>
      <c r="E5" s="168">
        <f>SUM(C22:L22)</f>
        <v>1807256400.3150203</v>
      </c>
      <c r="F5" s="24">
        <f>SUM(C18:K18)</f>
        <v>0</v>
      </c>
      <c r="G5" s="24">
        <f>F5-D5</f>
        <v>-6988415.5521550849</v>
      </c>
      <c r="H5" s="24">
        <f>+B36</f>
        <v>10093631.015841953</v>
      </c>
      <c r="I5" s="24">
        <f>SUM(C41:K41)</f>
        <v>97411.89</v>
      </c>
      <c r="J5" s="36">
        <f>SUM(G5:I5)</f>
        <v>3202627.3536868687</v>
      </c>
      <c r="K5" s="62">
        <f>+J5-L36</f>
        <v>0</v>
      </c>
      <c r="L5" s="36">
        <f>+J5/3*3</f>
        <v>3202627.3536868687</v>
      </c>
    </row>
    <row r="6" spans="1:34" ht="16.5" thickTop="1" thickBot="1" x14ac:dyDescent="0.3">
      <c r="D6" s="40">
        <f t="shared" ref="D6" si="0">SUM(D4:D5)</f>
        <v>5350386.3392750844</v>
      </c>
      <c r="E6" s="169">
        <f t="shared" ref="E6:H6" si="1">SUM(E4:E5)</f>
        <v>3647771692.2650204</v>
      </c>
      <c r="F6" s="40">
        <f t="shared" si="1"/>
        <v>0</v>
      </c>
      <c r="G6" s="40">
        <f t="shared" si="1"/>
        <v>-5350386.3392750844</v>
      </c>
      <c r="H6" s="40">
        <f t="shared" si="1"/>
        <v>7674624.5073119532</v>
      </c>
      <c r="I6" s="94">
        <f>SUM(I4:I5)</f>
        <v>73532.25</v>
      </c>
      <c r="J6" s="40">
        <f>SUM(J4:J5)</f>
        <v>2397770.4180368683</v>
      </c>
    </row>
    <row r="7" spans="1:34" ht="16.5" thickTop="1" thickBot="1" x14ac:dyDescent="0.3"/>
    <row r="8" spans="1:34" ht="75.75" thickBot="1" x14ac:dyDescent="0.3">
      <c r="B8" s="145" t="s">
        <v>127</v>
      </c>
      <c r="C8" s="221" t="s">
        <v>128</v>
      </c>
      <c r="D8" s="237" t="s">
        <v>39</v>
      </c>
      <c r="E8" s="237"/>
      <c r="F8" s="238"/>
      <c r="G8" s="229" t="s">
        <v>39</v>
      </c>
      <c r="H8" s="230"/>
      <c r="I8" s="231"/>
      <c r="J8" s="239" t="s">
        <v>9</v>
      </c>
      <c r="K8" s="240"/>
      <c r="L8" s="241"/>
    </row>
    <row r="9" spans="1:34" x14ac:dyDescent="0.25">
      <c r="A9" t="s">
        <v>38</v>
      </c>
      <c r="C9" s="14"/>
      <c r="D9" s="20">
        <v>42886</v>
      </c>
      <c r="E9" s="20">
        <f t="shared" ref="E9" si="2">EDATE(D9,1)</f>
        <v>42916</v>
      </c>
      <c r="F9" s="20">
        <f t="shared" ref="F9" si="3">EDATE(E9,1)</f>
        <v>42946</v>
      </c>
      <c r="G9" s="14">
        <f t="shared" ref="G9:I9" si="4">EDATE(F9,1)</f>
        <v>42977</v>
      </c>
      <c r="H9" s="20">
        <f t="shared" si="4"/>
        <v>43008</v>
      </c>
      <c r="I9" s="20">
        <f t="shared" si="4"/>
        <v>43038</v>
      </c>
      <c r="J9" s="14">
        <f t="shared" ref="J9:L9" si="5">EDATE(I9,1)</f>
        <v>43069</v>
      </c>
      <c r="K9" s="20">
        <f t="shared" si="5"/>
        <v>43099</v>
      </c>
      <c r="L9" s="122">
        <f t="shared" si="5"/>
        <v>43130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t="s">
        <v>29</v>
      </c>
      <c r="C10" s="124">
        <v>0</v>
      </c>
      <c r="D10" s="136">
        <v>0</v>
      </c>
      <c r="E10" s="136">
        <v>0</v>
      </c>
      <c r="F10" s="137">
        <v>0</v>
      </c>
      <c r="G10" s="16">
        <v>0</v>
      </c>
      <c r="H10" s="70">
        <v>0</v>
      </c>
      <c r="I10" s="72">
        <v>0</v>
      </c>
      <c r="J10" s="181">
        <v>0</v>
      </c>
      <c r="K10" s="171">
        <v>0</v>
      </c>
      <c r="L10" s="95"/>
    </row>
    <row r="11" spans="1:34" x14ac:dyDescent="0.25">
      <c r="A11" t="s">
        <v>30</v>
      </c>
      <c r="C11" s="124">
        <v>0</v>
      </c>
      <c r="D11" s="136">
        <v>0</v>
      </c>
      <c r="E11" s="136">
        <v>0</v>
      </c>
      <c r="F11" s="137">
        <v>0</v>
      </c>
      <c r="G11" s="16">
        <v>0</v>
      </c>
      <c r="H11" s="70">
        <v>0</v>
      </c>
      <c r="I11" s="72">
        <v>0</v>
      </c>
      <c r="J11" s="181">
        <v>0</v>
      </c>
      <c r="K11" s="171">
        <v>0</v>
      </c>
      <c r="L11" s="95"/>
      <c r="M11" s="79" t="s">
        <v>32</v>
      </c>
    </row>
    <row r="12" spans="1:34" x14ac:dyDescent="0.25">
      <c r="A12" t="s">
        <v>0</v>
      </c>
      <c r="C12" s="124">
        <v>0</v>
      </c>
      <c r="D12" s="136">
        <v>0</v>
      </c>
      <c r="E12" s="136">
        <v>0</v>
      </c>
      <c r="F12" s="137">
        <v>0</v>
      </c>
      <c r="G12" s="16">
        <v>0</v>
      </c>
      <c r="H12" s="70">
        <v>0</v>
      </c>
      <c r="I12" s="72">
        <v>0</v>
      </c>
      <c r="J12" s="181">
        <v>0</v>
      </c>
      <c r="K12" s="171">
        <v>0</v>
      </c>
      <c r="L12" s="95"/>
      <c r="M12" s="89">
        <v>0.5</v>
      </c>
    </row>
    <row r="13" spans="1:34" x14ac:dyDescent="0.25">
      <c r="A13" t="s">
        <v>1</v>
      </c>
      <c r="C13" s="124">
        <v>0</v>
      </c>
      <c r="D13" s="136">
        <v>0</v>
      </c>
      <c r="E13" s="136">
        <v>0</v>
      </c>
      <c r="F13" s="137">
        <v>0</v>
      </c>
      <c r="G13" s="16">
        <v>0</v>
      </c>
      <c r="H13" s="70">
        <v>0</v>
      </c>
      <c r="I13" s="72">
        <v>0</v>
      </c>
      <c r="J13" s="181">
        <v>0</v>
      </c>
      <c r="K13" s="171">
        <v>0</v>
      </c>
      <c r="L13" s="95"/>
      <c r="M13" s="79" t="s">
        <v>28</v>
      </c>
    </row>
    <row r="14" spans="1:34" s="61" customFormat="1" x14ac:dyDescent="0.25">
      <c r="A14" s="61" t="s">
        <v>27</v>
      </c>
      <c r="C14" s="124">
        <v>0</v>
      </c>
      <c r="D14" s="136">
        <v>0</v>
      </c>
      <c r="E14" s="136">
        <v>0</v>
      </c>
      <c r="F14" s="137">
        <v>0</v>
      </c>
      <c r="G14" s="16">
        <v>0</v>
      </c>
      <c r="H14" s="70">
        <v>0</v>
      </c>
      <c r="I14" s="72">
        <v>0</v>
      </c>
      <c r="J14" s="181">
        <v>0</v>
      </c>
      <c r="K14" s="171">
        <v>0</v>
      </c>
      <c r="L14" s="95"/>
      <c r="M14" s="89">
        <v>2.4400000000000002E-2</v>
      </c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f t="shared" ref="C17:H17" si="6">C10+($M$12*C$12)+($M$12*C$13)+C$14*(1-$M$14)</f>
        <v>0</v>
      </c>
      <c r="D17" s="54">
        <f t="shared" si="6"/>
        <v>0</v>
      </c>
      <c r="E17" s="54">
        <f t="shared" si="6"/>
        <v>0</v>
      </c>
      <c r="F17" s="135">
        <f t="shared" si="6"/>
        <v>0</v>
      </c>
      <c r="G17" s="53">
        <f t="shared" si="6"/>
        <v>0</v>
      </c>
      <c r="H17" s="54">
        <f t="shared" si="6"/>
        <v>0</v>
      </c>
      <c r="I17" s="135">
        <f t="shared" ref="I17" si="7">I10+($M$12*I$12)+($M$12*I$13)+I$14*(1-$M$14)</f>
        <v>0</v>
      </c>
      <c r="J17" s="53">
        <f t="shared" ref="J17:L17" si="8">J10+($M$12*J$12)+($M$12*J$13)+J$14*(1-$M$14)</f>
        <v>0</v>
      </c>
      <c r="K17" s="54">
        <f t="shared" si="8"/>
        <v>0</v>
      </c>
      <c r="L17" s="54">
        <f t="shared" si="8"/>
        <v>0</v>
      </c>
    </row>
    <row r="18" spans="1:14" x14ac:dyDescent="0.25">
      <c r="A18" t="s">
        <v>30</v>
      </c>
      <c r="C18" s="53">
        <f t="shared" ref="C18:H18" si="9">(C$11+$M$12*C$12+C$14*$M$14)+C$13*$M$12</f>
        <v>0</v>
      </c>
      <c r="D18" s="54">
        <f t="shared" si="9"/>
        <v>0</v>
      </c>
      <c r="E18" s="54">
        <f t="shared" si="9"/>
        <v>0</v>
      </c>
      <c r="F18" s="135">
        <f t="shared" si="9"/>
        <v>0</v>
      </c>
      <c r="G18" s="53">
        <f t="shared" si="9"/>
        <v>0</v>
      </c>
      <c r="H18" s="54">
        <f t="shared" si="9"/>
        <v>0</v>
      </c>
      <c r="I18" s="135">
        <f t="shared" ref="I18" si="10">(I$11+$M$12*I$12+I$14*$M$14)+I$13*$M$12</f>
        <v>0</v>
      </c>
      <c r="J18" s="53">
        <f t="shared" ref="J18:L18" si="11">(J$11+$M$12*J$12+J$14*$M$14)+J$13*$M$12</f>
        <v>0</v>
      </c>
      <c r="K18" s="54">
        <f t="shared" si="11"/>
        <v>0</v>
      </c>
      <c r="L18" s="54">
        <f t="shared" si="11"/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4" x14ac:dyDescent="0.25">
      <c r="A21" s="61" t="s">
        <v>29</v>
      </c>
      <c r="C21" s="129">
        <v>-824797923</v>
      </c>
      <c r="D21" s="138">
        <f>+'[3]Revenue Analysis'!G144</f>
        <v>208252866</v>
      </c>
      <c r="E21" s="138">
        <f>+'[3]Revenue Analysis'!H144</f>
        <v>273994606.99000001</v>
      </c>
      <c r="F21" s="138">
        <f>+'[3]Revenue Analysis'!I144</f>
        <v>359503074.99000001</v>
      </c>
      <c r="G21" s="214">
        <f>+'[3]Revenue Analysis'!J144</f>
        <v>359728883.99000001</v>
      </c>
      <c r="H21" s="93">
        <f>+'[3]Revenue Analysis'!K144</f>
        <v>287138869.99000001</v>
      </c>
      <c r="I21" s="208">
        <f>+'[3]Revenue Analysis'!L144</f>
        <v>255707997.99000001</v>
      </c>
      <c r="J21" s="182">
        <f>+[1]GMO!L14</f>
        <v>223327637</v>
      </c>
      <c r="K21" s="172">
        <f>+[1]GMO!M14</f>
        <v>315541066</v>
      </c>
      <c r="L21" s="96">
        <f>+[1]GMO!N14</f>
        <v>382118212</v>
      </c>
    </row>
    <row r="22" spans="1:14" x14ac:dyDescent="0.25">
      <c r="A22" s="61" t="s">
        <v>30</v>
      </c>
      <c r="C22" s="129">
        <v>-879084495.97920001</v>
      </c>
      <c r="D22" s="138">
        <f>+'[3]Revenue Analysis'!G145</f>
        <v>250247736.00999999</v>
      </c>
      <c r="E22" s="138">
        <f>+'[3]Revenue Analysis'!H145</f>
        <v>308799279.63</v>
      </c>
      <c r="F22" s="138">
        <f>+'[3]Revenue Analysis'!I145</f>
        <v>333949292.00999999</v>
      </c>
      <c r="G22" s="214">
        <f>+'[3]Revenue Analysis'!J145</f>
        <v>330904467</v>
      </c>
      <c r="H22" s="93">
        <f>+'[3]Revenue Analysis'!K145</f>
        <v>320150904</v>
      </c>
      <c r="I22" s="208">
        <f>+'[3]Revenue Analysis'!L145</f>
        <v>313281831</v>
      </c>
      <c r="J22" s="182">
        <f>+[1]GMO!L15</f>
        <v>261977849.10526147</v>
      </c>
      <c r="K22" s="172">
        <f>+[1]GMO!M15</f>
        <v>277685698.33197641</v>
      </c>
      <c r="L22" s="96">
        <f>+[1]GMO!N15</f>
        <v>289343839.20698243</v>
      </c>
    </row>
    <row r="23" spans="1:14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4" x14ac:dyDescent="0.25">
      <c r="A24" t="s">
        <v>40</v>
      </c>
      <c r="C24" s="126"/>
      <c r="D24" s="18"/>
      <c r="E24" s="18"/>
      <c r="F24" s="18"/>
      <c r="G24" s="118"/>
      <c r="H24" s="18"/>
      <c r="I24" s="61"/>
      <c r="J24" s="183"/>
      <c r="K24" s="73"/>
      <c r="L24" s="74"/>
      <c r="M24" s="79" t="s">
        <v>66</v>
      </c>
      <c r="N24" s="52"/>
    </row>
    <row r="25" spans="1:14" x14ac:dyDescent="0.25">
      <c r="A25" s="61" t="s">
        <v>29</v>
      </c>
      <c r="C25" s="124">
        <v>734070.15146999992</v>
      </c>
      <c r="D25" s="136">
        <f>ROUND('[3]Revenue Analysis'!G105+'[3]Revenue Analysis'!G110,2)</f>
        <v>-185344.83</v>
      </c>
      <c r="E25" s="136">
        <f>ROUND('[3]Revenue Analysis'!H105+'[3]Revenue Analysis'!H110,2)</f>
        <v>-243852.62</v>
      </c>
      <c r="F25" s="137">
        <f>ROUND('[3]Revenue Analysis'!I105+'[3]Revenue Analysis'!I110,2)</f>
        <v>-319953.15999999997</v>
      </c>
      <c r="G25" s="222">
        <f>ROUND('[3]Revenue Analysis'!J105+'[3]Revenue Analysis'!J110,2)</f>
        <v>-320137.78000000003</v>
      </c>
      <c r="H25" s="179">
        <f>ROUND('[3]Revenue Analysis'!K105+'[3]Revenue Analysis'!K110,2)</f>
        <v>-255551.64</v>
      </c>
      <c r="I25" s="180">
        <f>ROUND('[3]Revenue Analysis'!L105+'[3]Revenue Analysis'!L110,2)</f>
        <v>-227580.98</v>
      </c>
      <c r="J25" s="53">
        <f t="shared" ref="J25:L26" si="12">J21*$M25</f>
        <v>-198761.59693</v>
      </c>
      <c r="K25" s="54">
        <f t="shared" si="12"/>
        <v>-280831.54874</v>
      </c>
      <c r="L25" s="54">
        <f t="shared" si="12"/>
        <v>-340085.20868000004</v>
      </c>
      <c r="M25" s="88">
        <v>-8.9000000000000006E-4</v>
      </c>
    </row>
    <row r="26" spans="1:14" x14ac:dyDescent="0.25">
      <c r="A26" t="str">
        <f>A22</f>
        <v>Non-Residential</v>
      </c>
      <c r="C26" s="124">
        <v>-3463592.9141580476</v>
      </c>
      <c r="D26" s="136">
        <f>ROUND('[3]Revenue Analysis'!G106+'[3]Revenue Analysis'!G111,2)</f>
        <v>983592.57</v>
      </c>
      <c r="E26" s="136">
        <f>ROUND('[3]Revenue Analysis'!H106+'[3]Revenue Analysis'!H111,2)</f>
        <v>1216670.06</v>
      </c>
      <c r="F26" s="137">
        <f>ROUND('[3]Revenue Analysis'!I106+'[3]Revenue Analysis'!I111,2)</f>
        <v>1315763.1499999999</v>
      </c>
      <c r="G26" s="222">
        <f>ROUND('[3]Revenue Analysis'!J106+'[3]Revenue Analysis'!J111,2)</f>
        <v>1276258.5</v>
      </c>
      <c r="H26" s="179">
        <f>ROUND('[3]Revenue Analysis'!K106+'[3]Revenue Analysis'!K111,2)</f>
        <v>1239018.78</v>
      </c>
      <c r="I26" s="180">
        <f>ROUND('[3]Revenue Analysis'!L106+'[3]Revenue Analysis'!L111,2)</f>
        <v>1212446.82</v>
      </c>
      <c r="J26" s="53">
        <f t="shared" si="12"/>
        <v>1013854.2760373619</v>
      </c>
      <c r="K26" s="54">
        <f t="shared" si="12"/>
        <v>1074643.6525447487</v>
      </c>
      <c r="L26" s="54">
        <f t="shared" si="12"/>
        <v>1119760.657731022</v>
      </c>
      <c r="M26" s="88">
        <v>3.8700000000000002E-3</v>
      </c>
    </row>
    <row r="27" spans="1:14" x14ac:dyDescent="0.25">
      <c r="C27" s="83"/>
      <c r="D27" s="18"/>
      <c r="E27" s="18"/>
      <c r="F27" s="18"/>
      <c r="G27" s="118"/>
      <c r="H27" s="18"/>
      <c r="I27" s="61"/>
      <c r="J27" s="12"/>
      <c r="K27" s="71"/>
      <c r="L27" s="13"/>
      <c r="M27" s="4"/>
    </row>
    <row r="28" spans="1:14" ht="15.75" thickBot="1" x14ac:dyDescent="0.3">
      <c r="A28" t="s">
        <v>16</v>
      </c>
      <c r="C28" s="130">
        <v>-35470.29</v>
      </c>
      <c r="D28" s="139">
        <v>18790.61</v>
      </c>
      <c r="E28" s="139">
        <v>18347.71</v>
      </c>
      <c r="F28" s="140">
        <v>16802.829999999998</v>
      </c>
      <c r="G28" s="39">
        <v>14844.810000000001</v>
      </c>
      <c r="H28" s="149">
        <v>12886.21</v>
      </c>
      <c r="I28" s="209">
        <v>10888.88</v>
      </c>
      <c r="J28" s="185">
        <v>9045.3599999999988</v>
      </c>
      <c r="K28" s="173">
        <v>7396.09</v>
      </c>
      <c r="L28" s="100"/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x14ac:dyDescent="0.25">
      <c r="A30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C31" s="53">
        <f t="shared" ref="C31:C32" si="13">C17-C25</f>
        <v>-734070.15146999992</v>
      </c>
      <c r="D31" s="54">
        <f t="shared" ref="D31:I32" si="14">D17-D25</f>
        <v>185344.83</v>
      </c>
      <c r="E31" s="54">
        <f t="shared" si="14"/>
        <v>243852.62</v>
      </c>
      <c r="F31" s="135">
        <f t="shared" ref="F31:H31" si="15">F17-F25</f>
        <v>319953.15999999997</v>
      </c>
      <c r="G31" s="53">
        <f t="shared" si="15"/>
        <v>320137.78000000003</v>
      </c>
      <c r="H31" s="54">
        <f t="shared" si="15"/>
        <v>255551.64</v>
      </c>
      <c r="I31" s="135">
        <f t="shared" si="14"/>
        <v>227580.98</v>
      </c>
      <c r="J31" s="53">
        <f t="shared" ref="J31:K31" si="16">J17-J25</f>
        <v>198761.59693</v>
      </c>
      <c r="K31" s="54">
        <f t="shared" si="16"/>
        <v>280831.54874</v>
      </c>
      <c r="L31" s="64">
        <f t="shared" ref="L31" si="17">L17-L25</f>
        <v>340085.20868000004</v>
      </c>
    </row>
    <row r="32" spans="1:14" x14ac:dyDescent="0.25">
      <c r="A32" t="s">
        <v>30</v>
      </c>
      <c r="C32" s="53">
        <f t="shared" si="13"/>
        <v>3463592.9141580476</v>
      </c>
      <c r="D32" s="54">
        <f t="shared" si="14"/>
        <v>-983592.57</v>
      </c>
      <c r="E32" s="54">
        <f t="shared" si="14"/>
        <v>-1216670.06</v>
      </c>
      <c r="F32" s="135">
        <f t="shared" ref="F32:H32" si="18">F18-F26</f>
        <v>-1315763.1499999999</v>
      </c>
      <c r="G32" s="53">
        <f t="shared" si="18"/>
        <v>-1276258.5</v>
      </c>
      <c r="H32" s="54">
        <f t="shared" si="18"/>
        <v>-1239018.78</v>
      </c>
      <c r="I32" s="135">
        <f t="shared" si="14"/>
        <v>-1212446.82</v>
      </c>
      <c r="J32" s="53">
        <f t="shared" ref="J32:K32" si="19">J18-J26</f>
        <v>-1013854.2760373619</v>
      </c>
      <c r="K32" s="54">
        <f t="shared" si="19"/>
        <v>-1074643.6525447487</v>
      </c>
      <c r="L32" s="64">
        <f t="shared" ref="L32" si="20">L18-L26</f>
        <v>-1119760.657731022</v>
      </c>
    </row>
    <row r="33" spans="1:13" x14ac:dyDescent="0.25">
      <c r="A33" s="61"/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43">
        <v>-2419006.5085300002</v>
      </c>
      <c r="C35" s="54">
        <f>B35+C31+B40</f>
        <v>-3153076.66</v>
      </c>
      <c r="D35" s="54">
        <f t="shared" ref="D35" si="21">C35+D31+C40</f>
        <v>-2956723.31</v>
      </c>
      <c r="E35" s="54">
        <f t="shared" ref="E35:I36" si="22">D35+E31+D40</f>
        <v>-2718618.19</v>
      </c>
      <c r="F35" s="135">
        <f t="shared" si="22"/>
        <v>-2404390.46</v>
      </c>
      <c r="G35" s="53">
        <f t="shared" si="22"/>
        <v>-2089548.17</v>
      </c>
      <c r="H35" s="54">
        <f t="shared" si="22"/>
        <v>-1838649.1699999997</v>
      </c>
      <c r="I35" s="135">
        <f t="shared" si="22"/>
        <v>-1615140.3199999996</v>
      </c>
      <c r="J35" s="53">
        <f t="shared" ref="J35:J36" si="23">I35+J31+I40</f>
        <v>-1419963.6630699995</v>
      </c>
      <c r="K35" s="54">
        <f t="shared" ref="K35:L36" si="24">J35+K31+J40</f>
        <v>-1142282.4743299996</v>
      </c>
      <c r="L35" s="64">
        <f t="shared" si="24"/>
        <v>-804856.93564999965</v>
      </c>
    </row>
    <row r="36" spans="1:13" ht="15.75" thickBot="1" x14ac:dyDescent="0.3">
      <c r="A36" s="61" t="s">
        <v>30</v>
      </c>
      <c r="B36" s="144">
        <v>10093631.015841953</v>
      </c>
      <c r="C36" s="54">
        <f>B36+C32+B41</f>
        <v>13557223.930000002</v>
      </c>
      <c r="D36" s="54">
        <f t="shared" ref="D36" si="25">C36+D32+C41</f>
        <v>12527152.550000001</v>
      </c>
      <c r="E36" s="54">
        <f t="shared" si="22"/>
        <v>11335020.6</v>
      </c>
      <c r="F36" s="135">
        <f t="shared" si="22"/>
        <v>10043330.6</v>
      </c>
      <c r="G36" s="53">
        <f t="shared" si="22"/>
        <v>8789170.4199999999</v>
      </c>
      <c r="H36" s="54">
        <f t="shared" si="22"/>
        <v>7569649.0899999999</v>
      </c>
      <c r="I36" s="135">
        <f t="shared" si="22"/>
        <v>6374160.6299999999</v>
      </c>
      <c r="J36" s="53">
        <f t="shared" si="23"/>
        <v>5374780.1839626376</v>
      </c>
      <c r="K36" s="54">
        <f t="shared" si="24"/>
        <v>4312332.2514178883</v>
      </c>
      <c r="L36" s="64">
        <f t="shared" si="24"/>
        <v>3202627.3536868664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s="61" customFormat="1" x14ac:dyDescent="0.25">
      <c r="A38" s="52" t="s">
        <v>65</v>
      </c>
      <c r="B38" s="52"/>
      <c r="C38" s="131"/>
      <c r="D38" s="103">
        <f>+'[4]May 2017'!$F$51</f>
        <v>1.8848000000000001E-3</v>
      </c>
      <c r="E38" s="103">
        <f>+'[4]June 2017'!$F$51</f>
        <v>2.0156100000000001E-3</v>
      </c>
      <c r="F38" s="103">
        <f>+'[4]July 2017'!$F$51</f>
        <v>2.0650299999999998E-3</v>
      </c>
      <c r="G38" s="105">
        <f>+'[4]Aug 2017'!$F$51</f>
        <v>2.0681900000000001E-3</v>
      </c>
      <c r="H38" s="103">
        <f>+'[4]Sept 2017'!$F$51</f>
        <v>2.0708300000000001E-3</v>
      </c>
      <c r="I38" s="104">
        <f>+'[4]Oct 2017'!$F$51</f>
        <v>2.0734999999999998E-3</v>
      </c>
      <c r="J38" s="105">
        <f>+I38</f>
        <v>2.0734999999999998E-3</v>
      </c>
      <c r="K38" s="103">
        <f>+J38</f>
        <v>2.0734999999999998E-3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11008.52</v>
      </c>
      <c r="D40" s="54">
        <f>ROUND((C35+C40+D31/2)*D$38,2)</f>
        <v>-5747.5</v>
      </c>
      <c r="E40" s="54">
        <f t="shared" ref="E40:I41" si="26">ROUND((D35+D40+E31/2)*E$38,2)</f>
        <v>-5725.43</v>
      </c>
      <c r="F40" s="135">
        <f t="shared" si="26"/>
        <v>-5295.49</v>
      </c>
      <c r="G40" s="53">
        <f t="shared" si="26"/>
        <v>-4652.6400000000003</v>
      </c>
      <c r="H40" s="150">
        <f t="shared" si="26"/>
        <v>-4072.13</v>
      </c>
      <c r="I40" s="210">
        <f t="shared" si="26"/>
        <v>-3584.94</v>
      </c>
      <c r="J40" s="53">
        <f t="shared" ref="J40:K41" si="27">ROUND((I35+I40+J31/2)*J$38,2)</f>
        <v>-3150.36</v>
      </c>
      <c r="K40" s="150">
        <f t="shared" si="27"/>
        <v>-2659.67</v>
      </c>
      <c r="L40" s="64"/>
    </row>
    <row r="41" spans="1:13" ht="15.75" thickBot="1" x14ac:dyDescent="0.3">
      <c r="A41" t="s">
        <v>30</v>
      </c>
      <c r="C41" s="141">
        <v>-46478.81</v>
      </c>
      <c r="D41" s="54">
        <f>ROUND((C36+C41+D32/2)*D$38,2)</f>
        <v>24538.11</v>
      </c>
      <c r="E41" s="54">
        <f t="shared" si="26"/>
        <v>24073.15</v>
      </c>
      <c r="F41" s="135">
        <f t="shared" si="26"/>
        <v>22098.32</v>
      </c>
      <c r="G41" s="53">
        <f t="shared" si="26"/>
        <v>19497.45</v>
      </c>
      <c r="H41" s="150">
        <f t="shared" si="26"/>
        <v>16958.36</v>
      </c>
      <c r="I41" s="210">
        <f t="shared" si="26"/>
        <v>14473.83</v>
      </c>
      <c r="J41" s="53">
        <f t="shared" si="27"/>
        <v>12195.72</v>
      </c>
      <c r="K41" s="150">
        <f t="shared" si="27"/>
        <v>10055.76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E42" si="28">SUM(D40:D41)+SUM(D35:D36)-D45</f>
        <v>0</v>
      </c>
      <c r="E42" s="45">
        <f t="shared" si="28"/>
        <v>0</v>
      </c>
      <c r="F42" s="65">
        <f t="shared" ref="F42:I42" si="29">SUM(F40:F41)+SUM(F35:F36)-F45</f>
        <v>0</v>
      </c>
      <c r="G42" s="151">
        <f t="shared" si="29"/>
        <v>0</v>
      </c>
      <c r="H42" s="45">
        <f t="shared" si="29"/>
        <v>0</v>
      </c>
      <c r="I42" s="65">
        <f t="shared" si="29"/>
        <v>0</v>
      </c>
      <c r="J42" s="66">
        <f t="shared" ref="J42:K42" si="30">SUM(J40:J41)+SUM(J35:J36)-J45</f>
        <v>0</v>
      </c>
      <c r="K42" s="45">
        <f t="shared" si="30"/>
        <v>0</v>
      </c>
      <c r="L42" s="123">
        <f t="shared" ref="L42" si="31">SUM(L40:L41)+SUM(L35:L36)-L45</f>
        <v>0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>SUM(D40:D41)-D28</f>
        <v>0</v>
      </c>
      <c r="E43" s="45">
        <f t="shared" ref="E43:I43" si="32">SUM(E40:E41)-E28</f>
        <v>1.0000000002037268E-2</v>
      </c>
      <c r="F43" s="65">
        <f t="shared" ref="F43:H43" si="33">SUM(F40:F41)-F28</f>
        <v>0</v>
      </c>
      <c r="G43" s="66">
        <f t="shared" si="33"/>
        <v>0</v>
      </c>
      <c r="H43" s="45">
        <f t="shared" si="33"/>
        <v>2.0000000000436557E-2</v>
      </c>
      <c r="I43" s="65">
        <f t="shared" si="32"/>
        <v>1.0000000000218279E-2</v>
      </c>
      <c r="J43" s="66">
        <f t="shared" ref="J43:K43" si="34">SUM(J40:J41)-J28</f>
        <v>0</v>
      </c>
      <c r="K43" s="45">
        <f t="shared" si="34"/>
        <v>0</v>
      </c>
      <c r="L43" s="123">
        <f t="shared" ref="L43" si="35">SUM(L40:L41)-L28</f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t="s">
        <v>42</v>
      </c>
      <c r="B45" s="146">
        <f>+B35+B36</f>
        <v>7674624.5073119532</v>
      </c>
      <c r="C45" s="53">
        <f>(SUM(C10:C14)-SUM(C25:C26))+SUM(C40:C41)+B45</f>
        <v>10368676.98</v>
      </c>
      <c r="D45" s="54">
        <f>(SUM(D10:D14)-SUM(D25:D26))+SUM(D40:D41)+C45</f>
        <v>9589219.8499999996</v>
      </c>
      <c r="E45" s="54">
        <f t="shared" ref="E45:I45" si="36">(SUM(E10:E14)-SUM(E25:E26))+SUM(E40:E41)+D45</f>
        <v>8634750.129999999</v>
      </c>
      <c r="F45" s="135">
        <f t="shared" si="36"/>
        <v>7655742.9699999988</v>
      </c>
      <c r="G45" s="53">
        <f t="shared" si="36"/>
        <v>6714467.0599999987</v>
      </c>
      <c r="H45" s="54">
        <f t="shared" si="36"/>
        <v>5743886.1499999985</v>
      </c>
      <c r="I45" s="135">
        <f t="shared" si="36"/>
        <v>4769909.1999999983</v>
      </c>
      <c r="J45" s="53">
        <f t="shared" ref="J45" si="37">(SUM(J10:J14)-SUM(J25:J26))+SUM(J40:J41)+I45</f>
        <v>3963861.8808926363</v>
      </c>
      <c r="K45" s="54">
        <f t="shared" ref="K45:L45" si="38">(SUM(K10:K14)-SUM(K25:K26))+SUM(K40:K41)+J45</f>
        <v>3177445.8670878876</v>
      </c>
      <c r="L45" s="77">
        <f t="shared" si="38"/>
        <v>2397770.4180368655</v>
      </c>
    </row>
    <row r="46" spans="1:13" x14ac:dyDescent="0.25">
      <c r="C46" s="147"/>
      <c r="D46" s="71"/>
      <c r="E46" s="19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A47" s="61"/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4" x14ac:dyDescent="0.25">
      <c r="A49" s="85" t="s">
        <v>13</v>
      </c>
      <c r="B49" s="85"/>
      <c r="C49" s="85"/>
      <c r="D49" s="59"/>
      <c r="E49" s="59"/>
      <c r="I49" s="59"/>
      <c r="M49" s="59"/>
      <c r="N49" s="59"/>
    </row>
    <row r="50" spans="1:14" ht="30.75" customHeight="1" x14ac:dyDescent="0.25">
      <c r="A50" s="235" t="s">
        <v>137</v>
      </c>
      <c r="B50" s="235"/>
      <c r="C50" s="235"/>
      <c r="D50" s="235"/>
      <c r="E50" s="235"/>
      <c r="F50" s="235"/>
      <c r="G50" s="235"/>
      <c r="H50" s="235"/>
      <c r="I50" s="235"/>
      <c r="J50" s="170"/>
      <c r="K50" s="170"/>
      <c r="L50" s="117"/>
      <c r="M50" s="59"/>
      <c r="N50" s="59"/>
    </row>
    <row r="51" spans="1:14" ht="37.5" customHeight="1" x14ac:dyDescent="0.25">
      <c r="A51" s="236" t="s">
        <v>138</v>
      </c>
      <c r="B51" s="236"/>
      <c r="C51" s="236"/>
      <c r="D51" s="236"/>
      <c r="E51" s="236"/>
      <c r="F51" s="236"/>
      <c r="G51" s="236"/>
      <c r="H51" s="236"/>
      <c r="I51" s="236"/>
      <c r="J51" s="170"/>
      <c r="K51" s="170"/>
      <c r="L51" s="117"/>
      <c r="M51" s="59"/>
      <c r="N51" s="59"/>
    </row>
    <row r="52" spans="1:14" ht="39" customHeight="1" x14ac:dyDescent="0.25">
      <c r="A52" s="235" t="s">
        <v>139</v>
      </c>
      <c r="B52" s="235"/>
      <c r="C52" s="235"/>
      <c r="D52" s="235"/>
      <c r="E52" s="235"/>
      <c r="F52" s="235"/>
      <c r="G52" s="235"/>
      <c r="H52" s="235"/>
      <c r="I52" s="235"/>
      <c r="J52" s="170"/>
      <c r="K52" s="170"/>
      <c r="L52" s="117"/>
      <c r="M52" s="59"/>
      <c r="N52" s="59"/>
    </row>
    <row r="53" spans="1:14" x14ac:dyDescent="0.25">
      <c r="A53" s="3" t="s">
        <v>37</v>
      </c>
      <c r="B53" s="3"/>
      <c r="C53" s="3"/>
      <c r="D53" s="59"/>
      <c r="E53" s="59"/>
      <c r="I53" s="4"/>
      <c r="M53" s="59"/>
      <c r="N53" s="59"/>
    </row>
    <row r="54" spans="1:14" s="61" customFormat="1" x14ac:dyDescent="0.25">
      <c r="A54" s="3" t="s">
        <v>140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59"/>
      <c r="E55" s="59"/>
      <c r="I55" s="4"/>
      <c r="M55" s="59"/>
      <c r="N55" s="59"/>
    </row>
    <row r="56" spans="1:14" x14ac:dyDescent="0.25">
      <c r="C56" s="62"/>
      <c r="D56" s="59"/>
      <c r="E56" s="59"/>
      <c r="I56" s="59"/>
      <c r="M56" s="59"/>
      <c r="N56" s="59"/>
    </row>
    <row r="57" spans="1:14" ht="37.5" customHeight="1" x14ac:dyDescent="0.25">
      <c r="A57" s="234"/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59"/>
      <c r="N57" s="59"/>
    </row>
    <row r="58" spans="1:14" x14ac:dyDescent="0.25">
      <c r="C58" s="62"/>
      <c r="D58" s="59"/>
      <c r="E58" s="59"/>
      <c r="I58" s="59"/>
      <c r="M58" s="59"/>
      <c r="N58" s="59"/>
    </row>
    <row r="59" spans="1:14" x14ac:dyDescent="0.25">
      <c r="D59" s="59"/>
      <c r="E59" s="59"/>
      <c r="I59" s="59"/>
      <c r="M59" s="59"/>
      <c r="N59" s="59"/>
    </row>
    <row r="60" spans="1:14" x14ac:dyDescent="0.25">
      <c r="D60" s="59"/>
      <c r="E60" s="59"/>
      <c r="I60" s="59"/>
      <c r="M60" s="59"/>
      <c r="N60" s="59"/>
    </row>
    <row r="61" spans="1:14" x14ac:dyDescent="0.25">
      <c r="D61" s="59"/>
      <c r="E61" s="59"/>
      <c r="I61" s="59"/>
      <c r="M61" s="59"/>
      <c r="N61" s="59"/>
    </row>
    <row r="62" spans="1:14" x14ac:dyDescent="0.25">
      <c r="D62" s="59"/>
      <c r="E62" s="59"/>
      <c r="I62" s="59"/>
      <c r="M62" s="59"/>
      <c r="N62" s="59"/>
    </row>
    <row r="63" spans="1:14" x14ac:dyDescent="0.25">
      <c r="D63" s="59"/>
      <c r="E63" s="59"/>
      <c r="I63" s="59"/>
      <c r="M63" s="59"/>
      <c r="N63" s="59"/>
    </row>
    <row r="65" spans="13:13" x14ac:dyDescent="0.25">
      <c r="M65" s="8"/>
    </row>
  </sheetData>
  <mergeCells count="7">
    <mergeCell ref="A57:L57"/>
    <mergeCell ref="A50:I50"/>
    <mergeCell ref="A51:I51"/>
    <mergeCell ref="A52:I52"/>
    <mergeCell ref="D8:F8"/>
    <mergeCell ref="G8:I8"/>
    <mergeCell ref="J8:L8"/>
  </mergeCells>
  <pageMargins left="0.2" right="0.2" top="0.75" bottom="0.25" header="0.3" footer="0.3"/>
  <pageSetup scale="51" orientation="landscape" r:id="rId1"/>
  <headerFooter>
    <oddHeader>&amp;C&amp;F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workbookViewId="0">
      <pane xSplit="2" ySplit="9" topLeftCell="C10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54.5703125" style="61" customWidth="1"/>
    <col min="2" max="2" width="14.7109375" style="6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4" style="61" customWidth="1"/>
    <col min="10" max="10" width="15.7109375" style="6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28515625" style="61" customWidth="1"/>
    <col min="16" max="16" width="16.140625" style="6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KCP&amp;L Greater Missouri Operations Company - DSIM Rider Update Filed 11/30/2017</v>
      </c>
      <c r="B1" s="3"/>
      <c r="C1" s="3"/>
    </row>
    <row r="2" spans="1:34" x14ac:dyDescent="0.25">
      <c r="D2" s="3" t="s">
        <v>80</v>
      </c>
    </row>
    <row r="3" spans="1:34" ht="30" x14ac:dyDescent="0.25">
      <c r="D3" s="63" t="s">
        <v>62</v>
      </c>
      <c r="E3" s="63" t="s">
        <v>61</v>
      </c>
      <c r="F3" s="86" t="s">
        <v>2</v>
      </c>
      <c r="G3" s="63" t="s">
        <v>3</v>
      </c>
      <c r="H3" s="86" t="s">
        <v>70</v>
      </c>
      <c r="I3" s="63" t="s">
        <v>11</v>
      </c>
      <c r="J3" s="63" t="s">
        <v>4</v>
      </c>
    </row>
    <row r="4" spans="1:34" x14ac:dyDescent="0.25">
      <c r="A4" s="61" t="s">
        <v>29</v>
      </c>
      <c r="D4" s="24">
        <f>SUM(C25:L25)</f>
        <v>6159019.7453199998</v>
      </c>
      <c r="E4" s="168">
        <f>SUM(C21:L21)</f>
        <v>1744207062.29</v>
      </c>
      <c r="F4" s="24">
        <f>SUM(C17:K17)</f>
        <v>6008318.7249999996</v>
      </c>
      <c r="G4" s="24">
        <f>F4-D4</f>
        <v>-150701.02032000013</v>
      </c>
      <c r="H4" s="24">
        <f>+B35</f>
        <v>1415128.8409200003</v>
      </c>
      <c r="I4" s="24">
        <f>SUM(C40:K40)</f>
        <v>39152.159999999996</v>
      </c>
      <c r="J4" s="36">
        <f>SUM(G4:I4)</f>
        <v>1303579.9806000001</v>
      </c>
      <c r="K4" s="62">
        <f>+J4-L35</f>
        <v>0</v>
      </c>
    </row>
    <row r="5" spans="1:34" ht="15.75" thickBot="1" x14ac:dyDescent="0.3">
      <c r="A5" s="61" t="s">
        <v>30</v>
      </c>
      <c r="D5" s="24">
        <f>SUM(C26:L26)</f>
        <v>8175046.7595244497</v>
      </c>
      <c r="E5" s="168">
        <f>SUM(C22:L22)</f>
        <v>1713457377.6250205</v>
      </c>
      <c r="F5" s="24">
        <f>SUM(C18:K18)</f>
        <v>6126506.2149999999</v>
      </c>
      <c r="G5" s="24">
        <f>F5-D5</f>
        <v>-2048540.5445244499</v>
      </c>
      <c r="H5" s="24">
        <f>+B36</f>
        <v>4195840.180293249</v>
      </c>
      <c r="I5" s="24">
        <f>SUM(C41:K41)</f>
        <v>59634.78</v>
      </c>
      <c r="J5" s="36">
        <f>SUM(G5:I5)</f>
        <v>2206934.4157687989</v>
      </c>
      <c r="K5" s="62">
        <f>+J5-L36</f>
        <v>0</v>
      </c>
    </row>
    <row r="6" spans="1:34" ht="16.5" thickTop="1" thickBot="1" x14ac:dyDescent="0.3">
      <c r="D6" s="40">
        <f t="shared" ref="D6" si="0">SUM(D4:D5)</f>
        <v>14334066.504844449</v>
      </c>
      <c r="E6" s="169">
        <f t="shared" ref="E6:H6" si="1">SUM(E4:E5)</f>
        <v>3457664439.9150205</v>
      </c>
      <c r="F6" s="40">
        <f t="shared" si="1"/>
        <v>12134824.939999999</v>
      </c>
      <c r="G6" s="40">
        <f t="shared" si="1"/>
        <v>-2199241.56484445</v>
      </c>
      <c r="H6" s="40">
        <f t="shared" si="1"/>
        <v>5610969.0212132493</v>
      </c>
      <c r="I6" s="94">
        <f>SUM(I4:I5)</f>
        <v>98786.94</v>
      </c>
      <c r="J6" s="40">
        <f>SUM(J4:J5)</f>
        <v>3510514.3963687988</v>
      </c>
    </row>
    <row r="7" spans="1:34" ht="16.5" thickTop="1" thickBot="1" x14ac:dyDescent="0.3"/>
    <row r="8" spans="1:34" ht="75.75" thickBot="1" x14ac:dyDescent="0.3">
      <c r="B8" s="145" t="str">
        <f>+'PCR Cycle 1'!B8</f>
        <v>Cumulative Over/Under Carryover From 06/01/2017 Filing</v>
      </c>
      <c r="C8" s="221" t="str">
        <f>+'PCR Cycle 1'!C8</f>
        <v>Reverse May-17 - July-17  Forecast From 06/01/2017 Filing</v>
      </c>
      <c r="D8" s="237" t="s">
        <v>39</v>
      </c>
      <c r="E8" s="237"/>
      <c r="F8" s="238"/>
      <c r="G8" s="229" t="s">
        <v>39</v>
      </c>
      <c r="H8" s="230"/>
      <c r="I8" s="231"/>
      <c r="J8" s="239" t="s">
        <v>9</v>
      </c>
      <c r="K8" s="240"/>
      <c r="L8" s="241"/>
    </row>
    <row r="9" spans="1:34" x14ac:dyDescent="0.25">
      <c r="A9" s="61" t="s">
        <v>38</v>
      </c>
      <c r="C9" s="14"/>
      <c r="D9" s="20">
        <f>+'PCR Cycle 1'!D9</f>
        <v>42886</v>
      </c>
      <c r="E9" s="20">
        <f>EDATE(D9,1)</f>
        <v>42916</v>
      </c>
      <c r="F9" s="20">
        <f t="shared" ref="F9:I9" si="2">EDATE(E9,1)</f>
        <v>42946</v>
      </c>
      <c r="G9" s="14">
        <f t="shared" si="2"/>
        <v>42977</v>
      </c>
      <c r="H9" s="20">
        <f t="shared" si="2"/>
        <v>43008</v>
      </c>
      <c r="I9" s="20">
        <f t="shared" si="2"/>
        <v>43038</v>
      </c>
      <c r="J9" s="14">
        <f t="shared" ref="J9:L9" si="3">EDATE(I9,1)</f>
        <v>43069</v>
      </c>
      <c r="K9" s="20">
        <f t="shared" si="3"/>
        <v>43099</v>
      </c>
      <c r="L9" s="122">
        <f t="shared" si="3"/>
        <v>43130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1" t="s">
        <v>29</v>
      </c>
      <c r="C10" s="124">
        <v>-1248765.6400000001</v>
      </c>
      <c r="D10" s="136">
        <f>ROUND([5]Pivot!C61,2)</f>
        <v>778314.16</v>
      </c>
      <c r="E10" s="136">
        <f>ROUND([5]Pivot!D61,2)</f>
        <v>1291513.96</v>
      </c>
      <c r="F10" s="137">
        <f>ROUND([5]Pivot!E61,2)</f>
        <v>1296747.6499999999</v>
      </c>
      <c r="G10" s="16">
        <f>ROUND([5]Pivot!F61,2)</f>
        <v>721837.52</v>
      </c>
      <c r="H10" s="70">
        <f>ROUND([5]Pivot!G61,2)</f>
        <v>828818.34</v>
      </c>
      <c r="I10" s="72">
        <f>ROUND([5]Pivot!H61,2)</f>
        <v>934330.73</v>
      </c>
      <c r="J10" s="181">
        <f>ROUND('[2]Program Costs - GMO'!W153,2)</f>
        <v>591457</v>
      </c>
      <c r="K10" s="171">
        <f>ROUND('[2]Program Costs - GMO'!X153,2)</f>
        <v>600652.05000000005</v>
      </c>
      <c r="L10" s="95"/>
    </row>
    <row r="11" spans="1:34" x14ac:dyDescent="0.25">
      <c r="A11" s="61" t="s">
        <v>30</v>
      </c>
      <c r="C11" s="124">
        <v>-1160565.4500000002</v>
      </c>
      <c r="D11" s="136">
        <f>ROUND([5]Pivot!C62,2)</f>
        <v>738721.74</v>
      </c>
      <c r="E11" s="136">
        <f>ROUND([5]Pivot!D62,2)</f>
        <v>742755.64</v>
      </c>
      <c r="F11" s="137">
        <f>ROUND([5]Pivot!E62,2)</f>
        <v>899599.08</v>
      </c>
      <c r="G11" s="16">
        <f>ROUND([5]Pivot!F62,2)</f>
        <v>1072111.8500000001</v>
      </c>
      <c r="H11" s="70">
        <f>ROUND([5]Pivot!G62,2)</f>
        <v>974310.45</v>
      </c>
      <c r="I11" s="72">
        <f>ROUND([5]Pivot!H62,2)</f>
        <v>1404776.67</v>
      </c>
      <c r="J11" s="181">
        <f>ROUND('[2]Program Costs - GMO'!W154,2)</f>
        <v>599686.68999999994</v>
      </c>
      <c r="K11" s="171">
        <f>ROUND('[2]Program Costs - GMO'!X154,2)</f>
        <v>641696.59</v>
      </c>
      <c r="L11" s="95"/>
      <c r="M11" s="79" t="s">
        <v>32</v>
      </c>
    </row>
    <row r="12" spans="1:34" x14ac:dyDescent="0.25">
      <c r="A12" s="61" t="s">
        <v>0</v>
      </c>
      <c r="C12" s="124">
        <v>-107194.56</v>
      </c>
      <c r="D12" s="136">
        <f>ROUND([5]Pivot!C63,2)</f>
        <v>34538.36</v>
      </c>
      <c r="E12" s="136">
        <f>ROUND([5]Pivot!D63,2)</f>
        <v>30602.21</v>
      </c>
      <c r="F12" s="137">
        <f>ROUND([5]Pivot!E63,2)</f>
        <v>40174.61</v>
      </c>
      <c r="G12" s="16">
        <f>ROUND([5]Pivot!F63,2)</f>
        <v>8402.85</v>
      </c>
      <c r="H12" s="70">
        <f>ROUND([5]Pivot!G63,2)</f>
        <v>18160.740000000002</v>
      </c>
      <c r="I12" s="72">
        <f>ROUND([5]Pivot!H63,2)</f>
        <v>34608.74</v>
      </c>
      <c r="J12" s="181">
        <f>ROUND('[2]Program Costs - GMO'!W155,2)</f>
        <v>322346.74</v>
      </c>
      <c r="K12" s="171">
        <f>ROUND('[2]Program Costs - GMO'!X155,2)</f>
        <v>45186.22</v>
      </c>
      <c r="L12" s="95"/>
      <c r="M12" s="89">
        <v>0.5</v>
      </c>
    </row>
    <row r="13" spans="1:34" x14ac:dyDescent="0.25">
      <c r="A13" s="61" t="s">
        <v>1</v>
      </c>
      <c r="C13" s="124">
        <v>0</v>
      </c>
      <c r="D13" s="136">
        <f>ROUND([5]Pivot!C64,2)</f>
        <v>0</v>
      </c>
      <c r="E13" s="136">
        <f>ROUND([5]Pivot!D64,2)</f>
        <v>0</v>
      </c>
      <c r="F13" s="137">
        <f>ROUND([5]Pivot!E64,2)</f>
        <v>0</v>
      </c>
      <c r="G13" s="16">
        <f>ROUND([5]Pivot!F64,2)</f>
        <v>0</v>
      </c>
      <c r="H13" s="70">
        <f>ROUND([5]Pivot!G64,2)</f>
        <v>0</v>
      </c>
      <c r="I13" s="72">
        <f>ROUND([5]Pivot!H64,2)</f>
        <v>0</v>
      </c>
      <c r="J13" s="181">
        <f>ROUND('[2]Program Costs - GMO'!W156,2)</f>
        <v>0</v>
      </c>
      <c r="K13" s="171">
        <f>ROUND('[2]Program Costs - GMO'!X156,2)</f>
        <v>0</v>
      </c>
      <c r="L13" s="95"/>
      <c r="M13" s="79"/>
    </row>
    <row r="14" spans="1:34" x14ac:dyDescent="0.25">
      <c r="C14" s="125"/>
      <c r="D14" s="44"/>
      <c r="E14" s="44"/>
      <c r="F14" s="44"/>
      <c r="G14" s="41"/>
      <c r="H14" s="44"/>
      <c r="I14" s="17"/>
      <c r="J14" s="41"/>
      <c r="K14" s="44"/>
      <c r="L14" s="42"/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s="61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f t="shared" ref="C17:I17" si="4">C10+($M$12*C$12)+($M$12*C$13)</f>
        <v>-1302362.9200000002</v>
      </c>
      <c r="D17" s="54">
        <f t="shared" si="4"/>
        <v>795583.34000000008</v>
      </c>
      <c r="E17" s="54">
        <f t="shared" si="4"/>
        <v>1306815.0649999999</v>
      </c>
      <c r="F17" s="135">
        <f t="shared" si="4"/>
        <v>1316834.9549999998</v>
      </c>
      <c r="G17" s="53">
        <f t="shared" si="4"/>
        <v>726038.94500000007</v>
      </c>
      <c r="H17" s="54">
        <f t="shared" si="4"/>
        <v>837898.71</v>
      </c>
      <c r="I17" s="135">
        <f t="shared" si="4"/>
        <v>951635.1</v>
      </c>
      <c r="J17" s="53">
        <f t="shared" ref="J17:K17" si="5">J10+($M$12*J$12)+($M$12*J$13)</f>
        <v>752630.37</v>
      </c>
      <c r="K17" s="54">
        <f t="shared" si="5"/>
        <v>623245.16</v>
      </c>
      <c r="L17" s="54">
        <f t="shared" ref="L17" si="6">L10+($M$12*L$12)+($M$12*L$13)+L$14*(1-$M$14)</f>
        <v>0</v>
      </c>
    </row>
    <row r="18" spans="1:14" x14ac:dyDescent="0.25">
      <c r="A18" s="61" t="s">
        <v>30</v>
      </c>
      <c r="C18" s="53">
        <f t="shared" ref="C18:I18" si="7">(C$11+$M$12*C$12+C$13*$M$12)</f>
        <v>-1214162.7300000002</v>
      </c>
      <c r="D18" s="54">
        <f t="shared" si="7"/>
        <v>755990.92</v>
      </c>
      <c r="E18" s="54">
        <f t="shared" si="7"/>
        <v>758056.745</v>
      </c>
      <c r="F18" s="135">
        <f t="shared" si="7"/>
        <v>919686.38500000001</v>
      </c>
      <c r="G18" s="53">
        <f t="shared" si="7"/>
        <v>1076313.2750000001</v>
      </c>
      <c r="H18" s="54">
        <f t="shared" si="7"/>
        <v>983390.82</v>
      </c>
      <c r="I18" s="135">
        <f t="shared" si="7"/>
        <v>1422081.04</v>
      </c>
      <c r="J18" s="53">
        <f t="shared" ref="J18:K18" si="8">(J$11+$M$12*J$12+J$13*$M$12)</f>
        <v>760860.05999999994</v>
      </c>
      <c r="K18" s="54">
        <f t="shared" si="8"/>
        <v>664289.69999999995</v>
      </c>
      <c r="L18" s="54">
        <f t="shared" ref="L18" si="9">(L$11+$M$12*L$12+L$14*$M$14)+L$13*$M$12</f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4" x14ac:dyDescent="0.25">
      <c r="A21" s="61" t="s">
        <v>29</v>
      </c>
      <c r="C21" s="129">
        <v>-824797923</v>
      </c>
      <c r="D21" s="138">
        <f>+'[3]Revenue Analysis'!E150</f>
        <v>233642209.42999989</v>
      </c>
      <c r="E21" s="138">
        <f>+'[3]Revenue Analysis'!F150</f>
        <v>212906160.89000002</v>
      </c>
      <c r="F21" s="138">
        <f>+'[3]Revenue Analysis'!G150</f>
        <v>208252113</v>
      </c>
      <c r="G21" s="214">
        <f>+'[3]Revenue Analysis'!H150</f>
        <v>273993601.99000001</v>
      </c>
      <c r="H21" s="223">
        <f>+'[3]Revenue Analysis'!I150</f>
        <v>359500940.99000001</v>
      </c>
      <c r="I21" s="208">
        <f>+'[3]Revenue Analysis'!J150</f>
        <v>359723043.99000001</v>
      </c>
      <c r="J21" s="182">
        <f>+'PCR Cycle 1'!J21</f>
        <v>223327637</v>
      </c>
      <c r="K21" s="172">
        <f>+'PCR Cycle 1'!K21</f>
        <v>315541066</v>
      </c>
      <c r="L21" s="96">
        <f>+'PCR Cycle 1'!L21</f>
        <v>382118212</v>
      </c>
    </row>
    <row r="22" spans="1:14" x14ac:dyDescent="0.25">
      <c r="A22" s="61" t="s">
        <v>30</v>
      </c>
      <c r="C22" s="129">
        <v>-879084495.97920001</v>
      </c>
      <c r="D22" s="138">
        <f>+'[3]Revenue Analysis'!E151</f>
        <v>267978699.4000001</v>
      </c>
      <c r="E22" s="138">
        <f>+'[3]Revenue Analysis'!F151</f>
        <v>274187582.91000003</v>
      </c>
      <c r="F22" s="138">
        <f>+'[3]Revenue Analysis'!G151</f>
        <v>249335736.00999999</v>
      </c>
      <c r="G22" s="214">
        <f>+'[3]Revenue Analysis'!H151</f>
        <v>308799279.63</v>
      </c>
      <c r="H22" s="223">
        <f>+'[3]Revenue Analysis'!I151</f>
        <v>333949292.00999999</v>
      </c>
      <c r="I22" s="208">
        <f>+'[3]Revenue Analysis'!J151</f>
        <v>329283897</v>
      </c>
      <c r="J22" s="182">
        <f>+'PCR Cycle 1'!J22</f>
        <v>261977849.10526147</v>
      </c>
      <c r="K22" s="172">
        <f>+'PCR Cycle 1'!K22</f>
        <v>277685698.33197641</v>
      </c>
      <c r="L22" s="96">
        <f>+'PCR Cycle 1'!L22</f>
        <v>289343839.20698243</v>
      </c>
    </row>
    <row r="23" spans="1:14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4" x14ac:dyDescent="0.25">
      <c r="A24" s="61" t="s">
        <v>40</v>
      </c>
      <c r="C24" s="126"/>
      <c r="D24" s="18"/>
      <c r="E24" s="18"/>
      <c r="F24" s="18"/>
      <c r="G24" s="118"/>
      <c r="H24" s="18"/>
      <c r="J24" s="183"/>
      <c r="K24" s="73"/>
      <c r="L24" s="74"/>
      <c r="M24" s="79" t="s">
        <v>66</v>
      </c>
      <c r="N24" s="52"/>
    </row>
    <row r="25" spans="1:14" x14ac:dyDescent="0.25">
      <c r="A25" s="61" t="s">
        <v>29</v>
      </c>
      <c r="C25" s="124">
        <v>-1616603.9290800001</v>
      </c>
      <c r="D25" s="136">
        <f>ROUND('[3]Revenue Analysis'!G125+'[3]Revenue Analysis'!G130,2)</f>
        <v>408181.2</v>
      </c>
      <c r="E25" s="136">
        <f>ROUND('[3]Revenue Analysis'!H125+'[3]Revenue Analysis'!H130,2)</f>
        <v>537034.42000000004</v>
      </c>
      <c r="F25" s="166">
        <f>ROUND('[3]Revenue Analysis'!I125+'[3]Revenue Analysis'!I130,2)</f>
        <v>704624.73</v>
      </c>
      <c r="G25" s="222">
        <f>ROUND('[3]Revenue Analysis'!J125+'[3]Revenue Analysis'!J130,2)</f>
        <v>1207299.01</v>
      </c>
      <c r="H25" s="70">
        <f>ROUND('[3]Revenue Analysis'!K125+'[3]Revenue Analysis'!K130,2)</f>
        <v>964763.4</v>
      </c>
      <c r="I25" s="180">
        <f>ROUND('[3]Revenue Analysis'!L125+'[3]Revenue Analysis'!L130,2)</f>
        <v>859204.88</v>
      </c>
      <c r="J25" s="53">
        <f>J21*$M25</f>
        <v>750380.86031999998</v>
      </c>
      <c r="K25" s="54">
        <f t="shared" ref="J25:L26" si="10">K21*$M25</f>
        <v>1060217.9817599999</v>
      </c>
      <c r="L25" s="64">
        <f t="shared" si="10"/>
        <v>1283917.1923199999</v>
      </c>
      <c r="M25" s="88">
        <v>3.3599999999999997E-3</v>
      </c>
    </row>
    <row r="26" spans="1:14" x14ac:dyDescent="0.25">
      <c r="A26" s="61" t="str">
        <f>A22</f>
        <v>Non-Residential</v>
      </c>
      <c r="C26" s="124">
        <v>-2250456.3097067522</v>
      </c>
      <c r="D26" s="136">
        <f>ROUND('[3]Revenue Analysis'!G126+'[3]Revenue Analysis'!G131,2)</f>
        <v>638301.12</v>
      </c>
      <c r="E26" s="136">
        <f>ROUND('[3]Revenue Analysis'!H126+'[3]Revenue Analysis'!H131,2)</f>
        <v>790525.03</v>
      </c>
      <c r="F26" s="166">
        <f>ROUND('[3]Revenue Analysis'!I126+'[3]Revenue Analysis'!I131,2)</f>
        <v>854912.28</v>
      </c>
      <c r="G26" s="222">
        <f>ROUND('[3]Revenue Analysis'!J126+'[3]Revenue Analysis'!J131,2)</f>
        <v>1491076.66</v>
      </c>
      <c r="H26" s="70">
        <f>ROUND('[3]Revenue Analysis'!K126+'[3]Revenue Analysis'!K131,2)</f>
        <v>1454755.15</v>
      </c>
      <c r="I26" s="180">
        <f>ROUND('[3]Revenue Analysis'!L126+'[3]Revenue Analysis'!L131,2)</f>
        <v>1423949.22</v>
      </c>
      <c r="J26" s="53">
        <f t="shared" si="10"/>
        <v>1191999.2134289397</v>
      </c>
      <c r="K26" s="54">
        <f t="shared" si="10"/>
        <v>1263469.9274104927</v>
      </c>
      <c r="L26" s="64">
        <f t="shared" si="10"/>
        <v>1316514.46839177</v>
      </c>
      <c r="M26" s="88">
        <v>4.5500000000000002E-3</v>
      </c>
    </row>
    <row r="27" spans="1:14" x14ac:dyDescent="0.25">
      <c r="C27" s="83"/>
      <c r="D27" s="18"/>
      <c r="E27" s="18"/>
      <c r="F27" s="18"/>
      <c r="G27" s="118"/>
      <c r="H27" s="18"/>
      <c r="J27" s="12"/>
      <c r="K27" s="71"/>
      <c r="L27" s="13"/>
      <c r="M27" s="4"/>
    </row>
    <row r="28" spans="1:14" ht="15.75" thickBot="1" x14ac:dyDescent="0.3">
      <c r="A28" s="61" t="s">
        <v>16</v>
      </c>
      <c r="C28" s="130">
        <v>-26350.3</v>
      </c>
      <c r="D28" s="139">
        <v>13547.85</v>
      </c>
      <c r="E28" s="139">
        <v>15767.52</v>
      </c>
      <c r="F28" s="140">
        <v>17646.96</v>
      </c>
      <c r="G28" s="39">
        <v>17483.96</v>
      </c>
      <c r="H28" s="149">
        <v>15995.300000000001</v>
      </c>
      <c r="I28" s="209">
        <v>15522.77</v>
      </c>
      <c r="J28" s="185">
        <v>15204.19</v>
      </c>
      <c r="K28" s="173">
        <v>13716.84</v>
      </c>
      <c r="L28" s="100"/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x14ac:dyDescent="0.25">
      <c r="A30" s="61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C31" s="53">
        <f t="shared" ref="C31:L32" si="11">C17-C25</f>
        <v>314241.00907999999</v>
      </c>
      <c r="D31" s="54">
        <f t="shared" si="11"/>
        <v>387402.14000000007</v>
      </c>
      <c r="E31" s="54">
        <f t="shared" si="11"/>
        <v>769780.6449999999</v>
      </c>
      <c r="F31" s="135">
        <f t="shared" si="11"/>
        <v>612210.22499999986</v>
      </c>
      <c r="G31" s="53">
        <f t="shared" si="11"/>
        <v>-481260.06499999994</v>
      </c>
      <c r="H31" s="54">
        <f t="shared" si="11"/>
        <v>-126864.69000000006</v>
      </c>
      <c r="I31" s="135">
        <f t="shared" si="11"/>
        <v>92430.219999999972</v>
      </c>
      <c r="J31" s="53">
        <f t="shared" si="11"/>
        <v>2249.5096800000174</v>
      </c>
      <c r="K31" s="54">
        <f t="shared" si="11"/>
        <v>-436972.82175999985</v>
      </c>
      <c r="L31" s="64">
        <f t="shared" si="11"/>
        <v>-1283917.1923199999</v>
      </c>
    </row>
    <row r="32" spans="1:14" x14ac:dyDescent="0.25">
      <c r="A32" s="61" t="s">
        <v>30</v>
      </c>
      <c r="C32" s="53">
        <f t="shared" si="11"/>
        <v>1036293.579706752</v>
      </c>
      <c r="D32" s="54">
        <f t="shared" si="11"/>
        <v>117689.80000000005</v>
      </c>
      <c r="E32" s="54">
        <f t="shared" si="11"/>
        <v>-32468.285000000033</v>
      </c>
      <c r="F32" s="135">
        <f t="shared" si="11"/>
        <v>64774.104999999981</v>
      </c>
      <c r="G32" s="53">
        <f t="shared" si="11"/>
        <v>-414763.38499999978</v>
      </c>
      <c r="H32" s="54">
        <f t="shared" si="11"/>
        <v>-471364.32999999996</v>
      </c>
      <c r="I32" s="135">
        <f t="shared" si="11"/>
        <v>-1868.1799999999348</v>
      </c>
      <c r="J32" s="53">
        <f t="shared" si="11"/>
        <v>-431139.15342893975</v>
      </c>
      <c r="K32" s="54">
        <f t="shared" si="11"/>
        <v>-599180.22741049272</v>
      </c>
      <c r="L32" s="64">
        <f t="shared" si="11"/>
        <v>-1316514.46839177</v>
      </c>
    </row>
    <row r="33" spans="1:13" x14ac:dyDescent="0.25"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97">
        <v>1415128.8409200003</v>
      </c>
      <c r="C35" s="54">
        <f>B35+C31+B40</f>
        <v>1729369.8500000003</v>
      </c>
      <c r="D35" s="54">
        <f t="shared" ref="D35:L35" si="12">C35+D31+C40</f>
        <v>2109595.5900000003</v>
      </c>
      <c r="E35" s="54">
        <f t="shared" si="12"/>
        <v>2882987.3150000004</v>
      </c>
      <c r="F35" s="135">
        <f t="shared" si="12"/>
        <v>3500232.73</v>
      </c>
      <c r="G35" s="53">
        <f t="shared" si="12"/>
        <v>3025568.6350000002</v>
      </c>
      <c r="H35" s="54">
        <f t="shared" si="12"/>
        <v>2905459.0650000004</v>
      </c>
      <c r="I35" s="135">
        <f t="shared" si="12"/>
        <v>3004037.355</v>
      </c>
      <c r="J35" s="53">
        <f t="shared" si="12"/>
        <v>3012419.9046800002</v>
      </c>
      <c r="K35" s="54">
        <f t="shared" si="12"/>
        <v>2581691.0029200003</v>
      </c>
      <c r="L35" s="64">
        <f t="shared" si="12"/>
        <v>1303579.9806000004</v>
      </c>
    </row>
    <row r="36" spans="1:13" ht="15.75" thickBot="1" x14ac:dyDescent="0.3">
      <c r="A36" s="61" t="s">
        <v>30</v>
      </c>
      <c r="B36" s="198">
        <v>4195840.180293249</v>
      </c>
      <c r="C36" s="54">
        <f>B36+C32+B41</f>
        <v>5232133.7600000007</v>
      </c>
      <c r="D36" s="54">
        <f t="shared" ref="D36:L36" si="13">C36+D32+C41</f>
        <v>5330901.53</v>
      </c>
      <c r="E36" s="54">
        <f t="shared" si="13"/>
        <v>5308370.0149999997</v>
      </c>
      <c r="F36" s="135">
        <f t="shared" si="13"/>
        <v>5383876.4499999993</v>
      </c>
      <c r="G36" s="53">
        <f t="shared" si="13"/>
        <v>4980164.0549999997</v>
      </c>
      <c r="H36" s="54">
        <f t="shared" si="13"/>
        <v>4519528.5549999997</v>
      </c>
      <c r="I36" s="135">
        <f t="shared" si="13"/>
        <v>4527507.6050000004</v>
      </c>
      <c r="J36" s="53">
        <f t="shared" si="13"/>
        <v>4105758.171571061</v>
      </c>
      <c r="K36" s="54">
        <f t="shared" si="13"/>
        <v>3515538.2141605685</v>
      </c>
      <c r="L36" s="64">
        <f t="shared" si="13"/>
        <v>2206934.4157687984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x14ac:dyDescent="0.25">
      <c r="A38" s="52" t="s">
        <v>65</v>
      </c>
      <c r="B38" s="52"/>
      <c r="C38" s="131"/>
      <c r="D38" s="103">
        <f>+'PCR Cycle 1'!D38</f>
        <v>1.8848000000000001E-3</v>
      </c>
      <c r="E38" s="103">
        <f>+'PCR Cycle 1'!E38</f>
        <v>2.0156100000000001E-3</v>
      </c>
      <c r="F38" s="103">
        <f>+'PCR Cycle 1'!F38</f>
        <v>2.0650299999999998E-3</v>
      </c>
      <c r="G38" s="105">
        <f>+'PCR Cycle 1'!G38</f>
        <v>2.0681900000000001E-3</v>
      </c>
      <c r="H38" s="103">
        <f>+'PCR Cycle 1'!H38</f>
        <v>2.0708300000000001E-3</v>
      </c>
      <c r="I38" s="103">
        <f>+'PCR Cycle 1'!I38</f>
        <v>2.0734999999999998E-3</v>
      </c>
      <c r="J38" s="105">
        <f>+I38</f>
        <v>2.0734999999999998E-3</v>
      </c>
      <c r="K38" s="103">
        <f>+J38</f>
        <v>2.0734999999999998E-3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-7176.4</v>
      </c>
      <c r="D40" s="54">
        <f t="shared" ref="D40" si="14">ROUND((C35+C40+D31/2)*D$38,2)</f>
        <v>3611.08</v>
      </c>
      <c r="E40" s="54">
        <f t="shared" ref="E40:E41" si="15">ROUND((D35+D40+E31/2)*E$38,2)</f>
        <v>5035.1899999999996</v>
      </c>
      <c r="F40" s="135">
        <f t="shared" ref="F40:F41" si="16">ROUND((E35+E40+F31/2)*F$38,2)</f>
        <v>6595.97</v>
      </c>
      <c r="G40" s="53">
        <f t="shared" ref="G40:G41" si="17">ROUND((F35+F40+G31/2)*G$38,2)</f>
        <v>6755.12</v>
      </c>
      <c r="H40" s="150">
        <f t="shared" ref="H40:I41" si="18">ROUND((G35+G40+H31/2)*H$38,2)</f>
        <v>6148.07</v>
      </c>
      <c r="I40" s="211">
        <f t="shared" si="18"/>
        <v>6133.04</v>
      </c>
      <c r="J40" s="53">
        <f t="shared" ref="J40:J41" si="19">ROUND((I35+I40+J31/2)*J$38,2)</f>
        <v>6243.92</v>
      </c>
      <c r="K40" s="150">
        <f t="shared" ref="K40:K41" si="20">ROUND((J35+J40+K31/2)*K$38,2)</f>
        <v>5806.17</v>
      </c>
      <c r="L40" s="64"/>
    </row>
    <row r="41" spans="1:13" ht="15.75" thickBot="1" x14ac:dyDescent="0.3">
      <c r="A41" s="61" t="s">
        <v>30</v>
      </c>
      <c r="C41" s="141">
        <v>-18922.03</v>
      </c>
      <c r="D41" s="54">
        <f>ROUND((C36+C41+D32/2)*D$38,2)</f>
        <v>9936.77</v>
      </c>
      <c r="E41" s="54">
        <f t="shared" si="15"/>
        <v>10732.33</v>
      </c>
      <c r="F41" s="135">
        <f t="shared" si="16"/>
        <v>11050.99</v>
      </c>
      <c r="G41" s="53">
        <f t="shared" si="17"/>
        <v>10728.83</v>
      </c>
      <c r="H41" s="150">
        <f t="shared" si="18"/>
        <v>9847.23</v>
      </c>
      <c r="I41" s="211">
        <f t="shared" si="18"/>
        <v>9389.7199999999993</v>
      </c>
      <c r="J41" s="53">
        <f t="shared" si="19"/>
        <v>8960.27</v>
      </c>
      <c r="K41" s="150">
        <f t="shared" si="20"/>
        <v>7910.67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L42" si="21">SUM(D40:D41)+SUM(D35:D36)-D45</f>
        <v>2.1566422656178474E-3</v>
      </c>
      <c r="E42" s="45">
        <f t="shared" si="21"/>
        <v>2.1566413342952728E-3</v>
      </c>
      <c r="F42" s="65">
        <f t="shared" si="21"/>
        <v>2.1566431969404221E-3</v>
      </c>
      <c r="G42" s="151">
        <f t="shared" si="21"/>
        <v>2.1566422656178474E-3</v>
      </c>
      <c r="H42" s="45">
        <f t="shared" si="21"/>
        <v>2.1566422656178474E-3</v>
      </c>
      <c r="I42" s="65">
        <f t="shared" si="21"/>
        <v>2.1566431969404221E-3</v>
      </c>
      <c r="J42" s="66">
        <f t="shared" si="21"/>
        <v>2.1566441282629967E-3</v>
      </c>
      <c r="K42" s="45">
        <f t="shared" si="21"/>
        <v>2.1566431969404221E-3</v>
      </c>
      <c r="L42" s="123">
        <f t="shared" si="21"/>
        <v>2.1566431969404221E-3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 t="shared" ref="D43:I43" si="22">SUM(D40:D41)-D28</f>
        <v>0</v>
      </c>
      <c r="E43" s="45">
        <f t="shared" si="22"/>
        <v>0</v>
      </c>
      <c r="F43" s="65">
        <f t="shared" ref="F43:H43" si="23">SUM(F40:F41)-F28</f>
        <v>0</v>
      </c>
      <c r="G43" s="66">
        <f t="shared" si="23"/>
        <v>-9.9999999983992893E-3</v>
      </c>
      <c r="H43" s="45">
        <f t="shared" si="23"/>
        <v>0</v>
      </c>
      <c r="I43" s="65">
        <f t="shared" si="22"/>
        <v>-1.0000000002037268E-2</v>
      </c>
      <c r="J43" s="66">
        <f t="shared" ref="J43:L43" si="24">SUM(J40:J41)-J28</f>
        <v>0</v>
      </c>
      <c r="K43" s="45">
        <f t="shared" si="24"/>
        <v>0</v>
      </c>
      <c r="L43" s="123">
        <f t="shared" si="24"/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s="61" t="s">
        <v>42</v>
      </c>
      <c r="B45" s="146">
        <v>5610969.0190566061</v>
      </c>
      <c r="C45" s="53">
        <f t="shared" ref="C45:I45" si="25">(SUM(C10:C14)-SUM(C25:C26))+SUM(C40:C41)+B45</f>
        <v>6935405.1778433584</v>
      </c>
      <c r="D45" s="54">
        <f t="shared" si="25"/>
        <v>7454044.9678433584</v>
      </c>
      <c r="E45" s="54">
        <f t="shared" si="25"/>
        <v>8207124.8478433583</v>
      </c>
      <c r="F45" s="135">
        <f t="shared" si="25"/>
        <v>8901756.1378433574</v>
      </c>
      <c r="G45" s="53">
        <f t="shared" si="25"/>
        <v>8023216.6378433574</v>
      </c>
      <c r="H45" s="54">
        <f t="shared" si="25"/>
        <v>7440982.9178433577</v>
      </c>
      <c r="I45" s="135">
        <f t="shared" si="25"/>
        <v>7547067.7178433575</v>
      </c>
      <c r="J45" s="53">
        <f t="shared" ref="J45" si="26">(SUM(J10:J14)-SUM(J25:J26))+SUM(J40:J41)+I45</f>
        <v>7133382.2640944179</v>
      </c>
      <c r="K45" s="54">
        <f t="shared" ref="K45:L45" si="27">(SUM(K10:K14)-SUM(K25:K26))+SUM(K40:K41)+J45</f>
        <v>6110946.0549239255</v>
      </c>
      <c r="L45" s="77">
        <f t="shared" si="27"/>
        <v>3510514.3942121556</v>
      </c>
    </row>
    <row r="46" spans="1:13" x14ac:dyDescent="0.25">
      <c r="A46" s="61" t="s">
        <v>14</v>
      </c>
      <c r="C46" s="147"/>
      <c r="D46" s="71"/>
      <c r="E46" s="71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2" x14ac:dyDescent="0.25">
      <c r="A49" s="85" t="s">
        <v>13</v>
      </c>
      <c r="B49" s="85"/>
      <c r="C49" s="85"/>
    </row>
    <row r="50" spans="1:12" ht="39.75" customHeight="1" x14ac:dyDescent="0.25">
      <c r="A50" s="236" t="s">
        <v>141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</row>
    <row r="51" spans="1:12" ht="39" customHeight="1" x14ac:dyDescent="0.25">
      <c r="A51" s="235" t="s">
        <v>138</v>
      </c>
      <c r="B51" s="235"/>
      <c r="C51" s="235"/>
      <c r="D51" s="235"/>
      <c r="E51" s="235"/>
      <c r="F51" s="235"/>
      <c r="G51" s="235"/>
      <c r="H51" s="235"/>
      <c r="I51" s="235"/>
      <c r="J51" s="178"/>
      <c r="K51" s="178"/>
      <c r="L51" s="178"/>
    </row>
    <row r="52" spans="1:12" ht="33" customHeight="1" x14ac:dyDescent="0.25">
      <c r="A52" s="235" t="s">
        <v>142</v>
      </c>
      <c r="B52" s="235"/>
      <c r="C52" s="235"/>
      <c r="D52" s="235"/>
      <c r="E52" s="235"/>
      <c r="F52" s="235"/>
      <c r="G52" s="235"/>
      <c r="H52" s="235"/>
      <c r="I52" s="235"/>
      <c r="J52" s="178"/>
      <c r="K52" s="178"/>
      <c r="L52" s="178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3" t="s">
        <v>140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A52:I52"/>
    <mergeCell ref="D8:F8"/>
    <mergeCell ref="A51:I51"/>
    <mergeCell ref="A50:L50"/>
    <mergeCell ref="G8:I8"/>
    <mergeCell ref="J8:L8"/>
  </mergeCells>
  <pageMargins left="0.2" right="0.2" top="0.75" bottom="0.25" header="0.3" footer="0.3"/>
  <pageSetup scale="51" orientation="landscape" r:id="rId1"/>
  <headerFooter>
    <oddHeader>&amp;C&amp;F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workbookViewId="0">
      <selection activeCell="H1" sqref="H1"/>
    </sheetView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1" customFormat="1" x14ac:dyDescent="0.25">
      <c r="A1" s="3" t="str">
        <f>+PPC!A1</f>
        <v>KCP&amp;L Greater Missouri Operations Company - DSIM Rider Update Filed 11/30/2017</v>
      </c>
    </row>
    <row r="2" spans="1:23" x14ac:dyDescent="0.25">
      <c r="A2" s="9" t="str">
        <f>+PPC!A2</f>
        <v>Projections for Cycle 2 January - July 2018 DSIM</v>
      </c>
    </row>
    <row r="3" spans="1:23" s="61" customFormat="1" x14ac:dyDescent="0.25">
      <c r="A3" s="9"/>
    </row>
    <row r="4" spans="1:23" ht="40.5" customHeight="1" x14ac:dyDescent="0.25">
      <c r="B4" s="228" t="s">
        <v>84</v>
      </c>
      <c r="C4" s="228"/>
    </row>
    <row r="5" spans="1:23" ht="45" x14ac:dyDescent="0.25">
      <c r="B5" s="86" t="s">
        <v>88</v>
      </c>
      <c r="C5" s="6" t="s">
        <v>34</v>
      </c>
    </row>
    <row r="6" spans="1:23" x14ac:dyDescent="0.25">
      <c r="A6" s="22" t="s">
        <v>29</v>
      </c>
      <c r="B6" s="34">
        <f>+'[2]GMO Monthly TD Calc'!AC343</f>
        <v>33029877.405083545</v>
      </c>
      <c r="C6" s="107">
        <f>ROUND('[2]GMO Monthly TD Calc'!AC321,2)</f>
        <v>1747839.7</v>
      </c>
    </row>
    <row r="7" spans="1:23" x14ac:dyDescent="0.25">
      <c r="A7" s="43" t="s">
        <v>30</v>
      </c>
      <c r="B7" s="34">
        <f>+'[2]GMO Monthly TD Calc'!AC344</f>
        <v>43486318.797883265</v>
      </c>
      <c r="C7" s="107">
        <f>ROUND('[2]GMO Monthly TD Calc'!AC322,2)</f>
        <v>1747278.66</v>
      </c>
    </row>
    <row r="8" spans="1:23" x14ac:dyDescent="0.25">
      <c r="A8" s="22" t="s">
        <v>6</v>
      </c>
      <c r="B8" s="35">
        <f>SUM(B6:B7)</f>
        <v>76516196.202966809</v>
      </c>
      <c r="C8" s="24">
        <f>SUM(C6:C7)</f>
        <v>3495118.36</v>
      </c>
    </row>
    <row r="9" spans="1:23" x14ac:dyDescent="0.25">
      <c r="B9" s="33"/>
      <c r="C9" s="61"/>
    </row>
    <row r="10" spans="1:23" x14ac:dyDescent="0.25">
      <c r="A10" s="61"/>
      <c r="B10" s="61"/>
      <c r="C10" s="61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233" t="s">
        <v>135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</row>
    <row r="13" spans="1:23" x14ac:dyDescent="0.25">
      <c r="A13" s="233" t="s">
        <v>136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L12"/>
    <mergeCell ref="A13:L13"/>
  </mergeCells>
  <pageMargins left="0.2" right="0.2" top="0.75" bottom="0.25" header="0.3" footer="0.3"/>
  <pageSetup orientation="landscape" r:id="rId1"/>
  <headerFooter>
    <oddHeader>&amp;C&amp;F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zoomScaleNormal="100" workbookViewId="0">
      <pane xSplit="3" ySplit="11" topLeftCell="D36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outlineLevelRow="1" x14ac:dyDescent="0.25"/>
  <cols>
    <col min="1" max="1" width="37.7109375" customWidth="1"/>
    <col min="2" max="2" width="12.28515625" style="61" bestFit="1" customWidth="1"/>
    <col min="3" max="3" width="12.42578125" style="61" customWidth="1"/>
    <col min="4" max="4" width="15.42578125" customWidth="1"/>
    <col min="5" max="5" width="15.85546875" customWidth="1"/>
    <col min="6" max="6" width="12.28515625" style="61" customWidth="1"/>
    <col min="7" max="8" width="13.28515625" style="61" customWidth="1"/>
    <col min="9" max="9" width="12.28515625" bestFit="1" customWidth="1"/>
    <col min="10" max="10" width="12.28515625" style="61" bestFit="1" customWidth="1"/>
    <col min="11" max="11" width="13" style="61" customWidth="1"/>
    <col min="12" max="12" width="16" style="61" customWidth="1"/>
    <col min="13" max="13" width="15" bestFit="1" customWidth="1"/>
    <col min="14" max="14" width="16" bestFit="1" customWidth="1"/>
    <col min="15" max="15" width="17.85546875" customWidth="1"/>
    <col min="16" max="16" width="15.28515625" bestFit="1" customWidth="1"/>
    <col min="17" max="17" width="17.42578125" bestFit="1" customWidth="1"/>
    <col min="18" max="18" width="16.28515625" bestFit="1" customWidth="1"/>
    <col min="19" max="19" width="15.28515625" bestFit="1" customWidth="1"/>
    <col min="20" max="20" width="12.42578125" customWidth="1"/>
    <col min="21" max="22" width="14.28515625" bestFit="1" customWidth="1"/>
  </cols>
  <sheetData>
    <row r="1" spans="1:35" x14ac:dyDescent="0.25">
      <c r="A1" s="3" t="str">
        <f>+PPC!A1</f>
        <v>KCP&amp;L Greater Missouri Operations Company - DSIM Rider Update Filed 11/30/2017</v>
      </c>
      <c r="B1" s="3"/>
      <c r="C1" s="3"/>
    </row>
    <row r="2" spans="1:35" x14ac:dyDescent="0.25">
      <c r="J2" s="3" t="s">
        <v>86</v>
      </c>
      <c r="K2"/>
      <c r="M2" s="61"/>
      <c r="P2" s="61"/>
      <c r="Q2" s="61"/>
    </row>
    <row r="3" spans="1:35" ht="45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70</v>
      </c>
      <c r="I3" s="6" t="s">
        <v>11</v>
      </c>
      <c r="J3" s="6" t="s">
        <v>10</v>
      </c>
      <c r="L3" s="86" t="s">
        <v>87</v>
      </c>
      <c r="S3" s="6"/>
    </row>
    <row r="4" spans="1:35" x14ac:dyDescent="0.25">
      <c r="A4" s="22" t="s">
        <v>29</v>
      </c>
      <c r="B4" s="22"/>
      <c r="C4" s="22"/>
      <c r="D4" s="24">
        <f>SUM(C15:L15)</f>
        <v>-478527.12792</v>
      </c>
      <c r="E4" s="168">
        <f>M19</f>
        <v>0</v>
      </c>
      <c r="F4" s="24">
        <f>SUM(C23:K23)</f>
        <v>0</v>
      </c>
      <c r="G4" s="24">
        <f>F4-D4</f>
        <v>478527.12792</v>
      </c>
      <c r="H4" s="24">
        <f>+B33+B38</f>
        <v>-713548.5110192073</v>
      </c>
      <c r="I4" s="24">
        <f>SUM(C38:K38)</f>
        <v>-3055.85</v>
      </c>
      <c r="J4" s="36">
        <f>SUM(G4:I4)</f>
        <v>-238077.23309920731</v>
      </c>
      <c r="K4" s="4">
        <f>+J4-L33-M38</f>
        <v>0</v>
      </c>
      <c r="L4" s="36">
        <f>+J4/3*3</f>
        <v>-238077.23309920734</v>
      </c>
    </row>
    <row r="5" spans="1:35" ht="15.75" thickBot="1" x14ac:dyDescent="0.3">
      <c r="A5" s="22" t="s">
        <v>30</v>
      </c>
      <c r="B5" s="22"/>
      <c r="C5" s="22"/>
      <c r="D5" s="24">
        <f>SUM(C16:L16)</f>
        <v>597640.12399987283</v>
      </c>
      <c r="E5" s="168">
        <f>M20</f>
        <v>0</v>
      </c>
      <c r="F5" s="24">
        <f>SUM(C24:K24)</f>
        <v>0</v>
      </c>
      <c r="G5" s="24">
        <f>F5-D5</f>
        <v>-597640.12399987283</v>
      </c>
      <c r="H5" s="24">
        <f>+B34+B39</f>
        <v>878330.34194396413</v>
      </c>
      <c r="I5" s="24">
        <f>SUM(C39:K39)</f>
        <v>6304.88</v>
      </c>
      <c r="J5" s="36">
        <f>SUM(G5:I5)</f>
        <v>286995.09794409131</v>
      </c>
      <c r="K5" s="62">
        <f>+J5-L34-M39</f>
        <v>0</v>
      </c>
      <c r="L5" s="36">
        <f>+J5/3*3</f>
        <v>286995.09794409131</v>
      </c>
    </row>
    <row r="6" spans="1:35" ht="16.5" thickTop="1" thickBot="1" x14ac:dyDescent="0.3">
      <c r="D6" s="40">
        <f t="shared" ref="D6" si="0">SUM(D4:D5)</f>
        <v>119112.99607987283</v>
      </c>
      <c r="E6" s="169">
        <f t="shared" ref="E6:H6" si="1">SUM(E4:E5)</f>
        <v>0</v>
      </c>
      <c r="F6" s="40">
        <f t="shared" si="1"/>
        <v>0</v>
      </c>
      <c r="G6" s="40">
        <f t="shared" si="1"/>
        <v>-119112.99607987283</v>
      </c>
      <c r="H6" s="40">
        <f t="shared" si="1"/>
        <v>164781.83092475682</v>
      </c>
      <c r="I6" s="40">
        <f>SUM(I4:I5)</f>
        <v>3249.03</v>
      </c>
      <c r="J6" s="40">
        <f>SUM(J4:J5)</f>
        <v>48917.864844883996</v>
      </c>
      <c r="K6"/>
      <c r="L6" s="40">
        <f>SUM(L4:L5)</f>
        <v>48917.864844883967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5" t="str">
        <f>+'PCR Cycle 1'!B8</f>
        <v>Cumulative Over/Under Carryover From 06/01/2017 Filing</v>
      </c>
      <c r="C10" s="221" t="str">
        <f>+'PCR Cycle 1'!C8</f>
        <v>Reverse May-17 - July-17  Forecast From 06/01/2017 Filing</v>
      </c>
      <c r="D10" s="237" t="s">
        <v>39</v>
      </c>
      <c r="E10" s="237"/>
      <c r="F10" s="238"/>
      <c r="G10" s="242" t="s">
        <v>39</v>
      </c>
      <c r="H10" s="243"/>
      <c r="I10" s="244"/>
      <c r="J10" s="239" t="s">
        <v>9</v>
      </c>
      <c r="K10" s="240"/>
      <c r="L10" s="241"/>
    </row>
    <row r="11" spans="1:35" x14ac:dyDescent="0.25">
      <c r="A11" t="s">
        <v>43</v>
      </c>
      <c r="C11" s="132"/>
      <c r="D11" s="20">
        <f>+'PCR Cycle 1'!D9</f>
        <v>42886</v>
      </c>
      <c r="E11" s="20">
        <f t="shared" ref="E11:I11" si="2">EDATE(D11,1)</f>
        <v>42916</v>
      </c>
      <c r="F11" s="20">
        <f t="shared" si="2"/>
        <v>42946</v>
      </c>
      <c r="G11" s="14">
        <f t="shared" si="2"/>
        <v>42977</v>
      </c>
      <c r="H11" s="20">
        <f t="shared" si="2"/>
        <v>43008</v>
      </c>
      <c r="I11" s="20">
        <f t="shared" si="2"/>
        <v>43038</v>
      </c>
      <c r="J11" s="14">
        <f t="shared" ref="J11" si="3">EDATE(I11,1)</f>
        <v>43069</v>
      </c>
      <c r="K11" s="20">
        <f t="shared" ref="K11" si="4">EDATE(J11,1)</f>
        <v>43099</v>
      </c>
      <c r="L11" s="15">
        <f t="shared" ref="L11" si="5">EDATE(K11,1)</f>
        <v>43130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t="s">
        <v>6</v>
      </c>
      <c r="C12" s="124">
        <v>0</v>
      </c>
      <c r="D12" s="136">
        <f t="shared" ref="D12:H12" si="6">+D23+D24</f>
        <v>0</v>
      </c>
      <c r="E12" s="136">
        <f t="shared" si="6"/>
        <v>0</v>
      </c>
      <c r="F12" s="137">
        <f t="shared" si="6"/>
        <v>0</v>
      </c>
      <c r="G12" s="16">
        <f t="shared" si="6"/>
        <v>0</v>
      </c>
      <c r="H12" s="70">
        <f t="shared" si="6"/>
        <v>0</v>
      </c>
      <c r="I12" s="72">
        <f>+I23+I24</f>
        <v>0</v>
      </c>
      <c r="J12" s="187">
        <f t="shared" ref="J12:K12" si="7">+J23+J24</f>
        <v>0</v>
      </c>
      <c r="K12" s="97">
        <f t="shared" si="7"/>
        <v>0</v>
      </c>
      <c r="L12" s="98"/>
    </row>
    <row r="13" spans="1:35" x14ac:dyDescent="0.25">
      <c r="C13" s="126"/>
      <c r="D13" s="17"/>
      <c r="E13" s="17"/>
      <c r="F13" s="17"/>
      <c r="G13" s="10"/>
      <c r="H13" s="17"/>
      <c r="I13" s="17"/>
      <c r="J13" s="41"/>
      <c r="K13" s="44"/>
      <c r="L13" s="42"/>
    </row>
    <row r="14" spans="1:35" x14ac:dyDescent="0.25">
      <c r="A14" t="s">
        <v>17</v>
      </c>
      <c r="C14" s="126"/>
      <c r="D14" s="18"/>
      <c r="E14" s="18"/>
      <c r="F14" s="18"/>
      <c r="G14" s="118"/>
      <c r="H14" s="18"/>
      <c r="I14" s="18"/>
      <c r="J14" s="41"/>
      <c r="K14" s="44"/>
      <c r="L14" s="42"/>
      <c r="M14" s="3" t="s">
        <v>93</v>
      </c>
      <c r="N14" s="52"/>
    </row>
    <row r="15" spans="1:35" x14ac:dyDescent="0.25">
      <c r="A15" t="s">
        <v>29</v>
      </c>
      <c r="C15" s="124">
        <v>214447.45997999999</v>
      </c>
      <c r="D15" s="166">
        <f>ROUND('[3]Revenue Analysis'!G115,2)</f>
        <v>-54145.78</v>
      </c>
      <c r="E15" s="166">
        <f>ROUND('[3]Revenue Analysis'!H115,2)</f>
        <v>-71238.05</v>
      </c>
      <c r="F15" s="224">
        <f>ROUND('[3]Revenue Analysis'!I115,2)</f>
        <v>-93469.82</v>
      </c>
      <c r="G15" s="16">
        <f>ROUND('[3]Revenue Analysis'!J115,2)</f>
        <v>-93524.24</v>
      </c>
      <c r="H15" s="148">
        <f>ROUND('[3]Revenue Analysis'!K115,2)</f>
        <v>-74655.63</v>
      </c>
      <c r="I15" s="212">
        <f>ROUND('[3]Revenue Analysis'!L115,2)</f>
        <v>-66484.47</v>
      </c>
      <c r="J15" s="188">
        <f>'PCR Cycle 1'!J21*'TDR Cycle 1'!$M15</f>
        <v>-58065.185619999997</v>
      </c>
      <c r="K15" s="175">
        <f>'PCR Cycle 1'!K21*'TDR Cycle 1'!$M15</f>
        <v>-82040.677159999992</v>
      </c>
      <c r="L15" s="102">
        <f>'PCR Cycle 1'!L21*'TDR Cycle 1'!$M15</f>
        <v>-99350.735119999998</v>
      </c>
      <c r="M15" s="88">
        <v>-2.5999999999999998E-4</v>
      </c>
      <c r="N15" s="4"/>
    </row>
    <row r="16" spans="1:35" x14ac:dyDescent="0.25">
      <c r="A16" t="s">
        <v>30</v>
      </c>
      <c r="C16" s="124">
        <v>-307679.57359271997</v>
      </c>
      <c r="D16" s="166">
        <f>ROUND('[3]Revenue Analysis'!G116,2)</f>
        <v>87902.71</v>
      </c>
      <c r="E16" s="166">
        <f>ROUND('[3]Revenue Analysis'!H116,2)</f>
        <v>108080.08</v>
      </c>
      <c r="F16" s="224">
        <f>ROUND('[3]Revenue Analysis'!I116,2)</f>
        <v>116882.49</v>
      </c>
      <c r="G16" s="16">
        <f>ROUND('[3]Revenue Analysis'!J116,2)</f>
        <v>109809.61</v>
      </c>
      <c r="H16" s="148">
        <f>ROUND('[3]Revenue Analysis'!K116,2)</f>
        <v>105673.74</v>
      </c>
      <c r="I16" s="212">
        <f>ROUND('[3]Revenue Analysis'!L116,2)</f>
        <v>103398.63</v>
      </c>
      <c r="J16" s="188">
        <f>'PCR Cycle 1'!J22*'TDR Cycle 1'!$M16</f>
        <v>86452.690204736282</v>
      </c>
      <c r="K16" s="175">
        <f>'PCR Cycle 1'!K22*'TDR Cycle 1'!$M16</f>
        <v>91636.280449552214</v>
      </c>
      <c r="L16" s="102">
        <f>'PCR Cycle 1'!L22*'TDR Cycle 1'!$M16</f>
        <v>95483.466938304206</v>
      </c>
      <c r="M16" s="88">
        <v>3.3E-4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84"/>
      <c r="J17" s="12"/>
      <c r="K17" s="71"/>
      <c r="L17" s="13"/>
      <c r="N17" s="4"/>
    </row>
    <row r="18" spans="1:14" x14ac:dyDescent="0.25">
      <c r="A18" s="52" t="s">
        <v>36</v>
      </c>
      <c r="B18" s="52"/>
      <c r="C18" s="83"/>
      <c r="D18" s="71"/>
      <c r="E18" s="71"/>
      <c r="F18" s="71"/>
      <c r="G18" s="12"/>
      <c r="H18" s="71"/>
      <c r="I18" s="111"/>
      <c r="J18" s="12"/>
      <c r="K18" s="71"/>
      <c r="L18" s="13"/>
      <c r="M18" s="7"/>
      <c r="N18" s="61"/>
    </row>
    <row r="19" spans="1:14" x14ac:dyDescent="0.25">
      <c r="A19" s="61" t="s">
        <v>29</v>
      </c>
      <c r="C19" s="129">
        <v>0</v>
      </c>
      <c r="D19" s="138">
        <v>0</v>
      </c>
      <c r="E19" s="138">
        <v>0</v>
      </c>
      <c r="F19" s="152">
        <v>0</v>
      </c>
      <c r="G19" s="92">
        <v>0</v>
      </c>
      <c r="H19" s="93">
        <v>0</v>
      </c>
      <c r="I19" s="208">
        <v>0</v>
      </c>
      <c r="J19" s="189">
        <v>0</v>
      </c>
      <c r="K19" s="176">
        <v>0</v>
      </c>
      <c r="L19" s="99"/>
      <c r="M19" s="75">
        <f>SUM(C19:K19)</f>
        <v>0</v>
      </c>
      <c r="N19" s="61"/>
    </row>
    <row r="20" spans="1:14" x14ac:dyDescent="0.25">
      <c r="A20" t="s">
        <v>30</v>
      </c>
      <c r="C20" s="129">
        <v>0</v>
      </c>
      <c r="D20" s="138">
        <v>0</v>
      </c>
      <c r="E20" s="138">
        <v>0</v>
      </c>
      <c r="F20" s="152">
        <v>0</v>
      </c>
      <c r="G20" s="92">
        <v>0</v>
      </c>
      <c r="H20" s="93">
        <v>0</v>
      </c>
      <c r="I20" s="208">
        <v>0</v>
      </c>
      <c r="J20" s="189">
        <v>0</v>
      </c>
      <c r="K20" s="176">
        <v>0</v>
      </c>
      <c r="L20" s="99"/>
      <c r="M20" s="75">
        <f>SUM(C20:K20)</f>
        <v>0</v>
      </c>
      <c r="N20" s="61"/>
    </row>
    <row r="21" spans="1:14" s="61" customFormat="1" x14ac:dyDescent="0.25">
      <c r="C21" s="83"/>
      <c r="D21" s="84"/>
      <c r="E21" s="84"/>
      <c r="F21" s="84"/>
      <c r="G21" s="83"/>
      <c r="H21" s="84"/>
      <c r="I21" s="84"/>
      <c r="J21" s="12"/>
      <c r="K21" s="71"/>
      <c r="L21" s="13"/>
    </row>
    <row r="22" spans="1:14" x14ac:dyDescent="0.25">
      <c r="A22" s="61" t="s">
        <v>89</v>
      </c>
      <c r="C22" s="49"/>
      <c r="D22" s="50"/>
      <c r="E22" s="50"/>
      <c r="F22" s="50"/>
      <c r="G22" s="49"/>
      <c r="H22" s="50"/>
      <c r="I22" s="50"/>
      <c r="J22" s="190"/>
      <c r="K22" s="67"/>
      <c r="L22" s="51"/>
      <c r="M22" s="61"/>
      <c r="N22" s="61"/>
    </row>
    <row r="23" spans="1:14" x14ac:dyDescent="0.25">
      <c r="A23" s="61" t="s">
        <v>29</v>
      </c>
      <c r="C23" s="124">
        <v>0</v>
      </c>
      <c r="D23" s="136">
        <v>0</v>
      </c>
      <c r="E23" s="136">
        <v>0</v>
      </c>
      <c r="F23" s="137">
        <v>0</v>
      </c>
      <c r="G23" s="16">
        <v>0</v>
      </c>
      <c r="H23" s="70">
        <v>0</v>
      </c>
      <c r="I23" s="72">
        <v>0</v>
      </c>
      <c r="J23" s="191">
        <v>0</v>
      </c>
      <c r="K23" s="174">
        <v>0</v>
      </c>
      <c r="L23" s="98"/>
    </row>
    <row r="24" spans="1:14" x14ac:dyDescent="0.25">
      <c r="A24" s="61" t="s">
        <v>30</v>
      </c>
      <c r="C24" s="124">
        <v>0</v>
      </c>
      <c r="D24" s="136">
        <v>0</v>
      </c>
      <c r="E24" s="136">
        <v>0</v>
      </c>
      <c r="F24" s="137">
        <v>0</v>
      </c>
      <c r="G24" s="16">
        <v>0</v>
      </c>
      <c r="H24" s="70">
        <v>0</v>
      </c>
      <c r="I24" s="72">
        <v>0</v>
      </c>
      <c r="J24" s="191">
        <v>0</v>
      </c>
      <c r="K24" s="174">
        <v>0</v>
      </c>
      <c r="L24" s="98"/>
      <c r="N24" s="62"/>
    </row>
    <row r="25" spans="1:14" s="61" customFormat="1" x14ac:dyDescent="0.25">
      <c r="C25" s="126"/>
      <c r="D25" s="18"/>
      <c r="E25" s="18"/>
      <c r="F25" s="18"/>
      <c r="G25" s="118"/>
      <c r="H25" s="18"/>
      <c r="I25" s="18"/>
      <c r="J25" s="12"/>
      <c r="K25" s="71"/>
      <c r="L25" s="13"/>
    </row>
    <row r="26" spans="1:14" ht="15.75" thickBot="1" x14ac:dyDescent="0.3">
      <c r="A26" s="3" t="s">
        <v>18</v>
      </c>
      <c r="B26" s="3"/>
      <c r="C26" s="130">
        <v>-1360.4899999999998</v>
      </c>
      <c r="D26" s="166">
        <v>707.94</v>
      </c>
      <c r="E26" s="166">
        <v>661.88999999999987</v>
      </c>
      <c r="F26" s="167">
        <v>622.59000000000015</v>
      </c>
      <c r="G26" s="39">
        <v>596.69000000000005</v>
      </c>
      <c r="H26" s="149">
        <v>565.84</v>
      </c>
      <c r="I26" s="213">
        <v>521.52</v>
      </c>
      <c r="J26" s="192">
        <v>478.92</v>
      </c>
      <c r="K26" s="177">
        <v>454.15</v>
      </c>
      <c r="L26" s="101"/>
    </row>
    <row r="27" spans="1:14" x14ac:dyDescent="0.25">
      <c r="C27" s="80"/>
      <c r="D27" s="82"/>
      <c r="E27" s="82"/>
      <c r="F27" s="46"/>
      <c r="G27" s="80"/>
      <c r="H27" s="46"/>
      <c r="I27" s="46"/>
      <c r="J27" s="193"/>
      <c r="K27" s="47"/>
      <c r="L27" s="76"/>
    </row>
    <row r="28" spans="1:14" x14ac:dyDescent="0.25">
      <c r="A28" t="s">
        <v>68</v>
      </c>
      <c r="C28" s="81"/>
      <c r="D28" s="48"/>
      <c r="E28" s="48"/>
      <c r="F28" s="48"/>
      <c r="G28" s="81"/>
      <c r="H28" s="48"/>
      <c r="I28" s="48"/>
      <c r="J28" s="193"/>
      <c r="K28" s="47"/>
      <c r="L28" s="76"/>
    </row>
    <row r="29" spans="1:14" x14ac:dyDescent="0.25">
      <c r="A29" s="61" t="s">
        <v>29</v>
      </c>
      <c r="C29" s="127">
        <f t="shared" ref="C29:C30" si="8">C23-C15</f>
        <v>-214447.45997999999</v>
      </c>
      <c r="D29" s="54">
        <f t="shared" ref="D29:I30" si="9">D23-D15</f>
        <v>54145.78</v>
      </c>
      <c r="E29" s="54">
        <f t="shared" si="9"/>
        <v>71238.05</v>
      </c>
      <c r="F29" s="135">
        <f t="shared" ref="F29:H29" si="10">F23-F15</f>
        <v>93469.82</v>
      </c>
      <c r="G29" s="53">
        <f t="shared" si="10"/>
        <v>93524.24</v>
      </c>
      <c r="H29" s="54">
        <f t="shared" si="10"/>
        <v>74655.63</v>
      </c>
      <c r="I29" s="135">
        <f t="shared" si="9"/>
        <v>66484.47</v>
      </c>
      <c r="J29" s="53">
        <f t="shared" ref="J29:K29" si="11">J23-J15</f>
        <v>58065.185619999997</v>
      </c>
      <c r="K29" s="54">
        <f t="shared" si="11"/>
        <v>82040.677159999992</v>
      </c>
      <c r="L29" s="77">
        <f t="shared" ref="L29" si="12">L23-L15</f>
        <v>99350.735119999998</v>
      </c>
    </row>
    <row r="30" spans="1:14" x14ac:dyDescent="0.25">
      <c r="A30" t="s">
        <v>30</v>
      </c>
      <c r="C30" s="127">
        <f t="shared" si="8"/>
        <v>307679.57359271997</v>
      </c>
      <c r="D30" s="54">
        <f t="shared" si="9"/>
        <v>-87902.71</v>
      </c>
      <c r="E30" s="54">
        <f t="shared" si="9"/>
        <v>-108080.08</v>
      </c>
      <c r="F30" s="135">
        <f t="shared" ref="F30:H30" si="13">F24-F16</f>
        <v>-116882.49</v>
      </c>
      <c r="G30" s="53">
        <f t="shared" si="13"/>
        <v>-109809.61</v>
      </c>
      <c r="H30" s="54">
        <f t="shared" si="13"/>
        <v>-105673.74</v>
      </c>
      <c r="I30" s="135">
        <f t="shared" si="9"/>
        <v>-103398.63</v>
      </c>
      <c r="J30" s="53">
        <f t="shared" ref="J30:K30" si="14">J24-J16</f>
        <v>-86452.690204736282</v>
      </c>
      <c r="K30" s="54">
        <f t="shared" si="14"/>
        <v>-91636.280449552214</v>
      </c>
      <c r="L30" s="77">
        <f t="shared" ref="L30" si="15">L24-L16</f>
        <v>-95483.466938304206</v>
      </c>
    </row>
    <row r="31" spans="1:14" x14ac:dyDescent="0.25">
      <c r="C31" s="126"/>
      <c r="D31" s="17"/>
      <c r="E31" s="17"/>
      <c r="F31" s="17"/>
      <c r="G31" s="10"/>
      <c r="H31" s="17"/>
      <c r="I31" s="17"/>
      <c r="J31" s="10"/>
      <c r="K31" s="17"/>
      <c r="L31" s="11"/>
    </row>
    <row r="32" spans="1:14" ht="15.75" thickBot="1" x14ac:dyDescent="0.3">
      <c r="A32" t="s">
        <v>69</v>
      </c>
      <c r="C32" s="126"/>
      <c r="D32" s="17"/>
      <c r="E32" s="17"/>
      <c r="F32" s="17"/>
      <c r="G32" s="10"/>
      <c r="H32" s="17"/>
      <c r="I32" s="17"/>
      <c r="J32" s="10"/>
      <c r="K32" s="17"/>
      <c r="L32" s="11"/>
    </row>
    <row r="33" spans="1:36" x14ac:dyDescent="0.25">
      <c r="A33" s="61" t="s">
        <v>29</v>
      </c>
      <c r="B33" s="143">
        <v>-550011.27101920731</v>
      </c>
      <c r="C33" s="127">
        <f>B33+C29</f>
        <v>-764458.73099920736</v>
      </c>
      <c r="D33" s="54">
        <f t="shared" ref="D33:L33" si="16">C33+D29</f>
        <v>-710312.95099920733</v>
      </c>
      <c r="E33" s="54">
        <f t="shared" si="16"/>
        <v>-639074.90099920728</v>
      </c>
      <c r="F33" s="135">
        <f t="shared" si="16"/>
        <v>-545605.08099920722</v>
      </c>
      <c r="G33" s="53">
        <f t="shared" si="16"/>
        <v>-452080.84099920723</v>
      </c>
      <c r="H33" s="54">
        <f t="shared" si="16"/>
        <v>-377425.21099920722</v>
      </c>
      <c r="I33" s="135">
        <f t="shared" si="16"/>
        <v>-310940.74099920725</v>
      </c>
      <c r="J33" s="53">
        <f t="shared" si="16"/>
        <v>-252875.55537920725</v>
      </c>
      <c r="K33" s="54">
        <f t="shared" si="16"/>
        <v>-170834.87821920725</v>
      </c>
      <c r="L33" s="77">
        <f t="shared" si="16"/>
        <v>-71484.143099207256</v>
      </c>
    </row>
    <row r="34" spans="1:36" ht="15.75" thickBot="1" x14ac:dyDescent="0.3">
      <c r="A34" t="s">
        <v>30</v>
      </c>
      <c r="B34" s="144">
        <v>1016290.8819439642</v>
      </c>
      <c r="C34" s="127">
        <f>B34+C30</f>
        <v>1323970.455536684</v>
      </c>
      <c r="D34" s="54">
        <f t="shared" ref="D34:L34" si="17">C34+D30</f>
        <v>1236067.7455366841</v>
      </c>
      <c r="E34" s="54">
        <f t="shared" si="17"/>
        <v>1127987.665536684</v>
      </c>
      <c r="F34" s="135">
        <f t="shared" si="17"/>
        <v>1011105.175536684</v>
      </c>
      <c r="G34" s="53">
        <f t="shared" si="17"/>
        <v>901295.56553668401</v>
      </c>
      <c r="H34" s="54">
        <f t="shared" si="17"/>
        <v>795621.82553668402</v>
      </c>
      <c r="I34" s="135">
        <f t="shared" si="17"/>
        <v>692223.19553668401</v>
      </c>
      <c r="J34" s="53">
        <f t="shared" si="17"/>
        <v>605770.5053319477</v>
      </c>
      <c r="K34" s="54">
        <f t="shared" si="17"/>
        <v>514134.22488239547</v>
      </c>
      <c r="L34" s="77">
        <f t="shared" si="17"/>
        <v>418650.75794409128</v>
      </c>
    </row>
    <row r="35" spans="1:36" x14ac:dyDescent="0.25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36" x14ac:dyDescent="0.25">
      <c r="A36" s="52" t="s">
        <v>91</v>
      </c>
      <c r="B36" s="52"/>
      <c r="C36" s="131"/>
      <c r="D36" s="202">
        <v>1.3046399999999999E-3</v>
      </c>
      <c r="E36" s="202">
        <v>1.3046399999999999E-3</v>
      </c>
      <c r="F36" s="202">
        <v>1.3046399999999999E-3</v>
      </c>
      <c r="G36" s="203">
        <v>1.3046399999999999E-3</v>
      </c>
      <c r="H36" s="202">
        <v>1.3046399999999999E-3</v>
      </c>
      <c r="I36" s="202">
        <v>1.3046399999999999E-3</v>
      </c>
      <c r="J36" s="105">
        <f>+I36</f>
        <v>1.3046399999999999E-3</v>
      </c>
      <c r="K36" s="103">
        <f>+J36</f>
        <v>1.3046399999999999E-3</v>
      </c>
      <c r="L36" s="106"/>
    </row>
    <row r="37" spans="1:36" s="61" customFormat="1" ht="15.75" thickBot="1" x14ac:dyDescent="0.3">
      <c r="A37" s="52" t="s">
        <v>113</v>
      </c>
      <c r="B37" s="52"/>
      <c r="C37" s="133"/>
      <c r="D37" s="103"/>
      <c r="E37" s="103"/>
      <c r="F37" s="103"/>
      <c r="G37" s="105"/>
      <c r="H37" s="103"/>
      <c r="I37" s="103"/>
      <c r="J37" s="105"/>
      <c r="K37" s="103"/>
      <c r="L37" s="106"/>
    </row>
    <row r="38" spans="1:36" x14ac:dyDescent="0.25">
      <c r="A38" s="61" t="s">
        <v>29</v>
      </c>
      <c r="B38" s="143">
        <v>-163537.24000000002</v>
      </c>
      <c r="C38" s="127">
        <v>1844.31</v>
      </c>
      <c r="D38" s="54">
        <f t="shared" ref="D38:D39" si="18">ROUND((C33+D29/2)*D$36,2)</f>
        <v>-962.02</v>
      </c>
      <c r="E38" s="54">
        <f t="shared" ref="E38:E39" si="19">ROUND((D33+E29/2)*E$36,2)</f>
        <v>-880.23</v>
      </c>
      <c r="F38" s="135">
        <f t="shared" ref="F38:F39" si="20">ROUND((E33+F29/2)*F$36,2)</f>
        <v>-772.79</v>
      </c>
      <c r="G38" s="53">
        <f t="shared" ref="G38:G39" si="21">ROUND((F33+G29/2)*G$36,2)</f>
        <v>-650.80999999999995</v>
      </c>
      <c r="H38" s="150">
        <f t="shared" ref="H38:I39" si="22">ROUND((G33+H29/2)*H$36,2)</f>
        <v>-541.1</v>
      </c>
      <c r="I38" s="210">
        <f t="shared" si="22"/>
        <v>-449.03</v>
      </c>
      <c r="J38" s="184">
        <f t="shared" ref="J38:L38" si="23">ROUND((I33+J29/2)*J$36,2)</f>
        <v>-367.79</v>
      </c>
      <c r="K38" s="135">
        <f t="shared" si="23"/>
        <v>-276.39</v>
      </c>
      <c r="L38" s="77">
        <f t="shared" si="23"/>
        <v>0</v>
      </c>
      <c r="M38" s="196">
        <f>SUM(B38:L38)</f>
        <v>-166593.09000000005</v>
      </c>
    </row>
    <row r="39" spans="1:36" ht="15.75" thickBot="1" x14ac:dyDescent="0.3">
      <c r="A39" t="s">
        <v>30</v>
      </c>
      <c r="B39" s="144">
        <v>-137960.54</v>
      </c>
      <c r="C39" s="127">
        <v>-3204.8</v>
      </c>
      <c r="D39" s="54">
        <f t="shared" si="18"/>
        <v>1669.96</v>
      </c>
      <c r="E39" s="54">
        <f t="shared" si="19"/>
        <v>1542.12</v>
      </c>
      <c r="F39" s="135">
        <f t="shared" si="20"/>
        <v>1395.37</v>
      </c>
      <c r="G39" s="53">
        <f t="shared" si="21"/>
        <v>1247.5</v>
      </c>
      <c r="H39" s="150">
        <f t="shared" si="22"/>
        <v>1106.93</v>
      </c>
      <c r="I39" s="210">
        <f t="shared" si="22"/>
        <v>970.55</v>
      </c>
      <c r="J39" s="184">
        <f t="shared" ref="J39:L39" si="24">ROUND((I34+J30/2)*J$36,2)</f>
        <v>846.71</v>
      </c>
      <c r="K39" s="135">
        <f t="shared" si="24"/>
        <v>730.54</v>
      </c>
      <c r="L39" s="77">
        <f t="shared" si="24"/>
        <v>0</v>
      </c>
      <c r="M39" s="196">
        <f>SUM(B39:L39)</f>
        <v>-131655.66000000003</v>
      </c>
    </row>
    <row r="40" spans="1:36" ht="16.5" thickTop="1" thickBot="1" x14ac:dyDescent="0.3">
      <c r="A40" s="69" t="s">
        <v>25</v>
      </c>
      <c r="B40" s="69"/>
      <c r="C40" s="134">
        <v>0</v>
      </c>
      <c r="D40" s="55">
        <f>SUM($B38:D39)+SUM(D33:D34)-D43</f>
        <v>0</v>
      </c>
      <c r="E40" s="55">
        <f>SUM($B38:E39)+SUM(E33:E34)-E43</f>
        <v>0</v>
      </c>
      <c r="F40" s="65">
        <f>SUM($B38:F39)+SUM(F33:F34)-F43</f>
        <v>0</v>
      </c>
      <c r="G40" s="186">
        <f>SUM($B38:G39)+SUM(G33:G34)-G43</f>
        <v>0</v>
      </c>
      <c r="H40" s="65">
        <f>SUM($B38:H39)+SUM(H33:H34)-H43</f>
        <v>0</v>
      </c>
      <c r="I40" s="65">
        <f>SUM($B38:I39)+SUM(I33:I34)-I43</f>
        <v>-1.1641532182693481E-10</v>
      </c>
      <c r="J40" s="194">
        <f>SUM($B38:J39)+SUM(J33:J34)-J43</f>
        <v>-9.4587448984384537E-11</v>
      </c>
      <c r="K40" s="65">
        <f>SUM($B38:K39)+SUM(K33:K34)-K43</f>
        <v>-1.7462298274040222E-10</v>
      </c>
      <c r="L40" s="78">
        <f>SUM($B38:L39)+SUM(L33:L34)-L43</f>
        <v>-1.3096723705530167E-10</v>
      </c>
    </row>
    <row r="41" spans="1:36" s="61" customFormat="1" ht="16.5" thickTop="1" thickBot="1" x14ac:dyDescent="0.3">
      <c r="A41" s="69" t="s">
        <v>26</v>
      </c>
      <c r="B41" s="69"/>
      <c r="C41" s="134">
        <v>0</v>
      </c>
      <c r="D41" s="55">
        <f t="shared" ref="D41:I41" si="25">SUM(D38:D39)-D26</f>
        <v>0</v>
      </c>
      <c r="E41" s="55">
        <f t="shared" si="25"/>
        <v>0</v>
      </c>
      <c r="F41" s="65">
        <f t="shared" ref="F41:H41" si="26">SUM(F38:F39)-F26</f>
        <v>-1.0000000000218279E-2</v>
      </c>
      <c r="G41" s="186">
        <f t="shared" si="26"/>
        <v>0</v>
      </c>
      <c r="H41" s="65">
        <f t="shared" si="26"/>
        <v>-9.9999999999909051E-3</v>
      </c>
      <c r="I41" s="65">
        <f t="shared" si="25"/>
        <v>0</v>
      </c>
      <c r="J41" s="66">
        <f t="shared" ref="J41:L41" si="27">SUM(J38:J39)-J26</f>
        <v>0</v>
      </c>
      <c r="K41" s="55">
        <f t="shared" si="27"/>
        <v>0</v>
      </c>
      <c r="L41" s="55">
        <f t="shared" si="27"/>
        <v>0</v>
      </c>
    </row>
    <row r="42" spans="1:36" ht="16.5" thickTop="1" thickBot="1" x14ac:dyDescent="0.3">
      <c r="C42" s="126"/>
      <c r="D42" s="17"/>
      <c r="E42" s="17"/>
      <c r="F42" s="17"/>
      <c r="G42" s="10"/>
      <c r="H42" s="17"/>
      <c r="I42" s="17"/>
      <c r="J42" s="10"/>
      <c r="K42" s="17"/>
      <c r="L42" s="11"/>
    </row>
    <row r="43" spans="1:36" ht="15.75" thickBot="1" x14ac:dyDescent="0.3">
      <c r="A43" t="s">
        <v>42</v>
      </c>
      <c r="B43" s="146">
        <f>SUM(B33:B34,B38:B39)</f>
        <v>164781.83092475685</v>
      </c>
      <c r="C43" s="127">
        <f t="shared" ref="C43" si="28">(C12-SUM(C15:C16))+SUM(C38:C39)+B43</f>
        <v>256653.45453747682</v>
      </c>
      <c r="D43" s="54">
        <f t="shared" ref="D43:I43" si="29">(D12-SUM(D15:D16))+SUM(D38:D39)+C43</f>
        <v>223604.46453747683</v>
      </c>
      <c r="E43" s="54">
        <f t="shared" si="29"/>
        <v>187424.32453747682</v>
      </c>
      <c r="F43" s="135">
        <f t="shared" si="29"/>
        <v>164634.23453747682</v>
      </c>
      <c r="G43" s="53">
        <f t="shared" si="29"/>
        <v>148945.55453747683</v>
      </c>
      <c r="H43" s="54">
        <f t="shared" si="29"/>
        <v>118493.27453747683</v>
      </c>
      <c r="I43" s="135">
        <f t="shared" si="29"/>
        <v>82100.634537476813</v>
      </c>
      <c r="J43" s="184">
        <f t="shared" ref="J43" si="30">(J12-SUM(J15:J16))+SUM(J38:J39)+I43</f>
        <v>54192.049952740526</v>
      </c>
      <c r="K43" s="135">
        <f t="shared" ref="K43" si="31">(K12-SUM(K15:K16))+SUM(K38:K39)+J43</f>
        <v>45050.596663188306</v>
      </c>
      <c r="L43" s="77">
        <f t="shared" ref="L43" si="32">(L12-SUM(L15:L16))+SUM(L38:L39)+K43</f>
        <v>48917.864844884098</v>
      </c>
    </row>
    <row r="44" spans="1:36" x14ac:dyDescent="0.25">
      <c r="A44" t="s">
        <v>14</v>
      </c>
      <c r="C44" s="147"/>
      <c r="D44" s="17"/>
      <c r="E44" s="17"/>
      <c r="F44" s="17"/>
      <c r="G44" s="10"/>
      <c r="H44" s="17"/>
      <c r="I44" s="17"/>
      <c r="J44" s="10"/>
      <c r="K44" s="17"/>
      <c r="L44" s="11"/>
    </row>
    <row r="45" spans="1:36" ht="15.75" thickBot="1" x14ac:dyDescent="0.3">
      <c r="A45" s="50"/>
      <c r="B45" s="50"/>
      <c r="C45" s="195"/>
      <c r="D45" s="57"/>
      <c r="E45" s="57"/>
      <c r="F45" s="57"/>
      <c r="G45" s="56"/>
      <c r="H45" s="57"/>
      <c r="I45" s="57"/>
      <c r="J45" s="56"/>
      <c r="K45" s="57"/>
      <c r="L45" s="58"/>
    </row>
    <row r="46" spans="1:36" x14ac:dyDescent="0.25">
      <c r="A46" s="61"/>
      <c r="D46" s="61"/>
      <c r="E46" s="61"/>
      <c r="I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</row>
    <row r="47" spans="1:36" x14ac:dyDescent="0.25">
      <c r="A47" s="85" t="s">
        <v>13</v>
      </c>
      <c r="B47" s="85"/>
      <c r="C47" s="85"/>
      <c r="D47" s="61"/>
      <c r="E47" s="61"/>
      <c r="I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</row>
    <row r="48" spans="1:36" ht="23.25" customHeight="1" outlineLevel="1" x14ac:dyDescent="0.25">
      <c r="A48" s="235" t="s">
        <v>117</v>
      </c>
      <c r="B48" s="235"/>
      <c r="C48" s="235"/>
      <c r="D48" s="235"/>
      <c r="E48" s="235"/>
      <c r="F48" s="235"/>
      <c r="G48" s="235"/>
      <c r="H48" s="235"/>
      <c r="I48" s="235"/>
      <c r="J48" s="170"/>
      <c r="K48" s="170"/>
      <c r="L48" s="117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</row>
    <row r="49" spans="1:36" ht="43.5" customHeight="1" outlineLevel="1" x14ac:dyDescent="0.25">
      <c r="A49" s="236" t="s">
        <v>143</v>
      </c>
      <c r="B49" s="236"/>
      <c r="C49" s="236"/>
      <c r="D49" s="236"/>
      <c r="E49" s="236"/>
      <c r="F49" s="236"/>
      <c r="G49" s="236"/>
      <c r="H49" s="236"/>
      <c r="I49" s="236"/>
      <c r="J49" s="170"/>
      <c r="K49" s="170"/>
      <c r="L49" s="117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</row>
    <row r="50" spans="1:36" ht="29.25" customHeight="1" outlineLevel="1" x14ac:dyDescent="0.25">
      <c r="A50" s="235" t="s">
        <v>144</v>
      </c>
      <c r="B50" s="235"/>
      <c r="C50" s="235"/>
      <c r="D50" s="235"/>
      <c r="E50" s="235"/>
      <c r="F50" s="235"/>
      <c r="G50" s="235"/>
      <c r="H50" s="235"/>
      <c r="I50" s="235"/>
      <c r="J50" s="170"/>
      <c r="K50" s="170"/>
      <c r="L50" s="117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</row>
    <row r="51" spans="1:36" outlineLevel="1" x14ac:dyDescent="0.25">
      <c r="A51" s="3" t="s">
        <v>90</v>
      </c>
      <c r="B51" s="3"/>
      <c r="C51" s="3"/>
    </row>
    <row r="52" spans="1:36" outlineLevel="1" x14ac:dyDescent="0.25">
      <c r="A52" s="79" t="s">
        <v>149</v>
      </c>
      <c r="B52" s="3"/>
      <c r="C52" s="3"/>
    </row>
    <row r="53" spans="1:36" outlineLevel="1" x14ac:dyDescent="0.25">
      <c r="A53" s="3" t="s">
        <v>92</v>
      </c>
      <c r="B53" s="3"/>
      <c r="C53" s="3"/>
    </row>
    <row r="54" spans="1:36" outlineLevel="1" x14ac:dyDescent="0.25">
      <c r="A54" s="3"/>
      <c r="B54" s="3"/>
      <c r="C54" s="3"/>
    </row>
    <row r="55" spans="1:36" ht="36" customHeight="1" x14ac:dyDescent="0.25">
      <c r="A55" s="234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</row>
  </sheetData>
  <mergeCells count="7">
    <mergeCell ref="A55:L55"/>
    <mergeCell ref="A48:I48"/>
    <mergeCell ref="A49:I49"/>
    <mergeCell ref="A50:I50"/>
    <mergeCell ref="D10:F10"/>
    <mergeCell ref="G10:I10"/>
    <mergeCell ref="J10:L10"/>
  </mergeCells>
  <pageMargins left="0.2" right="0.2" top="0.75" bottom="0.25" header="0.3" footer="0.3"/>
  <pageSetup scale="52" orientation="landscape" r:id="rId1"/>
  <headerFooter>
    <oddHeader>&amp;C&amp;F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pane xSplit="1" ySplit="2" topLeftCell="B3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55.28515625" style="61" customWidth="1"/>
    <col min="2" max="2" width="13.28515625" style="61" customWidth="1"/>
    <col min="3" max="3" width="14.85546875" style="61" customWidth="1"/>
    <col min="4" max="4" width="15.42578125" style="61" customWidth="1"/>
    <col min="5" max="5" width="15.85546875" style="61" customWidth="1"/>
    <col min="6" max="6" width="12.28515625" style="61" customWidth="1"/>
    <col min="7" max="8" width="13.28515625" style="61" customWidth="1"/>
    <col min="9" max="9" width="11.28515625" style="61" bestFit="1" customWidth="1"/>
    <col min="10" max="10" width="12.7109375" style="61" customWidth="1"/>
    <col min="11" max="11" width="11.5703125" style="61" bestFit="1" customWidth="1"/>
    <col min="12" max="12" width="16" style="61" customWidth="1"/>
    <col min="13" max="13" width="15" style="61" bestFit="1" customWidth="1"/>
    <col min="14" max="14" width="16" style="61" bestFit="1" customWidth="1"/>
    <col min="15" max="15" width="17.85546875" style="61" customWidth="1"/>
    <col min="16" max="16" width="15.28515625" style="61" bestFit="1" customWidth="1"/>
    <col min="17" max="17" width="17.42578125" style="61" bestFit="1" customWidth="1"/>
    <col min="18" max="18" width="16.28515625" style="61" bestFit="1" customWidth="1"/>
    <col min="19" max="19" width="15.28515625" style="61" bestFit="1" customWidth="1"/>
    <col min="20" max="20" width="12.42578125" style="61" customWidth="1"/>
    <col min="21" max="22" width="14.28515625" style="61" bestFit="1" customWidth="1"/>
    <col min="23" max="16384" width="9.140625" style="61"/>
  </cols>
  <sheetData>
    <row r="1" spans="1:35" x14ac:dyDescent="0.25">
      <c r="A1" s="3" t="str">
        <f>+PPC!A1</f>
        <v>KCP&amp;L Greater Missouri Operations Company - DSIM Rider Update Filed 11/30/2017</v>
      </c>
      <c r="B1" s="3"/>
      <c r="C1" s="3"/>
    </row>
    <row r="2" spans="1:35" x14ac:dyDescent="0.25">
      <c r="D2" s="3" t="s">
        <v>81</v>
      </c>
    </row>
    <row r="3" spans="1:35" ht="30" x14ac:dyDescent="0.25">
      <c r="D3" s="63" t="s">
        <v>62</v>
      </c>
      <c r="E3" s="86" t="s">
        <v>98</v>
      </c>
      <c r="F3" s="86" t="s">
        <v>99</v>
      </c>
      <c r="G3" s="63" t="s">
        <v>3</v>
      </c>
      <c r="H3" s="86" t="s">
        <v>70</v>
      </c>
      <c r="I3" s="63" t="s">
        <v>11</v>
      </c>
      <c r="J3" s="63" t="s">
        <v>10</v>
      </c>
      <c r="S3" s="63"/>
    </row>
    <row r="4" spans="1:35" x14ac:dyDescent="0.25">
      <c r="A4" s="22" t="s">
        <v>29</v>
      </c>
      <c r="B4" s="22"/>
      <c r="C4" s="22"/>
      <c r="D4" s="24">
        <f>SUM(C15:L15)</f>
        <v>2173355.9781000004</v>
      </c>
      <c r="E4" s="168">
        <f>M19</f>
        <v>28224055.522855021</v>
      </c>
      <c r="F4" s="24">
        <f>SUM(C23:K23)</f>
        <v>1896445.8</v>
      </c>
      <c r="G4" s="24">
        <f>F4-D4</f>
        <v>-276910.17810000037</v>
      </c>
      <c r="H4" s="24">
        <f>+B33</f>
        <v>331750.74650924973</v>
      </c>
      <c r="I4" s="24">
        <f>SUM(C38:K38)</f>
        <v>8507.0400000000009</v>
      </c>
      <c r="J4" s="36">
        <f>SUM(G4:I4)</f>
        <v>63347.608409249362</v>
      </c>
      <c r="K4" s="62">
        <f>+J4-L33</f>
        <v>-2.1100277081131935E-10</v>
      </c>
    </row>
    <row r="5" spans="1:35" ht="15.75" thickBot="1" x14ac:dyDescent="0.3">
      <c r="A5" s="22" t="s">
        <v>30</v>
      </c>
      <c r="B5" s="22"/>
      <c r="C5" s="22"/>
      <c r="D5" s="24">
        <f>SUM(C16:L16)</f>
        <v>1271534.4302009323</v>
      </c>
      <c r="E5" s="168">
        <f>M20</f>
        <v>35423417.573666677</v>
      </c>
      <c r="F5" s="24">
        <f>SUM(C24:K24)</f>
        <v>1518009.68</v>
      </c>
      <c r="G5" s="24">
        <f>F5-D5</f>
        <v>246475.24979906762</v>
      </c>
      <c r="H5" s="24">
        <f>+B34</f>
        <v>357771.07268917974</v>
      </c>
      <c r="I5" s="24">
        <f>SUM(C39:K39)</f>
        <v>9647.6</v>
      </c>
      <c r="J5" s="36">
        <f>SUM(G5:I5)</f>
        <v>613893.92248824739</v>
      </c>
      <c r="K5" s="62">
        <f>+J5-L34</f>
        <v>0</v>
      </c>
    </row>
    <row r="6" spans="1:35" ht="16.5" thickTop="1" thickBot="1" x14ac:dyDescent="0.3">
      <c r="D6" s="40">
        <f t="shared" ref="D6" si="0">SUM(D4:D5)</f>
        <v>3444890.4083009325</v>
      </c>
      <c r="E6" s="169">
        <f t="shared" ref="E6:H6" si="1">SUM(E4:E5)</f>
        <v>63647473.096521698</v>
      </c>
      <c r="F6" s="40">
        <f t="shared" si="1"/>
        <v>3414455.48</v>
      </c>
      <c r="G6" s="40">
        <f t="shared" si="1"/>
        <v>-30434.928300932748</v>
      </c>
      <c r="H6" s="40">
        <f t="shared" si="1"/>
        <v>689521.81919842947</v>
      </c>
      <c r="I6" s="40">
        <f>SUM(I4:I5)</f>
        <v>18154.64</v>
      </c>
      <c r="J6" s="40">
        <f>SUM(J4:J5)</f>
        <v>677241.53089749673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5" t="str">
        <f>+'PCR Cycle 1'!B8</f>
        <v>Cumulative Over/Under Carryover From 06/01/2017 Filing</v>
      </c>
      <c r="C10" s="221" t="str">
        <f>+'PCR Cycle 1'!C8</f>
        <v>Reverse May-17 - July-17  Forecast From 06/01/2017 Filing</v>
      </c>
      <c r="D10" s="237" t="s">
        <v>39</v>
      </c>
      <c r="E10" s="237"/>
      <c r="F10" s="238"/>
      <c r="G10" s="242" t="s">
        <v>39</v>
      </c>
      <c r="H10" s="243"/>
      <c r="I10" s="244"/>
      <c r="J10" s="239" t="s">
        <v>9</v>
      </c>
      <c r="K10" s="240"/>
      <c r="L10" s="241"/>
    </row>
    <row r="11" spans="1:35" x14ac:dyDescent="0.25">
      <c r="A11" s="61" t="s">
        <v>83</v>
      </c>
      <c r="C11" s="132"/>
      <c r="D11" s="20">
        <f>+'PCR Cycle 1'!D9</f>
        <v>42886</v>
      </c>
      <c r="E11" s="20">
        <f t="shared" ref="E11:I11" si="2">EDATE(D11,1)</f>
        <v>42916</v>
      </c>
      <c r="F11" s="20">
        <f t="shared" si="2"/>
        <v>42946</v>
      </c>
      <c r="G11" s="14">
        <f t="shared" si="2"/>
        <v>42977</v>
      </c>
      <c r="H11" s="20">
        <f t="shared" si="2"/>
        <v>43008</v>
      </c>
      <c r="I11" s="20">
        <f t="shared" si="2"/>
        <v>43038</v>
      </c>
      <c r="J11" s="14">
        <f t="shared" ref="J11" si="3">EDATE(I11,1)</f>
        <v>43069</v>
      </c>
      <c r="K11" s="20">
        <f t="shared" ref="K11:L11" si="4">EDATE(J11,1)</f>
        <v>43099</v>
      </c>
      <c r="L11" s="15">
        <f t="shared" si="4"/>
        <v>43130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1" t="s">
        <v>6</v>
      </c>
      <c r="C12" s="124">
        <v>-821240.57</v>
      </c>
      <c r="D12" s="136">
        <f t="shared" ref="D12:H12" si="5">+D23+D24</f>
        <v>334888.11</v>
      </c>
      <c r="E12" s="136">
        <f t="shared" si="5"/>
        <v>562445.65</v>
      </c>
      <c r="F12" s="137">
        <f t="shared" si="5"/>
        <v>678621.7</v>
      </c>
      <c r="G12" s="16">
        <f t="shared" si="5"/>
        <v>718347.99</v>
      </c>
      <c r="H12" s="70">
        <f t="shared" si="5"/>
        <v>659414.16</v>
      </c>
      <c r="I12" s="72">
        <f t="shared" ref="I12:K12" si="6">+I23+I24</f>
        <v>429281.55000000005</v>
      </c>
      <c r="J12" s="187">
        <f t="shared" si="6"/>
        <v>431899.4</v>
      </c>
      <c r="K12" s="97">
        <f t="shared" si="6"/>
        <v>420797.49</v>
      </c>
      <c r="L12" s="98"/>
    </row>
    <row r="13" spans="1:35" x14ac:dyDescent="0.25">
      <c r="C13" s="126"/>
      <c r="D13" s="17"/>
      <c r="E13" s="17"/>
      <c r="F13" s="17"/>
      <c r="G13" s="10"/>
      <c r="H13" s="17"/>
      <c r="I13" s="17"/>
      <c r="J13" s="41"/>
      <c r="K13" s="44"/>
      <c r="L13" s="42"/>
    </row>
    <row r="14" spans="1:35" x14ac:dyDescent="0.25">
      <c r="A14" s="61" t="s">
        <v>82</v>
      </c>
      <c r="C14" s="126"/>
      <c r="D14" s="18"/>
      <c r="E14" s="18"/>
      <c r="F14" s="18"/>
      <c r="G14" s="118"/>
      <c r="H14" s="18"/>
      <c r="I14" s="18"/>
      <c r="J14" s="41"/>
      <c r="K14" s="44"/>
      <c r="L14" s="42"/>
      <c r="M14" s="3" t="s">
        <v>93</v>
      </c>
      <c r="N14" s="52"/>
    </row>
    <row r="15" spans="1:35" x14ac:dyDescent="0.25">
      <c r="A15" s="61" t="s">
        <v>29</v>
      </c>
      <c r="C15" s="124">
        <v>-206199.48074999999</v>
      </c>
      <c r="D15" s="166">
        <f>ROUND('[3]Revenue Analysis'!G135,2)</f>
        <v>52064.88</v>
      </c>
      <c r="E15" s="166">
        <f>ROUND('[3]Revenue Analysis'!H135,2)</f>
        <v>68502.05</v>
      </c>
      <c r="F15" s="166">
        <f>ROUND('[3]Revenue Analysis'!I135,2)</f>
        <v>89874.36</v>
      </c>
      <c r="G15" s="16">
        <f>ROUND('[3]Revenue Analysis'!J135,2)</f>
        <v>427151.58</v>
      </c>
      <c r="H15" s="148">
        <f>ROUND('[3]Revenue Analysis'!K135,2)</f>
        <v>341679.08</v>
      </c>
      <c r="I15" s="212">
        <f>ROUND('[3]Revenue Analysis'!L135,2)</f>
        <v>304309.08</v>
      </c>
      <c r="J15" s="53">
        <f>'PCR Cycle 1'!J21*'TDR Cycle 2'!$M15</f>
        <v>265759.88803000003</v>
      </c>
      <c r="K15" s="54">
        <f>'PCR Cycle 1'!K21*'TDR Cycle 2'!$M15</f>
        <v>375493.86854000005</v>
      </c>
      <c r="L15" s="77">
        <f>'PCR Cycle 1'!L21*'TDR Cycle 2'!$M15</f>
        <v>454720.67228000006</v>
      </c>
      <c r="M15" s="88">
        <v>1.1900000000000001E-3</v>
      </c>
      <c r="N15" s="4"/>
    </row>
    <row r="16" spans="1:35" x14ac:dyDescent="0.25">
      <c r="A16" s="61" t="s">
        <v>30</v>
      </c>
      <c r="C16" s="124">
        <v>-149444.36431646399</v>
      </c>
      <c r="D16" s="166">
        <f>ROUND('[3]Revenue Analysis'!G136,2)</f>
        <v>42387.18</v>
      </c>
      <c r="E16" s="166">
        <f>ROUND('[3]Revenue Analysis'!H136,2)</f>
        <v>52495.58</v>
      </c>
      <c r="F16" s="166">
        <f>ROUND('[3]Revenue Analysis'!I136,2)</f>
        <v>56771.54</v>
      </c>
      <c r="G16" s="16">
        <f>ROUND('[3]Revenue Analysis'!J136,2)</f>
        <v>231910.6</v>
      </c>
      <c r="H16" s="148">
        <f>ROUND('[3]Revenue Analysis'!K136,2)</f>
        <v>226789.55</v>
      </c>
      <c r="I16" s="212">
        <f>ROUND('[3]Revenue Analysis'!L136,2)</f>
        <v>222029.1</v>
      </c>
      <c r="J16" s="53">
        <f>'PCR Cycle 1'!J22*'TDR Cycle 2'!$M16</f>
        <v>186004.27286473566</v>
      </c>
      <c r="K16" s="54">
        <f>'PCR Cycle 1'!K22*'TDR Cycle 2'!$M16</f>
        <v>197156.84581570327</v>
      </c>
      <c r="L16" s="77">
        <f>'PCR Cycle 1'!L22*'TDR Cycle 2'!$M16</f>
        <v>205434.12583695754</v>
      </c>
      <c r="M16" s="88">
        <v>7.1000000000000002E-4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84"/>
      <c r="J17" s="12"/>
      <c r="K17" s="71"/>
      <c r="L17" s="13"/>
      <c r="N17" s="4"/>
    </row>
    <row r="18" spans="1:14" x14ac:dyDescent="0.25">
      <c r="A18" s="52" t="s">
        <v>97</v>
      </c>
      <c r="B18" s="52"/>
      <c r="C18" s="83"/>
      <c r="D18" s="71"/>
      <c r="E18" s="71"/>
      <c r="F18" s="71"/>
      <c r="G18" s="12"/>
      <c r="H18" s="71"/>
      <c r="I18" s="111"/>
      <c r="J18" s="12"/>
      <c r="K18" s="71"/>
      <c r="L18" s="13"/>
      <c r="M18" s="7"/>
    </row>
    <row r="19" spans="1:14" x14ac:dyDescent="0.25">
      <c r="A19" s="61" t="s">
        <v>29</v>
      </c>
      <c r="C19" s="129">
        <v>-8038331.3476880258</v>
      </c>
      <c r="D19" s="138">
        <f>+'[6]Monthly TD Calc'!P285</f>
        <v>3224515.1065502628</v>
      </c>
      <c r="E19" s="138">
        <f>+'[6]Monthly TD Calc'!Q285</f>
        <v>3923713.093904227</v>
      </c>
      <c r="F19" s="152">
        <f>+'[6]Monthly TD Calc'!R285</f>
        <v>5156331.7325637145</v>
      </c>
      <c r="G19" s="92">
        <f>+'[6]Monthly TD Calc'!S285</f>
        <v>5459903.9135365281</v>
      </c>
      <c r="H19" s="93">
        <f>+'[6]Monthly TD Calc'!T285</f>
        <v>4854585.0191654339</v>
      </c>
      <c r="I19" s="208">
        <f>+'[6]Monthly TD Calc'!U285</f>
        <v>4306483.9620386567</v>
      </c>
      <c r="J19" s="189">
        <f>+'[2]GMO Monthly TD Calc'!V338</f>
        <v>4390833.0868920051</v>
      </c>
      <c r="K19" s="176">
        <f>+'[2]GMO Monthly TD Calc'!W338</f>
        <v>4946020.9558922183</v>
      </c>
      <c r="L19" s="99"/>
      <c r="M19" s="75">
        <f>SUM(C19:K19)</f>
        <v>28224055.522855021</v>
      </c>
    </row>
    <row r="20" spans="1:14" x14ac:dyDescent="0.25">
      <c r="A20" s="61" t="s">
        <v>30</v>
      </c>
      <c r="C20" s="129">
        <v>-6062165.1775642261</v>
      </c>
      <c r="D20" s="138">
        <f>+'[6]Monthly TD Calc'!P286</f>
        <v>4513146.602052697</v>
      </c>
      <c r="E20" s="138">
        <f>+'[6]Monthly TD Calc'!Q286</f>
        <v>4641799.764627181</v>
      </c>
      <c r="F20" s="152">
        <f>+'[6]Monthly TD Calc'!R286</f>
        <v>5018712.5530966222</v>
      </c>
      <c r="G20" s="92">
        <f>+'[6]Monthly TD Calc'!S286</f>
        <v>5280984.0309871519</v>
      </c>
      <c r="H20" s="93">
        <f>+'[6]Monthly TD Calc'!T286</f>
        <v>5060237.7666452527</v>
      </c>
      <c r="I20" s="208">
        <f>+'[6]Monthly TD Calc'!U286</f>
        <v>5618272.1866051657</v>
      </c>
      <c r="J20" s="189">
        <f>+'[2]GMO Monthly TD Calc'!V339</f>
        <v>5587987.1696117399</v>
      </c>
      <c r="K20" s="176">
        <f>+'[2]GMO Monthly TD Calc'!W339</f>
        <v>5764442.6776050897</v>
      </c>
      <c r="L20" s="99"/>
      <c r="M20" s="75">
        <f>SUM(C20:K20)</f>
        <v>35423417.573666677</v>
      </c>
    </row>
    <row r="21" spans="1:14" x14ac:dyDescent="0.25">
      <c r="C21" s="83"/>
      <c r="D21" s="84"/>
      <c r="E21" s="84"/>
      <c r="F21" s="84"/>
      <c r="G21" s="83"/>
      <c r="H21" s="84"/>
      <c r="I21" s="84"/>
      <c r="J21" s="12"/>
      <c r="K21" s="71"/>
      <c r="L21" s="13"/>
    </row>
    <row r="22" spans="1:14" x14ac:dyDescent="0.25">
      <c r="A22" s="61" t="s">
        <v>94</v>
      </c>
      <c r="C22" s="49"/>
      <c r="D22" s="50"/>
      <c r="E22" s="50"/>
      <c r="F22" s="50"/>
      <c r="G22" s="49"/>
      <c r="H22" s="50"/>
      <c r="I22" s="50"/>
      <c r="J22" s="190"/>
      <c r="K22" s="67"/>
      <c r="L22" s="51"/>
    </row>
    <row r="23" spans="1:14" x14ac:dyDescent="0.25">
      <c r="A23" s="61" t="s">
        <v>29</v>
      </c>
      <c r="C23" s="124">
        <v>-551029.27</v>
      </c>
      <c r="D23" s="136">
        <f>ROUND('[6]Monthly TD Calc'!P318,2)</f>
        <v>173412.81</v>
      </c>
      <c r="E23" s="136">
        <f>ROUND('[6]Monthly TD Calc'!Q318,2)</f>
        <v>328679.64</v>
      </c>
      <c r="F23" s="137">
        <f>ROUND('[6]Monthly TD Calc'!R318,2)</f>
        <v>431976.85</v>
      </c>
      <c r="G23" s="16">
        <f>ROUND('[6]Monthly TD Calc'!S318,2)</f>
        <v>457501.73</v>
      </c>
      <c r="H23" s="70">
        <f>ROUND('[6]Monthly TD Calc'!T318,2)</f>
        <v>406656.45</v>
      </c>
      <c r="I23" s="208">
        <f>ROUND('[6]Monthly TD Calc'!U318,2)</f>
        <v>225084.85</v>
      </c>
      <c r="J23" s="191">
        <f>ROUND('[2]GMO Monthly TD Calc'!V317,2)</f>
        <v>218731.92</v>
      </c>
      <c r="K23" s="174">
        <f>ROUND('[2]GMO Monthly TD Calc'!W317,2)</f>
        <v>205430.82</v>
      </c>
      <c r="L23" s="98"/>
    </row>
    <row r="24" spans="1:14" x14ac:dyDescent="0.25">
      <c r="A24" s="61" t="s">
        <v>30</v>
      </c>
      <c r="C24" s="124">
        <v>-270211.3</v>
      </c>
      <c r="D24" s="136">
        <f>ROUND('[6]Monthly TD Calc'!P319,2)</f>
        <v>161475.29999999999</v>
      </c>
      <c r="E24" s="136">
        <f>ROUND('[6]Monthly TD Calc'!Q319,2)</f>
        <v>233766.01</v>
      </c>
      <c r="F24" s="137">
        <f>ROUND('[6]Monthly TD Calc'!R319,2)</f>
        <v>246644.85</v>
      </c>
      <c r="G24" s="16">
        <f>ROUND('[6]Monthly TD Calc'!S319,2)</f>
        <v>260846.26</v>
      </c>
      <c r="H24" s="70">
        <f>ROUND('[6]Monthly TD Calc'!T319,2)</f>
        <v>252757.71</v>
      </c>
      <c r="I24" s="208">
        <f>ROUND('[6]Monthly TD Calc'!U319,2)</f>
        <v>204196.7</v>
      </c>
      <c r="J24" s="191">
        <f>ROUND('[2]GMO Monthly TD Calc'!V318,2)</f>
        <v>213167.48</v>
      </c>
      <c r="K24" s="174">
        <f>ROUND('[2]GMO Monthly TD Calc'!W318,2)</f>
        <v>215366.67</v>
      </c>
      <c r="L24" s="98"/>
      <c r="N24" s="62"/>
    </row>
    <row r="25" spans="1:14" x14ac:dyDescent="0.25">
      <c r="C25" s="126"/>
      <c r="D25" s="216"/>
      <c r="E25" s="216"/>
      <c r="F25" s="216"/>
      <c r="G25" s="118"/>
      <c r="H25" s="18"/>
      <c r="I25" s="18"/>
      <c r="J25" s="12"/>
      <c r="K25" s="71"/>
      <c r="L25" s="13"/>
    </row>
    <row r="26" spans="1:14" ht="15.75" thickBot="1" x14ac:dyDescent="0.3">
      <c r="A26" s="3" t="s">
        <v>18</v>
      </c>
      <c r="B26" s="3"/>
      <c r="C26" s="130">
        <v>-1767.3899999999999</v>
      </c>
      <c r="D26" s="166">
        <v>645.32000000000005</v>
      </c>
      <c r="E26" s="166">
        <v>1378.6100000000001</v>
      </c>
      <c r="F26" s="167">
        <v>2420.34</v>
      </c>
      <c r="G26" s="39">
        <v>3040.45</v>
      </c>
      <c r="H26" s="149">
        <v>3206.19</v>
      </c>
      <c r="I26" s="213">
        <v>3210.63</v>
      </c>
      <c r="J26" s="192">
        <v>3096.0699999999997</v>
      </c>
      <c r="K26" s="177">
        <v>2924.46</v>
      </c>
      <c r="L26" s="101"/>
    </row>
    <row r="27" spans="1:14" x14ac:dyDescent="0.25">
      <c r="C27" s="80"/>
      <c r="D27" s="82"/>
      <c r="E27" s="82"/>
      <c r="F27" s="46"/>
      <c r="G27" s="80"/>
      <c r="H27" s="46"/>
      <c r="I27" s="46"/>
      <c r="J27" s="193"/>
      <c r="K27" s="47"/>
      <c r="L27" s="76"/>
    </row>
    <row r="28" spans="1:14" x14ac:dyDescent="0.25">
      <c r="A28" s="61" t="s">
        <v>68</v>
      </c>
      <c r="C28" s="81"/>
      <c r="D28" s="205"/>
      <c r="E28" s="205"/>
      <c r="F28" s="205"/>
      <c r="G28" s="206"/>
      <c r="H28" s="205"/>
      <c r="I28" s="205"/>
      <c r="J28" s="193"/>
      <c r="K28" s="47"/>
      <c r="L28" s="76"/>
    </row>
    <row r="29" spans="1:14" x14ac:dyDescent="0.25">
      <c r="A29" s="61" t="s">
        <v>29</v>
      </c>
      <c r="C29" s="127">
        <f t="shared" ref="C29:L30" si="7">C23-C15</f>
        <v>-344829.78925000003</v>
      </c>
      <c r="D29" s="54">
        <f t="shared" si="7"/>
        <v>121347.93</v>
      </c>
      <c r="E29" s="54">
        <f t="shared" si="7"/>
        <v>260177.59000000003</v>
      </c>
      <c r="F29" s="135">
        <f t="shared" si="7"/>
        <v>342102.49</v>
      </c>
      <c r="G29" s="53">
        <f t="shared" si="7"/>
        <v>30350.149999999965</v>
      </c>
      <c r="H29" s="54">
        <f t="shared" si="7"/>
        <v>64977.369999999995</v>
      </c>
      <c r="I29" s="135">
        <f t="shared" si="7"/>
        <v>-79224.23000000001</v>
      </c>
      <c r="J29" s="53">
        <f t="shared" si="7"/>
        <v>-47027.968030000018</v>
      </c>
      <c r="K29" s="54">
        <f t="shared" si="7"/>
        <v>-170063.04854000005</v>
      </c>
      <c r="L29" s="77">
        <f t="shared" si="7"/>
        <v>-454720.67228000006</v>
      </c>
    </row>
    <row r="30" spans="1:14" x14ac:dyDescent="0.25">
      <c r="A30" s="61" t="s">
        <v>30</v>
      </c>
      <c r="C30" s="127">
        <f t="shared" si="7"/>
        <v>-120766.93568353599</v>
      </c>
      <c r="D30" s="54">
        <f t="shared" si="7"/>
        <v>119088.12</v>
      </c>
      <c r="E30" s="54">
        <f t="shared" si="7"/>
        <v>181270.43</v>
      </c>
      <c r="F30" s="135">
        <f t="shared" si="7"/>
        <v>189873.31</v>
      </c>
      <c r="G30" s="53">
        <f t="shared" si="7"/>
        <v>28935.660000000003</v>
      </c>
      <c r="H30" s="54">
        <f t="shared" si="7"/>
        <v>25968.160000000003</v>
      </c>
      <c r="I30" s="135">
        <f t="shared" si="7"/>
        <v>-17832.399999999994</v>
      </c>
      <c r="J30" s="53">
        <f t="shared" si="7"/>
        <v>27163.207135264354</v>
      </c>
      <c r="K30" s="54">
        <f t="shared" si="7"/>
        <v>18209.82418429674</v>
      </c>
      <c r="L30" s="77">
        <f t="shared" si="7"/>
        <v>-205434.12583695754</v>
      </c>
    </row>
    <row r="31" spans="1:14" x14ac:dyDescent="0.25">
      <c r="C31" s="126"/>
      <c r="D31" s="71"/>
      <c r="E31" s="71"/>
      <c r="F31" s="71"/>
      <c r="G31" s="10"/>
      <c r="H31" s="17"/>
      <c r="I31" s="17"/>
      <c r="J31" s="10"/>
      <c r="K31" s="17"/>
      <c r="L31" s="11"/>
    </row>
    <row r="32" spans="1:14" ht="15.75" thickBot="1" x14ac:dyDescent="0.3">
      <c r="A32" s="61" t="s">
        <v>69</v>
      </c>
      <c r="C32" s="126"/>
      <c r="D32" s="17"/>
      <c r="E32" s="17"/>
      <c r="F32" s="17"/>
      <c r="G32" s="10"/>
      <c r="H32" s="17"/>
      <c r="I32" s="17"/>
      <c r="J32" s="10"/>
      <c r="K32" s="17"/>
      <c r="L32" s="11"/>
    </row>
    <row r="33" spans="1:12" x14ac:dyDescent="0.25">
      <c r="A33" s="61" t="s">
        <v>29</v>
      </c>
      <c r="B33" s="143">
        <v>331750.74650924973</v>
      </c>
      <c r="C33" s="127">
        <f>B33+B38+C29</f>
        <v>-13079.042740750301</v>
      </c>
      <c r="D33" s="54">
        <f t="shared" ref="D33:L33" si="8">C33+C38+D29</f>
        <v>107668.41725924969</v>
      </c>
      <c r="E33" s="54">
        <f t="shared" si="8"/>
        <v>367934.5872592497</v>
      </c>
      <c r="F33" s="135">
        <f t="shared" si="8"/>
        <v>710516.47725924966</v>
      </c>
      <c r="G33" s="53">
        <f t="shared" si="8"/>
        <v>741980.63725924958</v>
      </c>
      <c r="H33" s="54">
        <f t="shared" si="8"/>
        <v>808461.17725924961</v>
      </c>
      <c r="I33" s="135">
        <f t="shared" si="8"/>
        <v>730843.85725924966</v>
      </c>
      <c r="J33" s="53">
        <f t="shared" si="8"/>
        <v>685413.42922924971</v>
      </c>
      <c r="K33" s="54">
        <f t="shared" si="8"/>
        <v>516820.34068924963</v>
      </c>
      <c r="L33" s="77">
        <f t="shared" si="8"/>
        <v>63347.608409249573</v>
      </c>
    </row>
    <row r="34" spans="1:12" ht="15.75" thickBot="1" x14ac:dyDescent="0.3">
      <c r="A34" s="61" t="s">
        <v>30</v>
      </c>
      <c r="B34" s="144">
        <v>357771.07268917974</v>
      </c>
      <c r="C34" s="127">
        <f>B34+B39+C30</f>
        <v>237004.13700564374</v>
      </c>
      <c r="D34" s="54">
        <f t="shared" ref="D34:L34" si="9">C34+C39+D30</f>
        <v>354925.33700564376</v>
      </c>
      <c r="E34" s="54">
        <f t="shared" si="9"/>
        <v>536752.49700564379</v>
      </c>
      <c r="F34" s="135">
        <f t="shared" si="9"/>
        <v>727525.0070056438</v>
      </c>
      <c r="G34" s="53">
        <f t="shared" si="9"/>
        <v>757766.97700564389</v>
      </c>
      <c r="H34" s="54">
        <f t="shared" si="9"/>
        <v>785272.41700564395</v>
      </c>
      <c r="I34" s="135">
        <f t="shared" si="9"/>
        <v>769039.29700564395</v>
      </c>
      <c r="J34" s="53">
        <f t="shared" si="9"/>
        <v>797815.59414090822</v>
      </c>
      <c r="K34" s="54">
        <f t="shared" si="9"/>
        <v>817651.52832520497</v>
      </c>
      <c r="L34" s="77">
        <f t="shared" si="9"/>
        <v>613893.92248824751</v>
      </c>
    </row>
    <row r="35" spans="1:12" x14ac:dyDescent="0.25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2" x14ac:dyDescent="0.25">
      <c r="A36" s="52" t="s">
        <v>96</v>
      </c>
      <c r="B36" s="52"/>
      <c r="C36" s="131"/>
      <c r="D36" s="103">
        <f>+'PCR Cycle 2'!D38</f>
        <v>1.8848000000000001E-3</v>
      </c>
      <c r="E36" s="103">
        <f>+'PCR Cycle 2'!E38</f>
        <v>2.0156100000000001E-3</v>
      </c>
      <c r="F36" s="103">
        <f>+'PCR Cycle 2'!F38</f>
        <v>2.0650299999999998E-3</v>
      </c>
      <c r="G36" s="105">
        <f>+'PCR Cycle 2'!G38</f>
        <v>2.0681900000000001E-3</v>
      </c>
      <c r="H36" s="103">
        <f>+'PCR Cycle 2'!H38</f>
        <v>2.0708300000000001E-3</v>
      </c>
      <c r="I36" s="104">
        <f>+'PCR Cycle 2'!I38</f>
        <v>2.0734999999999998E-3</v>
      </c>
      <c r="J36" s="105">
        <f>+'PCR Cycle 2'!J38</f>
        <v>2.0734999999999998E-3</v>
      </c>
      <c r="K36" s="103">
        <f>+'PCR Cycle 2'!K38</f>
        <v>2.0734999999999998E-3</v>
      </c>
      <c r="L36" s="106"/>
    </row>
    <row r="37" spans="1:12" x14ac:dyDescent="0.25">
      <c r="A37" s="52" t="s">
        <v>44</v>
      </c>
      <c r="B37" s="52"/>
      <c r="C37" s="133"/>
      <c r="D37" s="103"/>
      <c r="E37" s="103"/>
      <c r="F37" s="103"/>
      <c r="G37" s="105"/>
      <c r="H37" s="103"/>
      <c r="I37" s="103"/>
      <c r="J37" s="105"/>
      <c r="K37" s="103"/>
      <c r="L37" s="106"/>
    </row>
    <row r="38" spans="1:12" x14ac:dyDescent="0.25">
      <c r="A38" s="61" t="s">
        <v>29</v>
      </c>
      <c r="C38" s="127">
        <v>-600.47</v>
      </c>
      <c r="D38" s="217">
        <f>ROUND((C33+C38+D29/2)*D$36,2)</f>
        <v>88.58</v>
      </c>
      <c r="E38" s="217">
        <f t="shared" ref="E38:L38" si="10">ROUND((D33+D38+E29/2)*E$36,2)</f>
        <v>479.4</v>
      </c>
      <c r="F38" s="220">
        <f t="shared" si="10"/>
        <v>1114.01</v>
      </c>
      <c r="G38" s="53">
        <f t="shared" si="10"/>
        <v>1503.17</v>
      </c>
      <c r="H38" s="150">
        <f t="shared" si="10"/>
        <v>1606.91</v>
      </c>
      <c r="I38" s="135">
        <f t="shared" si="10"/>
        <v>1597.54</v>
      </c>
      <c r="J38" s="184">
        <f t="shared" si="10"/>
        <v>1469.96</v>
      </c>
      <c r="K38" s="135">
        <f t="shared" si="10"/>
        <v>1247.94</v>
      </c>
      <c r="L38" s="77">
        <f t="shared" si="10"/>
        <v>0</v>
      </c>
    </row>
    <row r="39" spans="1:12" ht="15.75" thickBot="1" x14ac:dyDescent="0.3">
      <c r="A39" s="61" t="s">
        <v>30</v>
      </c>
      <c r="C39" s="127">
        <v>-1166.92</v>
      </c>
      <c r="D39" s="217">
        <f>ROUND((C34+C39+D30/2)*D$36,2)</f>
        <v>556.73</v>
      </c>
      <c r="E39" s="217">
        <f t="shared" ref="E39:L39" si="11">ROUND((D34+D39+E30/2)*E$36,2)</f>
        <v>899.2</v>
      </c>
      <c r="F39" s="220">
        <f t="shared" si="11"/>
        <v>1306.31</v>
      </c>
      <c r="G39" s="53">
        <f t="shared" si="11"/>
        <v>1537.28</v>
      </c>
      <c r="H39" s="150">
        <f t="shared" si="11"/>
        <v>1599.28</v>
      </c>
      <c r="I39" s="135">
        <f t="shared" si="11"/>
        <v>1613.09</v>
      </c>
      <c r="J39" s="184">
        <f t="shared" si="11"/>
        <v>1626.11</v>
      </c>
      <c r="K39" s="135">
        <f t="shared" si="11"/>
        <v>1676.52</v>
      </c>
      <c r="L39" s="77">
        <f t="shared" si="11"/>
        <v>0</v>
      </c>
    </row>
    <row r="40" spans="1:12" ht="16.5" thickTop="1" thickBot="1" x14ac:dyDescent="0.3">
      <c r="A40" s="69" t="s">
        <v>25</v>
      </c>
      <c r="B40" s="69"/>
      <c r="C40" s="134">
        <v>0</v>
      </c>
      <c r="D40" s="55">
        <f>SUM(D38:D39)+SUM(D33:D34)-D43</f>
        <v>0</v>
      </c>
      <c r="E40" s="55">
        <f t="shared" ref="E40:L40" si="12">SUM(E38:E39)+SUM(E33:E34)-E43</f>
        <v>0</v>
      </c>
      <c r="F40" s="65">
        <f t="shared" si="12"/>
        <v>0</v>
      </c>
      <c r="G40" s="66">
        <f t="shared" si="12"/>
        <v>0</v>
      </c>
      <c r="H40" s="55">
        <f t="shared" si="12"/>
        <v>0</v>
      </c>
      <c r="I40" s="65">
        <f t="shared" si="12"/>
        <v>0</v>
      </c>
      <c r="J40" s="194">
        <f t="shared" si="12"/>
        <v>0</v>
      </c>
      <c r="K40" s="65">
        <f t="shared" si="12"/>
        <v>0</v>
      </c>
      <c r="L40" s="78">
        <f t="shared" si="12"/>
        <v>0</v>
      </c>
    </row>
    <row r="41" spans="1:12" ht="16.5" thickTop="1" thickBot="1" x14ac:dyDescent="0.3">
      <c r="A41" s="69" t="s">
        <v>26</v>
      </c>
      <c r="B41" s="69"/>
      <c r="C41" s="134">
        <v>0</v>
      </c>
      <c r="D41" s="55">
        <f>SUM(D38:D39)-D26</f>
        <v>-9.9999999999909051E-3</v>
      </c>
      <c r="E41" s="55">
        <f t="shared" ref="E41:I41" si="13">SUM(E38:E39)-E26</f>
        <v>-1.0000000000218279E-2</v>
      </c>
      <c r="F41" s="65">
        <f t="shared" ref="F41:H41" si="14">SUM(F38:F39)-F26</f>
        <v>-2.0000000000436557E-2</v>
      </c>
      <c r="G41" s="66">
        <f t="shared" si="14"/>
        <v>0</v>
      </c>
      <c r="H41" s="55">
        <f t="shared" si="14"/>
        <v>0</v>
      </c>
      <c r="I41" s="65">
        <f t="shared" si="13"/>
        <v>0</v>
      </c>
      <c r="J41" s="66">
        <f t="shared" ref="J41:L41" si="15">SUM(J38:J39)-J26</f>
        <v>0</v>
      </c>
      <c r="K41" s="55">
        <f t="shared" si="15"/>
        <v>0</v>
      </c>
      <c r="L41" s="55">
        <f t="shared" si="15"/>
        <v>0</v>
      </c>
    </row>
    <row r="42" spans="1:12" ht="16.5" thickTop="1" thickBot="1" x14ac:dyDescent="0.3">
      <c r="C42" s="126"/>
      <c r="D42" s="17"/>
      <c r="E42" s="17"/>
      <c r="F42" s="17"/>
      <c r="G42" s="10"/>
      <c r="H42" s="17"/>
      <c r="I42" s="17"/>
      <c r="J42" s="10"/>
      <c r="K42" s="17"/>
      <c r="L42" s="11"/>
    </row>
    <row r="43" spans="1:12" ht="15.75" thickBot="1" x14ac:dyDescent="0.3">
      <c r="A43" s="61" t="s">
        <v>42</v>
      </c>
      <c r="B43" s="146">
        <v>689521.81919842935</v>
      </c>
      <c r="C43" s="127">
        <f t="shared" ref="C43" si="16">(C12-SUM(C15:C16))+SUM(C38:C39)+B43</f>
        <v>222157.70426489337</v>
      </c>
      <c r="D43" s="54">
        <f t="shared" ref="D43:L43" si="17">(D12-SUM(D15:D16))+SUM(D38:D39)+C43</f>
        <v>463239.06426489336</v>
      </c>
      <c r="E43" s="54">
        <f t="shared" si="17"/>
        <v>906065.68426489341</v>
      </c>
      <c r="F43" s="135">
        <f t="shared" si="17"/>
        <v>1440461.8042648933</v>
      </c>
      <c r="G43" s="53">
        <f t="shared" si="17"/>
        <v>1502788.0642648933</v>
      </c>
      <c r="H43" s="54">
        <f t="shared" si="17"/>
        <v>1596939.7842648933</v>
      </c>
      <c r="I43" s="135">
        <f t="shared" si="17"/>
        <v>1503093.7842648933</v>
      </c>
      <c r="J43" s="184">
        <f t="shared" si="17"/>
        <v>1486325.0933701575</v>
      </c>
      <c r="K43" s="135">
        <f t="shared" si="17"/>
        <v>1337396.3290144543</v>
      </c>
      <c r="L43" s="77">
        <f t="shared" si="17"/>
        <v>677241.53089749673</v>
      </c>
    </row>
    <row r="44" spans="1:12" x14ac:dyDescent="0.25">
      <c r="A44" s="61" t="s">
        <v>14</v>
      </c>
      <c r="C44" s="147"/>
      <c r="D44" s="17"/>
      <c r="E44" s="17"/>
      <c r="F44" s="17"/>
      <c r="G44" s="10"/>
      <c r="H44" s="17"/>
      <c r="I44" s="17"/>
      <c r="J44" s="10"/>
      <c r="K44" s="17"/>
      <c r="L44" s="11"/>
    </row>
    <row r="45" spans="1:12" ht="15.75" thickBot="1" x14ac:dyDescent="0.3">
      <c r="A45" s="50"/>
      <c r="B45" s="50"/>
      <c r="C45" s="195"/>
      <c r="D45" s="57"/>
      <c r="E45" s="57"/>
      <c r="F45" s="57"/>
      <c r="G45" s="56"/>
      <c r="H45" s="57"/>
      <c r="I45" s="57"/>
      <c r="J45" s="56"/>
      <c r="K45" s="57"/>
      <c r="L45" s="58"/>
    </row>
    <row r="47" spans="1:12" x14ac:dyDescent="0.25">
      <c r="A47" s="85" t="s">
        <v>13</v>
      </c>
      <c r="B47" s="85"/>
      <c r="C47" s="85"/>
    </row>
    <row r="48" spans="1:12" ht="43.5" customHeight="1" x14ac:dyDescent="0.25">
      <c r="A48" s="236" t="s">
        <v>145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</row>
    <row r="49" spans="1:12" ht="35.25" customHeight="1" x14ac:dyDescent="0.25">
      <c r="A49" s="235" t="s">
        <v>118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33" customHeight="1" x14ac:dyDescent="0.25">
      <c r="A50" s="236" t="s">
        <v>146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</row>
    <row r="51" spans="1:12" x14ac:dyDescent="0.25">
      <c r="A51" s="3" t="s">
        <v>90</v>
      </c>
      <c r="B51" s="3"/>
      <c r="C51" s="3"/>
    </row>
    <row r="52" spans="1:12" x14ac:dyDescent="0.25">
      <c r="A52" s="3" t="s">
        <v>140</v>
      </c>
      <c r="B52" s="3"/>
      <c r="C52" s="3"/>
    </row>
    <row r="53" spans="1:12" x14ac:dyDescent="0.25">
      <c r="A53" s="3" t="s">
        <v>95</v>
      </c>
      <c r="B53" s="3"/>
      <c r="C53" s="3"/>
    </row>
    <row r="54" spans="1:12" x14ac:dyDescent="0.25">
      <c r="A54" s="3"/>
      <c r="B54" s="3"/>
      <c r="C54" s="3"/>
    </row>
    <row r="55" spans="1:12" x14ac:dyDescent="0.25">
      <c r="G55" s="215"/>
      <c r="H55" s="215"/>
      <c r="I55" s="215"/>
    </row>
    <row r="56" spans="1:12" x14ac:dyDescent="0.25">
      <c r="I56" s="218"/>
      <c r="J56" s="218"/>
    </row>
    <row r="57" spans="1:12" x14ac:dyDescent="0.25">
      <c r="I57" s="218"/>
      <c r="J57" s="218"/>
      <c r="K57" s="219"/>
      <c r="L57" s="219"/>
    </row>
  </sheetData>
  <mergeCells count="6">
    <mergeCell ref="A50:L50"/>
    <mergeCell ref="D10:F10"/>
    <mergeCell ref="A48:L48"/>
    <mergeCell ref="A49:L49"/>
    <mergeCell ref="G10:I10"/>
    <mergeCell ref="J10:L10"/>
  </mergeCells>
  <pageMargins left="0.2" right="0.2" top="0.75" bottom="0.25" header="0.3" footer="0.3"/>
  <pageSetup scale="53" orientation="landscape" r:id="rId1"/>
  <headerFooter>
    <oddHeader>&amp;C&amp;F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H1" sqref="H1"/>
    </sheetView>
  </sheetViews>
  <sheetFormatPr defaultRowHeight="15" x14ac:dyDescent="0.25"/>
  <cols>
    <col min="1" max="1" width="27.42578125" customWidth="1"/>
    <col min="2" max="2" width="14.28515625" bestFit="1" customWidth="1"/>
    <col min="3" max="3" width="11.85546875" customWidth="1"/>
    <col min="4" max="4" width="11.5703125" bestFit="1" customWidth="1"/>
    <col min="5" max="5" width="11.85546875" customWidth="1"/>
    <col min="6" max="6" width="12.7109375" customWidth="1"/>
    <col min="7" max="7" width="14.42578125" customWidth="1"/>
    <col min="15" max="15" width="12" bestFit="1" customWidth="1"/>
  </cols>
  <sheetData>
    <row r="1" spans="1:7" x14ac:dyDescent="0.25">
      <c r="A1" s="79" t="str">
        <f>+PPC!A1</f>
        <v>KCP&amp;L Greater Missouri Operations Company - DSIM Rider Update Filed 11/30/2017</v>
      </c>
      <c r="B1" s="61"/>
      <c r="C1" s="61"/>
      <c r="D1" s="61"/>
    </row>
    <row r="2" spans="1:7" x14ac:dyDescent="0.25">
      <c r="A2" s="9" t="str">
        <f>+PPC!A2</f>
        <v>Projections for Cycle 2 January - July 2018 DSIM</v>
      </c>
      <c r="B2" s="61"/>
      <c r="C2" s="61"/>
      <c r="D2" s="61"/>
    </row>
    <row r="3" spans="1:7" x14ac:dyDescent="0.25">
      <c r="A3" s="61"/>
      <c r="B3" s="228" t="s">
        <v>100</v>
      </c>
      <c r="C3" s="228"/>
      <c r="D3" s="228"/>
    </row>
    <row r="4" spans="1:7" ht="75" x14ac:dyDescent="0.25">
      <c r="A4" s="61"/>
      <c r="B4" s="86" t="s">
        <v>103</v>
      </c>
      <c r="C4" s="86" t="s">
        <v>104</v>
      </c>
      <c r="D4" s="63"/>
      <c r="E4" s="86" t="s">
        <v>105</v>
      </c>
      <c r="F4" s="86" t="s">
        <v>106</v>
      </c>
      <c r="G4" s="86" t="s">
        <v>87</v>
      </c>
    </row>
    <row r="5" spans="1:7" x14ac:dyDescent="0.25">
      <c r="A5" s="22" t="s">
        <v>102</v>
      </c>
      <c r="B5" s="86"/>
      <c r="C5" s="86"/>
      <c r="D5" s="199">
        <f>+'[7]PI Allocation'!$B$5</f>
        <v>5461152.9000000004</v>
      </c>
    </row>
    <row r="6" spans="1:7" x14ac:dyDescent="0.25">
      <c r="A6" s="22"/>
      <c r="B6" s="86"/>
      <c r="C6" s="86"/>
      <c r="D6" s="200"/>
    </row>
    <row r="7" spans="1:7" x14ac:dyDescent="0.25">
      <c r="A7" s="22"/>
      <c r="B7" s="86"/>
      <c r="C7" s="86"/>
      <c r="D7" s="200"/>
    </row>
    <row r="8" spans="1:7" x14ac:dyDescent="0.25">
      <c r="A8" s="22" t="s">
        <v>29</v>
      </c>
      <c r="B8" s="93">
        <f>+'[7]PI Allocation'!$B$28</f>
        <v>85567046</v>
      </c>
      <c r="C8" s="201">
        <f>+B8/$B$10</f>
        <v>0.39907902980160825</v>
      </c>
      <c r="D8" s="36">
        <f>ROUND($D$5*C8,2)</f>
        <v>2179431.6</v>
      </c>
      <c r="E8" s="179">
        <f>+'[7]GMO PI Cycle 1'!$K$65</f>
        <v>41263.03</v>
      </c>
      <c r="F8" s="24">
        <f>SUM(D8:E8)</f>
        <v>2220694.63</v>
      </c>
      <c r="G8" s="36">
        <f>ROUND(F8/4,2)</f>
        <v>555173.66</v>
      </c>
    </row>
    <row r="9" spans="1:7" x14ac:dyDescent="0.25">
      <c r="A9" s="22" t="s">
        <v>30</v>
      </c>
      <c r="B9" s="93">
        <f>+'[7]PI Allocation'!$B$29</f>
        <v>128844235</v>
      </c>
      <c r="C9" s="201">
        <f>+B9/$B$10</f>
        <v>0.60092097019839175</v>
      </c>
      <c r="D9" s="36">
        <f>ROUND($D$5*C9,2)</f>
        <v>3281721.3</v>
      </c>
      <c r="E9" s="179">
        <f>+'[7]GMO PI Cycle 1'!$X$65</f>
        <v>62132.61</v>
      </c>
      <c r="F9" s="24">
        <f>SUM(D9:E9)</f>
        <v>3343853.9099999997</v>
      </c>
      <c r="G9" s="36">
        <f>ROUND(F9/4,2)</f>
        <v>835963.48</v>
      </c>
    </row>
    <row r="10" spans="1:7" ht="15.75" thickBot="1" x14ac:dyDescent="0.3">
      <c r="A10" s="22" t="s">
        <v>6</v>
      </c>
      <c r="B10" s="35">
        <f t="shared" ref="B10:G10" si="0">SUM(B8:B9)</f>
        <v>214411281</v>
      </c>
      <c r="C10" s="201">
        <f t="shared" si="0"/>
        <v>1</v>
      </c>
      <c r="D10" s="24">
        <f t="shared" si="0"/>
        <v>5461152.9000000004</v>
      </c>
      <c r="E10" s="204">
        <f t="shared" si="0"/>
        <v>103395.64</v>
      </c>
      <c r="F10" s="24">
        <f t="shared" si="0"/>
        <v>5564548.5399999991</v>
      </c>
      <c r="G10" s="24">
        <f t="shared" si="0"/>
        <v>1391137.1400000001</v>
      </c>
    </row>
    <row r="11" spans="1:7" ht="16.5" thickTop="1" thickBot="1" x14ac:dyDescent="0.3">
      <c r="A11" s="61"/>
      <c r="B11" s="33" t="s">
        <v>12</v>
      </c>
      <c r="C11" s="33"/>
      <c r="D11" s="21">
        <f>ROUND(D5,2)-D10</f>
        <v>0</v>
      </c>
    </row>
    <row r="12" spans="1:7" ht="15.75" thickTop="1" x14ac:dyDescent="0.25">
      <c r="A12" s="61"/>
      <c r="B12" s="61"/>
      <c r="C12" s="61"/>
      <c r="D12" s="61"/>
    </row>
    <row r="13" spans="1:7" x14ac:dyDescent="0.25">
      <c r="A13" s="61"/>
      <c r="B13" s="61"/>
      <c r="C13" s="61"/>
      <c r="D13" s="61"/>
    </row>
    <row r="14" spans="1:7" x14ac:dyDescent="0.25">
      <c r="A14" s="61"/>
      <c r="B14" s="61"/>
      <c r="C14" s="61"/>
      <c r="D14" s="61"/>
    </row>
    <row r="15" spans="1:7" x14ac:dyDescent="0.25">
      <c r="A15" s="61"/>
      <c r="B15" s="61"/>
      <c r="C15" s="61"/>
      <c r="D15" s="61"/>
    </row>
    <row r="16" spans="1:7" x14ac:dyDescent="0.25">
      <c r="A16" s="61"/>
      <c r="B16" s="61"/>
      <c r="C16" s="61"/>
      <c r="D16" s="61"/>
    </row>
    <row r="17" spans="1:4" x14ac:dyDescent="0.25">
      <c r="A17" s="68" t="s">
        <v>13</v>
      </c>
      <c r="B17" s="61"/>
      <c r="C17" s="61"/>
      <c r="D17" s="61"/>
    </row>
    <row r="18" spans="1:4" x14ac:dyDescent="0.25">
      <c r="A18" s="3" t="s">
        <v>107</v>
      </c>
      <c r="B18" s="61"/>
      <c r="C18" s="61"/>
      <c r="D18" s="61"/>
    </row>
    <row r="19" spans="1:4" x14ac:dyDescent="0.25">
      <c r="A19" s="3" t="s">
        <v>108</v>
      </c>
      <c r="B19" s="61"/>
      <c r="C19" s="61"/>
      <c r="D19" s="61"/>
    </row>
    <row r="20" spans="1:4" x14ac:dyDescent="0.25">
      <c r="A20" s="3" t="s">
        <v>109</v>
      </c>
    </row>
    <row r="21" spans="1:4" x14ac:dyDescent="0.25">
      <c r="A21" s="3" t="s">
        <v>110</v>
      </c>
    </row>
    <row r="22" spans="1:4" x14ac:dyDescent="0.25">
      <c r="A22" s="3" t="s">
        <v>111</v>
      </c>
    </row>
  </sheetData>
  <mergeCells count="1">
    <mergeCell ref="B3:D3"/>
  </mergeCells>
  <pageMargins left="0.45" right="0.45" top="0.5" bottom="0.5" header="0.3" footer="0.3"/>
  <pageSetup orientation="landscape" r:id="rId1"/>
  <headerFooter>
    <oddHeader>&amp;C&amp;F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workbookViewId="0">
      <selection activeCell="H1" sqref="H1"/>
    </sheetView>
  </sheetViews>
  <sheetFormatPr defaultRowHeight="15" x14ac:dyDescent="0.25"/>
  <cols>
    <col min="1" max="1" width="54.5703125" style="61" customWidth="1"/>
    <col min="2" max="2" width="14.7109375" style="61" bestFit="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6" style="61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140625" style="61" customWidth="1"/>
    <col min="16" max="16" width="17.28515625" style="61" bestFit="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KCP&amp;L Greater Missouri Operations Company - DSIM Rider Update Filed 11/30/2017</v>
      </c>
      <c r="B1" s="3"/>
      <c r="C1" s="3"/>
    </row>
    <row r="2" spans="1:34" x14ac:dyDescent="0.25">
      <c r="D2" s="3" t="s">
        <v>112</v>
      </c>
    </row>
    <row r="3" spans="1:34" ht="75" x14ac:dyDescent="0.25">
      <c r="D3" s="63" t="s">
        <v>62</v>
      </c>
      <c r="E3" s="86" t="s">
        <v>2</v>
      </c>
      <c r="F3" s="63" t="s">
        <v>3</v>
      </c>
      <c r="G3" s="86" t="s">
        <v>70</v>
      </c>
      <c r="H3" s="63" t="s">
        <v>11</v>
      </c>
      <c r="I3" s="63" t="s">
        <v>77</v>
      </c>
      <c r="K3" s="86" t="s">
        <v>87</v>
      </c>
      <c r="L3" s="86" t="s">
        <v>114</v>
      </c>
      <c r="M3" s="86" t="s">
        <v>115</v>
      </c>
    </row>
    <row r="4" spans="1:34" x14ac:dyDescent="0.25">
      <c r="A4" s="61" t="s">
        <v>29</v>
      </c>
      <c r="D4" s="24">
        <f>SUM(C16:L16)</f>
        <v>589131.45821000007</v>
      </c>
      <c r="E4" s="24">
        <f>SUM(C12:K12)</f>
        <v>0</v>
      </c>
      <c r="F4" s="24">
        <f>E4-D4</f>
        <v>-589131.45821000007</v>
      </c>
      <c r="G4" s="24">
        <f>+B26</f>
        <v>1726342.6454099999</v>
      </c>
      <c r="H4" s="24">
        <f>SUM(C31:K31)</f>
        <v>19429.64</v>
      </c>
      <c r="I4" s="36">
        <f>SUM(F4:H4)</f>
        <v>1156640.8271999997</v>
      </c>
      <c r="J4" s="62">
        <f>+I4-L26</f>
        <v>0</v>
      </c>
      <c r="K4" s="36">
        <f>+I4/12*6</f>
        <v>578320.41359999985</v>
      </c>
      <c r="L4" s="36">
        <f>-EO!G8</f>
        <v>-555173.66</v>
      </c>
      <c r="M4" s="36">
        <f>SUM(K4:L4)</f>
        <v>23146.753599999822</v>
      </c>
    </row>
    <row r="5" spans="1:34" ht="15.75" thickBot="1" x14ac:dyDescent="0.3">
      <c r="A5" s="61" t="s">
        <v>30</v>
      </c>
      <c r="D5" s="24">
        <f>SUM(C17:L17)</f>
        <v>884074.47642586008</v>
      </c>
      <c r="E5" s="24">
        <f>SUM(C13:K13)</f>
        <v>0</v>
      </c>
      <c r="F5" s="24">
        <f>E5-D5</f>
        <v>-884074.47642586008</v>
      </c>
      <c r="G5" s="24">
        <f>+B27</f>
        <v>2552945.9069701917</v>
      </c>
      <c r="H5" s="24">
        <f>SUM(C32:K32)</f>
        <v>28474.340000000004</v>
      </c>
      <c r="I5" s="36">
        <f>SUM(F5:H5)</f>
        <v>1697345.7705443318</v>
      </c>
      <c r="J5" s="62">
        <f>+I5-L27</f>
        <v>0</v>
      </c>
      <c r="K5" s="36">
        <f>+I5/12*6</f>
        <v>848672.88527216576</v>
      </c>
      <c r="L5" s="36">
        <f>-EO!G9</f>
        <v>-835963.48</v>
      </c>
      <c r="M5" s="36">
        <f>SUM(K5:L5)</f>
        <v>12709.405272165779</v>
      </c>
    </row>
    <row r="6" spans="1:34" ht="16.5" thickTop="1" thickBot="1" x14ac:dyDescent="0.3">
      <c r="D6" s="40">
        <f t="shared" ref="D6" si="0">SUM(D4:D5)</f>
        <v>1473205.9346358601</v>
      </c>
      <c r="E6" s="40">
        <f>SUM(E4:E5)</f>
        <v>0</v>
      </c>
      <c r="F6" s="40">
        <f>SUM(F4:F5)</f>
        <v>-1473205.9346358601</v>
      </c>
      <c r="G6" s="40">
        <f>SUM(G4:G5)</f>
        <v>4279288.5523801912</v>
      </c>
      <c r="H6" s="94">
        <f>SUM(H4:H5)</f>
        <v>47903.98</v>
      </c>
      <c r="I6" s="40">
        <f>SUM(I4:I5)</f>
        <v>2853986.5977443317</v>
      </c>
    </row>
    <row r="7" spans="1:34" ht="16.5" thickTop="1" thickBot="1" x14ac:dyDescent="0.3"/>
    <row r="8" spans="1:34" ht="75.75" thickBot="1" x14ac:dyDescent="0.3">
      <c r="B8" s="145" t="str">
        <f>+'PCR Cycle 1'!B8</f>
        <v>Cumulative Over/Under Carryover From 06/01/2017 Filing</v>
      </c>
      <c r="C8" s="221" t="str">
        <f>+'PCR Cycle 1'!C8</f>
        <v>Reverse May-17 - July-17  Forecast From 06/01/2017 Filing</v>
      </c>
      <c r="D8" s="237" t="s">
        <v>39</v>
      </c>
      <c r="E8" s="237"/>
      <c r="F8" s="238"/>
      <c r="G8" s="229" t="s">
        <v>39</v>
      </c>
      <c r="H8" s="230"/>
      <c r="I8" s="231"/>
      <c r="J8" s="239" t="s">
        <v>9</v>
      </c>
      <c r="K8" s="240"/>
      <c r="L8" s="241"/>
    </row>
    <row r="9" spans="1:34" x14ac:dyDescent="0.25">
      <c r="C9" s="14"/>
      <c r="D9" s="20">
        <f>+'PCR Cycle 1'!D9</f>
        <v>42886</v>
      </c>
      <c r="E9" s="20">
        <f t="shared" ref="E9:I9" si="1">EDATE(D9,1)</f>
        <v>42916</v>
      </c>
      <c r="F9" s="20">
        <f t="shared" si="1"/>
        <v>42946</v>
      </c>
      <c r="G9" s="14">
        <f t="shared" si="1"/>
        <v>42977</v>
      </c>
      <c r="H9" s="20">
        <f t="shared" si="1"/>
        <v>43008</v>
      </c>
      <c r="I9" s="20">
        <f t="shared" si="1"/>
        <v>43038</v>
      </c>
      <c r="J9" s="14">
        <f t="shared" ref="J9:L9" si="2">EDATE(I9,1)</f>
        <v>43069</v>
      </c>
      <c r="K9" s="20">
        <f t="shared" si="2"/>
        <v>43099</v>
      </c>
      <c r="L9" s="122">
        <f t="shared" si="2"/>
        <v>43130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C10" s="125"/>
      <c r="D10" s="44"/>
      <c r="E10" s="44"/>
      <c r="F10" s="44"/>
      <c r="G10" s="41"/>
      <c r="H10" s="44"/>
      <c r="I10" s="17"/>
      <c r="J10" s="41"/>
      <c r="K10" s="44"/>
      <c r="L10" s="42"/>
    </row>
    <row r="11" spans="1:34" x14ac:dyDescent="0.25">
      <c r="A11" s="61" t="s">
        <v>119</v>
      </c>
      <c r="C11" s="126"/>
      <c r="D11" s="44"/>
      <c r="E11" s="44"/>
      <c r="F11" s="44"/>
      <c r="G11" s="41"/>
      <c r="H11" s="44"/>
      <c r="I11" s="18"/>
      <c r="J11" s="10"/>
      <c r="K11" s="17"/>
      <c r="L11" s="11"/>
    </row>
    <row r="12" spans="1:34" x14ac:dyDescent="0.25">
      <c r="A12" s="61" t="s">
        <v>29</v>
      </c>
      <c r="C12" s="53">
        <v>0</v>
      </c>
      <c r="D12" s="54">
        <v>0</v>
      </c>
      <c r="E12" s="54">
        <v>0</v>
      </c>
      <c r="F12" s="135">
        <v>0</v>
      </c>
      <c r="G12" s="53">
        <v>0</v>
      </c>
      <c r="H12" s="54">
        <v>0</v>
      </c>
      <c r="I12" s="135">
        <v>0</v>
      </c>
      <c r="J12" s="53">
        <v>0</v>
      </c>
      <c r="K12" s="54">
        <v>0</v>
      </c>
      <c r="L12" s="54">
        <v>0</v>
      </c>
    </row>
    <row r="13" spans="1:34" x14ac:dyDescent="0.25">
      <c r="A13" s="61" t="s">
        <v>30</v>
      </c>
      <c r="C13" s="53">
        <v>0</v>
      </c>
      <c r="D13" s="54">
        <v>0</v>
      </c>
      <c r="E13" s="54">
        <v>0</v>
      </c>
      <c r="F13" s="135">
        <v>0</v>
      </c>
      <c r="G13" s="53">
        <v>0</v>
      </c>
      <c r="H13" s="54">
        <v>0</v>
      </c>
      <c r="I13" s="135">
        <v>0</v>
      </c>
      <c r="J13" s="53">
        <v>0</v>
      </c>
      <c r="K13" s="54">
        <v>0</v>
      </c>
      <c r="L13" s="54">
        <v>0</v>
      </c>
    </row>
    <row r="14" spans="1:34" x14ac:dyDescent="0.25">
      <c r="C14" s="126"/>
      <c r="D14" s="44"/>
      <c r="E14" s="44"/>
      <c r="F14" s="44"/>
      <c r="G14" s="41"/>
      <c r="H14" s="44"/>
      <c r="I14" s="17"/>
      <c r="J14" s="10"/>
      <c r="K14" s="17"/>
      <c r="L14" s="11"/>
    </row>
    <row r="15" spans="1:34" x14ac:dyDescent="0.25">
      <c r="A15" s="61" t="s">
        <v>121</v>
      </c>
      <c r="C15" s="126"/>
      <c r="D15" s="18"/>
      <c r="E15" s="18"/>
      <c r="F15" s="18"/>
      <c r="G15" s="118"/>
      <c r="H15" s="18"/>
      <c r="J15" s="183"/>
      <c r="K15" s="73"/>
      <c r="L15" s="74"/>
      <c r="M15" s="79" t="s">
        <v>66</v>
      </c>
      <c r="N15" s="52"/>
    </row>
    <row r="16" spans="1:34" x14ac:dyDescent="0.25">
      <c r="A16" s="61" t="s">
        <v>29</v>
      </c>
      <c r="C16" s="124">
        <v>-272183.31458999997</v>
      </c>
      <c r="D16" s="136">
        <f>ROUND('[3]Revenue Analysis'!G120,2)</f>
        <v>68722.460000000006</v>
      </c>
      <c r="E16" s="136">
        <f>ROUND('[3]Revenue Analysis'!H120,2)</f>
        <v>90413.37</v>
      </c>
      <c r="F16" s="137">
        <f>ROUND('[3]Revenue Analysis'!I120,2)</f>
        <v>118640.02</v>
      </c>
      <c r="G16" s="222">
        <f>ROUND('[3]Revenue Analysis'!J120,2)</f>
        <v>115115.59</v>
      </c>
      <c r="H16" s="179">
        <f>ROUND('[3]Revenue Analysis'!K120,2)</f>
        <v>91883.5</v>
      </c>
      <c r="I16" s="180">
        <f>ROUND('[3]Revenue Analysis'!L120,2)</f>
        <v>81824.02</v>
      </c>
      <c r="J16" s="53">
        <f>+$M16*'PCR Cycle 1'!J21</f>
        <v>71464.843839999987</v>
      </c>
      <c r="K16" s="54">
        <f>+$M16*'PCR Cycle 1'!K21</f>
        <v>100973.14111999999</v>
      </c>
      <c r="L16" s="54">
        <f>+$M16*'PCR Cycle 1'!L21</f>
        <v>122277.82783999998</v>
      </c>
      <c r="M16" s="88">
        <v>3.1999999999999997E-4</v>
      </c>
    </row>
    <row r="17" spans="1:13" x14ac:dyDescent="0.25">
      <c r="A17" s="61" t="s">
        <v>30</v>
      </c>
      <c r="C17" s="124">
        <v>-430751.40302980796</v>
      </c>
      <c r="D17" s="136">
        <f>ROUND('[3]Revenue Analysis'!G121,2)</f>
        <v>122174.82</v>
      </c>
      <c r="E17" s="136">
        <f>ROUND('[3]Revenue Analysis'!H121,2)</f>
        <v>151310.18</v>
      </c>
      <c r="F17" s="137">
        <f>ROUND('[3]Revenue Analysis'!I121,2)</f>
        <v>163635.69</v>
      </c>
      <c r="G17" s="222">
        <f>ROUND('[3]Revenue Analysis'!J121,2)</f>
        <v>161122.98000000001</v>
      </c>
      <c r="H17" s="179">
        <f>ROUND('[3]Revenue Analysis'!K121,2)</f>
        <v>156870.41</v>
      </c>
      <c r="I17" s="180">
        <f>ROUND('[3]Revenue Analysis'!L121,2)</f>
        <v>153498.18</v>
      </c>
      <c r="J17" s="53">
        <f>+$M17*'PCR Cycle 1'!J22</f>
        <v>128369.14606157813</v>
      </c>
      <c r="K17" s="54">
        <f>+$M17*'PCR Cycle 1'!K22</f>
        <v>136065.99218266844</v>
      </c>
      <c r="L17" s="54">
        <f>+$M17*'PCR Cycle 1'!L22</f>
        <v>141778.4812114214</v>
      </c>
      <c r="M17" s="88">
        <v>4.8999999999999998E-4</v>
      </c>
    </row>
    <row r="18" spans="1:13" x14ac:dyDescent="0.25">
      <c r="C18" s="83"/>
      <c r="D18" s="18"/>
      <c r="E18" s="18"/>
      <c r="F18" s="18"/>
      <c r="G18" s="118"/>
      <c r="H18" s="18"/>
      <c r="J18" s="12"/>
      <c r="K18" s="71"/>
      <c r="L18" s="13"/>
      <c r="M18" s="4"/>
    </row>
    <row r="19" spans="1:13" ht="15.75" thickBot="1" x14ac:dyDescent="0.3">
      <c r="A19" s="61" t="s">
        <v>122</v>
      </c>
      <c r="C19" s="130">
        <v>-17783.89</v>
      </c>
      <c r="D19" s="139">
        <v>9177.08</v>
      </c>
      <c r="E19" s="139">
        <v>9396.48</v>
      </c>
      <c r="F19" s="140">
        <v>9105.23</v>
      </c>
      <c r="G19" s="39">
        <v>8560.4500000000007</v>
      </c>
      <c r="H19" s="149">
        <v>8045.51</v>
      </c>
      <c r="I19" s="209">
        <v>7570.71</v>
      </c>
      <c r="J19" s="185">
        <v>7135.26</v>
      </c>
      <c r="K19" s="173">
        <v>6697.13</v>
      </c>
      <c r="L19" s="100"/>
    </row>
    <row r="20" spans="1:13" x14ac:dyDescent="0.25">
      <c r="C20" s="126"/>
      <c r="D20" s="44"/>
      <c r="E20" s="44"/>
      <c r="F20" s="44"/>
      <c r="G20" s="41"/>
      <c r="H20" s="44"/>
      <c r="I20" s="17"/>
      <c r="J20" s="10"/>
      <c r="K20" s="17"/>
      <c r="L20" s="11"/>
    </row>
    <row r="21" spans="1:13" x14ac:dyDescent="0.25">
      <c r="A21" s="61" t="s">
        <v>68</v>
      </c>
      <c r="C21" s="126"/>
      <c r="D21" s="44"/>
      <c r="E21" s="44"/>
      <c r="F21" s="44"/>
      <c r="G21" s="41"/>
      <c r="H21" s="44"/>
      <c r="I21" s="17"/>
      <c r="J21" s="10"/>
      <c r="K21" s="17"/>
      <c r="L21" s="11"/>
    </row>
    <row r="22" spans="1:13" x14ac:dyDescent="0.25">
      <c r="A22" s="61" t="s">
        <v>29</v>
      </c>
      <c r="C22" s="53">
        <f t="shared" ref="C22" si="3">C12-C16</f>
        <v>272183.31458999997</v>
      </c>
      <c r="D22" s="54">
        <f t="shared" ref="D22:L22" si="4">D12-D16</f>
        <v>-68722.460000000006</v>
      </c>
      <c r="E22" s="54">
        <f t="shared" si="4"/>
        <v>-90413.37</v>
      </c>
      <c r="F22" s="135">
        <f t="shared" si="4"/>
        <v>-118640.02</v>
      </c>
      <c r="G22" s="53">
        <f t="shared" si="4"/>
        <v>-115115.59</v>
      </c>
      <c r="H22" s="54">
        <f t="shared" si="4"/>
        <v>-91883.5</v>
      </c>
      <c r="I22" s="135">
        <f t="shared" si="4"/>
        <v>-81824.02</v>
      </c>
      <c r="J22" s="53">
        <f t="shared" si="4"/>
        <v>-71464.843839999987</v>
      </c>
      <c r="K22" s="54">
        <f t="shared" si="4"/>
        <v>-100973.14111999999</v>
      </c>
      <c r="L22" s="64">
        <f t="shared" si="4"/>
        <v>-122277.82783999998</v>
      </c>
    </row>
    <row r="23" spans="1:13" x14ac:dyDescent="0.25">
      <c r="A23" s="61" t="s">
        <v>30</v>
      </c>
      <c r="C23" s="53">
        <f t="shared" ref="C23" si="5">C13-C17</f>
        <v>430751.40302980796</v>
      </c>
      <c r="D23" s="54">
        <f t="shared" ref="D23:L23" si="6">D13-D17</f>
        <v>-122174.82</v>
      </c>
      <c r="E23" s="54">
        <f t="shared" si="6"/>
        <v>-151310.18</v>
      </c>
      <c r="F23" s="135">
        <f t="shared" si="6"/>
        <v>-163635.69</v>
      </c>
      <c r="G23" s="53">
        <f t="shared" si="6"/>
        <v>-161122.98000000001</v>
      </c>
      <c r="H23" s="54">
        <f t="shared" si="6"/>
        <v>-156870.41</v>
      </c>
      <c r="I23" s="135">
        <f t="shared" si="6"/>
        <v>-153498.18</v>
      </c>
      <c r="J23" s="53">
        <f t="shared" si="6"/>
        <v>-128369.14606157813</v>
      </c>
      <c r="K23" s="54">
        <f t="shared" si="6"/>
        <v>-136065.99218266844</v>
      </c>
      <c r="L23" s="64">
        <f t="shared" si="6"/>
        <v>-141778.4812114214</v>
      </c>
    </row>
    <row r="24" spans="1:13" x14ac:dyDescent="0.25">
      <c r="C24" s="126"/>
      <c r="D24" s="44"/>
      <c r="E24" s="44"/>
      <c r="F24" s="44"/>
      <c r="G24" s="41"/>
      <c r="H24" s="44"/>
      <c r="I24" s="17"/>
      <c r="J24" s="10"/>
      <c r="K24" s="17"/>
      <c r="L24" s="11"/>
    </row>
    <row r="25" spans="1:13" ht="15.75" thickBot="1" x14ac:dyDescent="0.3">
      <c r="A25" s="61" t="s">
        <v>69</v>
      </c>
      <c r="C25" s="131"/>
      <c r="D25" s="44"/>
      <c r="E25" s="44"/>
      <c r="F25" s="44"/>
      <c r="G25" s="41"/>
      <c r="H25" s="44"/>
      <c r="I25" s="17"/>
      <c r="J25" s="10"/>
      <c r="K25" s="17"/>
      <c r="L25" s="11"/>
    </row>
    <row r="26" spans="1:13" x14ac:dyDescent="0.25">
      <c r="A26" s="61" t="s">
        <v>29</v>
      </c>
      <c r="B26" s="143">
        <v>1726342.6454099999</v>
      </c>
      <c r="C26" s="54">
        <f>B26+C22+B31</f>
        <v>1998525.96</v>
      </c>
      <c r="D26" s="54">
        <f t="shared" ref="D26:L27" si="7">C26+D22+C31</f>
        <v>1922632.75</v>
      </c>
      <c r="E26" s="54">
        <f t="shared" si="7"/>
        <v>1835907.92</v>
      </c>
      <c r="F26" s="135">
        <f t="shared" si="7"/>
        <v>1721059.49</v>
      </c>
      <c r="G26" s="53">
        <f t="shared" si="7"/>
        <v>1609620.44</v>
      </c>
      <c r="H26" s="54">
        <f t="shared" si="7"/>
        <v>1521184.98</v>
      </c>
      <c r="I26" s="135">
        <f t="shared" si="7"/>
        <v>1442606.21</v>
      </c>
      <c r="J26" s="53">
        <f t="shared" si="7"/>
        <v>1374217.4461600001</v>
      </c>
      <c r="K26" s="54">
        <f t="shared" si="7"/>
        <v>1276167.83504</v>
      </c>
      <c r="L26" s="64">
        <f t="shared" si="7"/>
        <v>1156640.8272000002</v>
      </c>
    </row>
    <row r="27" spans="1:13" ht="15.75" thickBot="1" x14ac:dyDescent="0.3">
      <c r="A27" s="61" t="s">
        <v>30</v>
      </c>
      <c r="B27" s="144">
        <v>2552945.9069701917</v>
      </c>
      <c r="C27" s="54">
        <f>B27+C23+B32</f>
        <v>2983697.3099999996</v>
      </c>
      <c r="D27" s="54">
        <f t="shared" si="7"/>
        <v>2850909.3499999996</v>
      </c>
      <c r="E27" s="54">
        <f t="shared" si="7"/>
        <v>2705087.6999999993</v>
      </c>
      <c r="F27" s="135">
        <f t="shared" si="7"/>
        <v>2547056.8999999994</v>
      </c>
      <c r="G27" s="53">
        <f t="shared" si="7"/>
        <v>2391362.6299999994</v>
      </c>
      <c r="H27" s="54">
        <f t="shared" si="7"/>
        <v>2239604.6299999994</v>
      </c>
      <c r="I27" s="135">
        <f t="shared" si="7"/>
        <v>2090906.7199999995</v>
      </c>
      <c r="J27" s="53">
        <f t="shared" si="7"/>
        <v>1967032.2039384213</v>
      </c>
      <c r="K27" s="54">
        <f t="shared" si="7"/>
        <v>1835177.9417557528</v>
      </c>
      <c r="L27" s="64">
        <f t="shared" si="7"/>
        <v>1697345.7705443315</v>
      </c>
    </row>
    <row r="28" spans="1:13" x14ac:dyDescent="0.25">
      <c r="C28" s="126"/>
      <c r="D28" s="44"/>
      <c r="E28" s="44"/>
      <c r="F28" s="44"/>
      <c r="G28" s="41"/>
      <c r="H28" s="44"/>
      <c r="I28" s="17"/>
      <c r="J28" s="10"/>
      <c r="K28" s="17"/>
      <c r="L28" s="11"/>
    </row>
    <row r="29" spans="1:13" x14ac:dyDescent="0.25">
      <c r="A29" s="52" t="s">
        <v>123</v>
      </c>
      <c r="B29" s="52"/>
      <c r="C29" s="131"/>
      <c r="D29" s="103">
        <f>+'PCR Cycle 1'!D38</f>
        <v>1.8848000000000001E-3</v>
      </c>
      <c r="E29" s="103">
        <f>+'PCR Cycle 1'!E38</f>
        <v>2.0156100000000001E-3</v>
      </c>
      <c r="F29" s="103">
        <f>+'PCR Cycle 1'!F38</f>
        <v>2.0650299999999998E-3</v>
      </c>
      <c r="G29" s="105">
        <f>+'PCR Cycle 1'!G38</f>
        <v>2.0681900000000001E-3</v>
      </c>
      <c r="H29" s="103">
        <f>+'PCR Cycle 1'!H38</f>
        <v>2.0708300000000001E-3</v>
      </c>
      <c r="I29" s="104">
        <f>+'PCR Cycle 1'!I38</f>
        <v>2.0734999999999998E-3</v>
      </c>
      <c r="J29" s="105">
        <f>+I29</f>
        <v>2.0734999999999998E-3</v>
      </c>
      <c r="K29" s="103">
        <f>+J29</f>
        <v>2.0734999999999998E-3</v>
      </c>
      <c r="L29" s="119"/>
    </row>
    <row r="30" spans="1:13" x14ac:dyDescent="0.25">
      <c r="A30" s="52" t="s">
        <v>44</v>
      </c>
      <c r="B30" s="52"/>
      <c r="C30" s="126"/>
      <c r="D30" s="44"/>
      <c r="E30" s="44"/>
      <c r="F30" s="44"/>
      <c r="G30" s="41"/>
      <c r="H30" s="44"/>
      <c r="I30" s="17"/>
      <c r="J30" s="10"/>
      <c r="K30" s="17"/>
      <c r="L30" s="11"/>
      <c r="M30" s="87"/>
    </row>
    <row r="31" spans="1:13" x14ac:dyDescent="0.25">
      <c r="A31" s="61" t="s">
        <v>29</v>
      </c>
      <c r="C31" s="53">
        <v>-7170.75</v>
      </c>
      <c r="D31" s="54">
        <f>ROUND((C26+C31+D22/2)*D$29,2)</f>
        <v>3688.54</v>
      </c>
      <c r="E31" s="54">
        <f t="shared" ref="E31:K32" si="8">ROUND((D26+D31+E22/2)*E$29,2)</f>
        <v>3791.59</v>
      </c>
      <c r="F31" s="135">
        <f t="shared" si="8"/>
        <v>3676.54</v>
      </c>
      <c r="G31" s="53">
        <f t="shared" si="8"/>
        <v>3448.04</v>
      </c>
      <c r="H31" s="150">
        <f t="shared" si="8"/>
        <v>3245.25</v>
      </c>
      <c r="I31" s="210">
        <f t="shared" si="8"/>
        <v>3076.08</v>
      </c>
      <c r="J31" s="53">
        <f t="shared" si="8"/>
        <v>2923.53</v>
      </c>
      <c r="K31" s="150">
        <f t="shared" si="8"/>
        <v>2750.82</v>
      </c>
      <c r="L31" s="64"/>
    </row>
    <row r="32" spans="1:13" ht="15.75" thickBot="1" x14ac:dyDescent="0.3">
      <c r="A32" s="61" t="s">
        <v>30</v>
      </c>
      <c r="C32" s="141">
        <v>-10613.14</v>
      </c>
      <c r="D32" s="54">
        <f>ROUND((C27+C32+D23/2)*D$29,2)</f>
        <v>5488.53</v>
      </c>
      <c r="E32" s="54">
        <f t="shared" si="8"/>
        <v>5604.89</v>
      </c>
      <c r="F32" s="135">
        <f t="shared" si="8"/>
        <v>5428.71</v>
      </c>
      <c r="G32" s="53">
        <f t="shared" si="8"/>
        <v>5112.41</v>
      </c>
      <c r="H32" s="150">
        <f t="shared" si="8"/>
        <v>4800.2700000000004</v>
      </c>
      <c r="I32" s="210">
        <f t="shared" si="8"/>
        <v>4494.63</v>
      </c>
      <c r="J32" s="53">
        <f t="shared" si="8"/>
        <v>4211.7299999999996</v>
      </c>
      <c r="K32" s="150">
        <f t="shared" si="8"/>
        <v>3946.31</v>
      </c>
      <c r="L32" s="64"/>
    </row>
    <row r="33" spans="1:12" ht="16.5" thickTop="1" thickBot="1" x14ac:dyDescent="0.3">
      <c r="A33" s="69" t="s">
        <v>25</v>
      </c>
      <c r="B33" s="69"/>
      <c r="C33" s="142">
        <v>0</v>
      </c>
      <c r="D33" s="45">
        <f t="shared" ref="D33:I33" si="9">SUM(D31:D32)+SUM(D26:D27)-D36</f>
        <v>0</v>
      </c>
      <c r="E33" s="45">
        <f t="shared" si="9"/>
        <v>0</v>
      </c>
      <c r="F33" s="65">
        <f t="shared" ref="F33:H33" si="10">SUM(F31:F32)+SUM(F26:F27)-F36</f>
        <v>0</v>
      </c>
      <c r="G33" s="151">
        <f t="shared" si="10"/>
        <v>0</v>
      </c>
      <c r="H33" s="45">
        <f t="shared" si="10"/>
        <v>0</v>
      </c>
      <c r="I33" s="65">
        <f t="shared" si="9"/>
        <v>0</v>
      </c>
      <c r="J33" s="66">
        <f t="shared" ref="J33:L33" si="11">SUM(J31:J32)+SUM(J26:J27)-J36</f>
        <v>0</v>
      </c>
      <c r="K33" s="45">
        <f t="shared" si="11"/>
        <v>0</v>
      </c>
      <c r="L33" s="123">
        <f t="shared" si="11"/>
        <v>0</v>
      </c>
    </row>
    <row r="34" spans="1:12" ht="16.5" thickTop="1" thickBot="1" x14ac:dyDescent="0.3">
      <c r="A34" s="69" t="s">
        <v>26</v>
      </c>
      <c r="B34" s="69"/>
      <c r="C34" s="134">
        <v>0</v>
      </c>
      <c r="D34" s="45">
        <f>SUM(D31:D32)-D19</f>
        <v>-1.0000000000218279E-2</v>
      </c>
      <c r="E34" s="45">
        <f t="shared" ref="E34:I34" si="12">SUM(E31:E32)-E19</f>
        <v>0</v>
      </c>
      <c r="F34" s="65">
        <f t="shared" ref="F34:H34" si="13">SUM(F31:F32)-F19</f>
        <v>2.0000000000436557E-2</v>
      </c>
      <c r="G34" s="66">
        <f t="shared" si="13"/>
        <v>0</v>
      </c>
      <c r="H34" s="45">
        <f t="shared" si="13"/>
        <v>1.0000000000218279E-2</v>
      </c>
      <c r="I34" s="65">
        <f t="shared" si="12"/>
        <v>0</v>
      </c>
      <c r="J34" s="66">
        <f t="shared" ref="J34:L34" si="14">SUM(J31:J32)-J19</f>
        <v>0</v>
      </c>
      <c r="K34" s="45">
        <f t="shared" si="14"/>
        <v>0</v>
      </c>
      <c r="L34" s="123">
        <f t="shared" si="14"/>
        <v>0</v>
      </c>
    </row>
    <row r="35" spans="1:12" ht="16.5" thickTop="1" thickBot="1" x14ac:dyDescent="0.3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2" ht="15.75" thickBot="1" x14ac:dyDescent="0.3">
      <c r="A36" s="61" t="s">
        <v>42</v>
      </c>
      <c r="B36" s="146">
        <f>+B26+B27</f>
        <v>4279288.5523801912</v>
      </c>
      <c r="C36" s="53">
        <f>(SUM(C12:C13)-SUM(C16:C17))+SUM(C31:C32)+B36</f>
        <v>4964439.379999999</v>
      </c>
      <c r="D36" s="54">
        <f t="shared" ref="D36:L36" si="15">(SUM(D12:D13)-SUM(D16:D17))+SUM(D31:D32)+C36</f>
        <v>4782719.169999999</v>
      </c>
      <c r="E36" s="54">
        <f t="shared" si="15"/>
        <v>4550392.0999999987</v>
      </c>
      <c r="F36" s="135">
        <f t="shared" si="15"/>
        <v>4277221.6399999987</v>
      </c>
      <c r="G36" s="53">
        <f t="shared" si="15"/>
        <v>4009543.5199999986</v>
      </c>
      <c r="H36" s="54">
        <f t="shared" si="15"/>
        <v>3768835.1299999985</v>
      </c>
      <c r="I36" s="135">
        <f t="shared" si="15"/>
        <v>3541083.6399999983</v>
      </c>
      <c r="J36" s="53">
        <f t="shared" si="15"/>
        <v>3348384.91009842</v>
      </c>
      <c r="K36" s="54">
        <f t="shared" si="15"/>
        <v>3118042.9067957518</v>
      </c>
      <c r="L36" s="77">
        <f t="shared" si="15"/>
        <v>2853986.5977443303</v>
      </c>
    </row>
    <row r="37" spans="1:12" x14ac:dyDescent="0.25">
      <c r="C37" s="147"/>
      <c r="D37" s="71"/>
      <c r="E37" s="71"/>
      <c r="F37" s="71"/>
      <c r="G37" s="12"/>
      <c r="H37" s="71"/>
      <c r="I37" s="17"/>
      <c r="J37" s="10"/>
      <c r="K37" s="17"/>
      <c r="L37" s="11"/>
    </row>
    <row r="38" spans="1:12" ht="15.75" thickBot="1" x14ac:dyDescent="0.3">
      <c r="B38" s="17"/>
      <c r="C38" s="56"/>
      <c r="D38" s="57"/>
      <c r="E38" s="57"/>
      <c r="F38" s="57"/>
      <c r="G38" s="56"/>
      <c r="H38" s="57"/>
      <c r="I38" s="57"/>
      <c r="J38" s="56"/>
      <c r="K38" s="57"/>
      <c r="L38" s="58"/>
    </row>
    <row r="40" spans="1:12" x14ac:dyDescent="0.25">
      <c r="A40" s="85" t="s">
        <v>13</v>
      </c>
      <c r="B40" s="85"/>
      <c r="C40" s="85"/>
    </row>
    <row r="41" spans="1:12" ht="30.75" customHeight="1" x14ac:dyDescent="0.25">
      <c r="A41" s="235" t="s">
        <v>120</v>
      </c>
      <c r="B41" s="235"/>
      <c r="C41" s="235"/>
      <c r="D41" s="235"/>
      <c r="E41" s="235"/>
      <c r="F41" s="235"/>
      <c r="G41" s="235"/>
      <c r="H41" s="235"/>
      <c r="I41" s="235"/>
      <c r="J41" s="207"/>
      <c r="K41" s="207"/>
      <c r="L41" s="207"/>
    </row>
    <row r="42" spans="1:12" ht="30.75" customHeight="1" x14ac:dyDescent="0.25">
      <c r="A42" s="235" t="s">
        <v>147</v>
      </c>
      <c r="B42" s="235"/>
      <c r="C42" s="235"/>
      <c r="D42" s="235"/>
      <c r="E42" s="235"/>
      <c r="F42" s="235"/>
      <c r="G42" s="235"/>
      <c r="H42" s="235"/>
      <c r="I42" s="235"/>
      <c r="J42" s="207"/>
      <c r="K42" s="207"/>
      <c r="L42" s="207"/>
    </row>
    <row r="43" spans="1:12" x14ac:dyDescent="0.25">
      <c r="A43" s="3" t="s">
        <v>124</v>
      </c>
      <c r="B43" s="3"/>
      <c r="C43" s="3"/>
      <c r="I43" s="4"/>
    </row>
    <row r="44" spans="1:12" x14ac:dyDescent="0.25">
      <c r="A44" s="3" t="s">
        <v>148</v>
      </c>
      <c r="B44" s="3"/>
      <c r="C44" s="3"/>
      <c r="I44" s="4"/>
    </row>
    <row r="45" spans="1:12" x14ac:dyDescent="0.25">
      <c r="A45" s="3" t="s">
        <v>125</v>
      </c>
      <c r="B45" s="3"/>
      <c r="C45" s="3"/>
      <c r="I45" s="4"/>
    </row>
    <row r="46" spans="1:12" x14ac:dyDescent="0.25">
      <c r="C46" s="62"/>
    </row>
    <row r="47" spans="1:12" x14ac:dyDescent="0.25">
      <c r="C47" s="62"/>
    </row>
    <row r="54" spans="13:13" x14ac:dyDescent="0.25">
      <c r="M54" s="8"/>
    </row>
  </sheetData>
  <mergeCells count="5">
    <mergeCell ref="D8:F8"/>
    <mergeCell ref="A42:I42"/>
    <mergeCell ref="A41:I41"/>
    <mergeCell ref="G8:I8"/>
    <mergeCell ref="J8:L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25DDD79CB154991C6089F2A32D6FE" ma:contentTypeVersion="" ma:contentTypeDescription="Create a new document." ma:contentTypeScope="" ma:versionID="3441e2133dc23d47401545fc31bad8af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E680F6-EEBC-41A4-AEB5-0B773B5EACA2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c85253b9-0a55-49a1-98ad-b5b6252d7079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894CBB-6B59-4B8B-BFDB-432ED3917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Jordan Shelley</cp:lastModifiedBy>
  <cp:lastPrinted>2016-11-18T18:21:08Z</cp:lastPrinted>
  <dcterms:created xsi:type="dcterms:W3CDTF">2013-08-12T19:20:10Z</dcterms:created>
  <dcterms:modified xsi:type="dcterms:W3CDTF">2017-11-30T22:10:24Z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0x01010065925DDD79CB154991C6089F2A32D6FE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