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MPSC Cases\ER-2020-XXXX FAC 29th TU\"/>
    </mc:Choice>
  </mc:AlternateContent>
  <bookViews>
    <workbookView xWindow="240" yWindow="570" windowWidth="14955" windowHeight="7890" tabRatio="905"/>
  </bookViews>
  <sheets>
    <sheet name="Summary" sheetId="8" r:id="rId1"/>
    <sheet name="9(A).2(A)" sheetId="69" r:id="rId2"/>
    <sheet name="ER-2016-0179" sheetId="134" r:id="rId3"/>
    <sheet name="Actual Net Energy Costs" sheetId="129" r:id="rId4"/>
    <sheet name="Accumulated Costs" sheetId="1" state="hidden" r:id="rId5"/>
    <sheet name="Recoveries and Refunds" sheetId="6" state="hidden" r:id="rId6"/>
    <sheet name="9(A).2(B)" sheetId="130" r:id="rId7"/>
    <sheet name="9(A).2(C)" sheetId="5" r:id="rId8"/>
    <sheet name="9(A).2(D).I" sheetId="131" r:id="rId9"/>
    <sheet name="9(A).2(D).II Jul-18" sheetId="147" r:id="rId10"/>
    <sheet name="9(A).2(D).II Aug-18" sheetId="148" r:id="rId11"/>
    <sheet name="9(A).2(D).II Sep-18" sheetId="149" r:id="rId12"/>
    <sheet name="9(A).2(D).II Oct-18" sheetId="150" r:id="rId13"/>
    <sheet name="9(A).2(D).II  Nov_18" sheetId="151" r:id="rId14"/>
    <sheet name="9(A).2(D).II  Dec_18" sheetId="152" r:id="rId15"/>
    <sheet name="9(A).2(D).II  Jan_19" sheetId="153" r:id="rId16"/>
    <sheet name="9(A).2(D).II  Feb_19" sheetId="154" r:id="rId17"/>
    <sheet name="9(A).2(D).II Mar_19" sheetId="156" r:id="rId18"/>
    <sheet name="9(A).2(D).II Apr_19" sheetId="155" r:id="rId19"/>
    <sheet name="9(A).2(D).II May_19" sheetId="157" r:id="rId20"/>
    <sheet name="9(A).2(D).II Jun_19" sheetId="158" r:id="rId21"/>
    <sheet name="9(A).2(D).II Jul_19" sheetId="160" r:id="rId22"/>
    <sheet name="9(A).2(D).II Aug_19" sheetId="161" r:id="rId23"/>
    <sheet name="9(A).2(D).II Sep_19" sheetId="162" r:id="rId24"/>
    <sheet name="9(A).2(D).II Oct_19" sheetId="163" r:id="rId25"/>
    <sheet name="9(A).2(D).III" sheetId="132" r:id="rId26"/>
    <sheet name="9(A).2(E)" sheetId="133" r:id="rId27"/>
  </sheets>
  <externalReferences>
    <externalReference r:id="rId28"/>
    <externalReference r:id="rId29"/>
    <externalReference r:id="rId30"/>
    <externalReference r:id="rId31"/>
    <externalReference r:id="rId32"/>
    <externalReference r:id="rId33"/>
    <externalReference r:id="rId34"/>
  </externalReferences>
  <definedNames>
    <definedName name="\a">#N/A</definedName>
    <definedName name="\b">#N/A</definedName>
    <definedName name="\i">#N/A</definedName>
    <definedName name="\r">#N/A</definedName>
    <definedName name="\t">#N/A</definedName>
    <definedName name="_11m_factor" localSheetId="1">#REF!</definedName>
    <definedName name="_11m_factor" localSheetId="6">#REF!</definedName>
    <definedName name="_11m_factor" localSheetId="8">#REF!</definedName>
    <definedName name="_11m_factor" localSheetId="25">#REF!</definedName>
    <definedName name="_11m_factor" localSheetId="26">#REF!</definedName>
    <definedName name="_11m_factor" localSheetId="3">#REF!</definedName>
    <definedName name="_11m_factor">#REF!</definedName>
    <definedName name="_11mcc" localSheetId="1">#REF!</definedName>
    <definedName name="_11mcc" localSheetId="6">#REF!</definedName>
    <definedName name="_11mcc" localSheetId="8">#REF!</definedName>
    <definedName name="_11mcc" localSheetId="25">#REF!</definedName>
    <definedName name="_11mcc" localSheetId="3">#REF!</definedName>
    <definedName name="_11mcc">#REF!</definedName>
    <definedName name="_11mkvar" localSheetId="1">#REF!</definedName>
    <definedName name="_11mkvar" localSheetId="6">#REF!</definedName>
    <definedName name="_11mkvar" localSheetId="8">#REF!</definedName>
    <definedName name="_11mkvar" localSheetId="25">#REF!</definedName>
    <definedName name="_11mkvar" localSheetId="3">#REF!</definedName>
    <definedName name="_11mkvar">#REF!</definedName>
    <definedName name="_11mrdrb138" localSheetId="1">#REF!</definedName>
    <definedName name="_11mrdrb138" localSheetId="6">#REF!</definedName>
    <definedName name="_11mrdrb138" localSheetId="8">#REF!</definedName>
    <definedName name="_11mrdrb138" localSheetId="25">#REF!</definedName>
    <definedName name="_11mrdrb138" localSheetId="3">#REF!</definedName>
    <definedName name="_11mrdrb138">#REF!</definedName>
    <definedName name="_11mrdrb34" localSheetId="1">#REF!</definedName>
    <definedName name="_11mrdrb34" localSheetId="6">#REF!</definedName>
    <definedName name="_11mrdrb34" localSheetId="8">#REF!</definedName>
    <definedName name="_11mrdrb34" localSheetId="25">#REF!</definedName>
    <definedName name="_11mrdrb34" localSheetId="3">#REF!</definedName>
    <definedName name="_11mrdrb34">#REF!</definedName>
    <definedName name="_11mskw" localSheetId="1">#REF!</definedName>
    <definedName name="_11mskw" localSheetId="6">#REF!</definedName>
    <definedName name="_11mskw" localSheetId="8">#REF!</definedName>
    <definedName name="_11mskw" localSheetId="25">#REF!</definedName>
    <definedName name="_11mskw" localSheetId="3">#REF!</definedName>
    <definedName name="_11mskw">#REF!</definedName>
    <definedName name="_11mskwh" localSheetId="1">#REF!</definedName>
    <definedName name="_11mskwh" localSheetId="6">#REF!</definedName>
    <definedName name="_11mskwh" localSheetId="8">#REF!</definedName>
    <definedName name="_11mskwh" localSheetId="25">#REF!</definedName>
    <definedName name="_11mskwh" localSheetId="3">#REF!</definedName>
    <definedName name="_11mskwh">#REF!</definedName>
    <definedName name="_11mtcc" localSheetId="1">#REF!</definedName>
    <definedName name="_11mtcc" localSheetId="6">#REF!</definedName>
    <definedName name="_11mtcc" localSheetId="8">#REF!</definedName>
    <definedName name="_11mtcc" localSheetId="25">#REF!</definedName>
    <definedName name="_11mtcc" localSheetId="3">#REF!</definedName>
    <definedName name="_11mtcc">#REF!</definedName>
    <definedName name="_11mtsoffpk" localSheetId="1">#REF!</definedName>
    <definedName name="_11mtsoffpk" localSheetId="6">#REF!</definedName>
    <definedName name="_11mtsoffpk" localSheetId="8">#REF!</definedName>
    <definedName name="_11mtsoffpk" localSheetId="25">#REF!</definedName>
    <definedName name="_11mtsoffpk" localSheetId="3">#REF!</definedName>
    <definedName name="_11mtsoffpk">#REF!</definedName>
    <definedName name="_11mtspk" localSheetId="1">#REF!</definedName>
    <definedName name="_11mtspk" localSheetId="6">#REF!</definedName>
    <definedName name="_11mtspk" localSheetId="8">#REF!</definedName>
    <definedName name="_11mtspk" localSheetId="25">#REF!</definedName>
    <definedName name="_11mtspk" localSheetId="3">#REF!</definedName>
    <definedName name="_11mtspk">#REF!</definedName>
    <definedName name="_11mtwoffpk" localSheetId="1">#REF!</definedName>
    <definedName name="_11mtwoffpk" localSheetId="6">#REF!</definedName>
    <definedName name="_11mtwoffpk" localSheetId="8">#REF!</definedName>
    <definedName name="_11mtwoffpk" localSheetId="25">#REF!</definedName>
    <definedName name="_11mtwoffpk" localSheetId="3">#REF!</definedName>
    <definedName name="_11mtwoffpk">#REF!</definedName>
    <definedName name="_11mtwpk" localSheetId="1">#REF!</definedName>
    <definedName name="_11mtwpk" localSheetId="6">#REF!</definedName>
    <definedName name="_11mtwpk" localSheetId="8">#REF!</definedName>
    <definedName name="_11mtwpk" localSheetId="25">#REF!</definedName>
    <definedName name="_11mtwpk" localSheetId="3">#REF!</definedName>
    <definedName name="_11mtwpk">#REF!</definedName>
    <definedName name="_11mwkw" localSheetId="1">#REF!</definedName>
    <definedName name="_11mwkw" localSheetId="6">#REF!</definedName>
    <definedName name="_11mwkw" localSheetId="8">#REF!</definedName>
    <definedName name="_11mwkw" localSheetId="25">#REF!</definedName>
    <definedName name="_11mwkw" localSheetId="3">#REF!</definedName>
    <definedName name="_11mwkw">#REF!</definedName>
    <definedName name="_11mwkwh" localSheetId="1">#REF!</definedName>
    <definedName name="_11mwkwh" localSheetId="6">#REF!</definedName>
    <definedName name="_11mwkwh" localSheetId="8">#REF!</definedName>
    <definedName name="_11mwkwh" localSheetId="25">#REF!</definedName>
    <definedName name="_11mwkwh" localSheetId="3">#REF!</definedName>
    <definedName name="_11mwkwh">#REF!</definedName>
    <definedName name="_4mcc">[1]SPS!$S$40</definedName>
    <definedName name="_4mkvar">[1]SPS!$S$50</definedName>
    <definedName name="_4mrdrb34">[1]SPS!$S$57</definedName>
    <definedName name="_4mskw">[1]SPS!$S$44</definedName>
    <definedName name="_4mskwh1">[1]SPS!$S$41</definedName>
    <definedName name="_4mskwh2">[1]SPS!$S$42</definedName>
    <definedName name="_4mskwh3">[1]SPS!$S$43</definedName>
    <definedName name="_4mtsoffpk">[1]SPS!$S$53</definedName>
    <definedName name="_4mtspk">[1]SPS!$S$52</definedName>
    <definedName name="_4mtwoffpk">[1]SPS!$S$55</definedName>
    <definedName name="_4mtwpk">[1]SPS!$S$54</definedName>
    <definedName name="_4mwkw">[1]SPS!$S$49</definedName>
    <definedName name="_4mwkwh1">[1]SPS!$S$45</definedName>
    <definedName name="_4mwkwh2">[1]SPS!$S$46</definedName>
    <definedName name="_4mwkwh3">[1]SPS!$S$47</definedName>
    <definedName name="_4mwkwhs">[1]SPS!$S$48</definedName>
    <definedName name="_Fill" localSheetId="1" hidden="1">#REF!</definedName>
    <definedName name="_Fill" localSheetId="6" hidden="1">#REF!</definedName>
    <definedName name="_Fill" localSheetId="8" hidden="1">#REF!</definedName>
    <definedName name="_Fill" localSheetId="25" hidden="1">#REF!</definedName>
    <definedName name="_Fill" localSheetId="26" hidden="1">#REF!</definedName>
    <definedName name="_Fill" localSheetId="3" hidden="1">#REF!</definedName>
    <definedName name="_Fill" hidden="1">#REF!</definedName>
    <definedName name="_fill2" localSheetId="1" hidden="1">#REF!</definedName>
    <definedName name="_fill2" localSheetId="6" hidden="1">#REF!</definedName>
    <definedName name="_fill2" localSheetId="8" hidden="1">#REF!</definedName>
    <definedName name="_fill2" localSheetId="25" hidden="1">#REF!</definedName>
    <definedName name="_fill2" hidden="1">#REF!</definedName>
    <definedName name="_key1" localSheetId="1">'[2]Ret Med Expense'!#REF!</definedName>
    <definedName name="_key1" localSheetId="6">'[2]Ret Med Expense'!#REF!</definedName>
    <definedName name="_key1" localSheetId="8">'[2]Ret Med Expense'!#REF!</definedName>
    <definedName name="_key1" localSheetId="25">'[2]Ret Med Expense'!#REF!</definedName>
    <definedName name="_key1" localSheetId="3">'[2]Ret Med Expense'!#REF!</definedName>
    <definedName name="_key1">'[2]Ret Med Expense'!#REF!</definedName>
    <definedName name="_Key2" localSheetId="1" hidden="1">#REF!</definedName>
    <definedName name="_Key2" localSheetId="6" hidden="1">#REF!</definedName>
    <definedName name="_Key2" localSheetId="8" hidden="1">#REF!</definedName>
    <definedName name="_Key2" localSheetId="25" hidden="1">#REF!</definedName>
    <definedName name="_Key2" localSheetId="26" hidden="1">#REF!</definedName>
    <definedName name="_Key2" localSheetId="3" hidden="1">#REF!</definedName>
    <definedName name="_Key2" hidden="1">#REF!</definedName>
    <definedName name="_Order1" hidden="1">255</definedName>
    <definedName name="_Order2" hidden="1">255</definedName>
    <definedName name="_SO2" localSheetId="1">#REF!</definedName>
    <definedName name="_SO2" localSheetId="6">#REF!</definedName>
    <definedName name="_SO2" localSheetId="8">#REF!</definedName>
    <definedName name="_SO2" localSheetId="25">#REF!</definedName>
    <definedName name="_SO2" localSheetId="26">#REF!</definedName>
    <definedName name="_SO2" localSheetId="3">#REF!</definedName>
    <definedName name="_SO2">#REF!</definedName>
    <definedName name="_Sort" localSheetId="1" hidden="1">#REF!</definedName>
    <definedName name="_Sort" localSheetId="6" hidden="1">#REF!</definedName>
    <definedName name="_Sort" localSheetId="8" hidden="1">#REF!</definedName>
    <definedName name="_Sort" localSheetId="25" hidden="1">#REF!</definedName>
    <definedName name="_Sort" hidden="1">#REF!</definedName>
    <definedName name="_TBL2" localSheetId="1">#REF!</definedName>
    <definedName name="_TBL2" localSheetId="6">#REF!</definedName>
    <definedName name="_TBL2" localSheetId="8">#REF!</definedName>
    <definedName name="_TBL2" localSheetId="25">#REF!</definedName>
    <definedName name="_TBL2" localSheetId="3">#REF!</definedName>
    <definedName name="_TBL2">#REF!</definedName>
    <definedName name="_TBL3" localSheetId="1">#REF!</definedName>
    <definedName name="_TBL3" localSheetId="6">#REF!</definedName>
    <definedName name="_TBL3" localSheetId="8">#REF!</definedName>
    <definedName name="_TBL3" localSheetId="25">#REF!</definedName>
    <definedName name="_TBL3" localSheetId="3">#REF!</definedName>
    <definedName name="_TBL3">#REF!</definedName>
    <definedName name="Accounts" localSheetId="1">#REF!</definedName>
    <definedName name="Accounts" localSheetId="6">#REF!</definedName>
    <definedName name="Accounts" localSheetId="8">#REF!</definedName>
    <definedName name="Accounts" localSheetId="25">#REF!</definedName>
    <definedName name="Accounts" localSheetId="3">#REF!</definedName>
    <definedName name="Accounts">#REF!</definedName>
    <definedName name="AddFunChar" localSheetId="1">#REF!</definedName>
    <definedName name="AddFunChar" localSheetId="6">#REF!</definedName>
    <definedName name="AddFunChar" localSheetId="8">#REF!</definedName>
    <definedName name="AddFunChar" localSheetId="25">#REF!</definedName>
    <definedName name="AddFunChar" localSheetId="3">#REF!</definedName>
    <definedName name="AddFunChar">#REF!</definedName>
    <definedName name="Address" localSheetId="1">#REF!</definedName>
    <definedName name="Address" localSheetId="6">#REF!</definedName>
    <definedName name="Address" localSheetId="8">#REF!</definedName>
    <definedName name="Address" localSheetId="25">#REF!</definedName>
    <definedName name="Address" localSheetId="3">#REF!</definedName>
    <definedName name="Address">#REF!</definedName>
    <definedName name="amo" localSheetId="1">#REF!</definedName>
    <definedName name="amo" localSheetId="6">#REF!</definedName>
    <definedName name="amo" localSheetId="8">#REF!</definedName>
    <definedName name="amo" localSheetId="25">#REF!</definedName>
    <definedName name="amo" localSheetId="3">#REF!</definedName>
    <definedName name="amo">#REF!</definedName>
    <definedName name="Amount" localSheetId="1">#REF!</definedName>
    <definedName name="Amount" localSheetId="6">#REF!</definedName>
    <definedName name="Amount" localSheetId="8">#REF!</definedName>
    <definedName name="Amount" localSheetId="25">#REF!</definedName>
    <definedName name="Amount" localSheetId="3">#REF!</definedName>
    <definedName name="Amount">#REF!</definedName>
    <definedName name="Amounts" localSheetId="1">#REF!</definedName>
    <definedName name="Amounts" localSheetId="6">#REF!</definedName>
    <definedName name="Amounts" localSheetId="8">#REF!</definedName>
    <definedName name="Amounts" localSheetId="25">#REF!</definedName>
    <definedName name="Amounts" localSheetId="3">#REF!</definedName>
    <definedName name="Amounts">#REF!</definedName>
    <definedName name="ApprvDate" localSheetId="1">#REF!</definedName>
    <definedName name="ApprvDate" localSheetId="6">#REF!</definedName>
    <definedName name="ApprvDate" localSheetId="8">#REF!</definedName>
    <definedName name="ApprvDate" localSheetId="25">#REF!</definedName>
    <definedName name="ApprvDate" localSheetId="3">#REF!</definedName>
    <definedName name="ApprvDate">#REF!</definedName>
    <definedName name="ApprvEmplNbr" localSheetId="1">#REF!</definedName>
    <definedName name="ApprvEmplNbr" localSheetId="6">#REF!</definedName>
    <definedName name="ApprvEmplNbr" localSheetId="8">#REF!</definedName>
    <definedName name="ApprvEmplNbr" localSheetId="25">#REF!</definedName>
    <definedName name="ApprvEmplNbr" localSheetId="3">#REF!</definedName>
    <definedName name="ApprvEmplNbr">#REF!</definedName>
    <definedName name="AuditDescr" localSheetId="1">#REF!</definedName>
    <definedName name="AuditDescr" localSheetId="6">#REF!</definedName>
    <definedName name="AuditDescr" localSheetId="8">#REF!</definedName>
    <definedName name="AuditDescr" localSheetId="25">#REF!</definedName>
    <definedName name="AuditDescr" localSheetId="3">#REF!</definedName>
    <definedName name="AuditDescr">#REF!</definedName>
    <definedName name="Base_KWH" localSheetId="1">#REF!</definedName>
    <definedName name="Base_KWH" localSheetId="6">#REF!</definedName>
    <definedName name="Base_KWH" localSheetId="8">#REF!</definedName>
    <definedName name="Base_KWH" localSheetId="25">#REF!</definedName>
    <definedName name="Base_KWH" localSheetId="3">#REF!</definedName>
    <definedName name="Base_KWH">#REF!</definedName>
    <definedName name="begin_PBO">[3]Input!$D$68</definedName>
    <definedName name="begin_PBOSC">[3]Input!$D$69</definedName>
    <definedName name="Beginning" localSheetId="1">#REF!</definedName>
    <definedName name="Beginning" localSheetId="6">#REF!</definedName>
    <definedName name="Beginning" localSheetId="8">#REF!</definedName>
    <definedName name="Beginning" localSheetId="25">#REF!</definedName>
    <definedName name="Beginning" localSheetId="26">#REF!</definedName>
    <definedName name="Beginning" localSheetId="3">#REF!</definedName>
    <definedName name="Beginning">#REF!</definedName>
    <definedName name="booka_g" localSheetId="1">#REF!</definedName>
    <definedName name="booka_g" localSheetId="6">#REF!</definedName>
    <definedName name="booka_g" localSheetId="8">#REF!</definedName>
    <definedName name="booka_g" localSheetId="25">#REF!</definedName>
    <definedName name="booka_g" localSheetId="3">#REF!</definedName>
    <definedName name="booka_g">#REF!</definedName>
    <definedName name="CkDescr" localSheetId="1">[4]DR_Form!#REF!</definedName>
    <definedName name="CkDescr" localSheetId="6">[4]DR_Form!#REF!</definedName>
    <definedName name="CkDescr" localSheetId="8">[4]DR_Form!#REF!</definedName>
    <definedName name="CkDescr" localSheetId="25">[4]DR_Form!#REF!</definedName>
    <definedName name="CkDescr" localSheetId="3">[4]DR_Form!#REF!</definedName>
    <definedName name="CkDescr">[4]DR_Form!#REF!</definedName>
    <definedName name="color" localSheetId="1">#REF!</definedName>
    <definedName name="color" localSheetId="6">#REF!</definedName>
    <definedName name="color" localSheetId="8">#REF!</definedName>
    <definedName name="color" localSheetId="25">#REF!</definedName>
    <definedName name="color" localSheetId="26">#REF!</definedName>
    <definedName name="color" localSheetId="3">#REF!</definedName>
    <definedName name="color">#REF!</definedName>
    <definedName name="ContactExt" localSheetId="1">#REF!</definedName>
    <definedName name="ContactExt" localSheetId="6">#REF!</definedName>
    <definedName name="ContactExt" localSheetId="8">#REF!</definedName>
    <definedName name="ContactExt" localSheetId="25">#REF!</definedName>
    <definedName name="ContactExt" localSheetId="3">#REF!</definedName>
    <definedName name="ContactExt">#REF!</definedName>
    <definedName name="ContactName" localSheetId="1">#REF!</definedName>
    <definedName name="ContactName" localSheetId="6">#REF!</definedName>
    <definedName name="ContactName" localSheetId="8">#REF!</definedName>
    <definedName name="ContactName" localSheetId="25">#REF!</definedName>
    <definedName name="ContactName" localSheetId="3">#REF!</definedName>
    <definedName name="ContactName">#REF!</definedName>
    <definedName name="Critical_Peak_KWH" localSheetId="1">#REF!</definedName>
    <definedName name="Critical_Peak_KWH" localSheetId="6">#REF!</definedName>
    <definedName name="Critical_Peak_KWH" localSheetId="8">#REF!</definedName>
    <definedName name="Critical_Peak_KWH" localSheetId="25">#REF!</definedName>
    <definedName name="Critical_Peak_KWH" localSheetId="3">#REF!</definedName>
    <definedName name="Critical_Peak_KWH">#REF!</definedName>
    <definedName name="ctoucc" localSheetId="1">[1]Res!#REF!</definedName>
    <definedName name="ctoucc" localSheetId="6">[1]Res!#REF!</definedName>
    <definedName name="ctoucc" localSheetId="8">[1]Res!#REF!</definedName>
    <definedName name="ctoucc" localSheetId="25">[1]Res!#REF!</definedName>
    <definedName name="ctoucc" localSheetId="3">[1]Res!#REF!</definedName>
    <definedName name="ctoucc">[1]Res!#REF!</definedName>
    <definedName name="ctouskw" localSheetId="1">[1]Res!#REF!</definedName>
    <definedName name="ctouskw" localSheetId="6">[1]Res!#REF!</definedName>
    <definedName name="ctouskw" localSheetId="8">[1]Res!#REF!</definedName>
    <definedName name="ctouskw" localSheetId="25">[1]Res!#REF!</definedName>
    <definedName name="ctouskw" localSheetId="3">[1]Res!#REF!</definedName>
    <definedName name="ctouskw">[1]Res!#REF!</definedName>
    <definedName name="ctousofkwh" localSheetId="1">[1]Res!#REF!</definedName>
    <definedName name="ctousofkwh" localSheetId="6">[1]Res!#REF!</definedName>
    <definedName name="ctousofkwh" localSheetId="8">[1]Res!#REF!</definedName>
    <definedName name="ctousofkwh" localSheetId="25">[1]Res!#REF!</definedName>
    <definedName name="ctousofkwh" localSheetId="3">[1]Res!#REF!</definedName>
    <definedName name="ctousofkwh">[1]Res!#REF!</definedName>
    <definedName name="ctouspkkwh" localSheetId="1">[1]Res!#REF!</definedName>
    <definedName name="ctouspkkwh" localSheetId="6">[1]Res!#REF!</definedName>
    <definedName name="ctouspkkwh" localSheetId="8">[1]Res!#REF!</definedName>
    <definedName name="ctouspkkwh" localSheetId="25">[1]Res!#REF!</definedName>
    <definedName name="ctouspkkwh" localSheetId="3">[1]Res!#REF!</definedName>
    <definedName name="ctouspkkwh">[1]Res!#REF!</definedName>
    <definedName name="ctouwkw" localSheetId="6">[1]Res!#REF!</definedName>
    <definedName name="ctouwkw" localSheetId="8">[1]Res!#REF!</definedName>
    <definedName name="ctouwkw" localSheetId="25">[1]Res!#REF!</definedName>
    <definedName name="ctouwkw" localSheetId="3">[1]Res!#REF!</definedName>
    <definedName name="ctouwkw">[1]Res!#REF!</definedName>
    <definedName name="ctouwofkwh" localSheetId="6">[1]Res!#REF!</definedName>
    <definedName name="ctouwofkwh" localSheetId="8">[1]Res!#REF!</definedName>
    <definedName name="ctouwofkwh" localSheetId="25">[1]Res!#REF!</definedName>
    <definedName name="ctouwofkwh" localSheetId="3">[1]Res!#REF!</definedName>
    <definedName name="ctouwofkwh">[1]Res!#REF!</definedName>
    <definedName name="ctouwpkkwh" localSheetId="6">[1]Res!#REF!</definedName>
    <definedName name="ctouwpkkwh" localSheetId="8">[1]Res!#REF!</definedName>
    <definedName name="ctouwpkkwh" localSheetId="25">[1]Res!#REF!</definedName>
    <definedName name="ctouwpkkwh" localSheetId="3">[1]Res!#REF!</definedName>
    <definedName name="ctouwpkkwh">[1]Res!#REF!</definedName>
    <definedName name="CurrentScenario">[3]Summary!$M$2</definedName>
    <definedName name="CUSSUM" localSheetId="1">#REF!</definedName>
    <definedName name="CUSSUM" localSheetId="6">#REF!</definedName>
    <definedName name="CUSSUM" localSheetId="8">#REF!</definedName>
    <definedName name="CUSSUM" localSheetId="25">#REF!</definedName>
    <definedName name="CUSSUM" localSheetId="26">#REF!</definedName>
    <definedName name="CUSSUM" localSheetId="3">#REF!</definedName>
    <definedName name="CUSSUM">#REF!</definedName>
    <definedName name="cust">[5]Sheet1!$D$1:$E$126</definedName>
    <definedName name="Customer_Count" localSheetId="1">#REF!</definedName>
    <definedName name="Customer_Count" localSheetId="6">#REF!</definedName>
    <definedName name="Customer_Count" localSheetId="8">#REF!</definedName>
    <definedName name="Customer_Count" localSheetId="25">#REF!</definedName>
    <definedName name="Customer_Count" localSheetId="26">#REF!</definedName>
    <definedName name="Customer_Count" localSheetId="3">#REF!</definedName>
    <definedName name="Customer_Count">#REF!</definedName>
    <definedName name="CUSWIN" localSheetId="1">#REF!</definedName>
    <definedName name="CUSWIN" localSheetId="6">#REF!</definedName>
    <definedName name="CUSWIN" localSheetId="8">#REF!</definedName>
    <definedName name="CUSWIN" localSheetId="25">#REF!</definedName>
    <definedName name="CUSWIN" localSheetId="3">#REF!</definedName>
    <definedName name="CUSWIN">#REF!</definedName>
    <definedName name="Data" localSheetId="1">#REF!</definedName>
    <definedName name="Data" localSheetId="6">#REF!</definedName>
    <definedName name="Data" localSheetId="8">#REF!</definedName>
    <definedName name="Data" localSheetId="25">#REF!</definedName>
    <definedName name="Data" localSheetId="3">#REF!</definedName>
    <definedName name="Data">#REF!</definedName>
    <definedName name="date" localSheetId="1">#REF!</definedName>
    <definedName name="date" localSheetId="6">#REF!</definedName>
    <definedName name="date" localSheetId="8">#REF!</definedName>
    <definedName name="date" localSheetId="25">#REF!</definedName>
    <definedName name="date" localSheetId="3">#REF!</definedName>
    <definedName name="date">#REF!</definedName>
    <definedName name="DateDue" localSheetId="1">#REF!</definedName>
    <definedName name="DateDue" localSheetId="6">#REF!</definedName>
    <definedName name="DateDue" localSheetId="8">#REF!</definedName>
    <definedName name="DateDue" localSheetId="25">#REF!</definedName>
    <definedName name="DateDue" localSheetId="3">#REF!</definedName>
    <definedName name="DateDue">#REF!</definedName>
    <definedName name="DeliverCk" localSheetId="1">#REF!</definedName>
    <definedName name="DeliverCk" localSheetId="6">#REF!</definedName>
    <definedName name="DeliverCk" localSheetId="8">#REF!</definedName>
    <definedName name="DeliverCk" localSheetId="25">#REF!</definedName>
    <definedName name="DeliverCk" localSheetId="3">#REF!</definedName>
    <definedName name="DeliverCk">#REF!</definedName>
    <definedName name="DeliverExt" localSheetId="1">#REF!</definedName>
    <definedName name="DeliverExt" localSheetId="6">#REF!</definedName>
    <definedName name="DeliverExt" localSheetId="8">#REF!</definedName>
    <definedName name="DeliverExt" localSheetId="25">#REF!</definedName>
    <definedName name="DeliverExt" localSheetId="3">#REF!</definedName>
    <definedName name="DeliverExt">#REF!</definedName>
    <definedName name="Demand_KW" localSheetId="1">#REF!</definedName>
    <definedName name="Demand_KW" localSheetId="6">#REF!</definedName>
    <definedName name="Demand_KW" localSheetId="8">#REF!</definedName>
    <definedName name="Demand_KW" localSheetId="25">#REF!</definedName>
    <definedName name="Demand_KW" localSheetId="3">#REF!</definedName>
    <definedName name="Demand_KW">#REF!</definedName>
    <definedName name="Difference" localSheetId="1">#REF!</definedName>
    <definedName name="Difference" localSheetId="6">#REF!</definedName>
    <definedName name="Difference" localSheetId="8">#REF!</definedName>
    <definedName name="Difference" localSheetId="25">#REF!</definedName>
    <definedName name="Difference" localSheetId="3">#REF!</definedName>
    <definedName name="Difference">#REF!</definedName>
    <definedName name="End" localSheetId="1">#REF!</definedName>
    <definedName name="End" localSheetId="6">#REF!</definedName>
    <definedName name="End" localSheetId="8">#REF!</definedName>
    <definedName name="End" localSheetId="25">#REF!</definedName>
    <definedName name="End" localSheetId="3">#REF!</definedName>
    <definedName name="End">#REF!</definedName>
    <definedName name="first" localSheetId="1">#REF!</definedName>
    <definedName name="first" localSheetId="6">#REF!</definedName>
    <definedName name="first" localSheetId="8">#REF!</definedName>
    <definedName name="first" localSheetId="25">#REF!</definedName>
    <definedName name="first" localSheetId="3">#REF!</definedName>
    <definedName name="first">#REF!</definedName>
    <definedName name="First_Block_kwh" localSheetId="1">#REF!</definedName>
    <definedName name="First_Block_kwh" localSheetId="6">#REF!</definedName>
    <definedName name="First_Block_kwh" localSheetId="8">#REF!</definedName>
    <definedName name="First_Block_kwh" localSheetId="25">#REF!</definedName>
    <definedName name="First_Block_kwh" localSheetId="3">#REF!</definedName>
    <definedName name="First_Block_kwh">#REF!</definedName>
    <definedName name="FlatPay" localSheetId="1">#REF!</definedName>
    <definedName name="FlatPay" localSheetId="6">#REF!</definedName>
    <definedName name="FlatPay" localSheetId="8">#REF!</definedName>
    <definedName name="FlatPay" localSheetId="25">#REF!</definedName>
    <definedName name="FlatPay" localSheetId="3">#REF!</definedName>
    <definedName name="FlatPay">#REF!</definedName>
    <definedName name="ForecastYears">[3]Options!$C$8</definedName>
    <definedName name="g">'[6]IP Tables'!$A$5:$K$16</definedName>
    <definedName name="InvNbr" localSheetId="1">#REF!</definedName>
    <definedName name="InvNbr" localSheetId="6">#REF!</definedName>
    <definedName name="InvNbr" localSheetId="8">#REF!</definedName>
    <definedName name="InvNbr" localSheetId="25">#REF!</definedName>
    <definedName name="InvNbr" localSheetId="26">#REF!</definedName>
    <definedName name="InvNbr" localSheetId="3">#REF!</definedName>
    <definedName name="InvNbr">#REF!</definedName>
    <definedName name="InvRet2" localSheetId="1">#REF!</definedName>
    <definedName name="InvRet2" localSheetId="6">#REF!</definedName>
    <definedName name="InvRet2" localSheetId="8">#REF!</definedName>
    <definedName name="InvRet2" localSheetId="25">#REF!</definedName>
    <definedName name="InvRet2" localSheetId="3">#REF!</definedName>
    <definedName name="InvRet2">#REF!</definedName>
    <definedName name="Key" localSheetId="1">'[2]Ret Med Expense'!#REF!</definedName>
    <definedName name="Key" localSheetId="6">'[2]Ret Med Expense'!#REF!</definedName>
    <definedName name="Key" localSheetId="8">'[2]Ret Med Expense'!#REF!</definedName>
    <definedName name="Key" localSheetId="25">'[2]Ret Med Expense'!#REF!</definedName>
    <definedName name="Key" localSheetId="3">'[2]Ret Med Expense'!#REF!</definedName>
    <definedName name="Key">'[2]Ret Med Expense'!#REF!</definedName>
    <definedName name="KVAR" localSheetId="1">#REF!</definedName>
    <definedName name="KVAR" localSheetId="6">#REF!</definedName>
    <definedName name="KVAR" localSheetId="8">#REF!</definedName>
    <definedName name="KVAR" localSheetId="25">#REF!</definedName>
    <definedName name="KVAR" localSheetId="26">#REF!</definedName>
    <definedName name="KVAR" localSheetId="3">#REF!</definedName>
    <definedName name="KVAR">#REF!</definedName>
    <definedName name="left" localSheetId="1">#REF!</definedName>
    <definedName name="left" localSheetId="6">#REF!</definedName>
    <definedName name="left" localSheetId="8">#REF!</definedName>
    <definedName name="left" localSheetId="25">#REF!</definedName>
    <definedName name="left" localSheetId="3">#REF!</definedName>
    <definedName name="left">#REF!</definedName>
    <definedName name="MainPageTitle">[3]Input!$A$1</definedName>
    <definedName name="MaxDeduc" localSheetId="1">#REF!</definedName>
    <definedName name="MaxDeduc" localSheetId="6">#REF!</definedName>
    <definedName name="MaxDeduc" localSheetId="8">#REF!</definedName>
    <definedName name="MaxDeduc" localSheetId="25">#REF!</definedName>
    <definedName name="MaxDeduc" localSheetId="26">#REF!</definedName>
    <definedName name="MaxDeduc" localSheetId="3">#REF!</definedName>
    <definedName name="MaxDeduc">#REF!</definedName>
    <definedName name="Mid_Peak_KWH" localSheetId="1">#REF!</definedName>
    <definedName name="Mid_Peak_KWH" localSheetId="6">#REF!</definedName>
    <definedName name="Mid_Peak_KWH" localSheetId="8">#REF!</definedName>
    <definedName name="Mid_Peak_KWH" localSheetId="25">#REF!</definedName>
    <definedName name="Mid_Peak_KWH" localSheetId="3">#REF!</definedName>
    <definedName name="Mid_Peak_KWH">#REF!</definedName>
    <definedName name="Month" localSheetId="1">#REF!</definedName>
    <definedName name="Month" localSheetId="6">#REF!</definedName>
    <definedName name="Month" localSheetId="8">#REF!</definedName>
    <definedName name="Month" localSheetId="25">#REF!</definedName>
    <definedName name="Month" localSheetId="3">#REF!</definedName>
    <definedName name="Month">#REF!</definedName>
    <definedName name="Muni_Billable_KWH" localSheetId="1">#REF!</definedName>
    <definedName name="Muni_Billable_KWH" localSheetId="6">#REF!</definedName>
    <definedName name="Muni_Billable_KWH" localSheetId="8">#REF!</definedName>
    <definedName name="Muni_Billable_KWH" localSheetId="25">#REF!</definedName>
    <definedName name="Muni_Billable_KWH" localSheetId="3">#REF!</definedName>
    <definedName name="Muni_Billable_KWH">#REF!</definedName>
    <definedName name="now" localSheetId="1">#REF!</definedName>
    <definedName name="now" localSheetId="6">#REF!</definedName>
    <definedName name="now" localSheetId="8">#REF!</definedName>
    <definedName name="now" localSheetId="25">#REF!</definedName>
    <definedName name="now" localSheetId="3">#REF!</definedName>
    <definedName name="now">#REF!</definedName>
    <definedName name="NOx" localSheetId="1">#REF!</definedName>
    <definedName name="NOx" localSheetId="6">#REF!</definedName>
    <definedName name="NOx" localSheetId="8">#REF!</definedName>
    <definedName name="NOx" localSheetId="25">#REF!</definedName>
    <definedName name="NOx" localSheetId="3">#REF!</definedName>
    <definedName name="NOx">#REF!</definedName>
    <definedName name="Off_Peak_KWH" localSheetId="1">#REF!</definedName>
    <definedName name="Off_Peak_KWH" localSheetId="6">#REF!</definedName>
    <definedName name="Off_Peak_KWH" localSheetId="8">#REF!</definedName>
    <definedName name="Off_Peak_KWH" localSheetId="25">#REF!</definedName>
    <definedName name="Off_Peak_KWH" localSheetId="3">#REF!</definedName>
    <definedName name="Off_Peak_KWH">#REF!</definedName>
    <definedName name="Office" localSheetId="1">#REF!</definedName>
    <definedName name="Office" localSheetId="6">#REF!</definedName>
    <definedName name="Office" localSheetId="8">#REF!</definedName>
    <definedName name="Office" localSheetId="25">#REF!</definedName>
    <definedName name="Office" localSheetId="3">#REF!</definedName>
    <definedName name="Office">#REF!</definedName>
    <definedName name="On_Peak_KWH" localSheetId="1">#REF!</definedName>
    <definedName name="On_Peak_KWH" localSheetId="6">#REF!</definedName>
    <definedName name="On_Peak_KWH" localSheetId="8">#REF!</definedName>
    <definedName name="On_Peak_KWH" localSheetId="25">#REF!</definedName>
    <definedName name="On_Peak_KWH" localSheetId="3">#REF!</definedName>
    <definedName name="On_Peak_KWH">#REF!</definedName>
    <definedName name="Other_Usage" localSheetId="1">#REF!</definedName>
    <definedName name="Other_Usage" localSheetId="6">#REF!</definedName>
    <definedName name="Other_Usage" localSheetId="8">#REF!</definedName>
    <definedName name="Other_Usage" localSheetId="25">#REF!</definedName>
    <definedName name="Other_Usage" localSheetId="3">#REF!</definedName>
    <definedName name="Other_Usage">#REF!</definedName>
    <definedName name="PostDate" localSheetId="1">#REF!</definedName>
    <definedName name="PostDate" localSheetId="6">#REF!</definedName>
    <definedName name="PostDate" localSheetId="8">#REF!</definedName>
    <definedName name="PostDate" localSheetId="25">#REF!</definedName>
    <definedName name="PostDate" localSheetId="3">#REF!</definedName>
    <definedName name="PostDate">#REF!</definedName>
    <definedName name="Primary_Month" localSheetId="1">#REF!</definedName>
    <definedName name="Primary_Month" localSheetId="6">#REF!</definedName>
    <definedName name="Primary_Month" localSheetId="8">#REF!</definedName>
    <definedName name="Primary_Month" localSheetId="25">#REF!</definedName>
    <definedName name="Primary_Month" localSheetId="3">#REF!</definedName>
    <definedName name="Primary_Month">#REF!</definedName>
    <definedName name="_xlnm.Print_Area" localSheetId="14">'9(A).2(D).II  Dec_18'!$A$1:$ER$43</definedName>
    <definedName name="_xlnm.Print_Area" localSheetId="15">'9(A).2(D).II  Jan_19'!$A$1:$ER$43</definedName>
    <definedName name="_xlnm.Print_Area" localSheetId="18">'9(A).2(D).II Apr_19'!$A$1:$ER$41</definedName>
    <definedName name="_xlnm.Print_Area" localSheetId="10">'9(A).2(D).II Aug-18'!$A$1:$EQ$43</definedName>
    <definedName name="_xlnm.Print_Area" localSheetId="21">'9(A).2(D).II Jul_19'!$A$1:$ER$43</definedName>
    <definedName name="_xlnm.Print_Area" localSheetId="9">'9(A).2(D).II Jul-18'!$A$1:$ER$42</definedName>
    <definedName name="_xlnm.Print_Area" localSheetId="12">'9(A).2(D).II Oct-18'!$A$1:$ER$43</definedName>
    <definedName name="_xlnm.Print_Area" localSheetId="23">'9(A).2(D).II Sep_19'!$A$1:$ER$42</definedName>
    <definedName name="_xlnm.Print_Area" localSheetId="11">'9(A).2(D).II Sep-18'!$A$1:$ER$42</definedName>
    <definedName name="proforma2" localSheetId="1">#REF!</definedName>
    <definedName name="proforma2" localSheetId="6">#REF!</definedName>
    <definedName name="proforma2" localSheetId="8">#REF!</definedName>
    <definedName name="proforma2" localSheetId="25">#REF!</definedName>
    <definedName name="proforma2" localSheetId="3">#REF!</definedName>
    <definedName name="proforma2">#REF!</definedName>
    <definedName name="Rate" localSheetId="1">#REF!</definedName>
    <definedName name="Rate" localSheetId="6">#REF!</definedName>
    <definedName name="Rate" localSheetId="8">#REF!</definedName>
    <definedName name="Rate" localSheetId="25">#REF!</definedName>
    <definedName name="Rate" localSheetId="3">#REF!</definedName>
    <definedName name="Rate">#REF!</definedName>
    <definedName name="Rate_Month" localSheetId="1">#REF!</definedName>
    <definedName name="Rate_Month" localSheetId="6">#REF!</definedName>
    <definedName name="Rate_Month" localSheetId="8">#REF!</definedName>
    <definedName name="Rate_Month" localSheetId="25">#REF!</definedName>
    <definedName name="Rate_Month" localSheetId="3">#REF!</definedName>
    <definedName name="Rate_Month">#REF!</definedName>
    <definedName name="rates">[5]Rates!$A$1:$B$190</definedName>
    <definedName name="RdrB138" localSheetId="1">#REF!</definedName>
    <definedName name="RdrB138" localSheetId="6">#REF!</definedName>
    <definedName name="RdrB138" localSheetId="8">#REF!</definedName>
    <definedName name="RdrB138" localSheetId="25">#REF!</definedName>
    <definedName name="RdrB138" localSheetId="26">#REF!</definedName>
    <definedName name="RdrB138" localSheetId="3">#REF!</definedName>
    <definedName name="RdrB138">#REF!</definedName>
    <definedName name="RdrB34" localSheetId="1">#REF!</definedName>
    <definedName name="RdrB34" localSheetId="6">#REF!</definedName>
    <definedName name="RdrB34" localSheetId="8">#REF!</definedName>
    <definedName name="RdrB34" localSheetId="25">#REF!</definedName>
    <definedName name="RdrB34" localSheetId="3">#REF!</definedName>
    <definedName name="RdrB34">#REF!</definedName>
    <definedName name="Reactive_KVAR" localSheetId="1">#REF!</definedName>
    <definedName name="Reactive_KVAR" localSheetId="6">#REF!</definedName>
    <definedName name="Reactive_KVAR" localSheetId="8">#REF!</definedName>
    <definedName name="Reactive_KVAR" localSheetId="25">#REF!</definedName>
    <definedName name="Reactive_KVAR" localSheetId="3">#REF!</definedName>
    <definedName name="Reactive_KVAR">#REF!</definedName>
    <definedName name="ReqDate" localSheetId="1">#REF!</definedName>
    <definedName name="ReqDate" localSheetId="6">#REF!</definedName>
    <definedName name="ReqDate" localSheetId="8">#REF!</definedName>
    <definedName name="ReqDate" localSheetId="25">#REF!</definedName>
    <definedName name="ReqDate" localSheetId="3">#REF!</definedName>
    <definedName name="ReqDate">#REF!</definedName>
    <definedName name="Revenue_Month" localSheetId="1">#REF!</definedName>
    <definedName name="Revenue_Month" localSheetId="6">#REF!</definedName>
    <definedName name="Revenue_Month" localSheetId="8">#REF!</definedName>
    <definedName name="Revenue_Month" localSheetId="25">#REF!</definedName>
    <definedName name="Revenue_Month" localSheetId="3">#REF!</definedName>
    <definedName name="Revenue_Month">#REF!</definedName>
    <definedName name="Rider_1" localSheetId="1">#REF!</definedName>
    <definedName name="Rider_1" localSheetId="6">#REF!</definedName>
    <definedName name="Rider_1" localSheetId="8">#REF!</definedName>
    <definedName name="Rider_1" localSheetId="25">#REF!</definedName>
    <definedName name="Rider_1" localSheetId="3">#REF!</definedName>
    <definedName name="Rider_1">#REF!</definedName>
    <definedName name="Rider_2" localSheetId="1">#REF!</definedName>
    <definedName name="Rider_2" localSheetId="6">#REF!</definedName>
    <definedName name="Rider_2" localSheetId="8">#REF!</definedName>
    <definedName name="Rider_2" localSheetId="25">#REF!</definedName>
    <definedName name="Rider_2" localSheetId="3">#REF!</definedName>
    <definedName name="Rider_2">#REF!</definedName>
    <definedName name="Rider_3" localSheetId="1">#REF!</definedName>
    <definedName name="Rider_3" localSheetId="6">#REF!</definedName>
    <definedName name="Rider_3" localSheetId="8">#REF!</definedName>
    <definedName name="Rider_3" localSheetId="25">#REF!</definedName>
    <definedName name="Rider_3" localSheetId="3">#REF!</definedName>
    <definedName name="Rider_3">#REF!</definedName>
    <definedName name="Rider_4" localSheetId="1">#REF!</definedName>
    <definedName name="Rider_4" localSheetId="6">#REF!</definedName>
    <definedName name="Rider_4" localSheetId="8">#REF!</definedName>
    <definedName name="Rider_4" localSheetId="25">#REF!</definedName>
    <definedName name="Rider_4" localSheetId="3">#REF!</definedName>
    <definedName name="Rider_4">#REF!</definedName>
    <definedName name="Rider_5" localSheetId="1">#REF!</definedName>
    <definedName name="Rider_5" localSheetId="6">#REF!</definedName>
    <definedName name="Rider_5" localSheetId="8">#REF!</definedName>
    <definedName name="Rider_5" localSheetId="25">#REF!</definedName>
    <definedName name="Rider_5" localSheetId="3">#REF!</definedName>
    <definedName name="Rider_5">#REF!</definedName>
    <definedName name="right" localSheetId="1">#REF!</definedName>
    <definedName name="right" localSheetId="6">#REF!</definedName>
    <definedName name="right" localSheetId="8">#REF!</definedName>
    <definedName name="right" localSheetId="25">#REF!</definedName>
    <definedName name="right" localSheetId="3">#REF!</definedName>
    <definedName name="right">#REF!</definedName>
    <definedName name="SAPBEXrevision" hidden="1">18</definedName>
    <definedName name="SAPBEXsysID" hidden="1">"BWP"</definedName>
    <definedName name="SAPBEXwbID" hidden="1">"3PHPFV8FO7PRQRDHFGKHVVOKV"</definedName>
    <definedName name="Scenarios">[3]Scenarios!$A$17:$Y$41</definedName>
    <definedName name="Seasonal_KWH" localSheetId="1">#REF!</definedName>
    <definedName name="Seasonal_KWH" localSheetId="6">#REF!</definedName>
    <definedName name="Seasonal_KWH" localSheetId="8">#REF!</definedName>
    <definedName name="Seasonal_KWH" localSheetId="25">#REF!</definedName>
    <definedName name="Seasonal_KWH" localSheetId="26">#REF!</definedName>
    <definedName name="Seasonal_KWH" localSheetId="3">#REF!</definedName>
    <definedName name="Seasonal_KWH">#REF!</definedName>
    <definedName name="sec" localSheetId="1">#REF!</definedName>
    <definedName name="sec" localSheetId="6">#REF!</definedName>
    <definedName name="sec" localSheetId="8">#REF!</definedName>
    <definedName name="sec" localSheetId="25">#REF!</definedName>
    <definedName name="sec" localSheetId="3">#REF!</definedName>
    <definedName name="sec">#REF!</definedName>
    <definedName name="SendCk" localSheetId="1">#REF!</definedName>
    <definedName name="SendCk" localSheetId="6">#REF!</definedName>
    <definedName name="SendCk" localSheetId="8">#REF!</definedName>
    <definedName name="SendCk" localSheetId="25">#REF!</definedName>
    <definedName name="SendCk" localSheetId="3">#REF!</definedName>
    <definedName name="SendCk">#REF!</definedName>
    <definedName name="SendMC" localSheetId="1">#REF!</definedName>
    <definedName name="SendMC" localSheetId="6">#REF!</definedName>
    <definedName name="SendMC" localSheetId="8">#REF!</definedName>
    <definedName name="SendMC" localSheetId="25">#REF!</definedName>
    <definedName name="SendMC" localSheetId="3">#REF!</definedName>
    <definedName name="SendMC">#REF!</definedName>
    <definedName name="SKW" localSheetId="1">#REF!</definedName>
    <definedName name="SKW" localSheetId="6">#REF!</definedName>
    <definedName name="SKW" localSheetId="8">#REF!</definedName>
    <definedName name="SKW" localSheetId="25">#REF!</definedName>
    <definedName name="SKW" localSheetId="3">#REF!</definedName>
    <definedName name="SKW">#REF!</definedName>
    <definedName name="SKWH" localSheetId="1">#REF!</definedName>
    <definedName name="SKWH" localSheetId="6">#REF!</definedName>
    <definedName name="SKWH" localSheetId="8">#REF!</definedName>
    <definedName name="SKWH" localSheetId="25">#REF!</definedName>
    <definedName name="SKWH" localSheetId="3">#REF!</definedName>
    <definedName name="SKWH">#REF!</definedName>
    <definedName name="SOffpkkwh" localSheetId="1">#REF!</definedName>
    <definedName name="SOffpkkwh" localSheetId="6">#REF!</definedName>
    <definedName name="SOffpkkwh" localSheetId="8">#REF!</definedName>
    <definedName name="SOffpkkwh" localSheetId="25">#REF!</definedName>
    <definedName name="SOffpkkwh" localSheetId="3">#REF!</definedName>
    <definedName name="SOffpkkwh">#REF!</definedName>
    <definedName name="SOnpkkwh" localSheetId="1">#REF!</definedName>
    <definedName name="SOnpkkwh" localSheetId="6">#REF!</definedName>
    <definedName name="SOnpkkwh" localSheetId="8">#REF!</definedName>
    <definedName name="SOnpkkwh" localSheetId="25">#REF!</definedName>
    <definedName name="SOnpkkwh" localSheetId="3">#REF!</definedName>
    <definedName name="SOnpkkwh">#REF!</definedName>
    <definedName name="StartingValDate">[3]Input!$D$8</definedName>
    <definedName name="StringLookup" localSheetId="1">#REF!</definedName>
    <definedName name="StringLookup" localSheetId="6">#REF!</definedName>
    <definedName name="StringLookup" localSheetId="8">#REF!</definedName>
    <definedName name="StringLookup" localSheetId="25">#REF!</definedName>
    <definedName name="StringLookup" localSheetId="26">#REF!</definedName>
    <definedName name="StringLookup" localSheetId="3">#REF!</definedName>
    <definedName name="StringLookup">#REF!</definedName>
    <definedName name="Sub1PageTitle">[3]Input!$A$2</definedName>
    <definedName name="Tariff" localSheetId="1">#REF!</definedName>
    <definedName name="Tariff" localSheetId="6">#REF!</definedName>
    <definedName name="Tariff" localSheetId="8">#REF!</definedName>
    <definedName name="Tariff" localSheetId="25">#REF!</definedName>
    <definedName name="Tariff" localSheetId="26">#REF!</definedName>
    <definedName name="Tariff" localSheetId="3">#REF!</definedName>
    <definedName name="Tariff">#REF!</definedName>
    <definedName name="TBL1A" localSheetId="1">#REF!</definedName>
    <definedName name="TBL1A" localSheetId="6">#REF!</definedName>
    <definedName name="TBL1A" localSheetId="8">#REF!</definedName>
    <definedName name="TBL1A" localSheetId="25">#REF!</definedName>
    <definedName name="TBL1A" localSheetId="3">#REF!</definedName>
    <definedName name="TBL1A">#REF!</definedName>
    <definedName name="TBL1B" localSheetId="1">#REF!</definedName>
    <definedName name="TBL1B" localSheetId="6">#REF!</definedName>
    <definedName name="TBL1B" localSheetId="8">#REF!</definedName>
    <definedName name="TBL1B" localSheetId="25">#REF!</definedName>
    <definedName name="TBL1B" localSheetId="3">#REF!</definedName>
    <definedName name="TBL1B">#REF!</definedName>
    <definedName name="third" localSheetId="1">#REF!</definedName>
    <definedName name="third" localSheetId="6">#REF!</definedName>
    <definedName name="third" localSheetId="8">#REF!</definedName>
    <definedName name="third" localSheetId="25">#REF!</definedName>
    <definedName name="third" localSheetId="3">#REF!</definedName>
    <definedName name="third">#REF!</definedName>
    <definedName name="TITLE" localSheetId="1">#REF!</definedName>
    <definedName name="TITLE" localSheetId="6">#REF!</definedName>
    <definedName name="TITLE" localSheetId="8">#REF!</definedName>
    <definedName name="TITLE" localSheetId="25">#REF!</definedName>
    <definedName name="TITLE" localSheetId="3">#REF!</definedName>
    <definedName name="TITLE">#REF!</definedName>
    <definedName name="Today" localSheetId="1">#REF!</definedName>
    <definedName name="Today" localSheetId="6">#REF!</definedName>
    <definedName name="Today" localSheetId="8">#REF!</definedName>
    <definedName name="Today" localSheetId="25">#REF!</definedName>
    <definedName name="Today" localSheetId="3">#REF!</definedName>
    <definedName name="Today">#REF!</definedName>
    <definedName name="Tot_Base_Recalc_Rev" localSheetId="1">#REF!</definedName>
    <definedName name="Tot_Base_Recalc_Rev" localSheetId="6">#REF!</definedName>
    <definedName name="Tot_Base_Recalc_Rev" localSheetId="8">#REF!</definedName>
    <definedName name="Tot_Base_Recalc_Rev" localSheetId="25">#REF!</definedName>
    <definedName name="Tot_Base_Recalc_Rev" localSheetId="3">#REF!</definedName>
    <definedName name="Tot_Base_Recalc_Rev">#REF!</definedName>
    <definedName name="Total_Base_Rev" localSheetId="1">#REF!</definedName>
    <definedName name="Total_Base_Rev" localSheetId="6">#REF!</definedName>
    <definedName name="Total_Base_Rev" localSheetId="8">#REF!</definedName>
    <definedName name="Total_Base_Rev" localSheetId="25">#REF!</definedName>
    <definedName name="Total_Base_Rev" localSheetId="3">#REF!</definedName>
    <definedName name="Total_Base_Rev">#REF!</definedName>
    <definedName name="Total_Crit_Peak_Rev" localSheetId="1">#REF!</definedName>
    <definedName name="Total_Crit_Peak_Rev" localSheetId="6">#REF!</definedName>
    <definedName name="Total_Crit_Peak_Rev" localSheetId="8">#REF!</definedName>
    <definedName name="Total_Crit_Peak_Rev" localSheetId="25">#REF!</definedName>
    <definedName name="Total_Crit_Peak_Rev" localSheetId="3">#REF!</definedName>
    <definedName name="Total_Crit_Peak_Rev">#REF!</definedName>
    <definedName name="Total_Cust_Charge" localSheetId="1">#REF!</definedName>
    <definedName name="Total_Cust_Charge" localSheetId="6">#REF!</definedName>
    <definedName name="Total_Cust_Charge" localSheetId="8">#REF!</definedName>
    <definedName name="Total_Cust_Charge" localSheetId="25">#REF!</definedName>
    <definedName name="Total_Cust_Charge" localSheetId="3">#REF!</definedName>
    <definedName name="Total_Cust_Charge">#REF!</definedName>
    <definedName name="Total_Demand_Rev" localSheetId="1">#REF!</definedName>
    <definedName name="Total_Demand_Rev" localSheetId="6">#REF!</definedName>
    <definedName name="Total_Demand_Rev" localSheetId="8">#REF!</definedName>
    <definedName name="Total_Demand_Rev" localSheetId="25">#REF!</definedName>
    <definedName name="Total_Demand_Rev" localSheetId="3">#REF!</definedName>
    <definedName name="Total_Demand_Rev">#REF!</definedName>
    <definedName name="Total_KWH" localSheetId="1">#REF!</definedName>
    <definedName name="Total_KWH" localSheetId="6">#REF!</definedName>
    <definedName name="Total_KWH" localSheetId="8">#REF!</definedName>
    <definedName name="Total_KWH" localSheetId="25">#REF!</definedName>
    <definedName name="Total_KWH" localSheetId="3">#REF!</definedName>
    <definedName name="Total_KWH">#REF!</definedName>
    <definedName name="Total_KWH_Step_1" localSheetId="1">#REF!</definedName>
    <definedName name="Total_KWH_Step_1" localSheetId="6">#REF!</definedName>
    <definedName name="Total_KWH_Step_1" localSheetId="8">#REF!</definedName>
    <definedName name="Total_KWH_Step_1" localSheetId="25">#REF!</definedName>
    <definedName name="Total_KWH_Step_1" localSheetId="3">#REF!</definedName>
    <definedName name="Total_KWH_Step_1">#REF!</definedName>
    <definedName name="Total_KWH_Step_2" localSheetId="1">#REF!</definedName>
    <definedName name="Total_KWH_Step_2" localSheetId="6">#REF!</definedName>
    <definedName name="Total_KWH_Step_2" localSheetId="8">#REF!</definedName>
    <definedName name="Total_KWH_Step_2" localSheetId="25">#REF!</definedName>
    <definedName name="Total_KWH_Step_2" localSheetId="3">#REF!</definedName>
    <definedName name="Total_KWH_Step_2">#REF!</definedName>
    <definedName name="Total_KWH_Step_3" localSheetId="1">#REF!</definedName>
    <definedName name="Total_KWH_Step_3" localSheetId="6">#REF!</definedName>
    <definedName name="Total_KWH_Step_3" localSheetId="8">#REF!</definedName>
    <definedName name="Total_KWH_Step_3" localSheetId="25">#REF!</definedName>
    <definedName name="Total_KWH_Step_3" localSheetId="3">#REF!</definedName>
    <definedName name="Total_KWH_Step_3">#REF!</definedName>
    <definedName name="Total_Off_Peak_Rev" localSheetId="1">#REF!</definedName>
    <definedName name="Total_Off_Peak_Rev" localSheetId="6">#REF!</definedName>
    <definedName name="Total_Off_Peak_Rev" localSheetId="8">#REF!</definedName>
    <definedName name="Total_Off_Peak_Rev" localSheetId="25">#REF!</definedName>
    <definedName name="Total_Off_Peak_Rev" localSheetId="3">#REF!</definedName>
    <definedName name="Total_Off_Peak_Rev">#REF!</definedName>
    <definedName name="Total_On_Peak_Rev" localSheetId="1">#REF!</definedName>
    <definedName name="Total_On_Peak_Rev" localSheetId="6">#REF!</definedName>
    <definedName name="Total_On_Peak_Rev" localSheetId="8">#REF!</definedName>
    <definedName name="Total_On_Peak_Rev" localSheetId="25">#REF!</definedName>
    <definedName name="Total_On_Peak_Rev" localSheetId="3">#REF!</definedName>
    <definedName name="Total_On_Peak_Rev">#REF!</definedName>
    <definedName name="Total_Other_Rev" localSheetId="1">#REF!</definedName>
    <definedName name="Total_Other_Rev" localSheetId="6">#REF!</definedName>
    <definedName name="Total_Other_Rev" localSheetId="8">#REF!</definedName>
    <definedName name="Total_Other_Rev" localSheetId="25">#REF!</definedName>
    <definedName name="Total_Other_Rev" localSheetId="3">#REF!</definedName>
    <definedName name="Total_Other_Rev">#REF!</definedName>
    <definedName name="Total_Reactive_Rev" localSheetId="1">#REF!</definedName>
    <definedName name="Total_Reactive_Rev" localSheetId="6">#REF!</definedName>
    <definedName name="Total_Reactive_Rev" localSheetId="8">#REF!</definedName>
    <definedName name="Total_Reactive_Rev" localSheetId="25">#REF!</definedName>
    <definedName name="Total_Reactive_Rev" localSheetId="3">#REF!</definedName>
    <definedName name="Total_Reactive_Rev">#REF!</definedName>
    <definedName name="Total_Revenue" localSheetId="1">#REF!</definedName>
    <definedName name="Total_Revenue" localSheetId="6">#REF!</definedName>
    <definedName name="Total_Revenue" localSheetId="8">#REF!</definedName>
    <definedName name="Total_Revenue" localSheetId="25">#REF!</definedName>
    <definedName name="Total_Revenue" localSheetId="3">#REF!</definedName>
    <definedName name="Total_Revenue">#REF!</definedName>
    <definedName name="Total_Seasonal_Rev" localSheetId="1">#REF!</definedName>
    <definedName name="Total_Seasonal_Rev" localSheetId="6">#REF!</definedName>
    <definedName name="Total_Seasonal_Rev" localSheetId="8">#REF!</definedName>
    <definedName name="Total_Seasonal_Rev" localSheetId="25">#REF!</definedName>
    <definedName name="Total_Seasonal_Rev" localSheetId="3">#REF!</definedName>
    <definedName name="Total_Seasonal_Rev">#REF!</definedName>
    <definedName name="Total_Suppl_Adj_Rev" localSheetId="1">#REF!</definedName>
    <definedName name="Total_Suppl_Adj_Rev" localSheetId="6">#REF!</definedName>
    <definedName name="Total_Suppl_Adj_Rev" localSheetId="8">#REF!</definedName>
    <definedName name="Total_Suppl_Adj_Rev" localSheetId="25">#REF!</definedName>
    <definedName name="Total_Suppl_Adj_Rev" localSheetId="3">#REF!</definedName>
    <definedName name="Total_Suppl_Adj_Rev">#REF!</definedName>
    <definedName name="Transaction" localSheetId="1">#REF!</definedName>
    <definedName name="Transaction" localSheetId="6">#REF!</definedName>
    <definedName name="Transaction" localSheetId="8">#REF!</definedName>
    <definedName name="Transaction" localSheetId="25">#REF!</definedName>
    <definedName name="Transaction" localSheetId="3">#REF!</definedName>
    <definedName name="Transaction">#REF!</definedName>
    <definedName name="TY">[7]Input!$B$5</definedName>
    <definedName name="VndName" localSheetId="1">#REF!</definedName>
    <definedName name="VndName" localSheetId="6">#REF!</definedName>
    <definedName name="VndName" localSheetId="8">#REF!</definedName>
    <definedName name="VndName" localSheetId="25">#REF!</definedName>
    <definedName name="VndName" localSheetId="26">#REF!</definedName>
    <definedName name="VndName" localSheetId="3">#REF!</definedName>
    <definedName name="VndName">#REF!</definedName>
    <definedName name="WKW" localSheetId="1">#REF!</definedName>
    <definedName name="WKW" localSheetId="6">#REF!</definedName>
    <definedName name="WKW" localSheetId="8">#REF!</definedName>
    <definedName name="WKW" localSheetId="25">#REF!</definedName>
    <definedName name="WKW" localSheetId="3">#REF!</definedName>
    <definedName name="WKW">#REF!</definedName>
    <definedName name="WKWH" localSheetId="1">#REF!</definedName>
    <definedName name="WKWH" localSheetId="6">#REF!</definedName>
    <definedName name="WKWH" localSheetId="8">#REF!</definedName>
    <definedName name="WKWH" localSheetId="25">#REF!</definedName>
    <definedName name="WKWH" localSheetId="3">#REF!</definedName>
    <definedName name="WKWH">#REF!</definedName>
    <definedName name="WOffpkkwh" localSheetId="1">#REF!</definedName>
    <definedName name="WOffpkkwh" localSheetId="6">#REF!</definedName>
    <definedName name="WOffpkkwh" localSheetId="8">#REF!</definedName>
    <definedName name="WOffpkkwh" localSheetId="25">#REF!</definedName>
    <definedName name="WOffpkkwh" localSheetId="3">#REF!</definedName>
    <definedName name="WOffpkkwh">#REF!</definedName>
    <definedName name="WOnpkkwh" localSheetId="1">#REF!</definedName>
    <definedName name="WOnpkkwh" localSheetId="6">#REF!</definedName>
    <definedName name="WOnpkkwh" localSheetId="8">#REF!</definedName>
    <definedName name="WOnpkkwh" localSheetId="25">#REF!</definedName>
    <definedName name="WOnpkkwh" localSheetId="3">#REF!</definedName>
    <definedName name="WOnpkkwh">#REF!</definedName>
    <definedName name="wrn.page1." localSheetId="1" hidden="1">{"page1",#N/A,FALSE,"260"}</definedName>
    <definedName name="wrn.page1." localSheetId="8" hidden="1">{"page1",#N/A,FALSE,"260"}</definedName>
    <definedName name="wrn.page1." localSheetId="14" hidden="1">{"page1",#N/A,FALSE,"260"}</definedName>
    <definedName name="wrn.page1." localSheetId="15" hidden="1">{"page1",#N/A,FALSE,"260"}</definedName>
    <definedName name="wrn.page1." localSheetId="13" hidden="1">{"page1",#N/A,FALSE,"260"}</definedName>
    <definedName name="wrn.page1." localSheetId="25" hidden="1">{"page1",#N/A,FALSE,"260"}</definedName>
    <definedName name="wrn.page1." localSheetId="26" hidden="1">{"page1",#N/A,FALSE,"260"}</definedName>
    <definedName name="wrn.page1." localSheetId="3" hidden="1">{"page1",#N/A,FALSE,"260"}</definedName>
    <definedName name="wrn.page1." localSheetId="2" hidden="1">{"page1",#N/A,FALSE,"260"}</definedName>
    <definedName name="wrn.page1." hidden="1">{"page1",#N/A,FALSE,"260"}</definedName>
    <definedName name="wrn.page1._1" localSheetId="8" hidden="1">{"page1",#N/A,FALSE,"260"}</definedName>
    <definedName name="wrn.page1._1" localSheetId="14" hidden="1">{"page1",#N/A,FALSE,"260"}</definedName>
    <definedName name="wrn.page1._1" localSheetId="15" hidden="1">{"page1",#N/A,FALSE,"260"}</definedName>
    <definedName name="wrn.page1._1" localSheetId="13" hidden="1">{"page1",#N/A,FALSE,"260"}</definedName>
    <definedName name="wrn.page1._1" localSheetId="25" hidden="1">{"page1",#N/A,FALSE,"260"}</definedName>
    <definedName name="wrn.page1._1" localSheetId="26" hidden="1">{"page1",#N/A,FALSE,"260"}</definedName>
    <definedName name="wrn.page1._1" localSheetId="3" hidden="1">{"page1",#N/A,FALSE,"260"}</definedName>
    <definedName name="wrn.page1._1" localSheetId="2" hidden="1">{"page1",#N/A,FALSE,"260"}</definedName>
    <definedName name="wrn.page1._1" hidden="1">{"page1",#N/A,FALSE,"260"}</definedName>
    <definedName name="wrn.page1._1_1" localSheetId="8" hidden="1">{"page1",#N/A,FALSE,"260"}</definedName>
    <definedName name="wrn.page1._1_1" localSheetId="14" hidden="1">{"page1",#N/A,FALSE,"260"}</definedName>
    <definedName name="wrn.page1._1_1" localSheetId="15" hidden="1">{"page1",#N/A,FALSE,"260"}</definedName>
    <definedName name="wrn.page1._1_1" localSheetId="13" hidden="1">{"page1",#N/A,FALSE,"260"}</definedName>
    <definedName name="wrn.page1._1_1" localSheetId="25" hidden="1">{"page1",#N/A,FALSE,"260"}</definedName>
    <definedName name="wrn.page1._1_1" localSheetId="26" hidden="1">{"page1",#N/A,FALSE,"260"}</definedName>
    <definedName name="wrn.page1._1_1" localSheetId="3" hidden="1">{"page1",#N/A,FALSE,"260"}</definedName>
    <definedName name="wrn.page1._1_1" localSheetId="2" hidden="1">{"page1",#N/A,FALSE,"260"}</definedName>
    <definedName name="wrn.page1._1_1" hidden="1">{"page1",#N/A,FALSE,"260"}</definedName>
    <definedName name="wrn.page1._1_1_1" localSheetId="8" hidden="1">{"page1",#N/A,FALSE,"260"}</definedName>
    <definedName name="wrn.page1._1_1_1" localSheetId="14" hidden="1">{"page1",#N/A,FALSE,"260"}</definedName>
    <definedName name="wrn.page1._1_1_1" localSheetId="15" hidden="1">{"page1",#N/A,FALSE,"260"}</definedName>
    <definedName name="wrn.page1._1_1_1" localSheetId="13" hidden="1">{"page1",#N/A,FALSE,"260"}</definedName>
    <definedName name="wrn.page1._1_1_1" localSheetId="25" hidden="1">{"page1",#N/A,FALSE,"260"}</definedName>
    <definedName name="wrn.page1._1_1_1" localSheetId="26" hidden="1">{"page1",#N/A,FALSE,"260"}</definedName>
    <definedName name="wrn.page1._1_1_1" localSheetId="3" hidden="1">{"page1",#N/A,FALSE,"260"}</definedName>
    <definedName name="wrn.page1._1_1_1" localSheetId="2" hidden="1">{"page1",#N/A,FALSE,"260"}</definedName>
    <definedName name="wrn.page1._1_1_1" hidden="1">{"page1",#N/A,FALSE,"260"}</definedName>
    <definedName name="wrn.page1._1_1_2" localSheetId="8" hidden="1">{"page1",#N/A,FALSE,"260"}</definedName>
    <definedName name="wrn.page1._1_1_2" localSheetId="14" hidden="1">{"page1",#N/A,FALSE,"260"}</definedName>
    <definedName name="wrn.page1._1_1_2" localSheetId="15" hidden="1">{"page1",#N/A,FALSE,"260"}</definedName>
    <definedName name="wrn.page1._1_1_2" localSheetId="13" hidden="1">{"page1",#N/A,FALSE,"260"}</definedName>
    <definedName name="wrn.page1._1_1_2" localSheetId="25" hidden="1">{"page1",#N/A,FALSE,"260"}</definedName>
    <definedName name="wrn.page1._1_1_2" localSheetId="26" hidden="1">{"page1",#N/A,FALSE,"260"}</definedName>
    <definedName name="wrn.page1._1_1_2" localSheetId="3" hidden="1">{"page1",#N/A,FALSE,"260"}</definedName>
    <definedName name="wrn.page1._1_1_2" localSheetId="2" hidden="1">{"page1",#N/A,FALSE,"260"}</definedName>
    <definedName name="wrn.page1._1_1_2" hidden="1">{"page1",#N/A,FALSE,"260"}</definedName>
    <definedName name="wrn.page1._1_1_3" localSheetId="8" hidden="1">{"page1",#N/A,FALSE,"260"}</definedName>
    <definedName name="wrn.page1._1_1_3" localSheetId="14" hidden="1">{"page1",#N/A,FALSE,"260"}</definedName>
    <definedName name="wrn.page1._1_1_3" localSheetId="15" hidden="1">{"page1",#N/A,FALSE,"260"}</definedName>
    <definedName name="wrn.page1._1_1_3" localSheetId="13" hidden="1">{"page1",#N/A,FALSE,"260"}</definedName>
    <definedName name="wrn.page1._1_1_3" localSheetId="25" hidden="1">{"page1",#N/A,FALSE,"260"}</definedName>
    <definedName name="wrn.page1._1_1_3" localSheetId="26" hidden="1">{"page1",#N/A,FALSE,"260"}</definedName>
    <definedName name="wrn.page1._1_1_3" localSheetId="3" hidden="1">{"page1",#N/A,FALSE,"260"}</definedName>
    <definedName name="wrn.page1._1_1_3" localSheetId="2" hidden="1">{"page1",#N/A,FALSE,"260"}</definedName>
    <definedName name="wrn.page1._1_1_3" hidden="1">{"page1",#N/A,FALSE,"260"}</definedName>
    <definedName name="wrn.page1._1_1_4" localSheetId="8" hidden="1">{"page1",#N/A,FALSE,"260"}</definedName>
    <definedName name="wrn.page1._1_1_4" localSheetId="14" hidden="1">{"page1",#N/A,FALSE,"260"}</definedName>
    <definedName name="wrn.page1._1_1_4" localSheetId="15" hidden="1">{"page1",#N/A,FALSE,"260"}</definedName>
    <definedName name="wrn.page1._1_1_4" localSheetId="13" hidden="1">{"page1",#N/A,FALSE,"260"}</definedName>
    <definedName name="wrn.page1._1_1_4" localSheetId="25" hidden="1">{"page1",#N/A,FALSE,"260"}</definedName>
    <definedName name="wrn.page1._1_1_4" localSheetId="26" hidden="1">{"page1",#N/A,FALSE,"260"}</definedName>
    <definedName name="wrn.page1._1_1_4" localSheetId="3" hidden="1">{"page1",#N/A,FALSE,"260"}</definedName>
    <definedName name="wrn.page1._1_1_4" localSheetId="2" hidden="1">{"page1",#N/A,FALSE,"260"}</definedName>
    <definedName name="wrn.page1._1_1_4" hidden="1">{"page1",#N/A,FALSE,"260"}</definedName>
    <definedName name="wrn.page1._1_1_5" localSheetId="8" hidden="1">{"page1",#N/A,FALSE,"260"}</definedName>
    <definedName name="wrn.page1._1_1_5" localSheetId="14" hidden="1">{"page1",#N/A,FALSE,"260"}</definedName>
    <definedName name="wrn.page1._1_1_5" localSheetId="15" hidden="1">{"page1",#N/A,FALSE,"260"}</definedName>
    <definedName name="wrn.page1._1_1_5" localSheetId="13" hidden="1">{"page1",#N/A,FALSE,"260"}</definedName>
    <definedName name="wrn.page1._1_1_5" localSheetId="25" hidden="1">{"page1",#N/A,FALSE,"260"}</definedName>
    <definedName name="wrn.page1._1_1_5" localSheetId="26" hidden="1">{"page1",#N/A,FALSE,"260"}</definedName>
    <definedName name="wrn.page1._1_1_5" localSheetId="3" hidden="1">{"page1",#N/A,FALSE,"260"}</definedName>
    <definedName name="wrn.page1._1_1_5" localSheetId="2" hidden="1">{"page1",#N/A,FALSE,"260"}</definedName>
    <definedName name="wrn.page1._1_1_5" hidden="1">{"page1",#N/A,FALSE,"260"}</definedName>
    <definedName name="wrn.page1._1_2" localSheetId="8" hidden="1">{"page1",#N/A,FALSE,"260"}</definedName>
    <definedName name="wrn.page1._1_2" localSheetId="14" hidden="1">{"page1",#N/A,FALSE,"260"}</definedName>
    <definedName name="wrn.page1._1_2" localSheetId="15" hidden="1">{"page1",#N/A,FALSE,"260"}</definedName>
    <definedName name="wrn.page1._1_2" localSheetId="13" hidden="1">{"page1",#N/A,FALSE,"260"}</definedName>
    <definedName name="wrn.page1._1_2" localSheetId="25" hidden="1">{"page1",#N/A,FALSE,"260"}</definedName>
    <definedName name="wrn.page1._1_2" localSheetId="26" hidden="1">{"page1",#N/A,FALSE,"260"}</definedName>
    <definedName name="wrn.page1._1_2" localSheetId="3" hidden="1">{"page1",#N/A,FALSE,"260"}</definedName>
    <definedName name="wrn.page1._1_2" localSheetId="2" hidden="1">{"page1",#N/A,FALSE,"260"}</definedName>
    <definedName name="wrn.page1._1_2" hidden="1">{"page1",#N/A,FALSE,"260"}</definedName>
    <definedName name="wrn.page1._1_2_1" localSheetId="8" hidden="1">{"page1",#N/A,FALSE,"260"}</definedName>
    <definedName name="wrn.page1._1_2_1" localSheetId="14" hidden="1">{"page1",#N/A,FALSE,"260"}</definedName>
    <definedName name="wrn.page1._1_2_1" localSheetId="15" hidden="1">{"page1",#N/A,FALSE,"260"}</definedName>
    <definedName name="wrn.page1._1_2_1" localSheetId="13" hidden="1">{"page1",#N/A,FALSE,"260"}</definedName>
    <definedName name="wrn.page1._1_2_1" localSheetId="25" hidden="1">{"page1",#N/A,FALSE,"260"}</definedName>
    <definedName name="wrn.page1._1_2_1" localSheetId="26" hidden="1">{"page1",#N/A,FALSE,"260"}</definedName>
    <definedName name="wrn.page1._1_2_1" localSheetId="3" hidden="1">{"page1",#N/A,FALSE,"260"}</definedName>
    <definedName name="wrn.page1._1_2_1" localSheetId="2" hidden="1">{"page1",#N/A,FALSE,"260"}</definedName>
    <definedName name="wrn.page1._1_2_1" hidden="1">{"page1",#N/A,FALSE,"260"}</definedName>
    <definedName name="wrn.page1._1_2_2" localSheetId="8" hidden="1">{"page1",#N/A,FALSE,"260"}</definedName>
    <definedName name="wrn.page1._1_2_2" localSheetId="14" hidden="1">{"page1",#N/A,FALSE,"260"}</definedName>
    <definedName name="wrn.page1._1_2_2" localSheetId="15" hidden="1">{"page1",#N/A,FALSE,"260"}</definedName>
    <definedName name="wrn.page1._1_2_2" localSheetId="13" hidden="1">{"page1",#N/A,FALSE,"260"}</definedName>
    <definedName name="wrn.page1._1_2_2" localSheetId="25" hidden="1">{"page1",#N/A,FALSE,"260"}</definedName>
    <definedName name="wrn.page1._1_2_2" localSheetId="26" hidden="1">{"page1",#N/A,FALSE,"260"}</definedName>
    <definedName name="wrn.page1._1_2_2" localSheetId="3" hidden="1">{"page1",#N/A,FALSE,"260"}</definedName>
    <definedName name="wrn.page1._1_2_2" localSheetId="2" hidden="1">{"page1",#N/A,FALSE,"260"}</definedName>
    <definedName name="wrn.page1._1_2_2" hidden="1">{"page1",#N/A,FALSE,"260"}</definedName>
    <definedName name="wrn.page1._1_2_3" localSheetId="8" hidden="1">{"page1",#N/A,FALSE,"260"}</definedName>
    <definedName name="wrn.page1._1_2_3" localSheetId="14" hidden="1">{"page1",#N/A,FALSE,"260"}</definedName>
    <definedName name="wrn.page1._1_2_3" localSheetId="15" hidden="1">{"page1",#N/A,FALSE,"260"}</definedName>
    <definedName name="wrn.page1._1_2_3" localSheetId="13" hidden="1">{"page1",#N/A,FALSE,"260"}</definedName>
    <definedName name="wrn.page1._1_2_3" localSheetId="25" hidden="1">{"page1",#N/A,FALSE,"260"}</definedName>
    <definedName name="wrn.page1._1_2_3" localSheetId="26" hidden="1">{"page1",#N/A,FALSE,"260"}</definedName>
    <definedName name="wrn.page1._1_2_3" localSheetId="3" hidden="1">{"page1",#N/A,FALSE,"260"}</definedName>
    <definedName name="wrn.page1._1_2_3" localSheetId="2" hidden="1">{"page1",#N/A,FALSE,"260"}</definedName>
    <definedName name="wrn.page1._1_2_3" hidden="1">{"page1",#N/A,FALSE,"260"}</definedName>
    <definedName name="wrn.page1._1_2_4" localSheetId="8" hidden="1">{"page1",#N/A,FALSE,"260"}</definedName>
    <definedName name="wrn.page1._1_2_4" localSheetId="14" hidden="1">{"page1",#N/A,FALSE,"260"}</definedName>
    <definedName name="wrn.page1._1_2_4" localSheetId="15" hidden="1">{"page1",#N/A,FALSE,"260"}</definedName>
    <definedName name="wrn.page1._1_2_4" localSheetId="13" hidden="1">{"page1",#N/A,FALSE,"260"}</definedName>
    <definedName name="wrn.page1._1_2_4" localSheetId="25" hidden="1">{"page1",#N/A,FALSE,"260"}</definedName>
    <definedName name="wrn.page1._1_2_4" localSheetId="26" hidden="1">{"page1",#N/A,FALSE,"260"}</definedName>
    <definedName name="wrn.page1._1_2_4" localSheetId="3" hidden="1">{"page1",#N/A,FALSE,"260"}</definedName>
    <definedName name="wrn.page1._1_2_4" localSheetId="2" hidden="1">{"page1",#N/A,FALSE,"260"}</definedName>
    <definedName name="wrn.page1._1_2_4" hidden="1">{"page1",#N/A,FALSE,"260"}</definedName>
    <definedName name="wrn.page1._1_2_5" localSheetId="8" hidden="1">{"page1",#N/A,FALSE,"260"}</definedName>
    <definedName name="wrn.page1._1_2_5" localSheetId="14" hidden="1">{"page1",#N/A,FALSE,"260"}</definedName>
    <definedName name="wrn.page1._1_2_5" localSheetId="15" hidden="1">{"page1",#N/A,FALSE,"260"}</definedName>
    <definedName name="wrn.page1._1_2_5" localSheetId="13" hidden="1">{"page1",#N/A,FALSE,"260"}</definedName>
    <definedName name="wrn.page1._1_2_5" localSheetId="25" hidden="1">{"page1",#N/A,FALSE,"260"}</definedName>
    <definedName name="wrn.page1._1_2_5" localSheetId="26" hidden="1">{"page1",#N/A,FALSE,"260"}</definedName>
    <definedName name="wrn.page1._1_2_5" localSheetId="3" hidden="1">{"page1",#N/A,FALSE,"260"}</definedName>
    <definedName name="wrn.page1._1_2_5" localSheetId="2" hidden="1">{"page1",#N/A,FALSE,"260"}</definedName>
    <definedName name="wrn.page1._1_2_5" hidden="1">{"page1",#N/A,FALSE,"260"}</definedName>
    <definedName name="wrn.page1._1_3" localSheetId="8" hidden="1">{"page1",#N/A,FALSE,"260"}</definedName>
    <definedName name="wrn.page1._1_3" localSheetId="14" hidden="1">{"page1",#N/A,FALSE,"260"}</definedName>
    <definedName name="wrn.page1._1_3" localSheetId="15" hidden="1">{"page1",#N/A,FALSE,"260"}</definedName>
    <definedName name="wrn.page1._1_3" localSheetId="13" hidden="1">{"page1",#N/A,FALSE,"260"}</definedName>
    <definedName name="wrn.page1._1_3" localSheetId="25" hidden="1">{"page1",#N/A,FALSE,"260"}</definedName>
    <definedName name="wrn.page1._1_3" localSheetId="26" hidden="1">{"page1",#N/A,FALSE,"260"}</definedName>
    <definedName name="wrn.page1._1_3" localSheetId="3" hidden="1">{"page1",#N/A,FALSE,"260"}</definedName>
    <definedName name="wrn.page1._1_3" localSheetId="2" hidden="1">{"page1",#N/A,FALSE,"260"}</definedName>
    <definedName name="wrn.page1._1_3" hidden="1">{"page1",#N/A,FALSE,"260"}</definedName>
    <definedName name="wrn.page1._1_3_1" localSheetId="8" hidden="1">{"page1",#N/A,FALSE,"260"}</definedName>
    <definedName name="wrn.page1._1_3_1" localSheetId="14" hidden="1">{"page1",#N/A,FALSE,"260"}</definedName>
    <definedName name="wrn.page1._1_3_1" localSheetId="15" hidden="1">{"page1",#N/A,FALSE,"260"}</definedName>
    <definedName name="wrn.page1._1_3_1" localSheetId="13" hidden="1">{"page1",#N/A,FALSE,"260"}</definedName>
    <definedName name="wrn.page1._1_3_1" localSheetId="25" hidden="1">{"page1",#N/A,FALSE,"260"}</definedName>
    <definedName name="wrn.page1._1_3_1" localSheetId="26" hidden="1">{"page1",#N/A,FALSE,"260"}</definedName>
    <definedName name="wrn.page1._1_3_1" localSheetId="3" hidden="1">{"page1",#N/A,FALSE,"260"}</definedName>
    <definedName name="wrn.page1._1_3_1" localSheetId="2" hidden="1">{"page1",#N/A,FALSE,"260"}</definedName>
    <definedName name="wrn.page1._1_3_1" hidden="1">{"page1",#N/A,FALSE,"260"}</definedName>
    <definedName name="wrn.page1._1_3_2" localSheetId="8" hidden="1">{"page1",#N/A,FALSE,"260"}</definedName>
    <definedName name="wrn.page1._1_3_2" localSheetId="14" hidden="1">{"page1",#N/A,FALSE,"260"}</definedName>
    <definedName name="wrn.page1._1_3_2" localSheetId="15" hidden="1">{"page1",#N/A,FALSE,"260"}</definedName>
    <definedName name="wrn.page1._1_3_2" localSheetId="13" hidden="1">{"page1",#N/A,FALSE,"260"}</definedName>
    <definedName name="wrn.page1._1_3_2" localSheetId="25" hidden="1">{"page1",#N/A,FALSE,"260"}</definedName>
    <definedName name="wrn.page1._1_3_2" localSheetId="26" hidden="1">{"page1",#N/A,FALSE,"260"}</definedName>
    <definedName name="wrn.page1._1_3_2" localSheetId="3" hidden="1">{"page1",#N/A,FALSE,"260"}</definedName>
    <definedName name="wrn.page1._1_3_2" localSheetId="2" hidden="1">{"page1",#N/A,FALSE,"260"}</definedName>
    <definedName name="wrn.page1._1_3_2" hidden="1">{"page1",#N/A,FALSE,"260"}</definedName>
    <definedName name="wrn.page1._1_3_3" localSheetId="8" hidden="1">{"page1",#N/A,FALSE,"260"}</definedName>
    <definedName name="wrn.page1._1_3_3" localSheetId="14" hidden="1">{"page1",#N/A,FALSE,"260"}</definedName>
    <definedName name="wrn.page1._1_3_3" localSheetId="15" hidden="1">{"page1",#N/A,FALSE,"260"}</definedName>
    <definedName name="wrn.page1._1_3_3" localSheetId="13" hidden="1">{"page1",#N/A,FALSE,"260"}</definedName>
    <definedName name="wrn.page1._1_3_3" localSheetId="25" hidden="1">{"page1",#N/A,FALSE,"260"}</definedName>
    <definedName name="wrn.page1._1_3_3" localSheetId="26" hidden="1">{"page1",#N/A,FALSE,"260"}</definedName>
    <definedName name="wrn.page1._1_3_3" localSheetId="3" hidden="1">{"page1",#N/A,FALSE,"260"}</definedName>
    <definedName name="wrn.page1._1_3_3" localSheetId="2" hidden="1">{"page1",#N/A,FALSE,"260"}</definedName>
    <definedName name="wrn.page1._1_3_3" hidden="1">{"page1",#N/A,FALSE,"260"}</definedName>
    <definedName name="wrn.page1._1_3_4" localSheetId="8" hidden="1">{"page1",#N/A,FALSE,"260"}</definedName>
    <definedName name="wrn.page1._1_3_4" localSheetId="14" hidden="1">{"page1",#N/A,FALSE,"260"}</definedName>
    <definedName name="wrn.page1._1_3_4" localSheetId="15" hidden="1">{"page1",#N/A,FALSE,"260"}</definedName>
    <definedName name="wrn.page1._1_3_4" localSheetId="13" hidden="1">{"page1",#N/A,FALSE,"260"}</definedName>
    <definedName name="wrn.page1._1_3_4" localSheetId="25" hidden="1">{"page1",#N/A,FALSE,"260"}</definedName>
    <definedName name="wrn.page1._1_3_4" localSheetId="26" hidden="1">{"page1",#N/A,FALSE,"260"}</definedName>
    <definedName name="wrn.page1._1_3_4" localSheetId="3" hidden="1">{"page1",#N/A,FALSE,"260"}</definedName>
    <definedName name="wrn.page1._1_3_4" localSheetId="2" hidden="1">{"page1",#N/A,FALSE,"260"}</definedName>
    <definedName name="wrn.page1._1_3_4" hidden="1">{"page1",#N/A,FALSE,"260"}</definedName>
    <definedName name="wrn.page1._1_3_5" localSheetId="8" hidden="1">{"page1",#N/A,FALSE,"260"}</definedName>
    <definedName name="wrn.page1._1_3_5" localSheetId="14" hidden="1">{"page1",#N/A,FALSE,"260"}</definedName>
    <definedName name="wrn.page1._1_3_5" localSheetId="15" hidden="1">{"page1",#N/A,FALSE,"260"}</definedName>
    <definedName name="wrn.page1._1_3_5" localSheetId="13" hidden="1">{"page1",#N/A,FALSE,"260"}</definedName>
    <definedName name="wrn.page1._1_3_5" localSheetId="25" hidden="1">{"page1",#N/A,FALSE,"260"}</definedName>
    <definedName name="wrn.page1._1_3_5" localSheetId="26" hidden="1">{"page1",#N/A,FALSE,"260"}</definedName>
    <definedName name="wrn.page1._1_3_5" localSheetId="3" hidden="1">{"page1",#N/A,FALSE,"260"}</definedName>
    <definedName name="wrn.page1._1_3_5" localSheetId="2" hidden="1">{"page1",#N/A,FALSE,"260"}</definedName>
    <definedName name="wrn.page1._1_3_5" hidden="1">{"page1",#N/A,FALSE,"260"}</definedName>
    <definedName name="wrn.page1._1_4" localSheetId="8" hidden="1">{"page1",#N/A,FALSE,"260"}</definedName>
    <definedName name="wrn.page1._1_4" localSheetId="14" hidden="1">{"page1",#N/A,FALSE,"260"}</definedName>
    <definedName name="wrn.page1._1_4" localSheetId="15" hidden="1">{"page1",#N/A,FALSE,"260"}</definedName>
    <definedName name="wrn.page1._1_4" localSheetId="13" hidden="1">{"page1",#N/A,FALSE,"260"}</definedName>
    <definedName name="wrn.page1._1_4" localSheetId="25" hidden="1">{"page1",#N/A,FALSE,"260"}</definedName>
    <definedName name="wrn.page1._1_4" localSheetId="26" hidden="1">{"page1",#N/A,FALSE,"260"}</definedName>
    <definedName name="wrn.page1._1_4" localSheetId="3" hidden="1">{"page1",#N/A,FALSE,"260"}</definedName>
    <definedName name="wrn.page1._1_4" localSheetId="2" hidden="1">{"page1",#N/A,FALSE,"260"}</definedName>
    <definedName name="wrn.page1._1_4" hidden="1">{"page1",#N/A,FALSE,"260"}</definedName>
    <definedName name="wrn.page1._1_4_1" localSheetId="8" hidden="1">{"page1",#N/A,FALSE,"260"}</definedName>
    <definedName name="wrn.page1._1_4_1" localSheetId="14" hidden="1">{"page1",#N/A,FALSE,"260"}</definedName>
    <definedName name="wrn.page1._1_4_1" localSheetId="15" hidden="1">{"page1",#N/A,FALSE,"260"}</definedName>
    <definedName name="wrn.page1._1_4_1" localSheetId="13" hidden="1">{"page1",#N/A,FALSE,"260"}</definedName>
    <definedName name="wrn.page1._1_4_1" localSheetId="25" hidden="1">{"page1",#N/A,FALSE,"260"}</definedName>
    <definedName name="wrn.page1._1_4_1" localSheetId="26" hidden="1">{"page1",#N/A,FALSE,"260"}</definedName>
    <definedName name="wrn.page1._1_4_1" localSheetId="3" hidden="1">{"page1",#N/A,FALSE,"260"}</definedName>
    <definedName name="wrn.page1._1_4_1" localSheetId="2" hidden="1">{"page1",#N/A,FALSE,"260"}</definedName>
    <definedName name="wrn.page1._1_4_1" hidden="1">{"page1",#N/A,FALSE,"260"}</definedName>
    <definedName name="wrn.page1._1_4_2" localSheetId="8" hidden="1">{"page1",#N/A,FALSE,"260"}</definedName>
    <definedName name="wrn.page1._1_4_2" localSheetId="14" hidden="1">{"page1",#N/A,FALSE,"260"}</definedName>
    <definedName name="wrn.page1._1_4_2" localSheetId="15" hidden="1">{"page1",#N/A,FALSE,"260"}</definedName>
    <definedName name="wrn.page1._1_4_2" localSheetId="13" hidden="1">{"page1",#N/A,FALSE,"260"}</definedName>
    <definedName name="wrn.page1._1_4_2" localSheetId="25" hidden="1">{"page1",#N/A,FALSE,"260"}</definedName>
    <definedName name="wrn.page1._1_4_2" localSheetId="26" hidden="1">{"page1",#N/A,FALSE,"260"}</definedName>
    <definedName name="wrn.page1._1_4_2" localSheetId="3" hidden="1">{"page1",#N/A,FALSE,"260"}</definedName>
    <definedName name="wrn.page1._1_4_2" localSheetId="2" hidden="1">{"page1",#N/A,FALSE,"260"}</definedName>
    <definedName name="wrn.page1._1_4_2" hidden="1">{"page1",#N/A,FALSE,"260"}</definedName>
    <definedName name="wrn.page1._1_4_3" localSheetId="8" hidden="1">{"page1",#N/A,FALSE,"260"}</definedName>
    <definedName name="wrn.page1._1_4_3" localSheetId="14" hidden="1">{"page1",#N/A,FALSE,"260"}</definedName>
    <definedName name="wrn.page1._1_4_3" localSheetId="15" hidden="1">{"page1",#N/A,FALSE,"260"}</definedName>
    <definedName name="wrn.page1._1_4_3" localSheetId="13" hidden="1">{"page1",#N/A,FALSE,"260"}</definedName>
    <definedName name="wrn.page1._1_4_3" localSheetId="25" hidden="1">{"page1",#N/A,FALSE,"260"}</definedName>
    <definedName name="wrn.page1._1_4_3" localSheetId="26" hidden="1">{"page1",#N/A,FALSE,"260"}</definedName>
    <definedName name="wrn.page1._1_4_3" localSheetId="3" hidden="1">{"page1",#N/A,FALSE,"260"}</definedName>
    <definedName name="wrn.page1._1_4_3" localSheetId="2" hidden="1">{"page1",#N/A,FALSE,"260"}</definedName>
    <definedName name="wrn.page1._1_4_3" hidden="1">{"page1",#N/A,FALSE,"260"}</definedName>
    <definedName name="wrn.page1._1_4_4" localSheetId="8" hidden="1">{"page1",#N/A,FALSE,"260"}</definedName>
    <definedName name="wrn.page1._1_4_4" localSheetId="14" hidden="1">{"page1",#N/A,FALSE,"260"}</definedName>
    <definedName name="wrn.page1._1_4_4" localSheetId="15" hidden="1">{"page1",#N/A,FALSE,"260"}</definedName>
    <definedName name="wrn.page1._1_4_4" localSheetId="13" hidden="1">{"page1",#N/A,FALSE,"260"}</definedName>
    <definedName name="wrn.page1._1_4_4" localSheetId="25" hidden="1">{"page1",#N/A,FALSE,"260"}</definedName>
    <definedName name="wrn.page1._1_4_4" localSheetId="26" hidden="1">{"page1",#N/A,FALSE,"260"}</definedName>
    <definedName name="wrn.page1._1_4_4" localSheetId="3" hidden="1">{"page1",#N/A,FALSE,"260"}</definedName>
    <definedName name="wrn.page1._1_4_4" localSheetId="2" hidden="1">{"page1",#N/A,FALSE,"260"}</definedName>
    <definedName name="wrn.page1._1_4_4" hidden="1">{"page1",#N/A,FALSE,"260"}</definedName>
    <definedName name="wrn.page1._1_4_5" localSheetId="8" hidden="1">{"page1",#N/A,FALSE,"260"}</definedName>
    <definedName name="wrn.page1._1_4_5" localSheetId="14" hidden="1">{"page1",#N/A,FALSE,"260"}</definedName>
    <definedName name="wrn.page1._1_4_5" localSheetId="15" hidden="1">{"page1",#N/A,FALSE,"260"}</definedName>
    <definedName name="wrn.page1._1_4_5" localSheetId="13" hidden="1">{"page1",#N/A,FALSE,"260"}</definedName>
    <definedName name="wrn.page1._1_4_5" localSheetId="25" hidden="1">{"page1",#N/A,FALSE,"260"}</definedName>
    <definedName name="wrn.page1._1_4_5" localSheetId="26" hidden="1">{"page1",#N/A,FALSE,"260"}</definedName>
    <definedName name="wrn.page1._1_4_5" localSheetId="3" hidden="1">{"page1",#N/A,FALSE,"260"}</definedName>
    <definedName name="wrn.page1._1_4_5" localSheetId="2" hidden="1">{"page1",#N/A,FALSE,"260"}</definedName>
    <definedName name="wrn.page1._1_4_5" hidden="1">{"page1",#N/A,FALSE,"260"}</definedName>
    <definedName name="wrn.page1._1_5" localSheetId="8" hidden="1">{"page1",#N/A,FALSE,"260"}</definedName>
    <definedName name="wrn.page1._1_5" localSheetId="14" hidden="1">{"page1",#N/A,FALSE,"260"}</definedName>
    <definedName name="wrn.page1._1_5" localSheetId="15" hidden="1">{"page1",#N/A,FALSE,"260"}</definedName>
    <definedName name="wrn.page1._1_5" localSheetId="13" hidden="1">{"page1",#N/A,FALSE,"260"}</definedName>
    <definedName name="wrn.page1._1_5" localSheetId="25" hidden="1">{"page1",#N/A,FALSE,"260"}</definedName>
    <definedName name="wrn.page1._1_5" localSheetId="26" hidden="1">{"page1",#N/A,FALSE,"260"}</definedName>
    <definedName name="wrn.page1._1_5" localSheetId="3" hidden="1">{"page1",#N/A,FALSE,"260"}</definedName>
    <definedName name="wrn.page1._1_5" localSheetId="2" hidden="1">{"page1",#N/A,FALSE,"260"}</definedName>
    <definedName name="wrn.page1._1_5" hidden="1">{"page1",#N/A,FALSE,"260"}</definedName>
    <definedName name="wrn.page1._1_5_1" localSheetId="8" hidden="1">{"page1",#N/A,FALSE,"260"}</definedName>
    <definedName name="wrn.page1._1_5_1" localSheetId="14" hidden="1">{"page1",#N/A,FALSE,"260"}</definedName>
    <definedName name="wrn.page1._1_5_1" localSheetId="15" hidden="1">{"page1",#N/A,FALSE,"260"}</definedName>
    <definedName name="wrn.page1._1_5_1" localSheetId="13" hidden="1">{"page1",#N/A,FALSE,"260"}</definedName>
    <definedName name="wrn.page1._1_5_1" localSheetId="25" hidden="1">{"page1",#N/A,FALSE,"260"}</definedName>
    <definedName name="wrn.page1._1_5_1" localSheetId="26" hidden="1">{"page1",#N/A,FALSE,"260"}</definedName>
    <definedName name="wrn.page1._1_5_1" localSheetId="3" hidden="1">{"page1",#N/A,FALSE,"260"}</definedName>
    <definedName name="wrn.page1._1_5_1" localSheetId="2" hidden="1">{"page1",#N/A,FALSE,"260"}</definedName>
    <definedName name="wrn.page1._1_5_1" hidden="1">{"page1",#N/A,FALSE,"260"}</definedName>
    <definedName name="wrn.page1._1_5_2" localSheetId="8" hidden="1">{"page1",#N/A,FALSE,"260"}</definedName>
    <definedName name="wrn.page1._1_5_2" localSheetId="14" hidden="1">{"page1",#N/A,FALSE,"260"}</definedName>
    <definedName name="wrn.page1._1_5_2" localSheetId="15" hidden="1">{"page1",#N/A,FALSE,"260"}</definedName>
    <definedName name="wrn.page1._1_5_2" localSheetId="13" hidden="1">{"page1",#N/A,FALSE,"260"}</definedName>
    <definedName name="wrn.page1._1_5_2" localSheetId="25" hidden="1">{"page1",#N/A,FALSE,"260"}</definedName>
    <definedName name="wrn.page1._1_5_2" localSheetId="26" hidden="1">{"page1",#N/A,FALSE,"260"}</definedName>
    <definedName name="wrn.page1._1_5_2" localSheetId="3" hidden="1">{"page1",#N/A,FALSE,"260"}</definedName>
    <definedName name="wrn.page1._1_5_2" localSheetId="2" hidden="1">{"page1",#N/A,FALSE,"260"}</definedName>
    <definedName name="wrn.page1._1_5_2" hidden="1">{"page1",#N/A,FALSE,"260"}</definedName>
    <definedName name="wrn.page1._1_5_3" localSheetId="8" hidden="1">{"page1",#N/A,FALSE,"260"}</definedName>
    <definedName name="wrn.page1._1_5_3" localSheetId="14" hidden="1">{"page1",#N/A,FALSE,"260"}</definedName>
    <definedName name="wrn.page1._1_5_3" localSheetId="15" hidden="1">{"page1",#N/A,FALSE,"260"}</definedName>
    <definedName name="wrn.page1._1_5_3" localSheetId="13" hidden="1">{"page1",#N/A,FALSE,"260"}</definedName>
    <definedName name="wrn.page1._1_5_3" localSheetId="25" hidden="1">{"page1",#N/A,FALSE,"260"}</definedName>
    <definedName name="wrn.page1._1_5_3" localSheetId="26" hidden="1">{"page1",#N/A,FALSE,"260"}</definedName>
    <definedName name="wrn.page1._1_5_3" localSheetId="3" hidden="1">{"page1",#N/A,FALSE,"260"}</definedName>
    <definedName name="wrn.page1._1_5_3" localSheetId="2" hidden="1">{"page1",#N/A,FALSE,"260"}</definedName>
    <definedName name="wrn.page1._1_5_3" hidden="1">{"page1",#N/A,FALSE,"260"}</definedName>
    <definedName name="wrn.page1._1_5_4" localSheetId="8" hidden="1">{"page1",#N/A,FALSE,"260"}</definedName>
    <definedName name="wrn.page1._1_5_4" localSheetId="14" hidden="1">{"page1",#N/A,FALSE,"260"}</definedName>
    <definedName name="wrn.page1._1_5_4" localSheetId="15" hidden="1">{"page1",#N/A,FALSE,"260"}</definedName>
    <definedName name="wrn.page1._1_5_4" localSheetId="13" hidden="1">{"page1",#N/A,FALSE,"260"}</definedName>
    <definedName name="wrn.page1._1_5_4" localSheetId="25" hidden="1">{"page1",#N/A,FALSE,"260"}</definedName>
    <definedName name="wrn.page1._1_5_4" localSheetId="26" hidden="1">{"page1",#N/A,FALSE,"260"}</definedName>
    <definedName name="wrn.page1._1_5_4" localSheetId="3" hidden="1">{"page1",#N/A,FALSE,"260"}</definedName>
    <definedName name="wrn.page1._1_5_4" localSheetId="2" hidden="1">{"page1",#N/A,FALSE,"260"}</definedName>
    <definedName name="wrn.page1._1_5_4" hidden="1">{"page1",#N/A,FALSE,"260"}</definedName>
    <definedName name="wrn.page1._1_5_5" localSheetId="8" hidden="1">{"page1",#N/A,FALSE,"260"}</definedName>
    <definedName name="wrn.page1._1_5_5" localSheetId="14" hidden="1">{"page1",#N/A,FALSE,"260"}</definedName>
    <definedName name="wrn.page1._1_5_5" localSheetId="15" hidden="1">{"page1",#N/A,FALSE,"260"}</definedName>
    <definedName name="wrn.page1._1_5_5" localSheetId="13" hidden="1">{"page1",#N/A,FALSE,"260"}</definedName>
    <definedName name="wrn.page1._1_5_5" localSheetId="25" hidden="1">{"page1",#N/A,FALSE,"260"}</definedName>
    <definedName name="wrn.page1._1_5_5" localSheetId="26" hidden="1">{"page1",#N/A,FALSE,"260"}</definedName>
    <definedName name="wrn.page1._1_5_5" localSheetId="3" hidden="1">{"page1",#N/A,FALSE,"260"}</definedName>
    <definedName name="wrn.page1._1_5_5" localSheetId="2" hidden="1">{"page1",#N/A,FALSE,"260"}</definedName>
    <definedName name="wrn.page1._1_5_5" hidden="1">{"page1",#N/A,FALSE,"260"}</definedName>
    <definedName name="wrn.page1._2" localSheetId="8" hidden="1">{"page1",#N/A,FALSE,"260"}</definedName>
    <definedName name="wrn.page1._2" localSheetId="14" hidden="1">{"page1",#N/A,FALSE,"260"}</definedName>
    <definedName name="wrn.page1._2" localSheetId="15" hidden="1">{"page1",#N/A,FALSE,"260"}</definedName>
    <definedName name="wrn.page1._2" localSheetId="13" hidden="1">{"page1",#N/A,FALSE,"260"}</definedName>
    <definedName name="wrn.page1._2" localSheetId="25" hidden="1">{"page1",#N/A,FALSE,"260"}</definedName>
    <definedName name="wrn.page1._2" localSheetId="26" hidden="1">{"page1",#N/A,FALSE,"260"}</definedName>
    <definedName name="wrn.page1._2" localSheetId="3" hidden="1">{"page1",#N/A,FALSE,"260"}</definedName>
    <definedName name="wrn.page1._2" localSheetId="2" hidden="1">{"page1",#N/A,FALSE,"260"}</definedName>
    <definedName name="wrn.page1._2" hidden="1">{"page1",#N/A,FALSE,"260"}</definedName>
    <definedName name="wrn.page1._2_1" localSheetId="8" hidden="1">{"page1",#N/A,FALSE,"260"}</definedName>
    <definedName name="wrn.page1._2_1" localSheetId="14" hidden="1">{"page1",#N/A,FALSE,"260"}</definedName>
    <definedName name="wrn.page1._2_1" localSheetId="15" hidden="1">{"page1",#N/A,FALSE,"260"}</definedName>
    <definedName name="wrn.page1._2_1" localSheetId="13" hidden="1">{"page1",#N/A,FALSE,"260"}</definedName>
    <definedName name="wrn.page1._2_1" localSheetId="25" hidden="1">{"page1",#N/A,FALSE,"260"}</definedName>
    <definedName name="wrn.page1._2_1" localSheetId="26" hidden="1">{"page1",#N/A,FALSE,"260"}</definedName>
    <definedName name="wrn.page1._2_1" localSheetId="3" hidden="1">{"page1",#N/A,FALSE,"260"}</definedName>
    <definedName name="wrn.page1._2_1" localSheetId="2" hidden="1">{"page1",#N/A,FALSE,"260"}</definedName>
    <definedName name="wrn.page1._2_1" hidden="1">{"page1",#N/A,FALSE,"260"}</definedName>
    <definedName name="wrn.page1._2_1_1" localSheetId="8" hidden="1">{"page1",#N/A,FALSE,"260"}</definedName>
    <definedName name="wrn.page1._2_1_1" localSheetId="14" hidden="1">{"page1",#N/A,FALSE,"260"}</definedName>
    <definedName name="wrn.page1._2_1_1" localSheetId="15" hidden="1">{"page1",#N/A,FALSE,"260"}</definedName>
    <definedName name="wrn.page1._2_1_1" localSheetId="13" hidden="1">{"page1",#N/A,FALSE,"260"}</definedName>
    <definedName name="wrn.page1._2_1_1" localSheetId="25" hidden="1">{"page1",#N/A,FALSE,"260"}</definedName>
    <definedName name="wrn.page1._2_1_1" localSheetId="26" hidden="1">{"page1",#N/A,FALSE,"260"}</definedName>
    <definedName name="wrn.page1._2_1_1" localSheetId="3" hidden="1">{"page1",#N/A,FALSE,"260"}</definedName>
    <definedName name="wrn.page1._2_1_1" localSheetId="2" hidden="1">{"page1",#N/A,FALSE,"260"}</definedName>
    <definedName name="wrn.page1._2_1_1" hidden="1">{"page1",#N/A,FALSE,"260"}</definedName>
    <definedName name="wrn.page1._2_1_2" localSheetId="8" hidden="1">{"page1",#N/A,FALSE,"260"}</definedName>
    <definedName name="wrn.page1._2_1_2" localSheetId="14" hidden="1">{"page1",#N/A,FALSE,"260"}</definedName>
    <definedName name="wrn.page1._2_1_2" localSheetId="15" hidden="1">{"page1",#N/A,FALSE,"260"}</definedName>
    <definedName name="wrn.page1._2_1_2" localSheetId="13" hidden="1">{"page1",#N/A,FALSE,"260"}</definedName>
    <definedName name="wrn.page1._2_1_2" localSheetId="25" hidden="1">{"page1",#N/A,FALSE,"260"}</definedName>
    <definedName name="wrn.page1._2_1_2" localSheetId="26" hidden="1">{"page1",#N/A,FALSE,"260"}</definedName>
    <definedName name="wrn.page1._2_1_2" localSheetId="3" hidden="1">{"page1",#N/A,FALSE,"260"}</definedName>
    <definedName name="wrn.page1._2_1_2" localSheetId="2" hidden="1">{"page1",#N/A,FALSE,"260"}</definedName>
    <definedName name="wrn.page1._2_1_2" hidden="1">{"page1",#N/A,FALSE,"260"}</definedName>
    <definedName name="wrn.page1._2_1_3" localSheetId="8" hidden="1">{"page1",#N/A,FALSE,"260"}</definedName>
    <definedName name="wrn.page1._2_1_3" localSheetId="14" hidden="1">{"page1",#N/A,FALSE,"260"}</definedName>
    <definedName name="wrn.page1._2_1_3" localSheetId="15" hidden="1">{"page1",#N/A,FALSE,"260"}</definedName>
    <definedName name="wrn.page1._2_1_3" localSheetId="13" hidden="1">{"page1",#N/A,FALSE,"260"}</definedName>
    <definedName name="wrn.page1._2_1_3" localSheetId="25" hidden="1">{"page1",#N/A,FALSE,"260"}</definedName>
    <definedName name="wrn.page1._2_1_3" localSheetId="26" hidden="1">{"page1",#N/A,FALSE,"260"}</definedName>
    <definedName name="wrn.page1._2_1_3" localSheetId="3" hidden="1">{"page1",#N/A,FALSE,"260"}</definedName>
    <definedName name="wrn.page1._2_1_3" localSheetId="2" hidden="1">{"page1",#N/A,FALSE,"260"}</definedName>
    <definedName name="wrn.page1._2_1_3" hidden="1">{"page1",#N/A,FALSE,"260"}</definedName>
    <definedName name="wrn.page1._2_1_4" localSheetId="8" hidden="1">{"page1",#N/A,FALSE,"260"}</definedName>
    <definedName name="wrn.page1._2_1_4" localSheetId="14" hidden="1">{"page1",#N/A,FALSE,"260"}</definedName>
    <definedName name="wrn.page1._2_1_4" localSheetId="15" hidden="1">{"page1",#N/A,FALSE,"260"}</definedName>
    <definedName name="wrn.page1._2_1_4" localSheetId="13" hidden="1">{"page1",#N/A,FALSE,"260"}</definedName>
    <definedName name="wrn.page1._2_1_4" localSheetId="25" hidden="1">{"page1",#N/A,FALSE,"260"}</definedName>
    <definedName name="wrn.page1._2_1_4" localSheetId="26" hidden="1">{"page1",#N/A,FALSE,"260"}</definedName>
    <definedName name="wrn.page1._2_1_4" localSheetId="3" hidden="1">{"page1",#N/A,FALSE,"260"}</definedName>
    <definedName name="wrn.page1._2_1_4" localSheetId="2" hidden="1">{"page1",#N/A,FALSE,"260"}</definedName>
    <definedName name="wrn.page1._2_1_4" hidden="1">{"page1",#N/A,FALSE,"260"}</definedName>
    <definedName name="wrn.page1._2_1_5" localSheetId="8" hidden="1">{"page1",#N/A,FALSE,"260"}</definedName>
    <definedName name="wrn.page1._2_1_5" localSheetId="14" hidden="1">{"page1",#N/A,FALSE,"260"}</definedName>
    <definedName name="wrn.page1._2_1_5" localSheetId="15" hidden="1">{"page1",#N/A,FALSE,"260"}</definedName>
    <definedName name="wrn.page1._2_1_5" localSheetId="13" hidden="1">{"page1",#N/A,FALSE,"260"}</definedName>
    <definedName name="wrn.page1._2_1_5" localSheetId="25" hidden="1">{"page1",#N/A,FALSE,"260"}</definedName>
    <definedName name="wrn.page1._2_1_5" localSheetId="26" hidden="1">{"page1",#N/A,FALSE,"260"}</definedName>
    <definedName name="wrn.page1._2_1_5" localSheetId="3" hidden="1">{"page1",#N/A,FALSE,"260"}</definedName>
    <definedName name="wrn.page1._2_1_5" localSheetId="2" hidden="1">{"page1",#N/A,FALSE,"260"}</definedName>
    <definedName name="wrn.page1._2_1_5" hidden="1">{"page1",#N/A,FALSE,"260"}</definedName>
    <definedName name="wrn.page1._2_2" localSheetId="8" hidden="1">{"page1",#N/A,FALSE,"260"}</definedName>
    <definedName name="wrn.page1._2_2" localSheetId="14" hidden="1">{"page1",#N/A,FALSE,"260"}</definedName>
    <definedName name="wrn.page1._2_2" localSheetId="15" hidden="1">{"page1",#N/A,FALSE,"260"}</definedName>
    <definedName name="wrn.page1._2_2" localSheetId="13" hidden="1">{"page1",#N/A,FALSE,"260"}</definedName>
    <definedName name="wrn.page1._2_2" localSheetId="25" hidden="1">{"page1",#N/A,FALSE,"260"}</definedName>
    <definedName name="wrn.page1._2_2" localSheetId="26" hidden="1">{"page1",#N/A,FALSE,"260"}</definedName>
    <definedName name="wrn.page1._2_2" localSheetId="3" hidden="1">{"page1",#N/A,FALSE,"260"}</definedName>
    <definedName name="wrn.page1._2_2" localSheetId="2" hidden="1">{"page1",#N/A,FALSE,"260"}</definedName>
    <definedName name="wrn.page1._2_2" hidden="1">{"page1",#N/A,FALSE,"260"}</definedName>
    <definedName name="wrn.page1._2_2_1" localSheetId="8" hidden="1">{"page1",#N/A,FALSE,"260"}</definedName>
    <definedName name="wrn.page1._2_2_1" localSheetId="14" hidden="1">{"page1",#N/A,FALSE,"260"}</definedName>
    <definedName name="wrn.page1._2_2_1" localSheetId="15" hidden="1">{"page1",#N/A,FALSE,"260"}</definedName>
    <definedName name="wrn.page1._2_2_1" localSheetId="13" hidden="1">{"page1",#N/A,FALSE,"260"}</definedName>
    <definedName name="wrn.page1._2_2_1" localSheetId="25" hidden="1">{"page1",#N/A,FALSE,"260"}</definedName>
    <definedName name="wrn.page1._2_2_1" localSheetId="26" hidden="1">{"page1",#N/A,FALSE,"260"}</definedName>
    <definedName name="wrn.page1._2_2_1" localSheetId="3" hidden="1">{"page1",#N/A,FALSE,"260"}</definedName>
    <definedName name="wrn.page1._2_2_1" localSheetId="2" hidden="1">{"page1",#N/A,FALSE,"260"}</definedName>
    <definedName name="wrn.page1._2_2_1" hidden="1">{"page1",#N/A,FALSE,"260"}</definedName>
    <definedName name="wrn.page1._2_2_2" localSheetId="8" hidden="1">{"page1",#N/A,FALSE,"260"}</definedName>
    <definedName name="wrn.page1._2_2_2" localSheetId="14" hidden="1">{"page1",#N/A,FALSE,"260"}</definedName>
    <definedName name="wrn.page1._2_2_2" localSheetId="15" hidden="1">{"page1",#N/A,FALSE,"260"}</definedName>
    <definedName name="wrn.page1._2_2_2" localSheetId="13" hidden="1">{"page1",#N/A,FALSE,"260"}</definedName>
    <definedName name="wrn.page1._2_2_2" localSheetId="25" hidden="1">{"page1",#N/A,FALSE,"260"}</definedName>
    <definedName name="wrn.page1._2_2_2" localSheetId="26" hidden="1">{"page1",#N/A,FALSE,"260"}</definedName>
    <definedName name="wrn.page1._2_2_2" localSheetId="3" hidden="1">{"page1",#N/A,FALSE,"260"}</definedName>
    <definedName name="wrn.page1._2_2_2" localSheetId="2" hidden="1">{"page1",#N/A,FALSE,"260"}</definedName>
    <definedName name="wrn.page1._2_2_2" hidden="1">{"page1",#N/A,FALSE,"260"}</definedName>
    <definedName name="wrn.page1._2_2_3" localSheetId="8" hidden="1">{"page1",#N/A,FALSE,"260"}</definedName>
    <definedName name="wrn.page1._2_2_3" localSheetId="14" hidden="1">{"page1",#N/A,FALSE,"260"}</definedName>
    <definedName name="wrn.page1._2_2_3" localSheetId="15" hidden="1">{"page1",#N/A,FALSE,"260"}</definedName>
    <definedName name="wrn.page1._2_2_3" localSheetId="13" hidden="1">{"page1",#N/A,FALSE,"260"}</definedName>
    <definedName name="wrn.page1._2_2_3" localSheetId="25" hidden="1">{"page1",#N/A,FALSE,"260"}</definedName>
    <definedName name="wrn.page1._2_2_3" localSheetId="26" hidden="1">{"page1",#N/A,FALSE,"260"}</definedName>
    <definedName name="wrn.page1._2_2_3" localSheetId="3" hidden="1">{"page1",#N/A,FALSE,"260"}</definedName>
    <definedName name="wrn.page1._2_2_3" localSheetId="2" hidden="1">{"page1",#N/A,FALSE,"260"}</definedName>
    <definedName name="wrn.page1._2_2_3" hidden="1">{"page1",#N/A,FALSE,"260"}</definedName>
    <definedName name="wrn.page1._2_2_4" localSheetId="8" hidden="1">{"page1",#N/A,FALSE,"260"}</definedName>
    <definedName name="wrn.page1._2_2_4" localSheetId="14" hidden="1">{"page1",#N/A,FALSE,"260"}</definedName>
    <definedName name="wrn.page1._2_2_4" localSheetId="15" hidden="1">{"page1",#N/A,FALSE,"260"}</definedName>
    <definedName name="wrn.page1._2_2_4" localSheetId="13" hidden="1">{"page1",#N/A,FALSE,"260"}</definedName>
    <definedName name="wrn.page1._2_2_4" localSheetId="25" hidden="1">{"page1",#N/A,FALSE,"260"}</definedName>
    <definedName name="wrn.page1._2_2_4" localSheetId="26" hidden="1">{"page1",#N/A,FALSE,"260"}</definedName>
    <definedName name="wrn.page1._2_2_4" localSheetId="3" hidden="1">{"page1",#N/A,FALSE,"260"}</definedName>
    <definedName name="wrn.page1._2_2_4" localSheetId="2" hidden="1">{"page1",#N/A,FALSE,"260"}</definedName>
    <definedName name="wrn.page1._2_2_4" hidden="1">{"page1",#N/A,FALSE,"260"}</definedName>
    <definedName name="wrn.page1._2_2_5" localSheetId="8" hidden="1">{"page1",#N/A,FALSE,"260"}</definedName>
    <definedName name="wrn.page1._2_2_5" localSheetId="14" hidden="1">{"page1",#N/A,FALSE,"260"}</definedName>
    <definedName name="wrn.page1._2_2_5" localSheetId="15" hidden="1">{"page1",#N/A,FALSE,"260"}</definedName>
    <definedName name="wrn.page1._2_2_5" localSheetId="13" hidden="1">{"page1",#N/A,FALSE,"260"}</definedName>
    <definedName name="wrn.page1._2_2_5" localSheetId="25" hidden="1">{"page1",#N/A,FALSE,"260"}</definedName>
    <definedName name="wrn.page1._2_2_5" localSheetId="26" hidden="1">{"page1",#N/A,FALSE,"260"}</definedName>
    <definedName name="wrn.page1._2_2_5" localSheetId="3" hidden="1">{"page1",#N/A,FALSE,"260"}</definedName>
    <definedName name="wrn.page1._2_2_5" localSheetId="2" hidden="1">{"page1",#N/A,FALSE,"260"}</definedName>
    <definedName name="wrn.page1._2_2_5" hidden="1">{"page1",#N/A,FALSE,"260"}</definedName>
    <definedName name="wrn.page1._2_3" localSheetId="8" hidden="1">{"page1",#N/A,FALSE,"260"}</definedName>
    <definedName name="wrn.page1._2_3" localSheetId="14" hidden="1">{"page1",#N/A,FALSE,"260"}</definedName>
    <definedName name="wrn.page1._2_3" localSheetId="15" hidden="1">{"page1",#N/A,FALSE,"260"}</definedName>
    <definedName name="wrn.page1._2_3" localSheetId="13" hidden="1">{"page1",#N/A,FALSE,"260"}</definedName>
    <definedName name="wrn.page1._2_3" localSheetId="25" hidden="1">{"page1",#N/A,FALSE,"260"}</definedName>
    <definedName name="wrn.page1._2_3" localSheetId="26" hidden="1">{"page1",#N/A,FALSE,"260"}</definedName>
    <definedName name="wrn.page1._2_3" localSheetId="3" hidden="1">{"page1",#N/A,FALSE,"260"}</definedName>
    <definedName name="wrn.page1._2_3" localSheetId="2" hidden="1">{"page1",#N/A,FALSE,"260"}</definedName>
    <definedName name="wrn.page1._2_3" hidden="1">{"page1",#N/A,FALSE,"260"}</definedName>
    <definedName name="wrn.page1._2_3_1" localSheetId="8" hidden="1">{"page1",#N/A,FALSE,"260"}</definedName>
    <definedName name="wrn.page1._2_3_1" localSheetId="14" hidden="1">{"page1",#N/A,FALSE,"260"}</definedName>
    <definedName name="wrn.page1._2_3_1" localSheetId="15" hidden="1">{"page1",#N/A,FALSE,"260"}</definedName>
    <definedName name="wrn.page1._2_3_1" localSheetId="13" hidden="1">{"page1",#N/A,FALSE,"260"}</definedName>
    <definedName name="wrn.page1._2_3_1" localSheetId="25" hidden="1">{"page1",#N/A,FALSE,"260"}</definedName>
    <definedName name="wrn.page1._2_3_1" localSheetId="26" hidden="1">{"page1",#N/A,FALSE,"260"}</definedName>
    <definedName name="wrn.page1._2_3_1" localSheetId="3" hidden="1">{"page1",#N/A,FALSE,"260"}</definedName>
    <definedName name="wrn.page1._2_3_1" localSheetId="2" hidden="1">{"page1",#N/A,FALSE,"260"}</definedName>
    <definedName name="wrn.page1._2_3_1" hidden="1">{"page1",#N/A,FALSE,"260"}</definedName>
    <definedName name="wrn.page1._2_3_2" localSheetId="8" hidden="1">{"page1",#N/A,FALSE,"260"}</definedName>
    <definedName name="wrn.page1._2_3_2" localSheetId="14" hidden="1">{"page1",#N/A,FALSE,"260"}</definedName>
    <definedName name="wrn.page1._2_3_2" localSheetId="15" hidden="1">{"page1",#N/A,FALSE,"260"}</definedName>
    <definedName name="wrn.page1._2_3_2" localSheetId="13" hidden="1">{"page1",#N/A,FALSE,"260"}</definedName>
    <definedName name="wrn.page1._2_3_2" localSheetId="25" hidden="1">{"page1",#N/A,FALSE,"260"}</definedName>
    <definedName name="wrn.page1._2_3_2" localSheetId="26" hidden="1">{"page1",#N/A,FALSE,"260"}</definedName>
    <definedName name="wrn.page1._2_3_2" localSheetId="3" hidden="1">{"page1",#N/A,FALSE,"260"}</definedName>
    <definedName name="wrn.page1._2_3_2" localSheetId="2" hidden="1">{"page1",#N/A,FALSE,"260"}</definedName>
    <definedName name="wrn.page1._2_3_2" hidden="1">{"page1",#N/A,FALSE,"260"}</definedName>
    <definedName name="wrn.page1._2_3_3" localSheetId="8" hidden="1">{"page1",#N/A,FALSE,"260"}</definedName>
    <definedName name="wrn.page1._2_3_3" localSheetId="14" hidden="1">{"page1",#N/A,FALSE,"260"}</definedName>
    <definedName name="wrn.page1._2_3_3" localSheetId="15" hidden="1">{"page1",#N/A,FALSE,"260"}</definedName>
    <definedName name="wrn.page1._2_3_3" localSheetId="13" hidden="1">{"page1",#N/A,FALSE,"260"}</definedName>
    <definedName name="wrn.page1._2_3_3" localSheetId="25" hidden="1">{"page1",#N/A,FALSE,"260"}</definedName>
    <definedName name="wrn.page1._2_3_3" localSheetId="26" hidden="1">{"page1",#N/A,FALSE,"260"}</definedName>
    <definedName name="wrn.page1._2_3_3" localSheetId="3" hidden="1">{"page1",#N/A,FALSE,"260"}</definedName>
    <definedName name="wrn.page1._2_3_3" localSheetId="2" hidden="1">{"page1",#N/A,FALSE,"260"}</definedName>
    <definedName name="wrn.page1._2_3_3" hidden="1">{"page1",#N/A,FALSE,"260"}</definedName>
    <definedName name="wrn.page1._2_3_4" localSheetId="8" hidden="1">{"page1",#N/A,FALSE,"260"}</definedName>
    <definedName name="wrn.page1._2_3_4" localSheetId="14" hidden="1">{"page1",#N/A,FALSE,"260"}</definedName>
    <definedName name="wrn.page1._2_3_4" localSheetId="15" hidden="1">{"page1",#N/A,FALSE,"260"}</definedName>
    <definedName name="wrn.page1._2_3_4" localSheetId="13" hidden="1">{"page1",#N/A,FALSE,"260"}</definedName>
    <definedName name="wrn.page1._2_3_4" localSheetId="25" hidden="1">{"page1",#N/A,FALSE,"260"}</definedName>
    <definedName name="wrn.page1._2_3_4" localSheetId="26" hidden="1">{"page1",#N/A,FALSE,"260"}</definedName>
    <definedName name="wrn.page1._2_3_4" localSheetId="3" hidden="1">{"page1",#N/A,FALSE,"260"}</definedName>
    <definedName name="wrn.page1._2_3_4" localSheetId="2" hidden="1">{"page1",#N/A,FALSE,"260"}</definedName>
    <definedName name="wrn.page1._2_3_4" hidden="1">{"page1",#N/A,FALSE,"260"}</definedName>
    <definedName name="wrn.page1._2_3_5" localSheetId="8" hidden="1">{"page1",#N/A,FALSE,"260"}</definedName>
    <definedName name="wrn.page1._2_3_5" localSheetId="14" hidden="1">{"page1",#N/A,FALSE,"260"}</definedName>
    <definedName name="wrn.page1._2_3_5" localSheetId="15" hidden="1">{"page1",#N/A,FALSE,"260"}</definedName>
    <definedName name="wrn.page1._2_3_5" localSheetId="13" hidden="1">{"page1",#N/A,FALSE,"260"}</definedName>
    <definedName name="wrn.page1._2_3_5" localSheetId="25" hidden="1">{"page1",#N/A,FALSE,"260"}</definedName>
    <definedName name="wrn.page1._2_3_5" localSheetId="26" hidden="1">{"page1",#N/A,FALSE,"260"}</definedName>
    <definedName name="wrn.page1._2_3_5" localSheetId="3" hidden="1">{"page1",#N/A,FALSE,"260"}</definedName>
    <definedName name="wrn.page1._2_3_5" localSheetId="2" hidden="1">{"page1",#N/A,FALSE,"260"}</definedName>
    <definedName name="wrn.page1._2_3_5" hidden="1">{"page1",#N/A,FALSE,"260"}</definedName>
    <definedName name="wrn.page1._2_4" localSheetId="8" hidden="1">{"page1",#N/A,FALSE,"260"}</definedName>
    <definedName name="wrn.page1._2_4" localSheetId="14" hidden="1">{"page1",#N/A,FALSE,"260"}</definedName>
    <definedName name="wrn.page1._2_4" localSheetId="15" hidden="1">{"page1",#N/A,FALSE,"260"}</definedName>
    <definedName name="wrn.page1._2_4" localSheetId="13" hidden="1">{"page1",#N/A,FALSE,"260"}</definedName>
    <definedName name="wrn.page1._2_4" localSheetId="25" hidden="1">{"page1",#N/A,FALSE,"260"}</definedName>
    <definedName name="wrn.page1._2_4" localSheetId="26" hidden="1">{"page1",#N/A,FALSE,"260"}</definedName>
    <definedName name="wrn.page1._2_4" localSheetId="3" hidden="1">{"page1",#N/A,FALSE,"260"}</definedName>
    <definedName name="wrn.page1._2_4" localSheetId="2" hidden="1">{"page1",#N/A,FALSE,"260"}</definedName>
    <definedName name="wrn.page1._2_4" hidden="1">{"page1",#N/A,FALSE,"260"}</definedName>
    <definedName name="wrn.page1._2_4_1" localSheetId="8" hidden="1">{"page1",#N/A,FALSE,"260"}</definedName>
    <definedName name="wrn.page1._2_4_1" localSheetId="14" hidden="1">{"page1",#N/A,FALSE,"260"}</definedName>
    <definedName name="wrn.page1._2_4_1" localSheetId="15" hidden="1">{"page1",#N/A,FALSE,"260"}</definedName>
    <definedName name="wrn.page1._2_4_1" localSheetId="13" hidden="1">{"page1",#N/A,FALSE,"260"}</definedName>
    <definedName name="wrn.page1._2_4_1" localSheetId="25" hidden="1">{"page1",#N/A,FALSE,"260"}</definedName>
    <definedName name="wrn.page1._2_4_1" localSheetId="26" hidden="1">{"page1",#N/A,FALSE,"260"}</definedName>
    <definedName name="wrn.page1._2_4_1" localSheetId="3" hidden="1">{"page1",#N/A,FALSE,"260"}</definedName>
    <definedName name="wrn.page1._2_4_1" localSheetId="2" hidden="1">{"page1",#N/A,FALSE,"260"}</definedName>
    <definedName name="wrn.page1._2_4_1" hidden="1">{"page1",#N/A,FALSE,"260"}</definedName>
    <definedName name="wrn.page1._2_4_2" localSheetId="8" hidden="1">{"page1",#N/A,FALSE,"260"}</definedName>
    <definedName name="wrn.page1._2_4_2" localSheetId="14" hidden="1">{"page1",#N/A,FALSE,"260"}</definedName>
    <definedName name="wrn.page1._2_4_2" localSheetId="15" hidden="1">{"page1",#N/A,FALSE,"260"}</definedName>
    <definedName name="wrn.page1._2_4_2" localSheetId="13" hidden="1">{"page1",#N/A,FALSE,"260"}</definedName>
    <definedName name="wrn.page1._2_4_2" localSheetId="25" hidden="1">{"page1",#N/A,FALSE,"260"}</definedName>
    <definedName name="wrn.page1._2_4_2" localSheetId="26" hidden="1">{"page1",#N/A,FALSE,"260"}</definedName>
    <definedName name="wrn.page1._2_4_2" localSheetId="3" hidden="1">{"page1",#N/A,FALSE,"260"}</definedName>
    <definedName name="wrn.page1._2_4_2" localSheetId="2" hidden="1">{"page1",#N/A,FALSE,"260"}</definedName>
    <definedName name="wrn.page1._2_4_2" hidden="1">{"page1",#N/A,FALSE,"260"}</definedName>
    <definedName name="wrn.page1._2_4_3" localSheetId="8" hidden="1">{"page1",#N/A,FALSE,"260"}</definedName>
    <definedName name="wrn.page1._2_4_3" localSheetId="14" hidden="1">{"page1",#N/A,FALSE,"260"}</definedName>
    <definedName name="wrn.page1._2_4_3" localSheetId="15" hidden="1">{"page1",#N/A,FALSE,"260"}</definedName>
    <definedName name="wrn.page1._2_4_3" localSheetId="13" hidden="1">{"page1",#N/A,FALSE,"260"}</definedName>
    <definedName name="wrn.page1._2_4_3" localSheetId="25" hidden="1">{"page1",#N/A,FALSE,"260"}</definedName>
    <definedName name="wrn.page1._2_4_3" localSheetId="26" hidden="1">{"page1",#N/A,FALSE,"260"}</definedName>
    <definedName name="wrn.page1._2_4_3" localSheetId="3" hidden="1">{"page1",#N/A,FALSE,"260"}</definedName>
    <definedName name="wrn.page1._2_4_3" localSheetId="2" hidden="1">{"page1",#N/A,FALSE,"260"}</definedName>
    <definedName name="wrn.page1._2_4_3" hidden="1">{"page1",#N/A,FALSE,"260"}</definedName>
    <definedName name="wrn.page1._2_4_4" localSheetId="8" hidden="1">{"page1",#N/A,FALSE,"260"}</definedName>
    <definedName name="wrn.page1._2_4_4" localSheetId="14" hidden="1">{"page1",#N/A,FALSE,"260"}</definedName>
    <definedName name="wrn.page1._2_4_4" localSheetId="15" hidden="1">{"page1",#N/A,FALSE,"260"}</definedName>
    <definedName name="wrn.page1._2_4_4" localSheetId="13" hidden="1">{"page1",#N/A,FALSE,"260"}</definedName>
    <definedName name="wrn.page1._2_4_4" localSheetId="25" hidden="1">{"page1",#N/A,FALSE,"260"}</definedName>
    <definedName name="wrn.page1._2_4_4" localSheetId="26" hidden="1">{"page1",#N/A,FALSE,"260"}</definedName>
    <definedName name="wrn.page1._2_4_4" localSheetId="3" hidden="1">{"page1",#N/A,FALSE,"260"}</definedName>
    <definedName name="wrn.page1._2_4_4" localSheetId="2" hidden="1">{"page1",#N/A,FALSE,"260"}</definedName>
    <definedName name="wrn.page1._2_4_4" hidden="1">{"page1",#N/A,FALSE,"260"}</definedName>
    <definedName name="wrn.page1._2_4_5" localSheetId="8" hidden="1">{"page1",#N/A,FALSE,"260"}</definedName>
    <definedName name="wrn.page1._2_4_5" localSheetId="14" hidden="1">{"page1",#N/A,FALSE,"260"}</definedName>
    <definedName name="wrn.page1._2_4_5" localSheetId="15" hidden="1">{"page1",#N/A,FALSE,"260"}</definedName>
    <definedName name="wrn.page1._2_4_5" localSheetId="13" hidden="1">{"page1",#N/A,FALSE,"260"}</definedName>
    <definedName name="wrn.page1._2_4_5" localSheetId="25" hidden="1">{"page1",#N/A,FALSE,"260"}</definedName>
    <definedName name="wrn.page1._2_4_5" localSheetId="26" hidden="1">{"page1",#N/A,FALSE,"260"}</definedName>
    <definedName name="wrn.page1._2_4_5" localSheetId="3" hidden="1">{"page1",#N/A,FALSE,"260"}</definedName>
    <definedName name="wrn.page1._2_4_5" localSheetId="2" hidden="1">{"page1",#N/A,FALSE,"260"}</definedName>
    <definedName name="wrn.page1._2_4_5" hidden="1">{"page1",#N/A,FALSE,"260"}</definedName>
    <definedName name="wrn.page1._2_5" localSheetId="8" hidden="1">{"page1",#N/A,FALSE,"260"}</definedName>
    <definedName name="wrn.page1._2_5" localSheetId="14" hidden="1">{"page1",#N/A,FALSE,"260"}</definedName>
    <definedName name="wrn.page1._2_5" localSheetId="15" hidden="1">{"page1",#N/A,FALSE,"260"}</definedName>
    <definedName name="wrn.page1._2_5" localSheetId="13" hidden="1">{"page1",#N/A,FALSE,"260"}</definedName>
    <definedName name="wrn.page1._2_5" localSheetId="25" hidden="1">{"page1",#N/A,FALSE,"260"}</definedName>
    <definedName name="wrn.page1._2_5" localSheetId="26" hidden="1">{"page1",#N/A,FALSE,"260"}</definedName>
    <definedName name="wrn.page1._2_5" localSheetId="3" hidden="1">{"page1",#N/A,FALSE,"260"}</definedName>
    <definedName name="wrn.page1._2_5" localSheetId="2" hidden="1">{"page1",#N/A,FALSE,"260"}</definedName>
    <definedName name="wrn.page1._2_5" hidden="1">{"page1",#N/A,FALSE,"260"}</definedName>
    <definedName name="wrn.page1._2_5_1" localSheetId="8" hidden="1">{"page1",#N/A,FALSE,"260"}</definedName>
    <definedName name="wrn.page1._2_5_1" localSheetId="14" hidden="1">{"page1",#N/A,FALSE,"260"}</definedName>
    <definedName name="wrn.page1._2_5_1" localSheetId="15" hidden="1">{"page1",#N/A,FALSE,"260"}</definedName>
    <definedName name="wrn.page1._2_5_1" localSheetId="13" hidden="1">{"page1",#N/A,FALSE,"260"}</definedName>
    <definedName name="wrn.page1._2_5_1" localSheetId="25" hidden="1">{"page1",#N/A,FALSE,"260"}</definedName>
    <definedName name="wrn.page1._2_5_1" localSheetId="26" hidden="1">{"page1",#N/A,FALSE,"260"}</definedName>
    <definedName name="wrn.page1._2_5_1" localSheetId="3" hidden="1">{"page1",#N/A,FALSE,"260"}</definedName>
    <definedName name="wrn.page1._2_5_1" localSheetId="2" hidden="1">{"page1",#N/A,FALSE,"260"}</definedName>
    <definedName name="wrn.page1._2_5_1" hidden="1">{"page1",#N/A,FALSE,"260"}</definedName>
    <definedName name="wrn.page1._2_5_2" localSheetId="8" hidden="1">{"page1",#N/A,FALSE,"260"}</definedName>
    <definedName name="wrn.page1._2_5_2" localSheetId="14" hidden="1">{"page1",#N/A,FALSE,"260"}</definedName>
    <definedName name="wrn.page1._2_5_2" localSheetId="15" hidden="1">{"page1",#N/A,FALSE,"260"}</definedName>
    <definedName name="wrn.page1._2_5_2" localSheetId="13" hidden="1">{"page1",#N/A,FALSE,"260"}</definedName>
    <definedName name="wrn.page1._2_5_2" localSheetId="25" hidden="1">{"page1",#N/A,FALSE,"260"}</definedName>
    <definedName name="wrn.page1._2_5_2" localSheetId="26" hidden="1">{"page1",#N/A,FALSE,"260"}</definedName>
    <definedName name="wrn.page1._2_5_2" localSheetId="3" hidden="1">{"page1",#N/A,FALSE,"260"}</definedName>
    <definedName name="wrn.page1._2_5_2" localSheetId="2" hidden="1">{"page1",#N/A,FALSE,"260"}</definedName>
    <definedName name="wrn.page1._2_5_2" hidden="1">{"page1",#N/A,FALSE,"260"}</definedName>
    <definedName name="wrn.page1._2_5_3" localSheetId="8" hidden="1">{"page1",#N/A,FALSE,"260"}</definedName>
    <definedName name="wrn.page1._2_5_3" localSheetId="14" hidden="1">{"page1",#N/A,FALSE,"260"}</definedName>
    <definedName name="wrn.page1._2_5_3" localSheetId="15" hidden="1">{"page1",#N/A,FALSE,"260"}</definedName>
    <definedName name="wrn.page1._2_5_3" localSheetId="13" hidden="1">{"page1",#N/A,FALSE,"260"}</definedName>
    <definedName name="wrn.page1._2_5_3" localSheetId="25" hidden="1">{"page1",#N/A,FALSE,"260"}</definedName>
    <definedName name="wrn.page1._2_5_3" localSheetId="26" hidden="1">{"page1",#N/A,FALSE,"260"}</definedName>
    <definedName name="wrn.page1._2_5_3" localSheetId="3" hidden="1">{"page1",#N/A,FALSE,"260"}</definedName>
    <definedName name="wrn.page1._2_5_3" localSheetId="2" hidden="1">{"page1",#N/A,FALSE,"260"}</definedName>
    <definedName name="wrn.page1._2_5_3" hidden="1">{"page1",#N/A,FALSE,"260"}</definedName>
    <definedName name="wrn.page1._2_5_4" localSheetId="8" hidden="1">{"page1",#N/A,FALSE,"260"}</definedName>
    <definedName name="wrn.page1._2_5_4" localSheetId="14" hidden="1">{"page1",#N/A,FALSE,"260"}</definedName>
    <definedName name="wrn.page1._2_5_4" localSheetId="15" hidden="1">{"page1",#N/A,FALSE,"260"}</definedName>
    <definedName name="wrn.page1._2_5_4" localSheetId="13" hidden="1">{"page1",#N/A,FALSE,"260"}</definedName>
    <definedName name="wrn.page1._2_5_4" localSheetId="25" hidden="1">{"page1",#N/A,FALSE,"260"}</definedName>
    <definedName name="wrn.page1._2_5_4" localSheetId="26" hidden="1">{"page1",#N/A,FALSE,"260"}</definedName>
    <definedName name="wrn.page1._2_5_4" localSheetId="3" hidden="1">{"page1",#N/A,FALSE,"260"}</definedName>
    <definedName name="wrn.page1._2_5_4" localSheetId="2" hidden="1">{"page1",#N/A,FALSE,"260"}</definedName>
    <definedName name="wrn.page1._2_5_4" hidden="1">{"page1",#N/A,FALSE,"260"}</definedName>
    <definedName name="wrn.page1._2_5_5" localSheetId="8" hidden="1">{"page1",#N/A,FALSE,"260"}</definedName>
    <definedName name="wrn.page1._2_5_5" localSheetId="14" hidden="1">{"page1",#N/A,FALSE,"260"}</definedName>
    <definedName name="wrn.page1._2_5_5" localSheetId="15" hidden="1">{"page1",#N/A,FALSE,"260"}</definedName>
    <definedName name="wrn.page1._2_5_5" localSheetId="13" hidden="1">{"page1",#N/A,FALSE,"260"}</definedName>
    <definedName name="wrn.page1._2_5_5" localSheetId="25" hidden="1">{"page1",#N/A,FALSE,"260"}</definedName>
    <definedName name="wrn.page1._2_5_5" localSheetId="26" hidden="1">{"page1",#N/A,FALSE,"260"}</definedName>
    <definedName name="wrn.page1._2_5_5" localSheetId="3" hidden="1">{"page1",#N/A,FALSE,"260"}</definedName>
    <definedName name="wrn.page1._2_5_5" localSheetId="2" hidden="1">{"page1",#N/A,FALSE,"260"}</definedName>
    <definedName name="wrn.page1._2_5_5" hidden="1">{"page1",#N/A,FALSE,"260"}</definedName>
    <definedName name="wrn.page1._3" localSheetId="8" hidden="1">{"page1",#N/A,FALSE,"260"}</definedName>
    <definedName name="wrn.page1._3" localSheetId="14" hidden="1">{"page1",#N/A,FALSE,"260"}</definedName>
    <definedName name="wrn.page1._3" localSheetId="15" hidden="1">{"page1",#N/A,FALSE,"260"}</definedName>
    <definedName name="wrn.page1._3" localSheetId="13" hidden="1">{"page1",#N/A,FALSE,"260"}</definedName>
    <definedName name="wrn.page1._3" localSheetId="25" hidden="1">{"page1",#N/A,FALSE,"260"}</definedName>
    <definedName name="wrn.page1._3" localSheetId="26" hidden="1">{"page1",#N/A,FALSE,"260"}</definedName>
    <definedName name="wrn.page1._3" localSheetId="3" hidden="1">{"page1",#N/A,FALSE,"260"}</definedName>
    <definedName name="wrn.page1._3" localSheetId="2" hidden="1">{"page1",#N/A,FALSE,"260"}</definedName>
    <definedName name="wrn.page1._3" hidden="1">{"page1",#N/A,FALSE,"260"}</definedName>
    <definedName name="wrn.page1._3_1" localSheetId="8" hidden="1">{"page1",#N/A,FALSE,"260"}</definedName>
    <definedName name="wrn.page1._3_1" localSheetId="14" hidden="1">{"page1",#N/A,FALSE,"260"}</definedName>
    <definedName name="wrn.page1._3_1" localSheetId="15" hidden="1">{"page1",#N/A,FALSE,"260"}</definedName>
    <definedName name="wrn.page1._3_1" localSheetId="13" hidden="1">{"page1",#N/A,FALSE,"260"}</definedName>
    <definedName name="wrn.page1._3_1" localSheetId="25" hidden="1">{"page1",#N/A,FALSE,"260"}</definedName>
    <definedName name="wrn.page1._3_1" localSheetId="26" hidden="1">{"page1",#N/A,FALSE,"260"}</definedName>
    <definedName name="wrn.page1._3_1" localSheetId="3" hidden="1">{"page1",#N/A,FALSE,"260"}</definedName>
    <definedName name="wrn.page1._3_1" localSheetId="2" hidden="1">{"page1",#N/A,FALSE,"260"}</definedName>
    <definedName name="wrn.page1._3_1" hidden="1">{"page1",#N/A,FALSE,"260"}</definedName>
    <definedName name="wrn.page1._3_2" localSheetId="8" hidden="1">{"page1",#N/A,FALSE,"260"}</definedName>
    <definedName name="wrn.page1._3_2" localSheetId="14" hidden="1">{"page1",#N/A,FALSE,"260"}</definedName>
    <definedName name="wrn.page1._3_2" localSheetId="15" hidden="1">{"page1",#N/A,FALSE,"260"}</definedName>
    <definedName name="wrn.page1._3_2" localSheetId="13" hidden="1">{"page1",#N/A,FALSE,"260"}</definedName>
    <definedName name="wrn.page1._3_2" localSheetId="25" hidden="1">{"page1",#N/A,FALSE,"260"}</definedName>
    <definedName name="wrn.page1._3_2" localSheetId="26" hidden="1">{"page1",#N/A,FALSE,"260"}</definedName>
    <definedName name="wrn.page1._3_2" localSheetId="3" hidden="1">{"page1",#N/A,FALSE,"260"}</definedName>
    <definedName name="wrn.page1._3_2" localSheetId="2" hidden="1">{"page1",#N/A,FALSE,"260"}</definedName>
    <definedName name="wrn.page1._3_2" hidden="1">{"page1",#N/A,FALSE,"260"}</definedName>
    <definedName name="wrn.page1._3_3" localSheetId="8" hidden="1">{"page1",#N/A,FALSE,"260"}</definedName>
    <definedName name="wrn.page1._3_3" localSheetId="14" hidden="1">{"page1",#N/A,FALSE,"260"}</definedName>
    <definedName name="wrn.page1._3_3" localSheetId="15" hidden="1">{"page1",#N/A,FALSE,"260"}</definedName>
    <definedName name="wrn.page1._3_3" localSheetId="13" hidden="1">{"page1",#N/A,FALSE,"260"}</definedName>
    <definedName name="wrn.page1._3_3" localSheetId="25" hidden="1">{"page1",#N/A,FALSE,"260"}</definedName>
    <definedName name="wrn.page1._3_3" localSheetId="26" hidden="1">{"page1",#N/A,FALSE,"260"}</definedName>
    <definedName name="wrn.page1._3_3" localSheetId="3" hidden="1">{"page1",#N/A,FALSE,"260"}</definedName>
    <definedName name="wrn.page1._3_3" localSheetId="2" hidden="1">{"page1",#N/A,FALSE,"260"}</definedName>
    <definedName name="wrn.page1._3_3" hidden="1">{"page1",#N/A,FALSE,"260"}</definedName>
    <definedName name="wrn.page1._3_4" localSheetId="8" hidden="1">{"page1",#N/A,FALSE,"260"}</definedName>
    <definedName name="wrn.page1._3_4" localSheetId="14" hidden="1">{"page1",#N/A,FALSE,"260"}</definedName>
    <definedName name="wrn.page1._3_4" localSheetId="15" hidden="1">{"page1",#N/A,FALSE,"260"}</definedName>
    <definedName name="wrn.page1._3_4" localSheetId="13" hidden="1">{"page1",#N/A,FALSE,"260"}</definedName>
    <definedName name="wrn.page1._3_4" localSheetId="25" hidden="1">{"page1",#N/A,FALSE,"260"}</definedName>
    <definedName name="wrn.page1._3_4" localSheetId="26" hidden="1">{"page1",#N/A,FALSE,"260"}</definedName>
    <definedName name="wrn.page1._3_4" localSheetId="3" hidden="1">{"page1",#N/A,FALSE,"260"}</definedName>
    <definedName name="wrn.page1._3_4" localSheetId="2" hidden="1">{"page1",#N/A,FALSE,"260"}</definedName>
    <definedName name="wrn.page1._3_4" hidden="1">{"page1",#N/A,FALSE,"260"}</definedName>
    <definedName name="wrn.page1._3_5" localSheetId="8" hidden="1">{"page1",#N/A,FALSE,"260"}</definedName>
    <definedName name="wrn.page1._3_5" localSheetId="14" hidden="1">{"page1",#N/A,FALSE,"260"}</definedName>
    <definedName name="wrn.page1._3_5" localSheetId="15" hidden="1">{"page1",#N/A,FALSE,"260"}</definedName>
    <definedName name="wrn.page1._3_5" localSheetId="13" hidden="1">{"page1",#N/A,FALSE,"260"}</definedName>
    <definedName name="wrn.page1._3_5" localSheetId="25" hidden="1">{"page1",#N/A,FALSE,"260"}</definedName>
    <definedName name="wrn.page1._3_5" localSheetId="26" hidden="1">{"page1",#N/A,FALSE,"260"}</definedName>
    <definedName name="wrn.page1._3_5" localSheetId="3" hidden="1">{"page1",#N/A,FALSE,"260"}</definedName>
    <definedName name="wrn.page1._3_5" localSheetId="2" hidden="1">{"page1",#N/A,FALSE,"260"}</definedName>
    <definedName name="wrn.page1._3_5" hidden="1">{"page1",#N/A,FALSE,"260"}</definedName>
    <definedName name="wrn.page1._4" localSheetId="8" hidden="1">{"page1",#N/A,FALSE,"260"}</definedName>
    <definedName name="wrn.page1._4" localSheetId="14" hidden="1">{"page1",#N/A,FALSE,"260"}</definedName>
    <definedName name="wrn.page1._4" localSheetId="15" hidden="1">{"page1",#N/A,FALSE,"260"}</definedName>
    <definedName name="wrn.page1._4" localSheetId="13" hidden="1">{"page1",#N/A,FALSE,"260"}</definedName>
    <definedName name="wrn.page1._4" localSheetId="25" hidden="1">{"page1",#N/A,FALSE,"260"}</definedName>
    <definedName name="wrn.page1._4" localSheetId="26" hidden="1">{"page1",#N/A,FALSE,"260"}</definedName>
    <definedName name="wrn.page1._4" localSheetId="3" hidden="1">{"page1",#N/A,FALSE,"260"}</definedName>
    <definedName name="wrn.page1._4" localSheetId="2" hidden="1">{"page1",#N/A,FALSE,"260"}</definedName>
    <definedName name="wrn.page1._4" hidden="1">{"page1",#N/A,FALSE,"260"}</definedName>
    <definedName name="wrn.page1._4_1" localSheetId="8" hidden="1">{"page1",#N/A,FALSE,"260"}</definedName>
    <definedName name="wrn.page1._4_1" localSheetId="14" hidden="1">{"page1",#N/A,FALSE,"260"}</definedName>
    <definedName name="wrn.page1._4_1" localSheetId="15" hidden="1">{"page1",#N/A,FALSE,"260"}</definedName>
    <definedName name="wrn.page1._4_1" localSheetId="13" hidden="1">{"page1",#N/A,FALSE,"260"}</definedName>
    <definedName name="wrn.page1._4_1" localSheetId="25" hidden="1">{"page1",#N/A,FALSE,"260"}</definedName>
    <definedName name="wrn.page1._4_1" localSheetId="26" hidden="1">{"page1",#N/A,FALSE,"260"}</definedName>
    <definedName name="wrn.page1._4_1" localSheetId="3" hidden="1">{"page1",#N/A,FALSE,"260"}</definedName>
    <definedName name="wrn.page1._4_1" localSheetId="2" hidden="1">{"page1",#N/A,FALSE,"260"}</definedName>
    <definedName name="wrn.page1._4_1" hidden="1">{"page1",#N/A,FALSE,"260"}</definedName>
    <definedName name="wrn.page1._4_2" localSheetId="8" hidden="1">{"page1",#N/A,FALSE,"260"}</definedName>
    <definedName name="wrn.page1._4_2" localSheetId="14" hidden="1">{"page1",#N/A,FALSE,"260"}</definedName>
    <definedName name="wrn.page1._4_2" localSheetId="15" hidden="1">{"page1",#N/A,FALSE,"260"}</definedName>
    <definedName name="wrn.page1._4_2" localSheetId="13" hidden="1">{"page1",#N/A,FALSE,"260"}</definedName>
    <definedName name="wrn.page1._4_2" localSheetId="25" hidden="1">{"page1",#N/A,FALSE,"260"}</definedName>
    <definedName name="wrn.page1._4_2" localSheetId="26" hidden="1">{"page1",#N/A,FALSE,"260"}</definedName>
    <definedName name="wrn.page1._4_2" localSheetId="3" hidden="1">{"page1",#N/A,FALSE,"260"}</definedName>
    <definedName name="wrn.page1._4_2" localSheetId="2" hidden="1">{"page1",#N/A,FALSE,"260"}</definedName>
    <definedName name="wrn.page1._4_2" hidden="1">{"page1",#N/A,FALSE,"260"}</definedName>
    <definedName name="wrn.page1._4_3" localSheetId="8" hidden="1">{"page1",#N/A,FALSE,"260"}</definedName>
    <definedName name="wrn.page1._4_3" localSheetId="14" hidden="1">{"page1",#N/A,FALSE,"260"}</definedName>
    <definedName name="wrn.page1._4_3" localSheetId="15" hidden="1">{"page1",#N/A,FALSE,"260"}</definedName>
    <definedName name="wrn.page1._4_3" localSheetId="13" hidden="1">{"page1",#N/A,FALSE,"260"}</definedName>
    <definedName name="wrn.page1._4_3" localSheetId="25" hidden="1">{"page1",#N/A,FALSE,"260"}</definedName>
    <definedName name="wrn.page1._4_3" localSheetId="26" hidden="1">{"page1",#N/A,FALSE,"260"}</definedName>
    <definedName name="wrn.page1._4_3" localSheetId="3" hidden="1">{"page1",#N/A,FALSE,"260"}</definedName>
    <definedName name="wrn.page1._4_3" localSheetId="2" hidden="1">{"page1",#N/A,FALSE,"260"}</definedName>
    <definedName name="wrn.page1._4_3" hidden="1">{"page1",#N/A,FALSE,"260"}</definedName>
    <definedName name="wrn.page1._4_4" localSheetId="8" hidden="1">{"page1",#N/A,FALSE,"260"}</definedName>
    <definedName name="wrn.page1._4_4" localSheetId="14" hidden="1">{"page1",#N/A,FALSE,"260"}</definedName>
    <definedName name="wrn.page1._4_4" localSheetId="15" hidden="1">{"page1",#N/A,FALSE,"260"}</definedName>
    <definedName name="wrn.page1._4_4" localSheetId="13" hidden="1">{"page1",#N/A,FALSE,"260"}</definedName>
    <definedName name="wrn.page1._4_4" localSheetId="25" hidden="1">{"page1",#N/A,FALSE,"260"}</definedName>
    <definedName name="wrn.page1._4_4" localSheetId="26" hidden="1">{"page1",#N/A,FALSE,"260"}</definedName>
    <definedName name="wrn.page1._4_4" localSheetId="3" hidden="1">{"page1",#N/A,FALSE,"260"}</definedName>
    <definedName name="wrn.page1._4_4" localSheetId="2" hidden="1">{"page1",#N/A,FALSE,"260"}</definedName>
    <definedName name="wrn.page1._4_4" hidden="1">{"page1",#N/A,FALSE,"260"}</definedName>
    <definedName name="wrn.page1._4_5" localSheetId="8" hidden="1">{"page1",#N/A,FALSE,"260"}</definedName>
    <definedName name="wrn.page1._4_5" localSheetId="14" hidden="1">{"page1",#N/A,FALSE,"260"}</definedName>
    <definedName name="wrn.page1._4_5" localSheetId="15" hidden="1">{"page1",#N/A,FALSE,"260"}</definedName>
    <definedName name="wrn.page1._4_5" localSheetId="13" hidden="1">{"page1",#N/A,FALSE,"260"}</definedName>
    <definedName name="wrn.page1._4_5" localSheetId="25" hidden="1">{"page1",#N/A,FALSE,"260"}</definedName>
    <definedName name="wrn.page1._4_5" localSheetId="26" hidden="1">{"page1",#N/A,FALSE,"260"}</definedName>
    <definedName name="wrn.page1._4_5" localSheetId="3" hidden="1">{"page1",#N/A,FALSE,"260"}</definedName>
    <definedName name="wrn.page1._4_5" localSheetId="2" hidden="1">{"page1",#N/A,FALSE,"260"}</definedName>
    <definedName name="wrn.page1._4_5" hidden="1">{"page1",#N/A,FALSE,"260"}</definedName>
    <definedName name="wrn.page1._5" localSheetId="8" hidden="1">{"page1",#N/A,FALSE,"260"}</definedName>
    <definedName name="wrn.page1._5" localSheetId="14" hidden="1">{"page1",#N/A,FALSE,"260"}</definedName>
    <definedName name="wrn.page1._5" localSheetId="15" hidden="1">{"page1",#N/A,FALSE,"260"}</definedName>
    <definedName name="wrn.page1._5" localSheetId="13" hidden="1">{"page1",#N/A,FALSE,"260"}</definedName>
    <definedName name="wrn.page1._5" localSheetId="25" hidden="1">{"page1",#N/A,FALSE,"260"}</definedName>
    <definedName name="wrn.page1._5" localSheetId="26" hidden="1">{"page1",#N/A,FALSE,"260"}</definedName>
    <definedName name="wrn.page1._5" localSheetId="3" hidden="1">{"page1",#N/A,FALSE,"260"}</definedName>
    <definedName name="wrn.page1._5" localSheetId="2" hidden="1">{"page1",#N/A,FALSE,"260"}</definedName>
    <definedName name="wrn.page1._5" hidden="1">{"page1",#N/A,FALSE,"260"}</definedName>
    <definedName name="wrn.page1._5_1" localSheetId="8" hidden="1">{"page1",#N/A,FALSE,"260"}</definedName>
    <definedName name="wrn.page1._5_1" localSheetId="14" hidden="1">{"page1",#N/A,FALSE,"260"}</definedName>
    <definedName name="wrn.page1._5_1" localSheetId="15" hidden="1">{"page1",#N/A,FALSE,"260"}</definedName>
    <definedName name="wrn.page1._5_1" localSheetId="13" hidden="1">{"page1",#N/A,FALSE,"260"}</definedName>
    <definedName name="wrn.page1._5_1" localSheetId="25" hidden="1">{"page1",#N/A,FALSE,"260"}</definedName>
    <definedName name="wrn.page1._5_1" localSheetId="26" hidden="1">{"page1",#N/A,FALSE,"260"}</definedName>
    <definedName name="wrn.page1._5_1" localSheetId="3" hidden="1">{"page1",#N/A,FALSE,"260"}</definedName>
    <definedName name="wrn.page1._5_1" localSheetId="2" hidden="1">{"page1",#N/A,FALSE,"260"}</definedName>
    <definedName name="wrn.page1._5_1" hidden="1">{"page1",#N/A,FALSE,"260"}</definedName>
    <definedName name="wrn.page1._5_2" localSheetId="8" hidden="1">{"page1",#N/A,FALSE,"260"}</definedName>
    <definedName name="wrn.page1._5_2" localSheetId="14" hidden="1">{"page1",#N/A,FALSE,"260"}</definedName>
    <definedName name="wrn.page1._5_2" localSheetId="15" hidden="1">{"page1",#N/A,FALSE,"260"}</definedName>
    <definedName name="wrn.page1._5_2" localSheetId="13" hidden="1">{"page1",#N/A,FALSE,"260"}</definedName>
    <definedName name="wrn.page1._5_2" localSheetId="25" hidden="1">{"page1",#N/A,FALSE,"260"}</definedName>
    <definedName name="wrn.page1._5_2" localSheetId="26" hidden="1">{"page1",#N/A,FALSE,"260"}</definedName>
    <definedName name="wrn.page1._5_2" localSheetId="3" hidden="1">{"page1",#N/A,FALSE,"260"}</definedName>
    <definedName name="wrn.page1._5_2" localSheetId="2" hidden="1">{"page1",#N/A,FALSE,"260"}</definedName>
    <definedName name="wrn.page1._5_2" hidden="1">{"page1",#N/A,FALSE,"260"}</definedName>
    <definedName name="wrn.page1._5_3" localSheetId="8" hidden="1">{"page1",#N/A,FALSE,"260"}</definedName>
    <definedName name="wrn.page1._5_3" localSheetId="14" hidden="1">{"page1",#N/A,FALSE,"260"}</definedName>
    <definedName name="wrn.page1._5_3" localSheetId="15" hidden="1">{"page1",#N/A,FALSE,"260"}</definedName>
    <definedName name="wrn.page1._5_3" localSheetId="13" hidden="1">{"page1",#N/A,FALSE,"260"}</definedName>
    <definedName name="wrn.page1._5_3" localSheetId="25" hidden="1">{"page1",#N/A,FALSE,"260"}</definedName>
    <definedName name="wrn.page1._5_3" localSheetId="26" hidden="1">{"page1",#N/A,FALSE,"260"}</definedName>
    <definedName name="wrn.page1._5_3" localSheetId="3" hidden="1">{"page1",#N/A,FALSE,"260"}</definedName>
    <definedName name="wrn.page1._5_3" localSheetId="2" hidden="1">{"page1",#N/A,FALSE,"260"}</definedName>
    <definedName name="wrn.page1._5_3" hidden="1">{"page1",#N/A,FALSE,"260"}</definedName>
    <definedName name="wrn.page1._5_4" localSheetId="8" hidden="1">{"page1",#N/A,FALSE,"260"}</definedName>
    <definedName name="wrn.page1._5_4" localSheetId="14" hidden="1">{"page1",#N/A,FALSE,"260"}</definedName>
    <definedName name="wrn.page1._5_4" localSheetId="15" hidden="1">{"page1",#N/A,FALSE,"260"}</definedName>
    <definedName name="wrn.page1._5_4" localSheetId="13" hidden="1">{"page1",#N/A,FALSE,"260"}</definedName>
    <definedName name="wrn.page1._5_4" localSheetId="25" hidden="1">{"page1",#N/A,FALSE,"260"}</definedName>
    <definedName name="wrn.page1._5_4" localSheetId="26" hidden="1">{"page1",#N/A,FALSE,"260"}</definedName>
    <definedName name="wrn.page1._5_4" localSheetId="3" hidden="1">{"page1",#N/A,FALSE,"260"}</definedName>
    <definedName name="wrn.page1._5_4" localSheetId="2" hidden="1">{"page1",#N/A,FALSE,"260"}</definedName>
    <definedName name="wrn.page1._5_4" hidden="1">{"page1",#N/A,FALSE,"260"}</definedName>
    <definedName name="wrn.page1._5_5" localSheetId="8" hidden="1">{"page1",#N/A,FALSE,"260"}</definedName>
    <definedName name="wrn.page1._5_5" localSheetId="14" hidden="1">{"page1",#N/A,FALSE,"260"}</definedName>
    <definedName name="wrn.page1._5_5" localSheetId="15" hidden="1">{"page1",#N/A,FALSE,"260"}</definedName>
    <definedName name="wrn.page1._5_5" localSheetId="13" hidden="1">{"page1",#N/A,FALSE,"260"}</definedName>
    <definedName name="wrn.page1._5_5" localSheetId="25" hidden="1">{"page1",#N/A,FALSE,"260"}</definedName>
    <definedName name="wrn.page1._5_5" localSheetId="26" hidden="1">{"page1",#N/A,FALSE,"260"}</definedName>
    <definedName name="wrn.page1._5_5" localSheetId="3" hidden="1">{"page1",#N/A,FALSE,"260"}</definedName>
    <definedName name="wrn.page1._5_5" localSheetId="2" hidden="1">{"page1",#N/A,FALSE,"260"}</definedName>
    <definedName name="wrn.page1._5_5" hidden="1">{"page1",#N/A,FALSE,"260"}</definedName>
    <definedName name="wrn2.page1" localSheetId="1" hidden="1">{"page1",#N/A,FALSE,"260"}</definedName>
    <definedName name="wrn2.page1" localSheetId="8" hidden="1">{"page1",#N/A,FALSE,"260"}</definedName>
    <definedName name="wrn2.page1" localSheetId="14" hidden="1">{"page1",#N/A,FALSE,"260"}</definedName>
    <definedName name="wrn2.page1" localSheetId="15" hidden="1">{"page1",#N/A,FALSE,"260"}</definedName>
    <definedName name="wrn2.page1" localSheetId="13" hidden="1">{"page1",#N/A,FALSE,"260"}</definedName>
    <definedName name="wrn2.page1" localSheetId="25" hidden="1">{"page1",#N/A,FALSE,"260"}</definedName>
    <definedName name="wrn2.page1" localSheetId="26" hidden="1">{"page1",#N/A,FALSE,"260"}</definedName>
    <definedName name="wrn2.page1" localSheetId="3" hidden="1">{"page1",#N/A,FALSE,"260"}</definedName>
    <definedName name="wrn2.page1" localSheetId="2" hidden="1">{"page1",#N/A,FALSE,"260"}</definedName>
    <definedName name="wrn2.page1" hidden="1">{"page1",#N/A,FALSE,"260"}</definedName>
    <definedName name="wrn2.page1_1" localSheetId="8" hidden="1">{"page1",#N/A,FALSE,"260"}</definedName>
    <definedName name="wrn2.page1_1" localSheetId="14" hidden="1">{"page1",#N/A,FALSE,"260"}</definedName>
    <definedName name="wrn2.page1_1" localSheetId="15" hidden="1">{"page1",#N/A,FALSE,"260"}</definedName>
    <definedName name="wrn2.page1_1" localSheetId="13" hidden="1">{"page1",#N/A,FALSE,"260"}</definedName>
    <definedName name="wrn2.page1_1" localSheetId="25" hidden="1">{"page1",#N/A,FALSE,"260"}</definedName>
    <definedName name="wrn2.page1_1" localSheetId="26" hidden="1">{"page1",#N/A,FALSE,"260"}</definedName>
    <definedName name="wrn2.page1_1" localSheetId="3" hidden="1">{"page1",#N/A,FALSE,"260"}</definedName>
    <definedName name="wrn2.page1_1" localSheetId="2" hidden="1">{"page1",#N/A,FALSE,"260"}</definedName>
    <definedName name="wrn2.page1_1" hidden="1">{"page1",#N/A,FALSE,"260"}</definedName>
    <definedName name="wrn2.page1_1_1" localSheetId="8" hidden="1">{"page1",#N/A,FALSE,"260"}</definedName>
    <definedName name="wrn2.page1_1_1" localSheetId="14" hidden="1">{"page1",#N/A,FALSE,"260"}</definedName>
    <definedName name="wrn2.page1_1_1" localSheetId="15" hidden="1">{"page1",#N/A,FALSE,"260"}</definedName>
    <definedName name="wrn2.page1_1_1" localSheetId="13" hidden="1">{"page1",#N/A,FALSE,"260"}</definedName>
    <definedName name="wrn2.page1_1_1" localSheetId="25" hidden="1">{"page1",#N/A,FALSE,"260"}</definedName>
    <definedName name="wrn2.page1_1_1" localSheetId="26" hidden="1">{"page1",#N/A,FALSE,"260"}</definedName>
    <definedName name="wrn2.page1_1_1" localSheetId="3" hidden="1">{"page1",#N/A,FALSE,"260"}</definedName>
    <definedName name="wrn2.page1_1_1" localSheetId="2" hidden="1">{"page1",#N/A,FALSE,"260"}</definedName>
    <definedName name="wrn2.page1_1_1" hidden="1">{"page1",#N/A,FALSE,"260"}</definedName>
    <definedName name="wrn2.page1_1_1_1" localSheetId="8" hidden="1">{"page1",#N/A,FALSE,"260"}</definedName>
    <definedName name="wrn2.page1_1_1_1" localSheetId="14" hidden="1">{"page1",#N/A,FALSE,"260"}</definedName>
    <definedName name="wrn2.page1_1_1_1" localSheetId="15" hidden="1">{"page1",#N/A,FALSE,"260"}</definedName>
    <definedName name="wrn2.page1_1_1_1" localSheetId="13" hidden="1">{"page1",#N/A,FALSE,"260"}</definedName>
    <definedName name="wrn2.page1_1_1_1" localSheetId="25" hidden="1">{"page1",#N/A,FALSE,"260"}</definedName>
    <definedName name="wrn2.page1_1_1_1" localSheetId="26" hidden="1">{"page1",#N/A,FALSE,"260"}</definedName>
    <definedName name="wrn2.page1_1_1_1" localSheetId="3" hidden="1">{"page1",#N/A,FALSE,"260"}</definedName>
    <definedName name="wrn2.page1_1_1_1" localSheetId="2" hidden="1">{"page1",#N/A,FALSE,"260"}</definedName>
    <definedName name="wrn2.page1_1_1_1" hidden="1">{"page1",#N/A,FALSE,"260"}</definedName>
    <definedName name="wrn2.page1_1_1_2" localSheetId="8" hidden="1">{"page1",#N/A,FALSE,"260"}</definedName>
    <definedName name="wrn2.page1_1_1_2" localSheetId="14" hidden="1">{"page1",#N/A,FALSE,"260"}</definedName>
    <definedName name="wrn2.page1_1_1_2" localSheetId="15" hidden="1">{"page1",#N/A,FALSE,"260"}</definedName>
    <definedName name="wrn2.page1_1_1_2" localSheetId="13" hidden="1">{"page1",#N/A,FALSE,"260"}</definedName>
    <definedName name="wrn2.page1_1_1_2" localSheetId="25" hidden="1">{"page1",#N/A,FALSE,"260"}</definedName>
    <definedName name="wrn2.page1_1_1_2" localSheetId="26" hidden="1">{"page1",#N/A,FALSE,"260"}</definedName>
    <definedName name="wrn2.page1_1_1_2" localSheetId="3" hidden="1">{"page1",#N/A,FALSE,"260"}</definedName>
    <definedName name="wrn2.page1_1_1_2" localSheetId="2" hidden="1">{"page1",#N/A,FALSE,"260"}</definedName>
    <definedName name="wrn2.page1_1_1_2" hidden="1">{"page1",#N/A,FALSE,"260"}</definedName>
    <definedName name="wrn2.page1_1_1_3" localSheetId="8" hidden="1">{"page1",#N/A,FALSE,"260"}</definedName>
    <definedName name="wrn2.page1_1_1_3" localSheetId="14" hidden="1">{"page1",#N/A,FALSE,"260"}</definedName>
    <definedName name="wrn2.page1_1_1_3" localSheetId="15" hidden="1">{"page1",#N/A,FALSE,"260"}</definedName>
    <definedName name="wrn2.page1_1_1_3" localSheetId="13" hidden="1">{"page1",#N/A,FALSE,"260"}</definedName>
    <definedName name="wrn2.page1_1_1_3" localSheetId="25" hidden="1">{"page1",#N/A,FALSE,"260"}</definedName>
    <definedName name="wrn2.page1_1_1_3" localSheetId="26" hidden="1">{"page1",#N/A,FALSE,"260"}</definedName>
    <definedName name="wrn2.page1_1_1_3" localSheetId="3" hidden="1">{"page1",#N/A,FALSE,"260"}</definedName>
    <definedName name="wrn2.page1_1_1_3" localSheetId="2" hidden="1">{"page1",#N/A,FALSE,"260"}</definedName>
    <definedName name="wrn2.page1_1_1_3" hidden="1">{"page1",#N/A,FALSE,"260"}</definedName>
    <definedName name="wrn2.page1_1_1_4" localSheetId="8" hidden="1">{"page1",#N/A,FALSE,"260"}</definedName>
    <definedName name="wrn2.page1_1_1_4" localSheetId="14" hidden="1">{"page1",#N/A,FALSE,"260"}</definedName>
    <definedName name="wrn2.page1_1_1_4" localSheetId="15" hidden="1">{"page1",#N/A,FALSE,"260"}</definedName>
    <definedName name="wrn2.page1_1_1_4" localSheetId="13" hidden="1">{"page1",#N/A,FALSE,"260"}</definedName>
    <definedName name="wrn2.page1_1_1_4" localSheetId="25" hidden="1">{"page1",#N/A,FALSE,"260"}</definedName>
    <definedName name="wrn2.page1_1_1_4" localSheetId="26" hidden="1">{"page1",#N/A,FALSE,"260"}</definedName>
    <definedName name="wrn2.page1_1_1_4" localSheetId="3" hidden="1">{"page1",#N/A,FALSE,"260"}</definedName>
    <definedName name="wrn2.page1_1_1_4" localSheetId="2" hidden="1">{"page1",#N/A,FALSE,"260"}</definedName>
    <definedName name="wrn2.page1_1_1_4" hidden="1">{"page1",#N/A,FALSE,"260"}</definedName>
    <definedName name="wrn2.page1_1_1_5" localSheetId="8" hidden="1">{"page1",#N/A,FALSE,"260"}</definedName>
    <definedName name="wrn2.page1_1_1_5" localSheetId="14" hidden="1">{"page1",#N/A,FALSE,"260"}</definedName>
    <definedName name="wrn2.page1_1_1_5" localSheetId="15" hidden="1">{"page1",#N/A,FALSE,"260"}</definedName>
    <definedName name="wrn2.page1_1_1_5" localSheetId="13" hidden="1">{"page1",#N/A,FALSE,"260"}</definedName>
    <definedName name="wrn2.page1_1_1_5" localSheetId="25" hidden="1">{"page1",#N/A,FALSE,"260"}</definedName>
    <definedName name="wrn2.page1_1_1_5" localSheetId="26" hidden="1">{"page1",#N/A,FALSE,"260"}</definedName>
    <definedName name="wrn2.page1_1_1_5" localSheetId="3" hidden="1">{"page1",#N/A,FALSE,"260"}</definedName>
    <definedName name="wrn2.page1_1_1_5" localSheetId="2" hidden="1">{"page1",#N/A,FALSE,"260"}</definedName>
    <definedName name="wrn2.page1_1_1_5" hidden="1">{"page1",#N/A,FALSE,"260"}</definedName>
    <definedName name="wrn2.page1_1_2" localSheetId="8" hidden="1">{"page1",#N/A,FALSE,"260"}</definedName>
    <definedName name="wrn2.page1_1_2" localSheetId="14" hidden="1">{"page1",#N/A,FALSE,"260"}</definedName>
    <definedName name="wrn2.page1_1_2" localSheetId="15" hidden="1">{"page1",#N/A,FALSE,"260"}</definedName>
    <definedName name="wrn2.page1_1_2" localSheetId="13" hidden="1">{"page1",#N/A,FALSE,"260"}</definedName>
    <definedName name="wrn2.page1_1_2" localSheetId="25" hidden="1">{"page1",#N/A,FALSE,"260"}</definedName>
    <definedName name="wrn2.page1_1_2" localSheetId="26" hidden="1">{"page1",#N/A,FALSE,"260"}</definedName>
    <definedName name="wrn2.page1_1_2" localSheetId="3" hidden="1">{"page1",#N/A,FALSE,"260"}</definedName>
    <definedName name="wrn2.page1_1_2" localSheetId="2" hidden="1">{"page1",#N/A,FALSE,"260"}</definedName>
    <definedName name="wrn2.page1_1_2" hidden="1">{"page1",#N/A,FALSE,"260"}</definedName>
    <definedName name="wrn2.page1_1_2_1" localSheetId="8" hidden="1">{"page1",#N/A,FALSE,"260"}</definedName>
    <definedName name="wrn2.page1_1_2_1" localSheetId="14" hidden="1">{"page1",#N/A,FALSE,"260"}</definedName>
    <definedName name="wrn2.page1_1_2_1" localSheetId="15" hidden="1">{"page1",#N/A,FALSE,"260"}</definedName>
    <definedName name="wrn2.page1_1_2_1" localSheetId="13" hidden="1">{"page1",#N/A,FALSE,"260"}</definedName>
    <definedName name="wrn2.page1_1_2_1" localSheetId="25" hidden="1">{"page1",#N/A,FALSE,"260"}</definedName>
    <definedName name="wrn2.page1_1_2_1" localSheetId="26" hidden="1">{"page1",#N/A,FALSE,"260"}</definedName>
    <definedName name="wrn2.page1_1_2_1" localSheetId="3" hidden="1">{"page1",#N/A,FALSE,"260"}</definedName>
    <definedName name="wrn2.page1_1_2_1" localSheetId="2" hidden="1">{"page1",#N/A,FALSE,"260"}</definedName>
    <definedName name="wrn2.page1_1_2_1" hidden="1">{"page1",#N/A,FALSE,"260"}</definedName>
    <definedName name="wrn2.page1_1_2_2" localSheetId="8" hidden="1">{"page1",#N/A,FALSE,"260"}</definedName>
    <definedName name="wrn2.page1_1_2_2" localSheetId="14" hidden="1">{"page1",#N/A,FALSE,"260"}</definedName>
    <definedName name="wrn2.page1_1_2_2" localSheetId="15" hidden="1">{"page1",#N/A,FALSE,"260"}</definedName>
    <definedName name="wrn2.page1_1_2_2" localSheetId="13" hidden="1">{"page1",#N/A,FALSE,"260"}</definedName>
    <definedName name="wrn2.page1_1_2_2" localSheetId="25" hidden="1">{"page1",#N/A,FALSE,"260"}</definedName>
    <definedName name="wrn2.page1_1_2_2" localSheetId="26" hidden="1">{"page1",#N/A,FALSE,"260"}</definedName>
    <definedName name="wrn2.page1_1_2_2" localSheetId="3" hidden="1">{"page1",#N/A,FALSE,"260"}</definedName>
    <definedName name="wrn2.page1_1_2_2" localSheetId="2" hidden="1">{"page1",#N/A,FALSE,"260"}</definedName>
    <definedName name="wrn2.page1_1_2_2" hidden="1">{"page1",#N/A,FALSE,"260"}</definedName>
    <definedName name="wrn2.page1_1_2_3" localSheetId="8" hidden="1">{"page1",#N/A,FALSE,"260"}</definedName>
    <definedName name="wrn2.page1_1_2_3" localSheetId="14" hidden="1">{"page1",#N/A,FALSE,"260"}</definedName>
    <definedName name="wrn2.page1_1_2_3" localSheetId="15" hidden="1">{"page1",#N/A,FALSE,"260"}</definedName>
    <definedName name="wrn2.page1_1_2_3" localSheetId="13" hidden="1">{"page1",#N/A,FALSE,"260"}</definedName>
    <definedName name="wrn2.page1_1_2_3" localSheetId="25" hidden="1">{"page1",#N/A,FALSE,"260"}</definedName>
    <definedName name="wrn2.page1_1_2_3" localSheetId="26" hidden="1">{"page1",#N/A,FALSE,"260"}</definedName>
    <definedName name="wrn2.page1_1_2_3" localSheetId="3" hidden="1">{"page1",#N/A,FALSE,"260"}</definedName>
    <definedName name="wrn2.page1_1_2_3" localSheetId="2" hidden="1">{"page1",#N/A,FALSE,"260"}</definedName>
    <definedName name="wrn2.page1_1_2_3" hidden="1">{"page1",#N/A,FALSE,"260"}</definedName>
    <definedName name="wrn2.page1_1_2_4" localSheetId="8" hidden="1">{"page1",#N/A,FALSE,"260"}</definedName>
    <definedName name="wrn2.page1_1_2_4" localSheetId="14" hidden="1">{"page1",#N/A,FALSE,"260"}</definedName>
    <definedName name="wrn2.page1_1_2_4" localSheetId="15" hidden="1">{"page1",#N/A,FALSE,"260"}</definedName>
    <definedName name="wrn2.page1_1_2_4" localSheetId="13" hidden="1">{"page1",#N/A,FALSE,"260"}</definedName>
    <definedName name="wrn2.page1_1_2_4" localSheetId="25" hidden="1">{"page1",#N/A,FALSE,"260"}</definedName>
    <definedName name="wrn2.page1_1_2_4" localSheetId="26" hidden="1">{"page1",#N/A,FALSE,"260"}</definedName>
    <definedName name="wrn2.page1_1_2_4" localSheetId="3" hidden="1">{"page1",#N/A,FALSE,"260"}</definedName>
    <definedName name="wrn2.page1_1_2_4" localSheetId="2" hidden="1">{"page1",#N/A,FALSE,"260"}</definedName>
    <definedName name="wrn2.page1_1_2_4" hidden="1">{"page1",#N/A,FALSE,"260"}</definedName>
    <definedName name="wrn2.page1_1_2_5" localSheetId="8" hidden="1">{"page1",#N/A,FALSE,"260"}</definedName>
    <definedName name="wrn2.page1_1_2_5" localSheetId="14" hidden="1">{"page1",#N/A,FALSE,"260"}</definedName>
    <definedName name="wrn2.page1_1_2_5" localSheetId="15" hidden="1">{"page1",#N/A,FALSE,"260"}</definedName>
    <definedName name="wrn2.page1_1_2_5" localSheetId="13" hidden="1">{"page1",#N/A,FALSE,"260"}</definedName>
    <definedName name="wrn2.page1_1_2_5" localSheetId="25" hidden="1">{"page1",#N/A,FALSE,"260"}</definedName>
    <definedName name="wrn2.page1_1_2_5" localSheetId="26" hidden="1">{"page1",#N/A,FALSE,"260"}</definedName>
    <definedName name="wrn2.page1_1_2_5" localSheetId="3" hidden="1">{"page1",#N/A,FALSE,"260"}</definedName>
    <definedName name="wrn2.page1_1_2_5" localSheetId="2" hidden="1">{"page1",#N/A,FALSE,"260"}</definedName>
    <definedName name="wrn2.page1_1_2_5" hidden="1">{"page1",#N/A,FALSE,"260"}</definedName>
    <definedName name="wrn2.page1_1_3" localSheetId="8" hidden="1">{"page1",#N/A,FALSE,"260"}</definedName>
    <definedName name="wrn2.page1_1_3" localSheetId="14" hidden="1">{"page1",#N/A,FALSE,"260"}</definedName>
    <definedName name="wrn2.page1_1_3" localSheetId="15" hidden="1">{"page1",#N/A,FALSE,"260"}</definedName>
    <definedName name="wrn2.page1_1_3" localSheetId="13" hidden="1">{"page1",#N/A,FALSE,"260"}</definedName>
    <definedName name="wrn2.page1_1_3" localSheetId="25" hidden="1">{"page1",#N/A,FALSE,"260"}</definedName>
    <definedName name="wrn2.page1_1_3" localSheetId="26" hidden="1">{"page1",#N/A,FALSE,"260"}</definedName>
    <definedName name="wrn2.page1_1_3" localSheetId="3" hidden="1">{"page1",#N/A,FALSE,"260"}</definedName>
    <definedName name="wrn2.page1_1_3" localSheetId="2" hidden="1">{"page1",#N/A,FALSE,"260"}</definedName>
    <definedName name="wrn2.page1_1_3" hidden="1">{"page1",#N/A,FALSE,"260"}</definedName>
    <definedName name="wrn2.page1_1_3_1" localSheetId="8" hidden="1">{"page1",#N/A,FALSE,"260"}</definedName>
    <definedName name="wrn2.page1_1_3_1" localSheetId="14" hidden="1">{"page1",#N/A,FALSE,"260"}</definedName>
    <definedName name="wrn2.page1_1_3_1" localSheetId="15" hidden="1">{"page1",#N/A,FALSE,"260"}</definedName>
    <definedName name="wrn2.page1_1_3_1" localSheetId="13" hidden="1">{"page1",#N/A,FALSE,"260"}</definedName>
    <definedName name="wrn2.page1_1_3_1" localSheetId="25" hidden="1">{"page1",#N/A,FALSE,"260"}</definedName>
    <definedName name="wrn2.page1_1_3_1" localSheetId="26" hidden="1">{"page1",#N/A,FALSE,"260"}</definedName>
    <definedName name="wrn2.page1_1_3_1" localSheetId="3" hidden="1">{"page1",#N/A,FALSE,"260"}</definedName>
    <definedName name="wrn2.page1_1_3_1" localSheetId="2" hidden="1">{"page1",#N/A,FALSE,"260"}</definedName>
    <definedName name="wrn2.page1_1_3_1" hidden="1">{"page1",#N/A,FALSE,"260"}</definedName>
    <definedName name="wrn2.page1_1_3_2" localSheetId="8" hidden="1">{"page1",#N/A,FALSE,"260"}</definedName>
    <definedName name="wrn2.page1_1_3_2" localSheetId="14" hidden="1">{"page1",#N/A,FALSE,"260"}</definedName>
    <definedName name="wrn2.page1_1_3_2" localSheetId="15" hidden="1">{"page1",#N/A,FALSE,"260"}</definedName>
    <definedName name="wrn2.page1_1_3_2" localSheetId="13" hidden="1">{"page1",#N/A,FALSE,"260"}</definedName>
    <definedName name="wrn2.page1_1_3_2" localSheetId="25" hidden="1">{"page1",#N/A,FALSE,"260"}</definedName>
    <definedName name="wrn2.page1_1_3_2" localSheetId="26" hidden="1">{"page1",#N/A,FALSE,"260"}</definedName>
    <definedName name="wrn2.page1_1_3_2" localSheetId="3" hidden="1">{"page1",#N/A,FALSE,"260"}</definedName>
    <definedName name="wrn2.page1_1_3_2" localSheetId="2" hidden="1">{"page1",#N/A,FALSE,"260"}</definedName>
    <definedName name="wrn2.page1_1_3_2" hidden="1">{"page1",#N/A,FALSE,"260"}</definedName>
    <definedName name="wrn2.page1_1_3_3" localSheetId="8" hidden="1">{"page1",#N/A,FALSE,"260"}</definedName>
    <definedName name="wrn2.page1_1_3_3" localSheetId="14" hidden="1">{"page1",#N/A,FALSE,"260"}</definedName>
    <definedName name="wrn2.page1_1_3_3" localSheetId="15" hidden="1">{"page1",#N/A,FALSE,"260"}</definedName>
    <definedName name="wrn2.page1_1_3_3" localSheetId="13" hidden="1">{"page1",#N/A,FALSE,"260"}</definedName>
    <definedName name="wrn2.page1_1_3_3" localSheetId="25" hidden="1">{"page1",#N/A,FALSE,"260"}</definedName>
    <definedName name="wrn2.page1_1_3_3" localSheetId="26" hidden="1">{"page1",#N/A,FALSE,"260"}</definedName>
    <definedName name="wrn2.page1_1_3_3" localSheetId="3" hidden="1">{"page1",#N/A,FALSE,"260"}</definedName>
    <definedName name="wrn2.page1_1_3_3" localSheetId="2" hidden="1">{"page1",#N/A,FALSE,"260"}</definedName>
    <definedName name="wrn2.page1_1_3_3" hidden="1">{"page1",#N/A,FALSE,"260"}</definedName>
    <definedName name="wrn2.page1_1_3_4" localSheetId="8" hidden="1">{"page1",#N/A,FALSE,"260"}</definedName>
    <definedName name="wrn2.page1_1_3_4" localSheetId="14" hidden="1">{"page1",#N/A,FALSE,"260"}</definedName>
    <definedName name="wrn2.page1_1_3_4" localSheetId="15" hidden="1">{"page1",#N/A,FALSE,"260"}</definedName>
    <definedName name="wrn2.page1_1_3_4" localSheetId="13" hidden="1">{"page1",#N/A,FALSE,"260"}</definedName>
    <definedName name="wrn2.page1_1_3_4" localSheetId="25" hidden="1">{"page1",#N/A,FALSE,"260"}</definedName>
    <definedName name="wrn2.page1_1_3_4" localSheetId="26" hidden="1">{"page1",#N/A,FALSE,"260"}</definedName>
    <definedName name="wrn2.page1_1_3_4" localSheetId="3" hidden="1">{"page1",#N/A,FALSE,"260"}</definedName>
    <definedName name="wrn2.page1_1_3_4" localSheetId="2" hidden="1">{"page1",#N/A,FALSE,"260"}</definedName>
    <definedName name="wrn2.page1_1_3_4" hidden="1">{"page1",#N/A,FALSE,"260"}</definedName>
    <definedName name="wrn2.page1_1_3_5" localSheetId="8" hidden="1">{"page1",#N/A,FALSE,"260"}</definedName>
    <definedName name="wrn2.page1_1_3_5" localSheetId="14" hidden="1">{"page1",#N/A,FALSE,"260"}</definedName>
    <definedName name="wrn2.page1_1_3_5" localSheetId="15" hidden="1">{"page1",#N/A,FALSE,"260"}</definedName>
    <definedName name="wrn2.page1_1_3_5" localSheetId="13" hidden="1">{"page1",#N/A,FALSE,"260"}</definedName>
    <definedName name="wrn2.page1_1_3_5" localSheetId="25" hidden="1">{"page1",#N/A,FALSE,"260"}</definedName>
    <definedName name="wrn2.page1_1_3_5" localSheetId="26" hidden="1">{"page1",#N/A,FALSE,"260"}</definedName>
    <definedName name="wrn2.page1_1_3_5" localSheetId="3" hidden="1">{"page1",#N/A,FALSE,"260"}</definedName>
    <definedName name="wrn2.page1_1_3_5" localSheetId="2" hidden="1">{"page1",#N/A,FALSE,"260"}</definedName>
    <definedName name="wrn2.page1_1_3_5" hidden="1">{"page1",#N/A,FALSE,"260"}</definedName>
    <definedName name="wrn2.page1_1_4" localSheetId="8" hidden="1">{"page1",#N/A,FALSE,"260"}</definedName>
    <definedName name="wrn2.page1_1_4" localSheetId="14" hidden="1">{"page1",#N/A,FALSE,"260"}</definedName>
    <definedName name="wrn2.page1_1_4" localSheetId="15" hidden="1">{"page1",#N/A,FALSE,"260"}</definedName>
    <definedName name="wrn2.page1_1_4" localSheetId="13" hidden="1">{"page1",#N/A,FALSE,"260"}</definedName>
    <definedName name="wrn2.page1_1_4" localSheetId="25" hidden="1">{"page1",#N/A,FALSE,"260"}</definedName>
    <definedName name="wrn2.page1_1_4" localSheetId="26" hidden="1">{"page1",#N/A,FALSE,"260"}</definedName>
    <definedName name="wrn2.page1_1_4" localSheetId="3" hidden="1">{"page1",#N/A,FALSE,"260"}</definedName>
    <definedName name="wrn2.page1_1_4" localSheetId="2" hidden="1">{"page1",#N/A,FALSE,"260"}</definedName>
    <definedName name="wrn2.page1_1_4" hidden="1">{"page1",#N/A,FALSE,"260"}</definedName>
    <definedName name="wrn2.page1_1_4_1" localSheetId="8" hidden="1">{"page1",#N/A,FALSE,"260"}</definedName>
    <definedName name="wrn2.page1_1_4_1" localSheetId="14" hidden="1">{"page1",#N/A,FALSE,"260"}</definedName>
    <definedName name="wrn2.page1_1_4_1" localSheetId="15" hidden="1">{"page1",#N/A,FALSE,"260"}</definedName>
    <definedName name="wrn2.page1_1_4_1" localSheetId="13" hidden="1">{"page1",#N/A,FALSE,"260"}</definedName>
    <definedName name="wrn2.page1_1_4_1" localSheetId="25" hidden="1">{"page1",#N/A,FALSE,"260"}</definedName>
    <definedName name="wrn2.page1_1_4_1" localSheetId="26" hidden="1">{"page1",#N/A,FALSE,"260"}</definedName>
    <definedName name="wrn2.page1_1_4_1" localSheetId="3" hidden="1">{"page1",#N/A,FALSE,"260"}</definedName>
    <definedName name="wrn2.page1_1_4_1" localSheetId="2" hidden="1">{"page1",#N/A,FALSE,"260"}</definedName>
    <definedName name="wrn2.page1_1_4_1" hidden="1">{"page1",#N/A,FALSE,"260"}</definedName>
    <definedName name="wrn2.page1_1_4_2" localSheetId="8" hidden="1">{"page1",#N/A,FALSE,"260"}</definedName>
    <definedName name="wrn2.page1_1_4_2" localSheetId="14" hidden="1">{"page1",#N/A,FALSE,"260"}</definedName>
    <definedName name="wrn2.page1_1_4_2" localSheetId="15" hidden="1">{"page1",#N/A,FALSE,"260"}</definedName>
    <definedName name="wrn2.page1_1_4_2" localSheetId="13" hidden="1">{"page1",#N/A,FALSE,"260"}</definedName>
    <definedName name="wrn2.page1_1_4_2" localSheetId="25" hidden="1">{"page1",#N/A,FALSE,"260"}</definedName>
    <definedName name="wrn2.page1_1_4_2" localSheetId="26" hidden="1">{"page1",#N/A,FALSE,"260"}</definedName>
    <definedName name="wrn2.page1_1_4_2" localSheetId="3" hidden="1">{"page1",#N/A,FALSE,"260"}</definedName>
    <definedName name="wrn2.page1_1_4_2" localSheetId="2" hidden="1">{"page1",#N/A,FALSE,"260"}</definedName>
    <definedName name="wrn2.page1_1_4_2" hidden="1">{"page1",#N/A,FALSE,"260"}</definedName>
    <definedName name="wrn2.page1_1_4_3" localSheetId="8" hidden="1">{"page1",#N/A,FALSE,"260"}</definedName>
    <definedName name="wrn2.page1_1_4_3" localSheetId="14" hidden="1">{"page1",#N/A,FALSE,"260"}</definedName>
    <definedName name="wrn2.page1_1_4_3" localSheetId="15" hidden="1">{"page1",#N/A,FALSE,"260"}</definedName>
    <definedName name="wrn2.page1_1_4_3" localSheetId="13" hidden="1">{"page1",#N/A,FALSE,"260"}</definedName>
    <definedName name="wrn2.page1_1_4_3" localSheetId="25" hidden="1">{"page1",#N/A,FALSE,"260"}</definedName>
    <definedName name="wrn2.page1_1_4_3" localSheetId="26" hidden="1">{"page1",#N/A,FALSE,"260"}</definedName>
    <definedName name="wrn2.page1_1_4_3" localSheetId="3" hidden="1">{"page1",#N/A,FALSE,"260"}</definedName>
    <definedName name="wrn2.page1_1_4_3" localSheetId="2" hidden="1">{"page1",#N/A,FALSE,"260"}</definedName>
    <definedName name="wrn2.page1_1_4_3" hidden="1">{"page1",#N/A,FALSE,"260"}</definedName>
    <definedName name="wrn2.page1_1_4_4" localSheetId="8" hidden="1">{"page1",#N/A,FALSE,"260"}</definedName>
    <definedName name="wrn2.page1_1_4_4" localSheetId="14" hidden="1">{"page1",#N/A,FALSE,"260"}</definedName>
    <definedName name="wrn2.page1_1_4_4" localSheetId="15" hidden="1">{"page1",#N/A,FALSE,"260"}</definedName>
    <definedName name="wrn2.page1_1_4_4" localSheetId="13" hidden="1">{"page1",#N/A,FALSE,"260"}</definedName>
    <definedName name="wrn2.page1_1_4_4" localSheetId="25" hidden="1">{"page1",#N/A,FALSE,"260"}</definedName>
    <definedName name="wrn2.page1_1_4_4" localSheetId="26" hidden="1">{"page1",#N/A,FALSE,"260"}</definedName>
    <definedName name="wrn2.page1_1_4_4" localSheetId="3" hidden="1">{"page1",#N/A,FALSE,"260"}</definedName>
    <definedName name="wrn2.page1_1_4_4" localSheetId="2" hidden="1">{"page1",#N/A,FALSE,"260"}</definedName>
    <definedName name="wrn2.page1_1_4_4" hidden="1">{"page1",#N/A,FALSE,"260"}</definedName>
    <definedName name="wrn2.page1_1_4_5" localSheetId="8" hidden="1">{"page1",#N/A,FALSE,"260"}</definedName>
    <definedName name="wrn2.page1_1_4_5" localSheetId="14" hidden="1">{"page1",#N/A,FALSE,"260"}</definedName>
    <definedName name="wrn2.page1_1_4_5" localSheetId="15" hidden="1">{"page1",#N/A,FALSE,"260"}</definedName>
    <definedName name="wrn2.page1_1_4_5" localSheetId="13" hidden="1">{"page1",#N/A,FALSE,"260"}</definedName>
    <definedName name="wrn2.page1_1_4_5" localSheetId="25" hidden="1">{"page1",#N/A,FALSE,"260"}</definedName>
    <definedName name="wrn2.page1_1_4_5" localSheetId="26" hidden="1">{"page1",#N/A,FALSE,"260"}</definedName>
    <definedName name="wrn2.page1_1_4_5" localSheetId="3" hidden="1">{"page1",#N/A,FALSE,"260"}</definedName>
    <definedName name="wrn2.page1_1_4_5" localSheetId="2" hidden="1">{"page1",#N/A,FALSE,"260"}</definedName>
    <definedName name="wrn2.page1_1_4_5" hidden="1">{"page1",#N/A,FALSE,"260"}</definedName>
    <definedName name="wrn2.page1_1_5" localSheetId="8" hidden="1">{"page1",#N/A,FALSE,"260"}</definedName>
    <definedName name="wrn2.page1_1_5" localSheetId="14" hidden="1">{"page1",#N/A,FALSE,"260"}</definedName>
    <definedName name="wrn2.page1_1_5" localSheetId="15" hidden="1">{"page1",#N/A,FALSE,"260"}</definedName>
    <definedName name="wrn2.page1_1_5" localSheetId="13" hidden="1">{"page1",#N/A,FALSE,"260"}</definedName>
    <definedName name="wrn2.page1_1_5" localSheetId="25" hidden="1">{"page1",#N/A,FALSE,"260"}</definedName>
    <definedName name="wrn2.page1_1_5" localSheetId="26" hidden="1">{"page1",#N/A,FALSE,"260"}</definedName>
    <definedName name="wrn2.page1_1_5" localSheetId="3" hidden="1">{"page1",#N/A,FALSE,"260"}</definedName>
    <definedName name="wrn2.page1_1_5" localSheetId="2" hidden="1">{"page1",#N/A,FALSE,"260"}</definedName>
    <definedName name="wrn2.page1_1_5" hidden="1">{"page1",#N/A,FALSE,"260"}</definedName>
    <definedName name="wrn2.page1_1_5_1" localSheetId="8" hidden="1">{"page1",#N/A,FALSE,"260"}</definedName>
    <definedName name="wrn2.page1_1_5_1" localSheetId="14" hidden="1">{"page1",#N/A,FALSE,"260"}</definedName>
    <definedName name="wrn2.page1_1_5_1" localSheetId="15" hidden="1">{"page1",#N/A,FALSE,"260"}</definedName>
    <definedName name="wrn2.page1_1_5_1" localSheetId="13" hidden="1">{"page1",#N/A,FALSE,"260"}</definedName>
    <definedName name="wrn2.page1_1_5_1" localSheetId="25" hidden="1">{"page1",#N/A,FALSE,"260"}</definedName>
    <definedName name="wrn2.page1_1_5_1" localSheetId="26" hidden="1">{"page1",#N/A,FALSE,"260"}</definedName>
    <definedName name="wrn2.page1_1_5_1" localSheetId="3" hidden="1">{"page1",#N/A,FALSE,"260"}</definedName>
    <definedName name="wrn2.page1_1_5_1" localSheetId="2" hidden="1">{"page1",#N/A,FALSE,"260"}</definedName>
    <definedName name="wrn2.page1_1_5_1" hidden="1">{"page1",#N/A,FALSE,"260"}</definedName>
    <definedName name="wrn2.page1_1_5_2" localSheetId="8" hidden="1">{"page1",#N/A,FALSE,"260"}</definedName>
    <definedName name="wrn2.page1_1_5_2" localSheetId="14" hidden="1">{"page1",#N/A,FALSE,"260"}</definedName>
    <definedName name="wrn2.page1_1_5_2" localSheetId="15" hidden="1">{"page1",#N/A,FALSE,"260"}</definedName>
    <definedName name="wrn2.page1_1_5_2" localSheetId="13" hidden="1">{"page1",#N/A,FALSE,"260"}</definedName>
    <definedName name="wrn2.page1_1_5_2" localSheetId="25" hidden="1">{"page1",#N/A,FALSE,"260"}</definedName>
    <definedName name="wrn2.page1_1_5_2" localSheetId="26" hidden="1">{"page1",#N/A,FALSE,"260"}</definedName>
    <definedName name="wrn2.page1_1_5_2" localSheetId="3" hidden="1">{"page1",#N/A,FALSE,"260"}</definedName>
    <definedName name="wrn2.page1_1_5_2" localSheetId="2" hidden="1">{"page1",#N/A,FALSE,"260"}</definedName>
    <definedName name="wrn2.page1_1_5_2" hidden="1">{"page1",#N/A,FALSE,"260"}</definedName>
    <definedName name="wrn2.page1_1_5_3" localSheetId="8" hidden="1">{"page1",#N/A,FALSE,"260"}</definedName>
    <definedName name="wrn2.page1_1_5_3" localSheetId="14" hidden="1">{"page1",#N/A,FALSE,"260"}</definedName>
    <definedName name="wrn2.page1_1_5_3" localSheetId="15" hidden="1">{"page1",#N/A,FALSE,"260"}</definedName>
    <definedName name="wrn2.page1_1_5_3" localSheetId="13" hidden="1">{"page1",#N/A,FALSE,"260"}</definedName>
    <definedName name="wrn2.page1_1_5_3" localSheetId="25" hidden="1">{"page1",#N/A,FALSE,"260"}</definedName>
    <definedName name="wrn2.page1_1_5_3" localSheetId="26" hidden="1">{"page1",#N/A,FALSE,"260"}</definedName>
    <definedName name="wrn2.page1_1_5_3" localSheetId="3" hidden="1">{"page1",#N/A,FALSE,"260"}</definedName>
    <definedName name="wrn2.page1_1_5_3" localSheetId="2" hidden="1">{"page1",#N/A,FALSE,"260"}</definedName>
    <definedName name="wrn2.page1_1_5_3" hidden="1">{"page1",#N/A,FALSE,"260"}</definedName>
    <definedName name="wrn2.page1_1_5_4" localSheetId="8" hidden="1">{"page1",#N/A,FALSE,"260"}</definedName>
    <definedName name="wrn2.page1_1_5_4" localSheetId="14" hidden="1">{"page1",#N/A,FALSE,"260"}</definedName>
    <definedName name="wrn2.page1_1_5_4" localSheetId="15" hidden="1">{"page1",#N/A,FALSE,"260"}</definedName>
    <definedName name="wrn2.page1_1_5_4" localSheetId="13" hidden="1">{"page1",#N/A,FALSE,"260"}</definedName>
    <definedName name="wrn2.page1_1_5_4" localSheetId="25" hidden="1">{"page1",#N/A,FALSE,"260"}</definedName>
    <definedName name="wrn2.page1_1_5_4" localSheetId="26" hidden="1">{"page1",#N/A,FALSE,"260"}</definedName>
    <definedName name="wrn2.page1_1_5_4" localSheetId="3" hidden="1">{"page1",#N/A,FALSE,"260"}</definedName>
    <definedName name="wrn2.page1_1_5_4" localSheetId="2" hidden="1">{"page1",#N/A,FALSE,"260"}</definedName>
    <definedName name="wrn2.page1_1_5_4" hidden="1">{"page1",#N/A,FALSE,"260"}</definedName>
    <definedName name="wrn2.page1_1_5_5" localSheetId="8" hidden="1">{"page1",#N/A,FALSE,"260"}</definedName>
    <definedName name="wrn2.page1_1_5_5" localSheetId="14" hidden="1">{"page1",#N/A,FALSE,"260"}</definedName>
    <definedName name="wrn2.page1_1_5_5" localSheetId="15" hidden="1">{"page1",#N/A,FALSE,"260"}</definedName>
    <definedName name="wrn2.page1_1_5_5" localSheetId="13" hidden="1">{"page1",#N/A,FALSE,"260"}</definedName>
    <definedName name="wrn2.page1_1_5_5" localSheetId="25" hidden="1">{"page1",#N/A,FALSE,"260"}</definedName>
    <definedName name="wrn2.page1_1_5_5" localSheetId="26" hidden="1">{"page1",#N/A,FALSE,"260"}</definedName>
    <definedName name="wrn2.page1_1_5_5" localSheetId="3" hidden="1">{"page1",#N/A,FALSE,"260"}</definedName>
    <definedName name="wrn2.page1_1_5_5" localSheetId="2" hidden="1">{"page1",#N/A,FALSE,"260"}</definedName>
    <definedName name="wrn2.page1_1_5_5" hidden="1">{"page1",#N/A,FALSE,"260"}</definedName>
    <definedName name="wrn2.page1_2" localSheetId="8" hidden="1">{"page1",#N/A,FALSE,"260"}</definedName>
    <definedName name="wrn2.page1_2" localSheetId="14" hidden="1">{"page1",#N/A,FALSE,"260"}</definedName>
    <definedName name="wrn2.page1_2" localSheetId="15" hidden="1">{"page1",#N/A,FALSE,"260"}</definedName>
    <definedName name="wrn2.page1_2" localSheetId="13" hidden="1">{"page1",#N/A,FALSE,"260"}</definedName>
    <definedName name="wrn2.page1_2" localSheetId="25" hidden="1">{"page1",#N/A,FALSE,"260"}</definedName>
    <definedName name="wrn2.page1_2" localSheetId="26" hidden="1">{"page1",#N/A,FALSE,"260"}</definedName>
    <definedName name="wrn2.page1_2" localSheetId="3" hidden="1">{"page1",#N/A,FALSE,"260"}</definedName>
    <definedName name="wrn2.page1_2" localSheetId="2" hidden="1">{"page1",#N/A,FALSE,"260"}</definedName>
    <definedName name="wrn2.page1_2" hidden="1">{"page1",#N/A,FALSE,"260"}</definedName>
    <definedName name="wrn2.page1_2_1" localSheetId="8" hidden="1">{"page1",#N/A,FALSE,"260"}</definedName>
    <definedName name="wrn2.page1_2_1" localSheetId="14" hidden="1">{"page1",#N/A,FALSE,"260"}</definedName>
    <definedName name="wrn2.page1_2_1" localSheetId="15" hidden="1">{"page1",#N/A,FALSE,"260"}</definedName>
    <definedName name="wrn2.page1_2_1" localSheetId="13" hidden="1">{"page1",#N/A,FALSE,"260"}</definedName>
    <definedName name="wrn2.page1_2_1" localSheetId="25" hidden="1">{"page1",#N/A,FALSE,"260"}</definedName>
    <definedName name="wrn2.page1_2_1" localSheetId="26" hidden="1">{"page1",#N/A,FALSE,"260"}</definedName>
    <definedName name="wrn2.page1_2_1" localSheetId="3" hidden="1">{"page1",#N/A,FALSE,"260"}</definedName>
    <definedName name="wrn2.page1_2_1" localSheetId="2" hidden="1">{"page1",#N/A,FALSE,"260"}</definedName>
    <definedName name="wrn2.page1_2_1" hidden="1">{"page1",#N/A,FALSE,"260"}</definedName>
    <definedName name="wrn2.page1_2_1_1" localSheetId="8" hidden="1">{"page1",#N/A,FALSE,"260"}</definedName>
    <definedName name="wrn2.page1_2_1_1" localSheetId="14" hidden="1">{"page1",#N/A,FALSE,"260"}</definedName>
    <definedName name="wrn2.page1_2_1_1" localSheetId="15" hidden="1">{"page1",#N/A,FALSE,"260"}</definedName>
    <definedName name="wrn2.page1_2_1_1" localSheetId="13" hidden="1">{"page1",#N/A,FALSE,"260"}</definedName>
    <definedName name="wrn2.page1_2_1_1" localSheetId="25" hidden="1">{"page1",#N/A,FALSE,"260"}</definedName>
    <definedName name="wrn2.page1_2_1_1" localSheetId="26" hidden="1">{"page1",#N/A,FALSE,"260"}</definedName>
    <definedName name="wrn2.page1_2_1_1" localSheetId="3" hidden="1">{"page1",#N/A,FALSE,"260"}</definedName>
    <definedName name="wrn2.page1_2_1_1" localSheetId="2" hidden="1">{"page1",#N/A,FALSE,"260"}</definedName>
    <definedName name="wrn2.page1_2_1_1" hidden="1">{"page1",#N/A,FALSE,"260"}</definedName>
    <definedName name="wrn2.page1_2_1_2" localSheetId="8" hidden="1">{"page1",#N/A,FALSE,"260"}</definedName>
    <definedName name="wrn2.page1_2_1_2" localSheetId="14" hidden="1">{"page1",#N/A,FALSE,"260"}</definedName>
    <definedName name="wrn2.page1_2_1_2" localSheetId="15" hidden="1">{"page1",#N/A,FALSE,"260"}</definedName>
    <definedName name="wrn2.page1_2_1_2" localSheetId="13" hidden="1">{"page1",#N/A,FALSE,"260"}</definedName>
    <definedName name="wrn2.page1_2_1_2" localSheetId="25" hidden="1">{"page1",#N/A,FALSE,"260"}</definedName>
    <definedName name="wrn2.page1_2_1_2" localSheetId="26" hidden="1">{"page1",#N/A,FALSE,"260"}</definedName>
    <definedName name="wrn2.page1_2_1_2" localSheetId="3" hidden="1">{"page1",#N/A,FALSE,"260"}</definedName>
    <definedName name="wrn2.page1_2_1_2" localSheetId="2" hidden="1">{"page1",#N/A,FALSE,"260"}</definedName>
    <definedName name="wrn2.page1_2_1_2" hidden="1">{"page1",#N/A,FALSE,"260"}</definedName>
    <definedName name="wrn2.page1_2_1_3" localSheetId="8" hidden="1">{"page1",#N/A,FALSE,"260"}</definedName>
    <definedName name="wrn2.page1_2_1_3" localSheetId="14" hidden="1">{"page1",#N/A,FALSE,"260"}</definedName>
    <definedName name="wrn2.page1_2_1_3" localSheetId="15" hidden="1">{"page1",#N/A,FALSE,"260"}</definedName>
    <definedName name="wrn2.page1_2_1_3" localSheetId="13" hidden="1">{"page1",#N/A,FALSE,"260"}</definedName>
    <definedName name="wrn2.page1_2_1_3" localSheetId="25" hidden="1">{"page1",#N/A,FALSE,"260"}</definedName>
    <definedName name="wrn2.page1_2_1_3" localSheetId="26" hidden="1">{"page1",#N/A,FALSE,"260"}</definedName>
    <definedName name="wrn2.page1_2_1_3" localSheetId="3" hidden="1">{"page1",#N/A,FALSE,"260"}</definedName>
    <definedName name="wrn2.page1_2_1_3" localSheetId="2" hidden="1">{"page1",#N/A,FALSE,"260"}</definedName>
    <definedName name="wrn2.page1_2_1_3" hidden="1">{"page1",#N/A,FALSE,"260"}</definedName>
    <definedName name="wrn2.page1_2_1_4" localSheetId="8" hidden="1">{"page1",#N/A,FALSE,"260"}</definedName>
    <definedName name="wrn2.page1_2_1_4" localSheetId="14" hidden="1">{"page1",#N/A,FALSE,"260"}</definedName>
    <definedName name="wrn2.page1_2_1_4" localSheetId="15" hidden="1">{"page1",#N/A,FALSE,"260"}</definedName>
    <definedName name="wrn2.page1_2_1_4" localSheetId="13" hidden="1">{"page1",#N/A,FALSE,"260"}</definedName>
    <definedName name="wrn2.page1_2_1_4" localSheetId="25" hidden="1">{"page1",#N/A,FALSE,"260"}</definedName>
    <definedName name="wrn2.page1_2_1_4" localSheetId="26" hidden="1">{"page1",#N/A,FALSE,"260"}</definedName>
    <definedName name="wrn2.page1_2_1_4" localSheetId="3" hidden="1">{"page1",#N/A,FALSE,"260"}</definedName>
    <definedName name="wrn2.page1_2_1_4" localSheetId="2" hidden="1">{"page1",#N/A,FALSE,"260"}</definedName>
    <definedName name="wrn2.page1_2_1_4" hidden="1">{"page1",#N/A,FALSE,"260"}</definedName>
    <definedName name="wrn2.page1_2_1_5" localSheetId="8" hidden="1">{"page1",#N/A,FALSE,"260"}</definedName>
    <definedName name="wrn2.page1_2_1_5" localSheetId="14" hidden="1">{"page1",#N/A,FALSE,"260"}</definedName>
    <definedName name="wrn2.page1_2_1_5" localSheetId="15" hidden="1">{"page1",#N/A,FALSE,"260"}</definedName>
    <definedName name="wrn2.page1_2_1_5" localSheetId="13" hidden="1">{"page1",#N/A,FALSE,"260"}</definedName>
    <definedName name="wrn2.page1_2_1_5" localSheetId="25" hidden="1">{"page1",#N/A,FALSE,"260"}</definedName>
    <definedName name="wrn2.page1_2_1_5" localSheetId="26" hidden="1">{"page1",#N/A,FALSE,"260"}</definedName>
    <definedName name="wrn2.page1_2_1_5" localSheetId="3" hidden="1">{"page1",#N/A,FALSE,"260"}</definedName>
    <definedName name="wrn2.page1_2_1_5" localSheetId="2" hidden="1">{"page1",#N/A,FALSE,"260"}</definedName>
    <definedName name="wrn2.page1_2_1_5" hidden="1">{"page1",#N/A,FALSE,"260"}</definedName>
    <definedName name="wrn2.page1_2_2" localSheetId="8" hidden="1">{"page1",#N/A,FALSE,"260"}</definedName>
    <definedName name="wrn2.page1_2_2" localSheetId="14" hidden="1">{"page1",#N/A,FALSE,"260"}</definedName>
    <definedName name="wrn2.page1_2_2" localSheetId="15" hidden="1">{"page1",#N/A,FALSE,"260"}</definedName>
    <definedName name="wrn2.page1_2_2" localSheetId="13" hidden="1">{"page1",#N/A,FALSE,"260"}</definedName>
    <definedName name="wrn2.page1_2_2" localSheetId="25" hidden="1">{"page1",#N/A,FALSE,"260"}</definedName>
    <definedName name="wrn2.page1_2_2" localSheetId="26" hidden="1">{"page1",#N/A,FALSE,"260"}</definedName>
    <definedName name="wrn2.page1_2_2" localSheetId="3" hidden="1">{"page1",#N/A,FALSE,"260"}</definedName>
    <definedName name="wrn2.page1_2_2" localSheetId="2" hidden="1">{"page1",#N/A,FALSE,"260"}</definedName>
    <definedName name="wrn2.page1_2_2" hidden="1">{"page1",#N/A,FALSE,"260"}</definedName>
    <definedName name="wrn2.page1_2_2_1" localSheetId="8" hidden="1">{"page1",#N/A,FALSE,"260"}</definedName>
    <definedName name="wrn2.page1_2_2_1" localSheetId="14" hidden="1">{"page1",#N/A,FALSE,"260"}</definedName>
    <definedName name="wrn2.page1_2_2_1" localSheetId="15" hidden="1">{"page1",#N/A,FALSE,"260"}</definedName>
    <definedName name="wrn2.page1_2_2_1" localSheetId="13" hidden="1">{"page1",#N/A,FALSE,"260"}</definedName>
    <definedName name="wrn2.page1_2_2_1" localSheetId="25" hidden="1">{"page1",#N/A,FALSE,"260"}</definedName>
    <definedName name="wrn2.page1_2_2_1" localSheetId="26" hidden="1">{"page1",#N/A,FALSE,"260"}</definedName>
    <definedName name="wrn2.page1_2_2_1" localSheetId="3" hidden="1">{"page1",#N/A,FALSE,"260"}</definedName>
    <definedName name="wrn2.page1_2_2_1" localSheetId="2" hidden="1">{"page1",#N/A,FALSE,"260"}</definedName>
    <definedName name="wrn2.page1_2_2_1" hidden="1">{"page1",#N/A,FALSE,"260"}</definedName>
    <definedName name="wrn2.page1_2_2_2" localSheetId="8" hidden="1">{"page1",#N/A,FALSE,"260"}</definedName>
    <definedName name="wrn2.page1_2_2_2" localSheetId="14" hidden="1">{"page1",#N/A,FALSE,"260"}</definedName>
    <definedName name="wrn2.page1_2_2_2" localSheetId="15" hidden="1">{"page1",#N/A,FALSE,"260"}</definedName>
    <definedName name="wrn2.page1_2_2_2" localSheetId="13" hidden="1">{"page1",#N/A,FALSE,"260"}</definedName>
    <definedName name="wrn2.page1_2_2_2" localSheetId="25" hidden="1">{"page1",#N/A,FALSE,"260"}</definedName>
    <definedName name="wrn2.page1_2_2_2" localSheetId="26" hidden="1">{"page1",#N/A,FALSE,"260"}</definedName>
    <definedName name="wrn2.page1_2_2_2" localSheetId="3" hidden="1">{"page1",#N/A,FALSE,"260"}</definedName>
    <definedName name="wrn2.page1_2_2_2" localSheetId="2" hidden="1">{"page1",#N/A,FALSE,"260"}</definedName>
    <definedName name="wrn2.page1_2_2_2" hidden="1">{"page1",#N/A,FALSE,"260"}</definedName>
    <definedName name="wrn2.page1_2_2_3" localSheetId="8" hidden="1">{"page1",#N/A,FALSE,"260"}</definedName>
    <definedName name="wrn2.page1_2_2_3" localSheetId="14" hidden="1">{"page1",#N/A,FALSE,"260"}</definedName>
    <definedName name="wrn2.page1_2_2_3" localSheetId="15" hidden="1">{"page1",#N/A,FALSE,"260"}</definedName>
    <definedName name="wrn2.page1_2_2_3" localSheetId="13" hidden="1">{"page1",#N/A,FALSE,"260"}</definedName>
    <definedName name="wrn2.page1_2_2_3" localSheetId="25" hidden="1">{"page1",#N/A,FALSE,"260"}</definedName>
    <definedName name="wrn2.page1_2_2_3" localSheetId="26" hidden="1">{"page1",#N/A,FALSE,"260"}</definedName>
    <definedName name="wrn2.page1_2_2_3" localSheetId="3" hidden="1">{"page1",#N/A,FALSE,"260"}</definedName>
    <definedName name="wrn2.page1_2_2_3" localSheetId="2" hidden="1">{"page1",#N/A,FALSE,"260"}</definedName>
    <definedName name="wrn2.page1_2_2_3" hidden="1">{"page1",#N/A,FALSE,"260"}</definedName>
    <definedName name="wrn2.page1_2_2_4" localSheetId="8" hidden="1">{"page1",#N/A,FALSE,"260"}</definedName>
    <definedName name="wrn2.page1_2_2_4" localSheetId="14" hidden="1">{"page1",#N/A,FALSE,"260"}</definedName>
    <definedName name="wrn2.page1_2_2_4" localSheetId="15" hidden="1">{"page1",#N/A,FALSE,"260"}</definedName>
    <definedName name="wrn2.page1_2_2_4" localSheetId="13" hidden="1">{"page1",#N/A,FALSE,"260"}</definedName>
    <definedName name="wrn2.page1_2_2_4" localSheetId="25" hidden="1">{"page1",#N/A,FALSE,"260"}</definedName>
    <definedName name="wrn2.page1_2_2_4" localSheetId="26" hidden="1">{"page1",#N/A,FALSE,"260"}</definedName>
    <definedName name="wrn2.page1_2_2_4" localSheetId="3" hidden="1">{"page1",#N/A,FALSE,"260"}</definedName>
    <definedName name="wrn2.page1_2_2_4" localSheetId="2" hidden="1">{"page1",#N/A,FALSE,"260"}</definedName>
    <definedName name="wrn2.page1_2_2_4" hidden="1">{"page1",#N/A,FALSE,"260"}</definedName>
    <definedName name="wrn2.page1_2_2_5" localSheetId="8" hidden="1">{"page1",#N/A,FALSE,"260"}</definedName>
    <definedName name="wrn2.page1_2_2_5" localSheetId="14" hidden="1">{"page1",#N/A,FALSE,"260"}</definedName>
    <definedName name="wrn2.page1_2_2_5" localSheetId="15" hidden="1">{"page1",#N/A,FALSE,"260"}</definedName>
    <definedName name="wrn2.page1_2_2_5" localSheetId="13" hidden="1">{"page1",#N/A,FALSE,"260"}</definedName>
    <definedName name="wrn2.page1_2_2_5" localSheetId="25" hidden="1">{"page1",#N/A,FALSE,"260"}</definedName>
    <definedName name="wrn2.page1_2_2_5" localSheetId="26" hidden="1">{"page1",#N/A,FALSE,"260"}</definedName>
    <definedName name="wrn2.page1_2_2_5" localSheetId="3" hidden="1">{"page1",#N/A,FALSE,"260"}</definedName>
    <definedName name="wrn2.page1_2_2_5" localSheetId="2" hidden="1">{"page1",#N/A,FALSE,"260"}</definedName>
    <definedName name="wrn2.page1_2_2_5" hidden="1">{"page1",#N/A,FALSE,"260"}</definedName>
    <definedName name="wrn2.page1_2_3" localSheetId="8" hidden="1">{"page1",#N/A,FALSE,"260"}</definedName>
    <definedName name="wrn2.page1_2_3" localSheetId="14" hidden="1">{"page1",#N/A,FALSE,"260"}</definedName>
    <definedName name="wrn2.page1_2_3" localSheetId="15" hidden="1">{"page1",#N/A,FALSE,"260"}</definedName>
    <definedName name="wrn2.page1_2_3" localSheetId="13" hidden="1">{"page1",#N/A,FALSE,"260"}</definedName>
    <definedName name="wrn2.page1_2_3" localSheetId="25" hidden="1">{"page1",#N/A,FALSE,"260"}</definedName>
    <definedName name="wrn2.page1_2_3" localSheetId="26" hidden="1">{"page1",#N/A,FALSE,"260"}</definedName>
    <definedName name="wrn2.page1_2_3" localSheetId="3" hidden="1">{"page1",#N/A,FALSE,"260"}</definedName>
    <definedName name="wrn2.page1_2_3" localSheetId="2" hidden="1">{"page1",#N/A,FALSE,"260"}</definedName>
    <definedName name="wrn2.page1_2_3" hidden="1">{"page1",#N/A,FALSE,"260"}</definedName>
    <definedName name="wrn2.page1_2_3_1" localSheetId="8" hidden="1">{"page1",#N/A,FALSE,"260"}</definedName>
    <definedName name="wrn2.page1_2_3_1" localSheetId="14" hidden="1">{"page1",#N/A,FALSE,"260"}</definedName>
    <definedName name="wrn2.page1_2_3_1" localSheetId="15" hidden="1">{"page1",#N/A,FALSE,"260"}</definedName>
    <definedName name="wrn2.page1_2_3_1" localSheetId="13" hidden="1">{"page1",#N/A,FALSE,"260"}</definedName>
    <definedName name="wrn2.page1_2_3_1" localSheetId="25" hidden="1">{"page1",#N/A,FALSE,"260"}</definedName>
    <definedName name="wrn2.page1_2_3_1" localSheetId="26" hidden="1">{"page1",#N/A,FALSE,"260"}</definedName>
    <definedName name="wrn2.page1_2_3_1" localSheetId="3" hidden="1">{"page1",#N/A,FALSE,"260"}</definedName>
    <definedName name="wrn2.page1_2_3_1" localSheetId="2" hidden="1">{"page1",#N/A,FALSE,"260"}</definedName>
    <definedName name="wrn2.page1_2_3_1" hidden="1">{"page1",#N/A,FALSE,"260"}</definedName>
    <definedName name="wrn2.page1_2_3_2" localSheetId="8" hidden="1">{"page1",#N/A,FALSE,"260"}</definedName>
    <definedName name="wrn2.page1_2_3_2" localSheetId="14" hidden="1">{"page1",#N/A,FALSE,"260"}</definedName>
    <definedName name="wrn2.page1_2_3_2" localSheetId="15" hidden="1">{"page1",#N/A,FALSE,"260"}</definedName>
    <definedName name="wrn2.page1_2_3_2" localSheetId="13" hidden="1">{"page1",#N/A,FALSE,"260"}</definedName>
    <definedName name="wrn2.page1_2_3_2" localSheetId="25" hidden="1">{"page1",#N/A,FALSE,"260"}</definedName>
    <definedName name="wrn2.page1_2_3_2" localSheetId="26" hidden="1">{"page1",#N/A,FALSE,"260"}</definedName>
    <definedName name="wrn2.page1_2_3_2" localSheetId="3" hidden="1">{"page1",#N/A,FALSE,"260"}</definedName>
    <definedName name="wrn2.page1_2_3_2" localSheetId="2" hidden="1">{"page1",#N/A,FALSE,"260"}</definedName>
    <definedName name="wrn2.page1_2_3_2" hidden="1">{"page1",#N/A,FALSE,"260"}</definedName>
    <definedName name="wrn2.page1_2_3_3" localSheetId="8" hidden="1">{"page1",#N/A,FALSE,"260"}</definedName>
    <definedName name="wrn2.page1_2_3_3" localSheetId="14" hidden="1">{"page1",#N/A,FALSE,"260"}</definedName>
    <definedName name="wrn2.page1_2_3_3" localSheetId="15" hidden="1">{"page1",#N/A,FALSE,"260"}</definedName>
    <definedName name="wrn2.page1_2_3_3" localSheetId="13" hidden="1">{"page1",#N/A,FALSE,"260"}</definedName>
    <definedName name="wrn2.page1_2_3_3" localSheetId="25" hidden="1">{"page1",#N/A,FALSE,"260"}</definedName>
    <definedName name="wrn2.page1_2_3_3" localSheetId="26" hidden="1">{"page1",#N/A,FALSE,"260"}</definedName>
    <definedName name="wrn2.page1_2_3_3" localSheetId="3" hidden="1">{"page1",#N/A,FALSE,"260"}</definedName>
    <definedName name="wrn2.page1_2_3_3" localSheetId="2" hidden="1">{"page1",#N/A,FALSE,"260"}</definedName>
    <definedName name="wrn2.page1_2_3_3" hidden="1">{"page1",#N/A,FALSE,"260"}</definedName>
    <definedName name="wrn2.page1_2_3_4" localSheetId="8" hidden="1">{"page1",#N/A,FALSE,"260"}</definedName>
    <definedName name="wrn2.page1_2_3_4" localSheetId="14" hidden="1">{"page1",#N/A,FALSE,"260"}</definedName>
    <definedName name="wrn2.page1_2_3_4" localSheetId="15" hidden="1">{"page1",#N/A,FALSE,"260"}</definedName>
    <definedName name="wrn2.page1_2_3_4" localSheetId="13" hidden="1">{"page1",#N/A,FALSE,"260"}</definedName>
    <definedName name="wrn2.page1_2_3_4" localSheetId="25" hidden="1">{"page1",#N/A,FALSE,"260"}</definedName>
    <definedName name="wrn2.page1_2_3_4" localSheetId="26" hidden="1">{"page1",#N/A,FALSE,"260"}</definedName>
    <definedName name="wrn2.page1_2_3_4" localSheetId="3" hidden="1">{"page1",#N/A,FALSE,"260"}</definedName>
    <definedName name="wrn2.page1_2_3_4" localSheetId="2" hidden="1">{"page1",#N/A,FALSE,"260"}</definedName>
    <definedName name="wrn2.page1_2_3_4" hidden="1">{"page1",#N/A,FALSE,"260"}</definedName>
    <definedName name="wrn2.page1_2_3_5" localSheetId="8" hidden="1">{"page1",#N/A,FALSE,"260"}</definedName>
    <definedName name="wrn2.page1_2_3_5" localSheetId="14" hidden="1">{"page1",#N/A,FALSE,"260"}</definedName>
    <definedName name="wrn2.page1_2_3_5" localSheetId="15" hidden="1">{"page1",#N/A,FALSE,"260"}</definedName>
    <definedName name="wrn2.page1_2_3_5" localSheetId="13" hidden="1">{"page1",#N/A,FALSE,"260"}</definedName>
    <definedName name="wrn2.page1_2_3_5" localSheetId="25" hidden="1">{"page1",#N/A,FALSE,"260"}</definedName>
    <definedName name="wrn2.page1_2_3_5" localSheetId="26" hidden="1">{"page1",#N/A,FALSE,"260"}</definedName>
    <definedName name="wrn2.page1_2_3_5" localSheetId="3" hidden="1">{"page1",#N/A,FALSE,"260"}</definedName>
    <definedName name="wrn2.page1_2_3_5" localSheetId="2" hidden="1">{"page1",#N/A,FALSE,"260"}</definedName>
    <definedName name="wrn2.page1_2_3_5" hidden="1">{"page1",#N/A,FALSE,"260"}</definedName>
    <definedName name="wrn2.page1_2_4" localSheetId="8" hidden="1">{"page1",#N/A,FALSE,"260"}</definedName>
    <definedName name="wrn2.page1_2_4" localSheetId="14" hidden="1">{"page1",#N/A,FALSE,"260"}</definedName>
    <definedName name="wrn2.page1_2_4" localSheetId="15" hidden="1">{"page1",#N/A,FALSE,"260"}</definedName>
    <definedName name="wrn2.page1_2_4" localSheetId="13" hidden="1">{"page1",#N/A,FALSE,"260"}</definedName>
    <definedName name="wrn2.page1_2_4" localSheetId="25" hidden="1">{"page1",#N/A,FALSE,"260"}</definedName>
    <definedName name="wrn2.page1_2_4" localSheetId="26" hidden="1">{"page1",#N/A,FALSE,"260"}</definedName>
    <definedName name="wrn2.page1_2_4" localSheetId="3" hidden="1">{"page1",#N/A,FALSE,"260"}</definedName>
    <definedName name="wrn2.page1_2_4" localSheetId="2" hidden="1">{"page1",#N/A,FALSE,"260"}</definedName>
    <definedName name="wrn2.page1_2_4" hidden="1">{"page1",#N/A,FALSE,"260"}</definedName>
    <definedName name="wrn2.page1_2_4_1" localSheetId="8" hidden="1">{"page1",#N/A,FALSE,"260"}</definedName>
    <definedName name="wrn2.page1_2_4_1" localSheetId="14" hidden="1">{"page1",#N/A,FALSE,"260"}</definedName>
    <definedName name="wrn2.page1_2_4_1" localSheetId="15" hidden="1">{"page1",#N/A,FALSE,"260"}</definedName>
    <definedName name="wrn2.page1_2_4_1" localSheetId="13" hidden="1">{"page1",#N/A,FALSE,"260"}</definedName>
    <definedName name="wrn2.page1_2_4_1" localSheetId="25" hidden="1">{"page1",#N/A,FALSE,"260"}</definedName>
    <definedName name="wrn2.page1_2_4_1" localSheetId="26" hidden="1">{"page1",#N/A,FALSE,"260"}</definedName>
    <definedName name="wrn2.page1_2_4_1" localSheetId="3" hidden="1">{"page1",#N/A,FALSE,"260"}</definedName>
    <definedName name="wrn2.page1_2_4_1" localSheetId="2" hidden="1">{"page1",#N/A,FALSE,"260"}</definedName>
    <definedName name="wrn2.page1_2_4_1" hidden="1">{"page1",#N/A,FALSE,"260"}</definedName>
    <definedName name="wrn2.page1_2_4_2" localSheetId="8" hidden="1">{"page1",#N/A,FALSE,"260"}</definedName>
    <definedName name="wrn2.page1_2_4_2" localSheetId="14" hidden="1">{"page1",#N/A,FALSE,"260"}</definedName>
    <definedName name="wrn2.page1_2_4_2" localSheetId="15" hidden="1">{"page1",#N/A,FALSE,"260"}</definedName>
    <definedName name="wrn2.page1_2_4_2" localSheetId="13" hidden="1">{"page1",#N/A,FALSE,"260"}</definedName>
    <definedName name="wrn2.page1_2_4_2" localSheetId="25" hidden="1">{"page1",#N/A,FALSE,"260"}</definedName>
    <definedName name="wrn2.page1_2_4_2" localSheetId="26" hidden="1">{"page1",#N/A,FALSE,"260"}</definedName>
    <definedName name="wrn2.page1_2_4_2" localSheetId="3" hidden="1">{"page1",#N/A,FALSE,"260"}</definedName>
    <definedName name="wrn2.page1_2_4_2" localSheetId="2" hidden="1">{"page1",#N/A,FALSE,"260"}</definedName>
    <definedName name="wrn2.page1_2_4_2" hidden="1">{"page1",#N/A,FALSE,"260"}</definedName>
    <definedName name="wrn2.page1_2_4_3" localSheetId="8" hidden="1">{"page1",#N/A,FALSE,"260"}</definedName>
    <definedName name="wrn2.page1_2_4_3" localSheetId="14" hidden="1">{"page1",#N/A,FALSE,"260"}</definedName>
    <definedName name="wrn2.page1_2_4_3" localSheetId="15" hidden="1">{"page1",#N/A,FALSE,"260"}</definedName>
    <definedName name="wrn2.page1_2_4_3" localSheetId="13" hidden="1">{"page1",#N/A,FALSE,"260"}</definedName>
    <definedName name="wrn2.page1_2_4_3" localSheetId="25" hidden="1">{"page1",#N/A,FALSE,"260"}</definedName>
    <definedName name="wrn2.page1_2_4_3" localSheetId="26" hidden="1">{"page1",#N/A,FALSE,"260"}</definedName>
    <definedName name="wrn2.page1_2_4_3" localSheetId="3" hidden="1">{"page1",#N/A,FALSE,"260"}</definedName>
    <definedName name="wrn2.page1_2_4_3" localSheetId="2" hidden="1">{"page1",#N/A,FALSE,"260"}</definedName>
    <definedName name="wrn2.page1_2_4_3" hidden="1">{"page1",#N/A,FALSE,"260"}</definedName>
    <definedName name="wrn2.page1_2_4_4" localSheetId="8" hidden="1">{"page1",#N/A,FALSE,"260"}</definedName>
    <definedName name="wrn2.page1_2_4_4" localSheetId="14" hidden="1">{"page1",#N/A,FALSE,"260"}</definedName>
    <definedName name="wrn2.page1_2_4_4" localSheetId="15" hidden="1">{"page1",#N/A,FALSE,"260"}</definedName>
    <definedName name="wrn2.page1_2_4_4" localSheetId="13" hidden="1">{"page1",#N/A,FALSE,"260"}</definedName>
    <definedName name="wrn2.page1_2_4_4" localSheetId="25" hidden="1">{"page1",#N/A,FALSE,"260"}</definedName>
    <definedName name="wrn2.page1_2_4_4" localSheetId="26" hidden="1">{"page1",#N/A,FALSE,"260"}</definedName>
    <definedName name="wrn2.page1_2_4_4" localSheetId="3" hidden="1">{"page1",#N/A,FALSE,"260"}</definedName>
    <definedName name="wrn2.page1_2_4_4" localSheetId="2" hidden="1">{"page1",#N/A,FALSE,"260"}</definedName>
    <definedName name="wrn2.page1_2_4_4" hidden="1">{"page1",#N/A,FALSE,"260"}</definedName>
    <definedName name="wrn2.page1_2_4_5" localSheetId="8" hidden="1">{"page1",#N/A,FALSE,"260"}</definedName>
    <definedName name="wrn2.page1_2_4_5" localSheetId="14" hidden="1">{"page1",#N/A,FALSE,"260"}</definedName>
    <definedName name="wrn2.page1_2_4_5" localSheetId="15" hidden="1">{"page1",#N/A,FALSE,"260"}</definedName>
    <definedName name="wrn2.page1_2_4_5" localSheetId="13" hidden="1">{"page1",#N/A,FALSE,"260"}</definedName>
    <definedName name="wrn2.page1_2_4_5" localSheetId="25" hidden="1">{"page1",#N/A,FALSE,"260"}</definedName>
    <definedName name="wrn2.page1_2_4_5" localSheetId="26" hidden="1">{"page1",#N/A,FALSE,"260"}</definedName>
    <definedName name="wrn2.page1_2_4_5" localSheetId="3" hidden="1">{"page1",#N/A,FALSE,"260"}</definedName>
    <definedName name="wrn2.page1_2_4_5" localSheetId="2" hidden="1">{"page1",#N/A,FALSE,"260"}</definedName>
    <definedName name="wrn2.page1_2_4_5" hidden="1">{"page1",#N/A,FALSE,"260"}</definedName>
    <definedName name="wrn2.page1_2_5" localSheetId="8" hidden="1">{"page1",#N/A,FALSE,"260"}</definedName>
    <definedName name="wrn2.page1_2_5" localSheetId="14" hidden="1">{"page1",#N/A,FALSE,"260"}</definedName>
    <definedName name="wrn2.page1_2_5" localSheetId="15" hidden="1">{"page1",#N/A,FALSE,"260"}</definedName>
    <definedName name="wrn2.page1_2_5" localSheetId="13" hidden="1">{"page1",#N/A,FALSE,"260"}</definedName>
    <definedName name="wrn2.page1_2_5" localSheetId="25" hidden="1">{"page1",#N/A,FALSE,"260"}</definedName>
    <definedName name="wrn2.page1_2_5" localSheetId="26" hidden="1">{"page1",#N/A,FALSE,"260"}</definedName>
    <definedName name="wrn2.page1_2_5" localSheetId="3" hidden="1">{"page1",#N/A,FALSE,"260"}</definedName>
    <definedName name="wrn2.page1_2_5" localSheetId="2" hidden="1">{"page1",#N/A,FALSE,"260"}</definedName>
    <definedName name="wrn2.page1_2_5" hidden="1">{"page1",#N/A,FALSE,"260"}</definedName>
    <definedName name="wrn2.page1_2_5_1" localSheetId="8" hidden="1">{"page1",#N/A,FALSE,"260"}</definedName>
    <definedName name="wrn2.page1_2_5_1" localSheetId="14" hidden="1">{"page1",#N/A,FALSE,"260"}</definedName>
    <definedName name="wrn2.page1_2_5_1" localSheetId="15" hidden="1">{"page1",#N/A,FALSE,"260"}</definedName>
    <definedName name="wrn2.page1_2_5_1" localSheetId="13" hidden="1">{"page1",#N/A,FALSE,"260"}</definedName>
    <definedName name="wrn2.page1_2_5_1" localSheetId="25" hidden="1">{"page1",#N/A,FALSE,"260"}</definedName>
    <definedName name="wrn2.page1_2_5_1" localSheetId="26" hidden="1">{"page1",#N/A,FALSE,"260"}</definedName>
    <definedName name="wrn2.page1_2_5_1" localSheetId="3" hidden="1">{"page1",#N/A,FALSE,"260"}</definedName>
    <definedName name="wrn2.page1_2_5_1" localSheetId="2" hidden="1">{"page1",#N/A,FALSE,"260"}</definedName>
    <definedName name="wrn2.page1_2_5_1" hidden="1">{"page1",#N/A,FALSE,"260"}</definedName>
    <definedName name="wrn2.page1_2_5_2" localSheetId="8" hidden="1">{"page1",#N/A,FALSE,"260"}</definedName>
    <definedName name="wrn2.page1_2_5_2" localSheetId="14" hidden="1">{"page1",#N/A,FALSE,"260"}</definedName>
    <definedName name="wrn2.page1_2_5_2" localSheetId="15" hidden="1">{"page1",#N/A,FALSE,"260"}</definedName>
    <definedName name="wrn2.page1_2_5_2" localSheetId="13" hidden="1">{"page1",#N/A,FALSE,"260"}</definedName>
    <definedName name="wrn2.page1_2_5_2" localSheetId="25" hidden="1">{"page1",#N/A,FALSE,"260"}</definedName>
    <definedName name="wrn2.page1_2_5_2" localSheetId="26" hidden="1">{"page1",#N/A,FALSE,"260"}</definedName>
    <definedName name="wrn2.page1_2_5_2" localSheetId="3" hidden="1">{"page1",#N/A,FALSE,"260"}</definedName>
    <definedName name="wrn2.page1_2_5_2" localSheetId="2" hidden="1">{"page1",#N/A,FALSE,"260"}</definedName>
    <definedName name="wrn2.page1_2_5_2" hidden="1">{"page1",#N/A,FALSE,"260"}</definedName>
    <definedName name="wrn2.page1_2_5_3" localSheetId="8" hidden="1">{"page1",#N/A,FALSE,"260"}</definedName>
    <definedName name="wrn2.page1_2_5_3" localSheetId="14" hidden="1">{"page1",#N/A,FALSE,"260"}</definedName>
    <definedName name="wrn2.page1_2_5_3" localSheetId="15" hidden="1">{"page1",#N/A,FALSE,"260"}</definedName>
    <definedName name="wrn2.page1_2_5_3" localSheetId="13" hidden="1">{"page1",#N/A,FALSE,"260"}</definedName>
    <definedName name="wrn2.page1_2_5_3" localSheetId="25" hidden="1">{"page1",#N/A,FALSE,"260"}</definedName>
    <definedName name="wrn2.page1_2_5_3" localSheetId="26" hidden="1">{"page1",#N/A,FALSE,"260"}</definedName>
    <definedName name="wrn2.page1_2_5_3" localSheetId="3" hidden="1">{"page1",#N/A,FALSE,"260"}</definedName>
    <definedName name="wrn2.page1_2_5_3" localSheetId="2" hidden="1">{"page1",#N/A,FALSE,"260"}</definedName>
    <definedName name="wrn2.page1_2_5_3" hidden="1">{"page1",#N/A,FALSE,"260"}</definedName>
    <definedName name="wrn2.page1_2_5_4" localSheetId="8" hidden="1">{"page1",#N/A,FALSE,"260"}</definedName>
    <definedName name="wrn2.page1_2_5_4" localSheetId="14" hidden="1">{"page1",#N/A,FALSE,"260"}</definedName>
    <definedName name="wrn2.page1_2_5_4" localSheetId="15" hidden="1">{"page1",#N/A,FALSE,"260"}</definedName>
    <definedName name="wrn2.page1_2_5_4" localSheetId="13" hidden="1">{"page1",#N/A,FALSE,"260"}</definedName>
    <definedName name="wrn2.page1_2_5_4" localSheetId="25" hidden="1">{"page1",#N/A,FALSE,"260"}</definedName>
    <definedName name="wrn2.page1_2_5_4" localSheetId="26" hidden="1">{"page1",#N/A,FALSE,"260"}</definedName>
    <definedName name="wrn2.page1_2_5_4" localSheetId="3" hidden="1">{"page1",#N/A,FALSE,"260"}</definedName>
    <definedName name="wrn2.page1_2_5_4" localSheetId="2" hidden="1">{"page1",#N/A,FALSE,"260"}</definedName>
    <definedName name="wrn2.page1_2_5_4" hidden="1">{"page1",#N/A,FALSE,"260"}</definedName>
    <definedName name="wrn2.page1_2_5_5" localSheetId="8" hidden="1">{"page1",#N/A,FALSE,"260"}</definedName>
    <definedName name="wrn2.page1_2_5_5" localSheetId="14" hidden="1">{"page1",#N/A,FALSE,"260"}</definedName>
    <definedName name="wrn2.page1_2_5_5" localSheetId="15" hidden="1">{"page1",#N/A,FALSE,"260"}</definedName>
    <definedName name="wrn2.page1_2_5_5" localSheetId="13" hidden="1">{"page1",#N/A,FALSE,"260"}</definedName>
    <definedName name="wrn2.page1_2_5_5" localSheetId="25" hidden="1">{"page1",#N/A,FALSE,"260"}</definedName>
    <definedName name="wrn2.page1_2_5_5" localSheetId="26" hidden="1">{"page1",#N/A,FALSE,"260"}</definedName>
    <definedName name="wrn2.page1_2_5_5" localSheetId="3" hidden="1">{"page1",#N/A,FALSE,"260"}</definedName>
    <definedName name="wrn2.page1_2_5_5" localSheetId="2" hidden="1">{"page1",#N/A,FALSE,"260"}</definedName>
    <definedName name="wrn2.page1_2_5_5" hidden="1">{"page1",#N/A,FALSE,"260"}</definedName>
    <definedName name="wrn2.page1_3" localSheetId="8" hidden="1">{"page1",#N/A,FALSE,"260"}</definedName>
    <definedName name="wrn2.page1_3" localSheetId="14" hidden="1">{"page1",#N/A,FALSE,"260"}</definedName>
    <definedName name="wrn2.page1_3" localSheetId="15" hidden="1">{"page1",#N/A,FALSE,"260"}</definedName>
    <definedName name="wrn2.page1_3" localSheetId="13" hidden="1">{"page1",#N/A,FALSE,"260"}</definedName>
    <definedName name="wrn2.page1_3" localSheetId="25" hidden="1">{"page1",#N/A,FALSE,"260"}</definedName>
    <definedName name="wrn2.page1_3" localSheetId="26" hidden="1">{"page1",#N/A,FALSE,"260"}</definedName>
    <definedName name="wrn2.page1_3" localSheetId="3" hidden="1">{"page1",#N/A,FALSE,"260"}</definedName>
    <definedName name="wrn2.page1_3" localSheetId="2" hidden="1">{"page1",#N/A,FALSE,"260"}</definedName>
    <definedName name="wrn2.page1_3" hidden="1">{"page1",#N/A,FALSE,"260"}</definedName>
    <definedName name="wrn2.page1_3_1" localSheetId="8" hidden="1">{"page1",#N/A,FALSE,"260"}</definedName>
    <definedName name="wrn2.page1_3_1" localSheetId="14" hidden="1">{"page1",#N/A,FALSE,"260"}</definedName>
    <definedName name="wrn2.page1_3_1" localSheetId="15" hidden="1">{"page1",#N/A,FALSE,"260"}</definedName>
    <definedName name="wrn2.page1_3_1" localSheetId="13" hidden="1">{"page1",#N/A,FALSE,"260"}</definedName>
    <definedName name="wrn2.page1_3_1" localSheetId="25" hidden="1">{"page1",#N/A,FALSE,"260"}</definedName>
    <definedName name="wrn2.page1_3_1" localSheetId="26" hidden="1">{"page1",#N/A,FALSE,"260"}</definedName>
    <definedName name="wrn2.page1_3_1" localSheetId="3" hidden="1">{"page1",#N/A,FALSE,"260"}</definedName>
    <definedName name="wrn2.page1_3_1" localSheetId="2" hidden="1">{"page1",#N/A,FALSE,"260"}</definedName>
    <definedName name="wrn2.page1_3_1" hidden="1">{"page1",#N/A,FALSE,"260"}</definedName>
    <definedName name="wrn2.page1_3_2" localSheetId="8" hidden="1">{"page1",#N/A,FALSE,"260"}</definedName>
    <definedName name="wrn2.page1_3_2" localSheetId="14" hidden="1">{"page1",#N/A,FALSE,"260"}</definedName>
    <definedName name="wrn2.page1_3_2" localSheetId="15" hidden="1">{"page1",#N/A,FALSE,"260"}</definedName>
    <definedName name="wrn2.page1_3_2" localSheetId="13" hidden="1">{"page1",#N/A,FALSE,"260"}</definedName>
    <definedName name="wrn2.page1_3_2" localSheetId="25" hidden="1">{"page1",#N/A,FALSE,"260"}</definedName>
    <definedName name="wrn2.page1_3_2" localSheetId="26" hidden="1">{"page1",#N/A,FALSE,"260"}</definedName>
    <definedName name="wrn2.page1_3_2" localSheetId="3" hidden="1">{"page1",#N/A,FALSE,"260"}</definedName>
    <definedName name="wrn2.page1_3_2" localSheetId="2" hidden="1">{"page1",#N/A,FALSE,"260"}</definedName>
    <definedName name="wrn2.page1_3_2" hidden="1">{"page1",#N/A,FALSE,"260"}</definedName>
    <definedName name="wrn2.page1_3_3" localSheetId="8" hidden="1">{"page1",#N/A,FALSE,"260"}</definedName>
    <definedName name="wrn2.page1_3_3" localSheetId="14" hidden="1">{"page1",#N/A,FALSE,"260"}</definedName>
    <definedName name="wrn2.page1_3_3" localSheetId="15" hidden="1">{"page1",#N/A,FALSE,"260"}</definedName>
    <definedName name="wrn2.page1_3_3" localSheetId="13" hidden="1">{"page1",#N/A,FALSE,"260"}</definedName>
    <definedName name="wrn2.page1_3_3" localSheetId="25" hidden="1">{"page1",#N/A,FALSE,"260"}</definedName>
    <definedName name="wrn2.page1_3_3" localSheetId="26" hidden="1">{"page1",#N/A,FALSE,"260"}</definedName>
    <definedName name="wrn2.page1_3_3" localSheetId="3" hidden="1">{"page1",#N/A,FALSE,"260"}</definedName>
    <definedName name="wrn2.page1_3_3" localSheetId="2" hidden="1">{"page1",#N/A,FALSE,"260"}</definedName>
    <definedName name="wrn2.page1_3_3" hidden="1">{"page1",#N/A,FALSE,"260"}</definedName>
    <definedName name="wrn2.page1_3_4" localSheetId="8" hidden="1">{"page1",#N/A,FALSE,"260"}</definedName>
    <definedName name="wrn2.page1_3_4" localSheetId="14" hidden="1">{"page1",#N/A,FALSE,"260"}</definedName>
    <definedName name="wrn2.page1_3_4" localSheetId="15" hidden="1">{"page1",#N/A,FALSE,"260"}</definedName>
    <definedName name="wrn2.page1_3_4" localSheetId="13" hidden="1">{"page1",#N/A,FALSE,"260"}</definedName>
    <definedName name="wrn2.page1_3_4" localSheetId="25" hidden="1">{"page1",#N/A,FALSE,"260"}</definedName>
    <definedName name="wrn2.page1_3_4" localSheetId="26" hidden="1">{"page1",#N/A,FALSE,"260"}</definedName>
    <definedName name="wrn2.page1_3_4" localSheetId="3" hidden="1">{"page1",#N/A,FALSE,"260"}</definedName>
    <definedName name="wrn2.page1_3_4" localSheetId="2" hidden="1">{"page1",#N/A,FALSE,"260"}</definedName>
    <definedName name="wrn2.page1_3_4" hidden="1">{"page1",#N/A,FALSE,"260"}</definedName>
    <definedName name="wrn2.page1_3_5" localSheetId="8" hidden="1">{"page1",#N/A,FALSE,"260"}</definedName>
    <definedName name="wrn2.page1_3_5" localSheetId="14" hidden="1">{"page1",#N/A,FALSE,"260"}</definedName>
    <definedName name="wrn2.page1_3_5" localSheetId="15" hidden="1">{"page1",#N/A,FALSE,"260"}</definedName>
    <definedName name="wrn2.page1_3_5" localSheetId="13" hidden="1">{"page1",#N/A,FALSE,"260"}</definedName>
    <definedName name="wrn2.page1_3_5" localSheetId="25" hidden="1">{"page1",#N/A,FALSE,"260"}</definedName>
    <definedName name="wrn2.page1_3_5" localSheetId="26" hidden="1">{"page1",#N/A,FALSE,"260"}</definedName>
    <definedName name="wrn2.page1_3_5" localSheetId="3" hidden="1">{"page1",#N/A,FALSE,"260"}</definedName>
    <definedName name="wrn2.page1_3_5" localSheetId="2" hidden="1">{"page1",#N/A,FALSE,"260"}</definedName>
    <definedName name="wrn2.page1_3_5" hidden="1">{"page1",#N/A,FALSE,"260"}</definedName>
    <definedName name="wrn2.page1_4" localSheetId="8" hidden="1">{"page1",#N/A,FALSE,"260"}</definedName>
    <definedName name="wrn2.page1_4" localSheetId="14" hidden="1">{"page1",#N/A,FALSE,"260"}</definedName>
    <definedName name="wrn2.page1_4" localSheetId="15" hidden="1">{"page1",#N/A,FALSE,"260"}</definedName>
    <definedName name="wrn2.page1_4" localSheetId="13" hidden="1">{"page1",#N/A,FALSE,"260"}</definedName>
    <definedName name="wrn2.page1_4" localSheetId="25" hidden="1">{"page1",#N/A,FALSE,"260"}</definedName>
    <definedName name="wrn2.page1_4" localSheetId="26" hidden="1">{"page1",#N/A,FALSE,"260"}</definedName>
    <definedName name="wrn2.page1_4" localSheetId="3" hidden="1">{"page1",#N/A,FALSE,"260"}</definedName>
    <definedName name="wrn2.page1_4" localSheetId="2" hidden="1">{"page1",#N/A,FALSE,"260"}</definedName>
    <definedName name="wrn2.page1_4" hidden="1">{"page1",#N/A,FALSE,"260"}</definedName>
    <definedName name="wrn2.page1_4_1" localSheetId="8" hidden="1">{"page1",#N/A,FALSE,"260"}</definedName>
    <definedName name="wrn2.page1_4_1" localSheetId="14" hidden="1">{"page1",#N/A,FALSE,"260"}</definedName>
    <definedName name="wrn2.page1_4_1" localSheetId="15" hidden="1">{"page1",#N/A,FALSE,"260"}</definedName>
    <definedName name="wrn2.page1_4_1" localSheetId="13" hidden="1">{"page1",#N/A,FALSE,"260"}</definedName>
    <definedName name="wrn2.page1_4_1" localSheetId="25" hidden="1">{"page1",#N/A,FALSE,"260"}</definedName>
    <definedName name="wrn2.page1_4_1" localSheetId="26" hidden="1">{"page1",#N/A,FALSE,"260"}</definedName>
    <definedName name="wrn2.page1_4_1" localSheetId="3" hidden="1">{"page1",#N/A,FALSE,"260"}</definedName>
    <definedName name="wrn2.page1_4_1" localSheetId="2" hidden="1">{"page1",#N/A,FALSE,"260"}</definedName>
    <definedName name="wrn2.page1_4_1" hidden="1">{"page1",#N/A,FALSE,"260"}</definedName>
    <definedName name="wrn2.page1_4_2" localSheetId="8" hidden="1">{"page1",#N/A,FALSE,"260"}</definedName>
    <definedName name="wrn2.page1_4_2" localSheetId="14" hidden="1">{"page1",#N/A,FALSE,"260"}</definedName>
    <definedName name="wrn2.page1_4_2" localSheetId="15" hidden="1">{"page1",#N/A,FALSE,"260"}</definedName>
    <definedName name="wrn2.page1_4_2" localSheetId="13" hidden="1">{"page1",#N/A,FALSE,"260"}</definedName>
    <definedName name="wrn2.page1_4_2" localSheetId="25" hidden="1">{"page1",#N/A,FALSE,"260"}</definedName>
    <definedName name="wrn2.page1_4_2" localSheetId="26" hidden="1">{"page1",#N/A,FALSE,"260"}</definedName>
    <definedName name="wrn2.page1_4_2" localSheetId="3" hidden="1">{"page1",#N/A,FALSE,"260"}</definedName>
    <definedName name="wrn2.page1_4_2" localSheetId="2" hidden="1">{"page1",#N/A,FALSE,"260"}</definedName>
    <definedName name="wrn2.page1_4_2" hidden="1">{"page1",#N/A,FALSE,"260"}</definedName>
    <definedName name="wrn2.page1_4_3" localSheetId="8" hidden="1">{"page1",#N/A,FALSE,"260"}</definedName>
    <definedName name="wrn2.page1_4_3" localSheetId="14" hidden="1">{"page1",#N/A,FALSE,"260"}</definedName>
    <definedName name="wrn2.page1_4_3" localSheetId="15" hidden="1">{"page1",#N/A,FALSE,"260"}</definedName>
    <definedName name="wrn2.page1_4_3" localSheetId="13" hidden="1">{"page1",#N/A,FALSE,"260"}</definedName>
    <definedName name="wrn2.page1_4_3" localSheetId="25" hidden="1">{"page1",#N/A,FALSE,"260"}</definedName>
    <definedName name="wrn2.page1_4_3" localSheetId="26" hidden="1">{"page1",#N/A,FALSE,"260"}</definedName>
    <definedName name="wrn2.page1_4_3" localSheetId="3" hidden="1">{"page1",#N/A,FALSE,"260"}</definedName>
    <definedName name="wrn2.page1_4_3" localSheetId="2" hidden="1">{"page1",#N/A,FALSE,"260"}</definedName>
    <definedName name="wrn2.page1_4_3" hidden="1">{"page1",#N/A,FALSE,"260"}</definedName>
    <definedName name="wrn2.page1_4_4" localSheetId="8" hidden="1">{"page1",#N/A,FALSE,"260"}</definedName>
    <definedName name="wrn2.page1_4_4" localSheetId="14" hidden="1">{"page1",#N/A,FALSE,"260"}</definedName>
    <definedName name="wrn2.page1_4_4" localSheetId="15" hidden="1">{"page1",#N/A,FALSE,"260"}</definedName>
    <definedName name="wrn2.page1_4_4" localSheetId="13" hidden="1">{"page1",#N/A,FALSE,"260"}</definedName>
    <definedName name="wrn2.page1_4_4" localSheetId="25" hidden="1">{"page1",#N/A,FALSE,"260"}</definedName>
    <definedName name="wrn2.page1_4_4" localSheetId="26" hidden="1">{"page1",#N/A,FALSE,"260"}</definedName>
    <definedName name="wrn2.page1_4_4" localSheetId="3" hidden="1">{"page1",#N/A,FALSE,"260"}</definedName>
    <definedName name="wrn2.page1_4_4" localSheetId="2" hidden="1">{"page1",#N/A,FALSE,"260"}</definedName>
    <definedName name="wrn2.page1_4_4" hidden="1">{"page1",#N/A,FALSE,"260"}</definedName>
    <definedName name="wrn2.page1_4_5" localSheetId="8" hidden="1">{"page1",#N/A,FALSE,"260"}</definedName>
    <definedName name="wrn2.page1_4_5" localSheetId="14" hidden="1">{"page1",#N/A,FALSE,"260"}</definedName>
    <definedName name="wrn2.page1_4_5" localSheetId="15" hidden="1">{"page1",#N/A,FALSE,"260"}</definedName>
    <definedName name="wrn2.page1_4_5" localSheetId="13" hidden="1">{"page1",#N/A,FALSE,"260"}</definedName>
    <definedName name="wrn2.page1_4_5" localSheetId="25" hidden="1">{"page1",#N/A,FALSE,"260"}</definedName>
    <definedName name="wrn2.page1_4_5" localSheetId="26" hidden="1">{"page1",#N/A,FALSE,"260"}</definedName>
    <definedName name="wrn2.page1_4_5" localSheetId="3" hidden="1">{"page1",#N/A,FALSE,"260"}</definedName>
    <definedName name="wrn2.page1_4_5" localSheetId="2" hidden="1">{"page1",#N/A,FALSE,"260"}</definedName>
    <definedName name="wrn2.page1_4_5" hidden="1">{"page1",#N/A,FALSE,"260"}</definedName>
    <definedName name="wrn2.page1_5" localSheetId="8" hidden="1">{"page1",#N/A,FALSE,"260"}</definedName>
    <definedName name="wrn2.page1_5" localSheetId="14" hidden="1">{"page1",#N/A,FALSE,"260"}</definedName>
    <definedName name="wrn2.page1_5" localSheetId="15" hidden="1">{"page1",#N/A,FALSE,"260"}</definedName>
    <definedName name="wrn2.page1_5" localSheetId="13" hidden="1">{"page1",#N/A,FALSE,"260"}</definedName>
    <definedName name="wrn2.page1_5" localSheetId="25" hidden="1">{"page1",#N/A,FALSE,"260"}</definedName>
    <definedName name="wrn2.page1_5" localSheetId="26" hidden="1">{"page1",#N/A,FALSE,"260"}</definedName>
    <definedName name="wrn2.page1_5" localSheetId="3" hidden="1">{"page1",#N/A,FALSE,"260"}</definedName>
    <definedName name="wrn2.page1_5" localSheetId="2" hidden="1">{"page1",#N/A,FALSE,"260"}</definedName>
    <definedName name="wrn2.page1_5" hidden="1">{"page1",#N/A,FALSE,"260"}</definedName>
    <definedName name="wrn2.page1_5_1" localSheetId="8" hidden="1">{"page1",#N/A,FALSE,"260"}</definedName>
    <definedName name="wrn2.page1_5_1" localSheetId="14" hidden="1">{"page1",#N/A,FALSE,"260"}</definedName>
    <definedName name="wrn2.page1_5_1" localSheetId="15" hidden="1">{"page1",#N/A,FALSE,"260"}</definedName>
    <definedName name="wrn2.page1_5_1" localSheetId="13" hidden="1">{"page1",#N/A,FALSE,"260"}</definedName>
    <definedName name="wrn2.page1_5_1" localSheetId="25" hidden="1">{"page1",#N/A,FALSE,"260"}</definedName>
    <definedName name="wrn2.page1_5_1" localSheetId="26" hidden="1">{"page1",#N/A,FALSE,"260"}</definedName>
    <definedName name="wrn2.page1_5_1" localSheetId="3" hidden="1">{"page1",#N/A,FALSE,"260"}</definedName>
    <definedName name="wrn2.page1_5_1" localSheetId="2" hidden="1">{"page1",#N/A,FALSE,"260"}</definedName>
    <definedName name="wrn2.page1_5_1" hidden="1">{"page1",#N/A,FALSE,"260"}</definedName>
    <definedName name="wrn2.page1_5_2" localSheetId="8" hidden="1">{"page1",#N/A,FALSE,"260"}</definedName>
    <definedName name="wrn2.page1_5_2" localSheetId="14" hidden="1">{"page1",#N/A,FALSE,"260"}</definedName>
    <definedName name="wrn2.page1_5_2" localSheetId="15" hidden="1">{"page1",#N/A,FALSE,"260"}</definedName>
    <definedName name="wrn2.page1_5_2" localSheetId="13" hidden="1">{"page1",#N/A,FALSE,"260"}</definedName>
    <definedName name="wrn2.page1_5_2" localSheetId="25" hidden="1">{"page1",#N/A,FALSE,"260"}</definedName>
    <definedName name="wrn2.page1_5_2" localSheetId="26" hidden="1">{"page1",#N/A,FALSE,"260"}</definedName>
    <definedName name="wrn2.page1_5_2" localSheetId="3" hidden="1">{"page1",#N/A,FALSE,"260"}</definedName>
    <definedName name="wrn2.page1_5_2" localSheetId="2" hidden="1">{"page1",#N/A,FALSE,"260"}</definedName>
    <definedName name="wrn2.page1_5_2" hidden="1">{"page1",#N/A,FALSE,"260"}</definedName>
    <definedName name="wrn2.page1_5_3" localSheetId="8" hidden="1">{"page1",#N/A,FALSE,"260"}</definedName>
    <definedName name="wrn2.page1_5_3" localSheetId="14" hidden="1">{"page1",#N/A,FALSE,"260"}</definedName>
    <definedName name="wrn2.page1_5_3" localSheetId="15" hidden="1">{"page1",#N/A,FALSE,"260"}</definedName>
    <definedName name="wrn2.page1_5_3" localSheetId="13" hidden="1">{"page1",#N/A,FALSE,"260"}</definedName>
    <definedName name="wrn2.page1_5_3" localSheetId="25" hidden="1">{"page1",#N/A,FALSE,"260"}</definedName>
    <definedName name="wrn2.page1_5_3" localSheetId="26" hidden="1">{"page1",#N/A,FALSE,"260"}</definedName>
    <definedName name="wrn2.page1_5_3" localSheetId="3" hidden="1">{"page1",#N/A,FALSE,"260"}</definedName>
    <definedName name="wrn2.page1_5_3" localSheetId="2" hidden="1">{"page1",#N/A,FALSE,"260"}</definedName>
    <definedName name="wrn2.page1_5_3" hidden="1">{"page1",#N/A,FALSE,"260"}</definedName>
    <definedName name="wrn2.page1_5_4" localSheetId="8" hidden="1">{"page1",#N/A,FALSE,"260"}</definedName>
    <definedName name="wrn2.page1_5_4" localSheetId="14" hidden="1">{"page1",#N/A,FALSE,"260"}</definedName>
    <definedName name="wrn2.page1_5_4" localSheetId="15" hidden="1">{"page1",#N/A,FALSE,"260"}</definedName>
    <definedName name="wrn2.page1_5_4" localSheetId="13" hidden="1">{"page1",#N/A,FALSE,"260"}</definedName>
    <definedName name="wrn2.page1_5_4" localSheetId="25" hidden="1">{"page1",#N/A,FALSE,"260"}</definedName>
    <definedName name="wrn2.page1_5_4" localSheetId="26" hidden="1">{"page1",#N/A,FALSE,"260"}</definedName>
    <definedName name="wrn2.page1_5_4" localSheetId="3" hidden="1">{"page1",#N/A,FALSE,"260"}</definedName>
    <definedName name="wrn2.page1_5_4" localSheetId="2" hidden="1">{"page1",#N/A,FALSE,"260"}</definedName>
    <definedName name="wrn2.page1_5_4" hidden="1">{"page1",#N/A,FALSE,"260"}</definedName>
    <definedName name="wrn2.page1_5_5" localSheetId="8" hidden="1">{"page1",#N/A,FALSE,"260"}</definedName>
    <definedName name="wrn2.page1_5_5" localSheetId="14" hidden="1">{"page1",#N/A,FALSE,"260"}</definedName>
    <definedName name="wrn2.page1_5_5" localSheetId="15" hidden="1">{"page1",#N/A,FALSE,"260"}</definedName>
    <definedName name="wrn2.page1_5_5" localSheetId="13" hidden="1">{"page1",#N/A,FALSE,"260"}</definedName>
    <definedName name="wrn2.page1_5_5" localSheetId="25" hidden="1">{"page1",#N/A,FALSE,"260"}</definedName>
    <definedName name="wrn2.page1_5_5" localSheetId="26" hidden="1">{"page1",#N/A,FALSE,"260"}</definedName>
    <definedName name="wrn2.page1_5_5" localSheetId="3" hidden="1">{"page1",#N/A,FALSE,"260"}</definedName>
    <definedName name="wrn2.page1_5_5" localSheetId="2" hidden="1">{"page1",#N/A,FALSE,"260"}</definedName>
    <definedName name="wrn2.page1_5_5" hidden="1">{"page1",#N/A,FALSE,"260"}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L42" i="163" l="1"/>
  <c r="EK42" i="163"/>
  <c r="EI42" i="163"/>
  <c r="EG42" i="163"/>
  <c r="EB42" i="163"/>
  <c r="DW42" i="163"/>
  <c r="DT42" i="163"/>
  <c r="EM42" i="163" s="1"/>
  <c r="EN42" i="163" s="1"/>
  <c r="DQ42" i="163"/>
  <c r="DN42" i="163"/>
  <c r="DK42" i="163"/>
  <c r="DH42" i="163"/>
  <c r="DE42" i="163"/>
  <c r="DB42" i="163"/>
  <c r="CY42" i="163"/>
  <c r="CV42" i="163"/>
  <c r="CS42" i="163"/>
  <c r="CP42" i="163"/>
  <c r="CM42" i="163"/>
  <c r="CJ42" i="163"/>
  <c r="CG42" i="163"/>
  <c r="CD42" i="163"/>
  <c r="CA42" i="163"/>
  <c r="BX42" i="163"/>
  <c r="BU42" i="163"/>
  <c r="BR42" i="163"/>
  <c r="BO42" i="163"/>
  <c r="BL42" i="163"/>
  <c r="BI42" i="163"/>
  <c r="BF42" i="163"/>
  <c r="BC42" i="163"/>
  <c r="AZ42" i="163"/>
  <c r="AW42" i="163"/>
  <c r="AT42" i="163"/>
  <c r="AQ42" i="163"/>
  <c r="AN42" i="163"/>
  <c r="AK42" i="163"/>
  <c r="AI42" i="163"/>
  <c r="AB42" i="163"/>
  <c r="Y42" i="163"/>
  <c r="V42" i="163"/>
  <c r="S42" i="163"/>
  <c r="P42" i="163"/>
  <c r="M42" i="163"/>
  <c r="J42" i="163"/>
  <c r="G42" i="163"/>
  <c r="D42" i="163"/>
  <c r="EL41" i="163"/>
  <c r="EK41" i="163"/>
  <c r="EI41" i="163"/>
  <c r="EG41" i="163"/>
  <c r="EB41" i="163"/>
  <c r="EC41" i="163" s="1"/>
  <c r="DW41" i="163"/>
  <c r="DT41" i="163"/>
  <c r="EM41" i="163" s="1"/>
  <c r="DQ41" i="163"/>
  <c r="DN41" i="163"/>
  <c r="DK41" i="163"/>
  <c r="DH41" i="163"/>
  <c r="DE41" i="163"/>
  <c r="DB41" i="163"/>
  <c r="CY41" i="163"/>
  <c r="CV41" i="163"/>
  <c r="CS41" i="163"/>
  <c r="CP41" i="163"/>
  <c r="CM41" i="163"/>
  <c r="CJ41" i="163"/>
  <c r="CG41" i="163"/>
  <c r="CD41" i="163"/>
  <c r="CA41" i="163"/>
  <c r="BX41" i="163"/>
  <c r="BU41" i="163"/>
  <c r="BR41" i="163"/>
  <c r="BO41" i="163"/>
  <c r="BL41" i="163"/>
  <c r="BI41" i="163"/>
  <c r="BF41" i="163"/>
  <c r="BC41" i="163"/>
  <c r="AZ41" i="163"/>
  <c r="AW41" i="163"/>
  <c r="AT41" i="163"/>
  <c r="AQ41" i="163"/>
  <c r="AN41" i="163"/>
  <c r="AK41" i="163"/>
  <c r="AI41" i="163"/>
  <c r="EH41" i="163"/>
  <c r="AB41" i="163"/>
  <c r="Y41" i="163"/>
  <c r="V41" i="163"/>
  <c r="S41" i="163"/>
  <c r="P41" i="163"/>
  <c r="M41" i="163"/>
  <c r="J41" i="163"/>
  <c r="G41" i="163"/>
  <c r="D41" i="163"/>
  <c r="EL40" i="163"/>
  <c r="EK40" i="163"/>
  <c r="EG40" i="163"/>
  <c r="EI40" i="163" s="1"/>
  <c r="EB40" i="163"/>
  <c r="DW40" i="163"/>
  <c r="DT40" i="163"/>
  <c r="EM40" i="163" s="1"/>
  <c r="EN40" i="163" s="1"/>
  <c r="DQ40" i="163"/>
  <c r="DN40" i="163"/>
  <c r="DK40" i="163"/>
  <c r="DH40" i="163"/>
  <c r="DE40" i="163"/>
  <c r="DB40" i="163"/>
  <c r="CY40" i="163"/>
  <c r="CV40" i="163"/>
  <c r="CS40" i="163"/>
  <c r="CP40" i="163"/>
  <c r="CM40" i="163"/>
  <c r="CJ40" i="163"/>
  <c r="CG40" i="163"/>
  <c r="CD40" i="163"/>
  <c r="CA40" i="163"/>
  <c r="BX40" i="163"/>
  <c r="BU40" i="163"/>
  <c r="BR40" i="163"/>
  <c r="BO40" i="163"/>
  <c r="BL40" i="163"/>
  <c r="BI40" i="163"/>
  <c r="BF40" i="163"/>
  <c r="BC40" i="163"/>
  <c r="AZ40" i="163"/>
  <c r="AW40" i="163"/>
  <c r="AT40" i="163"/>
  <c r="AQ40" i="163"/>
  <c r="AN40" i="163"/>
  <c r="AK40" i="163"/>
  <c r="AI40" i="163"/>
  <c r="AB40" i="163"/>
  <c r="Y40" i="163"/>
  <c r="V40" i="163"/>
  <c r="S40" i="163"/>
  <c r="P40" i="163"/>
  <c r="M40" i="163"/>
  <c r="J40" i="163"/>
  <c r="G40" i="163"/>
  <c r="D40" i="163"/>
  <c r="EL39" i="163"/>
  <c r="EK39" i="163"/>
  <c r="EN39" i="163" s="1"/>
  <c r="EG39" i="163"/>
  <c r="EI39" i="163" s="1"/>
  <c r="DW39" i="163"/>
  <c r="DT39" i="163"/>
  <c r="DQ39" i="163"/>
  <c r="EM39" i="163" s="1"/>
  <c r="DN39" i="163"/>
  <c r="DK39" i="163"/>
  <c r="DH39" i="163"/>
  <c r="DE39" i="163"/>
  <c r="DB39" i="163"/>
  <c r="CY39" i="163"/>
  <c r="CV39" i="163"/>
  <c r="CS39" i="163"/>
  <c r="CP39" i="163"/>
  <c r="CM39" i="163"/>
  <c r="CJ39" i="163"/>
  <c r="CG39" i="163"/>
  <c r="CD39" i="163"/>
  <c r="CA39" i="163"/>
  <c r="BX39" i="163"/>
  <c r="BU39" i="163"/>
  <c r="BR39" i="163"/>
  <c r="BO39" i="163"/>
  <c r="BL39" i="163"/>
  <c r="BI39" i="163"/>
  <c r="BF39" i="163"/>
  <c r="BC39" i="163"/>
  <c r="AZ39" i="163"/>
  <c r="AW39" i="163"/>
  <c r="AT39" i="163"/>
  <c r="AQ39" i="163"/>
  <c r="AN39" i="163"/>
  <c r="AK39" i="163"/>
  <c r="AI39" i="163"/>
  <c r="EB39" i="163" s="1"/>
  <c r="AB39" i="163"/>
  <c r="Y39" i="163"/>
  <c r="V39" i="163"/>
  <c r="S39" i="163"/>
  <c r="P39" i="163"/>
  <c r="M39" i="163"/>
  <c r="J39" i="163"/>
  <c r="G39" i="163"/>
  <c r="D39" i="163"/>
  <c r="EL38" i="163"/>
  <c r="EG38" i="163"/>
  <c r="EI38" i="163" s="1"/>
  <c r="EB38" i="163"/>
  <c r="DW38" i="163"/>
  <c r="DT38" i="163"/>
  <c r="DQ38" i="163"/>
  <c r="DN38" i="163"/>
  <c r="DK38" i="163"/>
  <c r="DH38" i="163"/>
  <c r="DE38" i="163"/>
  <c r="DB38" i="163"/>
  <c r="CY38" i="163"/>
  <c r="CV38" i="163"/>
  <c r="CS38" i="163"/>
  <c r="CP38" i="163"/>
  <c r="CM38" i="163"/>
  <c r="CJ38" i="163"/>
  <c r="CG38" i="163"/>
  <c r="CD38" i="163"/>
  <c r="CA38" i="163"/>
  <c r="BX38" i="163"/>
  <c r="BU38" i="163"/>
  <c r="BR38" i="163"/>
  <c r="BO38" i="163"/>
  <c r="BL38" i="163"/>
  <c r="BI38" i="163"/>
  <c r="BF38" i="163"/>
  <c r="BC38" i="163"/>
  <c r="AZ38" i="163"/>
  <c r="AW38" i="163"/>
  <c r="AT38" i="163"/>
  <c r="AQ38" i="163"/>
  <c r="AN38" i="163"/>
  <c r="AI38" i="163"/>
  <c r="EK38" i="163" s="1"/>
  <c r="AB38" i="163"/>
  <c r="Y38" i="163"/>
  <c r="V38" i="163"/>
  <c r="S38" i="163"/>
  <c r="P38" i="163"/>
  <c r="M38" i="163"/>
  <c r="J38" i="163"/>
  <c r="G38" i="163"/>
  <c r="D38" i="163"/>
  <c r="EL37" i="163"/>
  <c r="EK37" i="163"/>
  <c r="EG37" i="163"/>
  <c r="EI37" i="163" s="1"/>
  <c r="DW37" i="163"/>
  <c r="DT37" i="163"/>
  <c r="DQ37" i="163"/>
  <c r="DN37" i="163"/>
  <c r="DK37" i="163"/>
  <c r="DH37" i="163"/>
  <c r="DE37" i="163"/>
  <c r="DB37" i="163"/>
  <c r="CY37" i="163"/>
  <c r="CV37" i="163"/>
  <c r="CS37" i="163"/>
  <c r="CP37" i="163"/>
  <c r="CM37" i="163"/>
  <c r="CJ37" i="163"/>
  <c r="CG37" i="163"/>
  <c r="CD37" i="163"/>
  <c r="CA37" i="163"/>
  <c r="BX37" i="163"/>
  <c r="BU37" i="163"/>
  <c r="BR37" i="163"/>
  <c r="BO37" i="163"/>
  <c r="BL37" i="163"/>
  <c r="BI37" i="163"/>
  <c r="BF37" i="163"/>
  <c r="BC37" i="163"/>
  <c r="AZ37" i="163"/>
  <c r="AW37" i="163"/>
  <c r="AT37" i="163"/>
  <c r="AQ37" i="163"/>
  <c r="AN37" i="163"/>
  <c r="AI37" i="163"/>
  <c r="AK37" i="163" s="1"/>
  <c r="EM37" i="163" s="1"/>
  <c r="AB37" i="163"/>
  <c r="Y37" i="163"/>
  <c r="V37" i="163"/>
  <c r="S37" i="163"/>
  <c r="P37" i="163"/>
  <c r="M37" i="163"/>
  <c r="J37" i="163"/>
  <c r="G37" i="163"/>
  <c r="D37" i="163"/>
  <c r="EL36" i="163"/>
  <c r="EG36" i="163"/>
  <c r="EI36" i="163" s="1"/>
  <c r="DW36" i="163"/>
  <c r="DT36" i="163"/>
  <c r="DQ36" i="163"/>
  <c r="DN36" i="163"/>
  <c r="DK36" i="163"/>
  <c r="DH36" i="163"/>
  <c r="DE36" i="163"/>
  <c r="DB36" i="163"/>
  <c r="CY36" i="163"/>
  <c r="CV36" i="163"/>
  <c r="CS36" i="163"/>
  <c r="CP36" i="163"/>
  <c r="CM36" i="163"/>
  <c r="CJ36" i="163"/>
  <c r="CG36" i="163"/>
  <c r="CD36" i="163"/>
  <c r="CA36" i="163"/>
  <c r="BX36" i="163"/>
  <c r="BU36" i="163"/>
  <c r="BR36" i="163"/>
  <c r="BO36" i="163"/>
  <c r="BL36" i="163"/>
  <c r="BI36" i="163"/>
  <c r="BF36" i="163"/>
  <c r="BC36" i="163"/>
  <c r="AZ36" i="163"/>
  <c r="AW36" i="163"/>
  <c r="AT36" i="163"/>
  <c r="AQ36" i="163"/>
  <c r="AN36" i="163"/>
  <c r="AI36" i="163"/>
  <c r="EB36" i="163" s="1"/>
  <c r="AB36" i="163"/>
  <c r="Y36" i="163"/>
  <c r="V36" i="163"/>
  <c r="S36" i="163"/>
  <c r="P36" i="163"/>
  <c r="M36" i="163"/>
  <c r="J36" i="163"/>
  <c r="G36" i="163"/>
  <c r="D36" i="163"/>
  <c r="EL35" i="163"/>
  <c r="EK35" i="163"/>
  <c r="EN35" i="163" s="1"/>
  <c r="EI35" i="163"/>
  <c r="EG35" i="163"/>
  <c r="EC35" i="163"/>
  <c r="EB35" i="163"/>
  <c r="DW35" i="163"/>
  <c r="DT35" i="163"/>
  <c r="DQ35" i="163"/>
  <c r="EM35" i="163" s="1"/>
  <c r="DN35" i="163"/>
  <c r="DK35" i="163"/>
  <c r="DH35" i="163"/>
  <c r="DE35" i="163"/>
  <c r="DB35" i="163"/>
  <c r="CY35" i="163"/>
  <c r="CV35" i="163"/>
  <c r="CS35" i="163"/>
  <c r="CP35" i="163"/>
  <c r="CM35" i="163"/>
  <c r="CJ35" i="163"/>
  <c r="CG35" i="163"/>
  <c r="CD35" i="163"/>
  <c r="CA35" i="163"/>
  <c r="BX35" i="163"/>
  <c r="BU35" i="163"/>
  <c r="BR35" i="163"/>
  <c r="BO35" i="163"/>
  <c r="BL35" i="163"/>
  <c r="BI35" i="163"/>
  <c r="BF35" i="163"/>
  <c r="BC35" i="163"/>
  <c r="AZ35" i="163"/>
  <c r="AW35" i="163"/>
  <c r="AT35" i="163"/>
  <c r="AQ35" i="163"/>
  <c r="AN35" i="163"/>
  <c r="AK35" i="163"/>
  <c r="AB35" i="163"/>
  <c r="Y35" i="163"/>
  <c r="V35" i="163"/>
  <c r="S35" i="163"/>
  <c r="P35" i="163"/>
  <c r="M35" i="163"/>
  <c r="J35" i="163"/>
  <c r="G35" i="163"/>
  <c r="D35" i="163"/>
  <c r="EL34" i="163"/>
  <c r="EK34" i="163"/>
  <c r="EI34" i="163"/>
  <c r="EG34" i="163"/>
  <c r="EB34" i="163"/>
  <c r="EC34" i="163" s="1"/>
  <c r="DW34" i="163"/>
  <c r="DT34" i="163"/>
  <c r="EM34" i="163" s="1"/>
  <c r="DQ34" i="163"/>
  <c r="DN34" i="163"/>
  <c r="DK34" i="163"/>
  <c r="DH34" i="163"/>
  <c r="DE34" i="163"/>
  <c r="DB34" i="163"/>
  <c r="CY34" i="163"/>
  <c r="CV34" i="163"/>
  <c r="CS34" i="163"/>
  <c r="CP34" i="163"/>
  <c r="CM34" i="163"/>
  <c r="CJ34" i="163"/>
  <c r="CG34" i="163"/>
  <c r="CD34" i="163"/>
  <c r="CA34" i="163"/>
  <c r="BX34" i="163"/>
  <c r="BU34" i="163"/>
  <c r="BR34" i="163"/>
  <c r="BO34" i="163"/>
  <c r="BL34" i="163"/>
  <c r="BI34" i="163"/>
  <c r="BF34" i="163"/>
  <c r="BC34" i="163"/>
  <c r="AZ34" i="163"/>
  <c r="AW34" i="163"/>
  <c r="AT34" i="163"/>
  <c r="AQ34" i="163"/>
  <c r="AN34" i="163"/>
  <c r="AK34" i="163"/>
  <c r="AI34" i="163"/>
  <c r="EH34" i="163"/>
  <c r="AB34" i="163"/>
  <c r="Y34" i="163"/>
  <c r="V34" i="163"/>
  <c r="S34" i="163"/>
  <c r="P34" i="163"/>
  <c r="M34" i="163"/>
  <c r="J34" i="163"/>
  <c r="G34" i="163"/>
  <c r="D34" i="163"/>
  <c r="ED34" i="163" s="1"/>
  <c r="EE34" i="163" s="1"/>
  <c r="EL33" i="163"/>
  <c r="EK33" i="163"/>
  <c r="EI33" i="163"/>
  <c r="EG33" i="163"/>
  <c r="EB33" i="163"/>
  <c r="DW33" i="163"/>
  <c r="DT33" i="163"/>
  <c r="EM33" i="163" s="1"/>
  <c r="EN33" i="163" s="1"/>
  <c r="DQ33" i="163"/>
  <c r="DN33" i="163"/>
  <c r="DK33" i="163"/>
  <c r="DH33" i="163"/>
  <c r="DE33" i="163"/>
  <c r="DB33" i="163"/>
  <c r="CY33" i="163"/>
  <c r="CV33" i="163"/>
  <c r="CS33" i="163"/>
  <c r="CP33" i="163"/>
  <c r="CM33" i="163"/>
  <c r="CJ33" i="163"/>
  <c r="CG33" i="163"/>
  <c r="CD33" i="163"/>
  <c r="CA33" i="163"/>
  <c r="BX33" i="163"/>
  <c r="BU33" i="163"/>
  <c r="BR33" i="163"/>
  <c r="BO33" i="163"/>
  <c r="BL33" i="163"/>
  <c r="BI33" i="163"/>
  <c r="BF33" i="163"/>
  <c r="BC33" i="163"/>
  <c r="AZ33" i="163"/>
  <c r="AW33" i="163"/>
  <c r="AT33" i="163"/>
  <c r="AQ33" i="163"/>
  <c r="AN33" i="163"/>
  <c r="AK33" i="163"/>
  <c r="AI33" i="163"/>
  <c r="AB33" i="163"/>
  <c r="Y33" i="163"/>
  <c r="V33" i="163"/>
  <c r="S33" i="163"/>
  <c r="P33" i="163"/>
  <c r="M33" i="163"/>
  <c r="J33" i="163"/>
  <c r="ED33" i="163" s="1"/>
  <c r="G33" i="163"/>
  <c r="D33" i="163"/>
  <c r="EL32" i="163"/>
  <c r="EK32" i="163"/>
  <c r="EN32" i="163" s="1"/>
  <c r="EG32" i="163"/>
  <c r="EI32" i="163" s="1"/>
  <c r="EB32" i="163"/>
  <c r="DW32" i="163"/>
  <c r="DT32" i="163"/>
  <c r="DQ32" i="163"/>
  <c r="EM32" i="163" s="1"/>
  <c r="DN32" i="163"/>
  <c r="DK32" i="163"/>
  <c r="DH32" i="163"/>
  <c r="DE32" i="163"/>
  <c r="DB32" i="163"/>
  <c r="CY32" i="163"/>
  <c r="CV32" i="163"/>
  <c r="CS32" i="163"/>
  <c r="CP32" i="163"/>
  <c r="CM32" i="163"/>
  <c r="CJ32" i="163"/>
  <c r="CG32" i="163"/>
  <c r="CD32" i="163"/>
  <c r="CA32" i="163"/>
  <c r="BX32" i="163"/>
  <c r="BU32" i="163"/>
  <c r="BR32" i="163"/>
  <c r="BO32" i="163"/>
  <c r="BL32" i="163"/>
  <c r="BI32" i="163"/>
  <c r="BF32" i="163"/>
  <c r="BC32" i="163"/>
  <c r="AZ32" i="163"/>
  <c r="AW32" i="163"/>
  <c r="AT32" i="163"/>
  <c r="AQ32" i="163"/>
  <c r="AN32" i="163"/>
  <c r="AK32" i="163"/>
  <c r="AI32" i="163"/>
  <c r="AB32" i="163"/>
  <c r="Y32" i="163"/>
  <c r="V32" i="163"/>
  <c r="S32" i="163"/>
  <c r="P32" i="163"/>
  <c r="M32" i="163"/>
  <c r="J32" i="163"/>
  <c r="G32" i="163"/>
  <c r="D32" i="163"/>
  <c r="EL31" i="163"/>
  <c r="EK31" i="163"/>
  <c r="EG31" i="163"/>
  <c r="EI31" i="163" s="1"/>
  <c r="EB31" i="163"/>
  <c r="DW31" i="163"/>
  <c r="DT31" i="163"/>
  <c r="DQ31" i="163"/>
  <c r="EM31" i="163" s="1"/>
  <c r="DN31" i="163"/>
  <c r="DK31" i="163"/>
  <c r="DH31" i="163"/>
  <c r="DE31" i="163"/>
  <c r="DB31" i="163"/>
  <c r="CY31" i="163"/>
  <c r="CV31" i="163"/>
  <c r="CS31" i="163"/>
  <c r="CP31" i="163"/>
  <c r="CM31" i="163"/>
  <c r="CJ31" i="163"/>
  <c r="CG31" i="163"/>
  <c r="CD31" i="163"/>
  <c r="CA31" i="163"/>
  <c r="BX31" i="163"/>
  <c r="BU31" i="163"/>
  <c r="BR31" i="163"/>
  <c r="BO31" i="163"/>
  <c r="BL31" i="163"/>
  <c r="BI31" i="163"/>
  <c r="BF31" i="163"/>
  <c r="BC31" i="163"/>
  <c r="AZ31" i="163"/>
  <c r="AW31" i="163"/>
  <c r="AT31" i="163"/>
  <c r="AQ31" i="163"/>
  <c r="AN31" i="163"/>
  <c r="AI31" i="163"/>
  <c r="AK31" i="163" s="1"/>
  <c r="AB31" i="163"/>
  <c r="Y31" i="163"/>
  <c r="V31" i="163"/>
  <c r="S31" i="163"/>
  <c r="P31" i="163"/>
  <c r="M31" i="163"/>
  <c r="J31" i="163"/>
  <c r="G31" i="163"/>
  <c r="D31" i="163"/>
  <c r="EL30" i="163"/>
  <c r="EK30" i="163"/>
  <c r="EN30" i="163" s="1"/>
  <c r="EG30" i="163"/>
  <c r="EI30" i="163" s="1"/>
  <c r="DW30" i="163"/>
  <c r="DT30" i="163"/>
  <c r="DQ30" i="163"/>
  <c r="EM30" i="163" s="1"/>
  <c r="DN30" i="163"/>
  <c r="DK30" i="163"/>
  <c r="DH30" i="163"/>
  <c r="DE30" i="163"/>
  <c r="DB30" i="163"/>
  <c r="CY30" i="163"/>
  <c r="CV30" i="163"/>
  <c r="CS30" i="163"/>
  <c r="CP30" i="163"/>
  <c r="CM30" i="163"/>
  <c r="CJ30" i="163"/>
  <c r="CG30" i="163"/>
  <c r="CD30" i="163"/>
  <c r="CA30" i="163"/>
  <c r="BX30" i="163"/>
  <c r="BU30" i="163"/>
  <c r="BR30" i="163"/>
  <c r="BO30" i="163"/>
  <c r="BL30" i="163"/>
  <c r="BI30" i="163"/>
  <c r="BF30" i="163"/>
  <c r="BC30" i="163"/>
  <c r="AZ30" i="163"/>
  <c r="AW30" i="163"/>
  <c r="AT30" i="163"/>
  <c r="AQ30" i="163"/>
  <c r="AN30" i="163"/>
  <c r="AI30" i="163"/>
  <c r="AK30" i="163" s="1"/>
  <c r="AB30" i="163"/>
  <c r="Y30" i="163"/>
  <c r="V30" i="163"/>
  <c r="S30" i="163"/>
  <c r="P30" i="163"/>
  <c r="M30" i="163"/>
  <c r="J30" i="163"/>
  <c r="G30" i="163"/>
  <c r="D30" i="163"/>
  <c r="EL29" i="163"/>
  <c r="EG29" i="163"/>
  <c r="EI29" i="163" s="1"/>
  <c r="DW29" i="163"/>
  <c r="DT29" i="163"/>
  <c r="DQ29" i="163"/>
  <c r="DN29" i="163"/>
  <c r="DK29" i="163"/>
  <c r="DH29" i="163"/>
  <c r="DE29" i="163"/>
  <c r="DB29" i="163"/>
  <c r="CY29" i="163"/>
  <c r="CV29" i="163"/>
  <c r="CS29" i="163"/>
  <c r="CP29" i="163"/>
  <c r="CM29" i="163"/>
  <c r="CJ29" i="163"/>
  <c r="CG29" i="163"/>
  <c r="CD29" i="163"/>
  <c r="CA29" i="163"/>
  <c r="BX29" i="163"/>
  <c r="BU29" i="163"/>
  <c r="BR29" i="163"/>
  <c r="BO29" i="163"/>
  <c r="BL29" i="163"/>
  <c r="BI29" i="163"/>
  <c r="BF29" i="163"/>
  <c r="BC29" i="163"/>
  <c r="AZ29" i="163"/>
  <c r="AW29" i="163"/>
  <c r="AT29" i="163"/>
  <c r="AQ29" i="163"/>
  <c r="AN29" i="163"/>
  <c r="AI29" i="163"/>
  <c r="EB29" i="163" s="1"/>
  <c r="AB29" i="163"/>
  <c r="Y29" i="163"/>
  <c r="V29" i="163"/>
  <c r="S29" i="163"/>
  <c r="P29" i="163"/>
  <c r="M29" i="163"/>
  <c r="J29" i="163"/>
  <c r="G29" i="163"/>
  <c r="D29" i="163"/>
  <c r="EL28" i="163"/>
  <c r="EI28" i="163"/>
  <c r="EG28" i="163"/>
  <c r="DW28" i="163"/>
  <c r="DT28" i="163"/>
  <c r="DQ28" i="163"/>
  <c r="DN28" i="163"/>
  <c r="DK28" i="163"/>
  <c r="DH28" i="163"/>
  <c r="DE28" i="163"/>
  <c r="DB28" i="163"/>
  <c r="CY28" i="163"/>
  <c r="CV28" i="163"/>
  <c r="CS28" i="163"/>
  <c r="CP28" i="163"/>
  <c r="CM28" i="163"/>
  <c r="CJ28" i="163"/>
  <c r="CG28" i="163"/>
  <c r="CD28" i="163"/>
  <c r="CA28" i="163"/>
  <c r="BX28" i="163"/>
  <c r="BU28" i="163"/>
  <c r="BR28" i="163"/>
  <c r="BO28" i="163"/>
  <c r="BL28" i="163"/>
  <c r="BI28" i="163"/>
  <c r="BF28" i="163"/>
  <c r="BC28" i="163"/>
  <c r="AZ28" i="163"/>
  <c r="AW28" i="163"/>
  <c r="AT28" i="163"/>
  <c r="AQ28" i="163"/>
  <c r="AN28" i="163"/>
  <c r="AI28" i="163"/>
  <c r="EK28" i="163" s="1"/>
  <c r="AB28" i="163"/>
  <c r="Y28" i="163"/>
  <c r="V28" i="163"/>
  <c r="S28" i="163"/>
  <c r="P28" i="163"/>
  <c r="M28" i="163"/>
  <c r="J28" i="163"/>
  <c r="G28" i="163"/>
  <c r="D28" i="163"/>
  <c r="EL27" i="163"/>
  <c r="EI27" i="163"/>
  <c r="EG27" i="163"/>
  <c r="DW27" i="163"/>
  <c r="DT27" i="163"/>
  <c r="DQ27" i="163"/>
  <c r="DN27" i="163"/>
  <c r="DK27" i="163"/>
  <c r="DH27" i="163"/>
  <c r="DE27" i="163"/>
  <c r="DB27" i="163"/>
  <c r="CY27" i="163"/>
  <c r="CV27" i="163"/>
  <c r="CS27" i="163"/>
  <c r="CP27" i="163"/>
  <c r="CM27" i="163"/>
  <c r="CJ27" i="163"/>
  <c r="CG27" i="163"/>
  <c r="CD27" i="163"/>
  <c r="CA27" i="163"/>
  <c r="BX27" i="163"/>
  <c r="BU27" i="163"/>
  <c r="BR27" i="163"/>
  <c r="BO27" i="163"/>
  <c r="BL27" i="163"/>
  <c r="BI27" i="163"/>
  <c r="BF27" i="163"/>
  <c r="BC27" i="163"/>
  <c r="AZ27" i="163"/>
  <c r="AW27" i="163"/>
  <c r="AT27" i="163"/>
  <c r="AQ27" i="163"/>
  <c r="AN27" i="163"/>
  <c r="AI27" i="163"/>
  <c r="EB27" i="163" s="1"/>
  <c r="AB27" i="163"/>
  <c r="Y27" i="163"/>
  <c r="V27" i="163"/>
  <c r="S27" i="163"/>
  <c r="P27" i="163"/>
  <c r="M27" i="163"/>
  <c r="J27" i="163"/>
  <c r="G27" i="163"/>
  <c r="D27" i="163"/>
  <c r="EL26" i="163"/>
  <c r="EI26" i="163"/>
  <c r="EG26" i="163"/>
  <c r="DW26" i="163"/>
  <c r="DT26" i="163"/>
  <c r="DQ26" i="163"/>
  <c r="DN26" i="163"/>
  <c r="DK26" i="163"/>
  <c r="DH26" i="163"/>
  <c r="DE26" i="163"/>
  <c r="DB26" i="163"/>
  <c r="CY26" i="163"/>
  <c r="CV26" i="163"/>
  <c r="CS26" i="163"/>
  <c r="CP26" i="163"/>
  <c r="CM26" i="163"/>
  <c r="CJ26" i="163"/>
  <c r="CG26" i="163"/>
  <c r="CD26" i="163"/>
  <c r="CA26" i="163"/>
  <c r="BX26" i="163"/>
  <c r="BU26" i="163"/>
  <c r="BR26" i="163"/>
  <c r="BO26" i="163"/>
  <c r="BL26" i="163"/>
  <c r="BI26" i="163"/>
  <c r="BF26" i="163"/>
  <c r="BC26" i="163"/>
  <c r="AZ26" i="163"/>
  <c r="AW26" i="163"/>
  <c r="AT26" i="163"/>
  <c r="AQ26" i="163"/>
  <c r="AN26" i="163"/>
  <c r="AI26" i="163"/>
  <c r="EK26" i="163" s="1"/>
  <c r="AB26" i="163"/>
  <c r="Y26" i="163"/>
  <c r="V26" i="163"/>
  <c r="S26" i="163"/>
  <c r="EH26" i="163" s="1"/>
  <c r="P26" i="163"/>
  <c r="M26" i="163"/>
  <c r="J26" i="163"/>
  <c r="G26" i="163"/>
  <c r="D26" i="163"/>
  <c r="EL25" i="163"/>
  <c r="EI25" i="163"/>
  <c r="EG25" i="163"/>
  <c r="DW25" i="163"/>
  <c r="DT25" i="163"/>
  <c r="EM25" i="163" s="1"/>
  <c r="DQ25" i="163"/>
  <c r="DN25" i="163"/>
  <c r="DK25" i="163"/>
  <c r="DH25" i="163"/>
  <c r="DE25" i="163"/>
  <c r="DB25" i="163"/>
  <c r="CY25" i="163"/>
  <c r="CV25" i="163"/>
  <c r="CS25" i="163"/>
  <c r="CP25" i="163"/>
  <c r="CM25" i="163"/>
  <c r="CJ25" i="163"/>
  <c r="CG25" i="163"/>
  <c r="CD25" i="163"/>
  <c r="CA25" i="163"/>
  <c r="BX25" i="163"/>
  <c r="BU25" i="163"/>
  <c r="BR25" i="163"/>
  <c r="BO25" i="163"/>
  <c r="BL25" i="163"/>
  <c r="BI25" i="163"/>
  <c r="BF25" i="163"/>
  <c r="BC25" i="163"/>
  <c r="AZ25" i="163"/>
  <c r="AW25" i="163"/>
  <c r="AT25" i="163"/>
  <c r="AQ25" i="163"/>
  <c r="AN25" i="163"/>
  <c r="AK25" i="163"/>
  <c r="AI25" i="163"/>
  <c r="EB25" i="163" s="1"/>
  <c r="AB25" i="163"/>
  <c r="Y25" i="163"/>
  <c r="V25" i="163"/>
  <c r="S25" i="163"/>
  <c r="P25" i="163"/>
  <c r="M25" i="163"/>
  <c r="J25" i="163"/>
  <c r="G25" i="163"/>
  <c r="D25" i="163"/>
  <c r="EL24" i="163"/>
  <c r="EG24" i="163"/>
  <c r="EI24" i="163" s="1"/>
  <c r="EB24" i="163"/>
  <c r="DW24" i="163"/>
  <c r="DT24" i="163"/>
  <c r="EM24" i="163" s="1"/>
  <c r="DQ24" i="163"/>
  <c r="DN24" i="163"/>
  <c r="DK24" i="163"/>
  <c r="DH24" i="163"/>
  <c r="DE24" i="163"/>
  <c r="DB24" i="163"/>
  <c r="CY24" i="163"/>
  <c r="CV24" i="163"/>
  <c r="CS24" i="163"/>
  <c r="CP24" i="163"/>
  <c r="CM24" i="163"/>
  <c r="CJ24" i="163"/>
  <c r="CG24" i="163"/>
  <c r="CD24" i="163"/>
  <c r="CA24" i="163"/>
  <c r="BX24" i="163"/>
  <c r="BU24" i="163"/>
  <c r="BR24" i="163"/>
  <c r="BO24" i="163"/>
  <c r="BL24" i="163"/>
  <c r="BI24" i="163"/>
  <c r="BF24" i="163"/>
  <c r="BC24" i="163"/>
  <c r="AZ24" i="163"/>
  <c r="AW24" i="163"/>
  <c r="AT24" i="163"/>
  <c r="AQ24" i="163"/>
  <c r="AN24" i="163"/>
  <c r="AK24" i="163"/>
  <c r="AI24" i="163"/>
  <c r="EK24" i="163" s="1"/>
  <c r="AB24" i="163"/>
  <c r="Y24" i="163"/>
  <c r="V24" i="163"/>
  <c r="S24" i="163"/>
  <c r="P24" i="163"/>
  <c r="M24" i="163"/>
  <c r="J24" i="163"/>
  <c r="G24" i="163"/>
  <c r="D24" i="163"/>
  <c r="EL23" i="163"/>
  <c r="EK23" i="163"/>
  <c r="EI23" i="163"/>
  <c r="EG23" i="163"/>
  <c r="EB23" i="163"/>
  <c r="EC23" i="163" s="1"/>
  <c r="DW23" i="163"/>
  <c r="DT23" i="163"/>
  <c r="EM23" i="163" s="1"/>
  <c r="EN23" i="163" s="1"/>
  <c r="DQ23" i="163"/>
  <c r="DN23" i="163"/>
  <c r="DK23" i="163"/>
  <c r="DH23" i="163"/>
  <c r="DE23" i="163"/>
  <c r="DB23" i="163"/>
  <c r="CY23" i="163"/>
  <c r="CV23" i="163"/>
  <c r="CS23" i="163"/>
  <c r="CP23" i="163"/>
  <c r="CM23" i="163"/>
  <c r="CJ23" i="163"/>
  <c r="CG23" i="163"/>
  <c r="CD23" i="163"/>
  <c r="CA23" i="163"/>
  <c r="BX23" i="163"/>
  <c r="BU23" i="163"/>
  <c r="BR23" i="163"/>
  <c r="BO23" i="163"/>
  <c r="BL23" i="163"/>
  <c r="BI23" i="163"/>
  <c r="BF23" i="163"/>
  <c r="BC23" i="163"/>
  <c r="AZ23" i="163"/>
  <c r="AW23" i="163"/>
  <c r="AT23" i="163"/>
  <c r="AQ23" i="163"/>
  <c r="AN23" i="163"/>
  <c r="AK23" i="163"/>
  <c r="AI23" i="163"/>
  <c r="AB23" i="163"/>
  <c r="Y23" i="163"/>
  <c r="V23" i="163"/>
  <c r="S23" i="163"/>
  <c r="P23" i="163"/>
  <c r="M23" i="163"/>
  <c r="J23" i="163"/>
  <c r="G23" i="163"/>
  <c r="D23" i="163"/>
  <c r="EL22" i="163"/>
  <c r="EK22" i="163"/>
  <c r="EN22" i="163" s="1"/>
  <c r="EI22" i="163"/>
  <c r="EG22" i="163"/>
  <c r="EB22" i="163"/>
  <c r="EC22" i="163" s="1"/>
  <c r="DW22" i="163"/>
  <c r="DT22" i="163"/>
  <c r="EM22" i="163" s="1"/>
  <c r="DQ22" i="163"/>
  <c r="DN22" i="163"/>
  <c r="DK22" i="163"/>
  <c r="DH22" i="163"/>
  <c r="DE22" i="163"/>
  <c r="DB22" i="163"/>
  <c r="CY22" i="163"/>
  <c r="CV22" i="163"/>
  <c r="CS22" i="163"/>
  <c r="CP22" i="163"/>
  <c r="CM22" i="163"/>
  <c r="CJ22" i="163"/>
  <c r="CG22" i="163"/>
  <c r="CD22" i="163"/>
  <c r="CA22" i="163"/>
  <c r="BX22" i="163"/>
  <c r="BU22" i="163"/>
  <c r="BR22" i="163"/>
  <c r="BO22" i="163"/>
  <c r="BL22" i="163"/>
  <c r="BI22" i="163"/>
  <c r="BF22" i="163"/>
  <c r="BC22" i="163"/>
  <c r="AZ22" i="163"/>
  <c r="AW22" i="163"/>
  <c r="AT22" i="163"/>
  <c r="AQ22" i="163"/>
  <c r="AN22" i="163"/>
  <c r="AK22" i="163"/>
  <c r="AI22" i="163"/>
  <c r="AB22" i="163"/>
  <c r="Y22" i="163"/>
  <c r="V22" i="163"/>
  <c r="S22" i="163"/>
  <c r="P22" i="163"/>
  <c r="M22" i="163"/>
  <c r="J22" i="163"/>
  <c r="G22" i="163"/>
  <c r="D22" i="163"/>
  <c r="EN21" i="163"/>
  <c r="EL21" i="163"/>
  <c r="EK21" i="163"/>
  <c r="EI21" i="163"/>
  <c r="EG21" i="163"/>
  <c r="EB21" i="163"/>
  <c r="EE21" i="163" s="1"/>
  <c r="DW21" i="163"/>
  <c r="DT21" i="163"/>
  <c r="EM21" i="163" s="1"/>
  <c r="DQ21" i="163"/>
  <c r="DN21" i="163"/>
  <c r="DK21" i="163"/>
  <c r="DH21" i="163"/>
  <c r="DE21" i="163"/>
  <c r="DB21" i="163"/>
  <c r="CY21" i="163"/>
  <c r="CV21" i="163"/>
  <c r="CS21" i="163"/>
  <c r="CP21" i="163"/>
  <c r="CM21" i="163"/>
  <c r="CJ21" i="163"/>
  <c r="CG21" i="163"/>
  <c r="CD21" i="163"/>
  <c r="CA21" i="163"/>
  <c r="BX21" i="163"/>
  <c r="BU21" i="163"/>
  <c r="BR21" i="163"/>
  <c r="BO21" i="163"/>
  <c r="BL21" i="163"/>
  <c r="BI21" i="163"/>
  <c r="BF21" i="163"/>
  <c r="BC21" i="163"/>
  <c r="AZ21" i="163"/>
  <c r="AW21" i="163"/>
  <c r="AT21" i="163"/>
  <c r="AQ21" i="163"/>
  <c r="AN21" i="163"/>
  <c r="AK21" i="163"/>
  <c r="AB21" i="163"/>
  <c r="Y21" i="163"/>
  <c r="V21" i="163"/>
  <c r="S21" i="163"/>
  <c r="P21" i="163"/>
  <c r="M21" i="163"/>
  <c r="J21" i="163"/>
  <c r="G21" i="163"/>
  <c r="ED21" i="163" s="1"/>
  <c r="D21" i="163"/>
  <c r="EL20" i="163"/>
  <c r="EG20" i="163"/>
  <c r="EI20" i="163" s="1"/>
  <c r="DW20" i="163"/>
  <c r="DT20" i="163"/>
  <c r="DQ20" i="163"/>
  <c r="DN20" i="163"/>
  <c r="DK20" i="163"/>
  <c r="DH20" i="163"/>
  <c r="DE20" i="163"/>
  <c r="DB20" i="163"/>
  <c r="CY20" i="163"/>
  <c r="CV20" i="163"/>
  <c r="CS20" i="163"/>
  <c r="CP20" i="163"/>
  <c r="CM20" i="163"/>
  <c r="CJ20" i="163"/>
  <c r="CG20" i="163"/>
  <c r="CD20" i="163"/>
  <c r="CA20" i="163"/>
  <c r="BX20" i="163"/>
  <c r="BU20" i="163"/>
  <c r="BR20" i="163"/>
  <c r="BO20" i="163"/>
  <c r="BL20" i="163"/>
  <c r="BI20" i="163"/>
  <c r="BF20" i="163"/>
  <c r="BC20" i="163"/>
  <c r="AZ20" i="163"/>
  <c r="AW20" i="163"/>
  <c r="AT20" i="163"/>
  <c r="AQ20" i="163"/>
  <c r="AN20" i="163"/>
  <c r="AI20" i="163"/>
  <c r="EB20" i="163" s="1"/>
  <c r="AB20" i="163"/>
  <c r="Y20" i="163"/>
  <c r="V20" i="163"/>
  <c r="S20" i="163"/>
  <c r="P20" i="163"/>
  <c r="M20" i="163"/>
  <c r="J20" i="163"/>
  <c r="G20" i="163"/>
  <c r="D20" i="163"/>
  <c r="EL19" i="163"/>
  <c r="EI19" i="163"/>
  <c r="EG19" i="163"/>
  <c r="DW19" i="163"/>
  <c r="DT19" i="163"/>
  <c r="DQ19" i="163"/>
  <c r="DN19" i="163"/>
  <c r="DK19" i="163"/>
  <c r="DH19" i="163"/>
  <c r="DE19" i="163"/>
  <c r="DB19" i="163"/>
  <c r="CY19" i="163"/>
  <c r="CV19" i="163"/>
  <c r="CS19" i="163"/>
  <c r="CP19" i="163"/>
  <c r="CM19" i="163"/>
  <c r="CJ19" i="163"/>
  <c r="CG19" i="163"/>
  <c r="CD19" i="163"/>
  <c r="CA19" i="163"/>
  <c r="BX19" i="163"/>
  <c r="BU19" i="163"/>
  <c r="BR19" i="163"/>
  <c r="BO19" i="163"/>
  <c r="BL19" i="163"/>
  <c r="BI19" i="163"/>
  <c r="BF19" i="163"/>
  <c r="BC19" i="163"/>
  <c r="AZ19" i="163"/>
  <c r="AW19" i="163"/>
  <c r="AT19" i="163"/>
  <c r="AQ19" i="163"/>
  <c r="AN19" i="163"/>
  <c r="AI19" i="163"/>
  <c r="EK19" i="163" s="1"/>
  <c r="AB19" i="163"/>
  <c r="Y19" i="163"/>
  <c r="V19" i="163"/>
  <c r="S19" i="163"/>
  <c r="P19" i="163"/>
  <c r="M19" i="163"/>
  <c r="J19" i="163"/>
  <c r="G19" i="163"/>
  <c r="D19" i="163"/>
  <c r="EL18" i="163"/>
  <c r="EI18" i="163"/>
  <c r="EG18" i="163"/>
  <c r="DW18" i="163"/>
  <c r="DT18" i="163"/>
  <c r="EM18" i="163" s="1"/>
  <c r="DQ18" i="163"/>
  <c r="DN18" i="163"/>
  <c r="DK18" i="163"/>
  <c r="DH18" i="163"/>
  <c r="DE18" i="163"/>
  <c r="DB18" i="163"/>
  <c r="CY18" i="163"/>
  <c r="CV18" i="163"/>
  <c r="CS18" i="163"/>
  <c r="CP18" i="163"/>
  <c r="CM18" i="163"/>
  <c r="CJ18" i="163"/>
  <c r="CG18" i="163"/>
  <c r="CD18" i="163"/>
  <c r="CA18" i="163"/>
  <c r="BX18" i="163"/>
  <c r="BU18" i="163"/>
  <c r="BR18" i="163"/>
  <c r="BO18" i="163"/>
  <c r="BL18" i="163"/>
  <c r="BI18" i="163"/>
  <c r="BF18" i="163"/>
  <c r="BC18" i="163"/>
  <c r="AZ18" i="163"/>
  <c r="AW18" i="163"/>
  <c r="AT18" i="163"/>
  <c r="AQ18" i="163"/>
  <c r="AN18" i="163"/>
  <c r="AK18" i="163"/>
  <c r="AI18" i="163"/>
  <c r="EB18" i="163" s="1"/>
  <c r="AB18" i="163"/>
  <c r="Y18" i="163"/>
  <c r="V18" i="163"/>
  <c r="S18" i="163"/>
  <c r="EH18" i="163" s="1"/>
  <c r="P18" i="163"/>
  <c r="M18" i="163"/>
  <c r="J18" i="163"/>
  <c r="G18" i="163"/>
  <c r="D18" i="163"/>
  <c r="EL17" i="163"/>
  <c r="EG17" i="163"/>
  <c r="EI17" i="163" s="1"/>
  <c r="EB17" i="163"/>
  <c r="DW17" i="163"/>
  <c r="DT17" i="163"/>
  <c r="EM17" i="163" s="1"/>
  <c r="DQ17" i="163"/>
  <c r="DN17" i="163"/>
  <c r="DK17" i="163"/>
  <c r="DH17" i="163"/>
  <c r="DE17" i="163"/>
  <c r="DB17" i="163"/>
  <c r="CY17" i="163"/>
  <c r="CV17" i="163"/>
  <c r="CS17" i="163"/>
  <c r="CP17" i="163"/>
  <c r="CM17" i="163"/>
  <c r="CJ17" i="163"/>
  <c r="CG17" i="163"/>
  <c r="CD17" i="163"/>
  <c r="CA17" i="163"/>
  <c r="BX17" i="163"/>
  <c r="BU17" i="163"/>
  <c r="BR17" i="163"/>
  <c r="BO17" i="163"/>
  <c r="BL17" i="163"/>
  <c r="BI17" i="163"/>
  <c r="BF17" i="163"/>
  <c r="BC17" i="163"/>
  <c r="AZ17" i="163"/>
  <c r="AW17" i="163"/>
  <c r="AT17" i="163"/>
  <c r="AQ17" i="163"/>
  <c r="AN17" i="163"/>
  <c r="AK17" i="163"/>
  <c r="AI17" i="163"/>
  <c r="EK17" i="163" s="1"/>
  <c r="AB17" i="163"/>
  <c r="Y17" i="163"/>
  <c r="V17" i="163"/>
  <c r="S17" i="163"/>
  <c r="P17" i="163"/>
  <c r="M17" i="163"/>
  <c r="J17" i="163"/>
  <c r="G17" i="163"/>
  <c r="D17" i="163"/>
  <c r="EL16" i="163"/>
  <c r="EK16" i="163"/>
  <c r="EI16" i="163"/>
  <c r="EG16" i="163"/>
  <c r="EB16" i="163"/>
  <c r="DW16" i="163"/>
  <c r="DT16" i="163"/>
  <c r="EM16" i="163" s="1"/>
  <c r="EN16" i="163" s="1"/>
  <c r="DQ16" i="163"/>
  <c r="DN16" i="163"/>
  <c r="DK16" i="163"/>
  <c r="DH16" i="163"/>
  <c r="DE16" i="163"/>
  <c r="DB16" i="163"/>
  <c r="CY16" i="163"/>
  <c r="CV16" i="163"/>
  <c r="CS16" i="163"/>
  <c r="CP16" i="163"/>
  <c r="CM16" i="163"/>
  <c r="CJ16" i="163"/>
  <c r="CG16" i="163"/>
  <c r="CD16" i="163"/>
  <c r="CA16" i="163"/>
  <c r="BX16" i="163"/>
  <c r="BU16" i="163"/>
  <c r="BR16" i="163"/>
  <c r="BO16" i="163"/>
  <c r="BL16" i="163"/>
  <c r="BI16" i="163"/>
  <c r="BF16" i="163"/>
  <c r="BC16" i="163"/>
  <c r="AZ16" i="163"/>
  <c r="AW16" i="163"/>
  <c r="AT16" i="163"/>
  <c r="AQ16" i="163"/>
  <c r="AN16" i="163"/>
  <c r="AK16" i="163"/>
  <c r="AI16" i="163"/>
  <c r="AB16" i="163"/>
  <c r="Y16" i="163"/>
  <c r="V16" i="163"/>
  <c r="S16" i="163"/>
  <c r="P16" i="163"/>
  <c r="M16" i="163"/>
  <c r="J16" i="163"/>
  <c r="G16" i="163"/>
  <c r="D16" i="163"/>
  <c r="EL15" i="163"/>
  <c r="EK15" i="163"/>
  <c r="EI15" i="163"/>
  <c r="EG15" i="163"/>
  <c r="EB15" i="163"/>
  <c r="EC15" i="163" s="1"/>
  <c r="DW15" i="163"/>
  <c r="DT15" i="163"/>
  <c r="EM15" i="163" s="1"/>
  <c r="DQ15" i="163"/>
  <c r="DN15" i="163"/>
  <c r="DK15" i="163"/>
  <c r="DH15" i="163"/>
  <c r="DE15" i="163"/>
  <c r="DB15" i="163"/>
  <c r="CY15" i="163"/>
  <c r="CV15" i="163"/>
  <c r="CS15" i="163"/>
  <c r="CP15" i="163"/>
  <c r="CM15" i="163"/>
  <c r="CJ15" i="163"/>
  <c r="CG15" i="163"/>
  <c r="CD15" i="163"/>
  <c r="CA15" i="163"/>
  <c r="BX15" i="163"/>
  <c r="BU15" i="163"/>
  <c r="BR15" i="163"/>
  <c r="BO15" i="163"/>
  <c r="BL15" i="163"/>
  <c r="BI15" i="163"/>
  <c r="BF15" i="163"/>
  <c r="BC15" i="163"/>
  <c r="AZ15" i="163"/>
  <c r="AW15" i="163"/>
  <c r="AT15" i="163"/>
  <c r="AQ15" i="163"/>
  <c r="AN15" i="163"/>
  <c r="AK15" i="163"/>
  <c r="AI15" i="163"/>
  <c r="AB15" i="163"/>
  <c r="Y15" i="163"/>
  <c r="V15" i="163"/>
  <c r="S15" i="163"/>
  <c r="P15" i="163"/>
  <c r="M15" i="163"/>
  <c r="J15" i="163"/>
  <c r="G15" i="163"/>
  <c r="D15" i="163"/>
  <c r="EL14" i="163"/>
  <c r="EK14" i="163"/>
  <c r="EI14" i="163"/>
  <c r="EG14" i="163"/>
  <c r="EB14" i="163"/>
  <c r="DW14" i="163"/>
  <c r="DT14" i="163"/>
  <c r="EM14" i="163" s="1"/>
  <c r="EN14" i="163" s="1"/>
  <c r="DQ14" i="163"/>
  <c r="DN14" i="163"/>
  <c r="DK14" i="163"/>
  <c r="DH14" i="163"/>
  <c r="DE14" i="163"/>
  <c r="DB14" i="163"/>
  <c r="CY14" i="163"/>
  <c r="CV14" i="163"/>
  <c r="CS14" i="163"/>
  <c r="CP14" i="163"/>
  <c r="CM14" i="163"/>
  <c r="CJ14" i="163"/>
  <c r="CG14" i="163"/>
  <c r="CD14" i="163"/>
  <c r="CA14" i="163"/>
  <c r="BX14" i="163"/>
  <c r="BU14" i="163"/>
  <c r="BR14" i="163"/>
  <c r="BO14" i="163"/>
  <c r="BL14" i="163"/>
  <c r="BI14" i="163"/>
  <c r="BF14" i="163"/>
  <c r="BC14" i="163"/>
  <c r="AZ14" i="163"/>
  <c r="AW14" i="163"/>
  <c r="AT14" i="163"/>
  <c r="AQ14" i="163"/>
  <c r="AN14" i="163"/>
  <c r="AK14" i="163"/>
  <c r="AI14" i="163"/>
  <c r="AB14" i="163"/>
  <c r="Y14" i="163"/>
  <c r="V14" i="163"/>
  <c r="S14" i="163"/>
  <c r="P14" i="163"/>
  <c r="M14" i="163"/>
  <c r="J14" i="163"/>
  <c r="ED14" i="163" s="1"/>
  <c r="G14" i="163"/>
  <c r="D14" i="163"/>
  <c r="EL13" i="163"/>
  <c r="EK13" i="163"/>
  <c r="EG13" i="163"/>
  <c r="EI13" i="163" s="1"/>
  <c r="DW13" i="163"/>
  <c r="DT13" i="163"/>
  <c r="DQ13" i="163"/>
  <c r="EM13" i="163" s="1"/>
  <c r="DN13" i="163"/>
  <c r="DK13" i="163"/>
  <c r="DH13" i="163"/>
  <c r="DE13" i="163"/>
  <c r="DE43" i="163" s="1"/>
  <c r="DB13" i="163"/>
  <c r="CY13" i="163"/>
  <c r="CV13" i="163"/>
  <c r="CS13" i="163"/>
  <c r="CP13" i="163"/>
  <c r="CM13" i="163"/>
  <c r="CJ13" i="163"/>
  <c r="CG13" i="163"/>
  <c r="CD13" i="163"/>
  <c r="CA13" i="163"/>
  <c r="BX13" i="163"/>
  <c r="BU13" i="163"/>
  <c r="BU43" i="163" s="1"/>
  <c r="BR13" i="163"/>
  <c r="BO13" i="163"/>
  <c r="BL13" i="163"/>
  <c r="BI13" i="163"/>
  <c r="BF13" i="163"/>
  <c r="BC13" i="163"/>
  <c r="AZ13" i="163"/>
  <c r="AW13" i="163"/>
  <c r="AT13" i="163"/>
  <c r="AQ13" i="163"/>
  <c r="AN13" i="163"/>
  <c r="AK13" i="163"/>
  <c r="AI13" i="163"/>
  <c r="EB13" i="163" s="1"/>
  <c r="EH13" i="163"/>
  <c r="AB13" i="163"/>
  <c r="Y13" i="163"/>
  <c r="V13" i="163"/>
  <c r="S13" i="163"/>
  <c r="P13" i="163"/>
  <c r="M13" i="163"/>
  <c r="J13" i="163"/>
  <c r="G13" i="163"/>
  <c r="D13" i="163"/>
  <c r="A13" i="163"/>
  <c r="A14" i="163" s="1"/>
  <c r="A15" i="163" s="1"/>
  <c r="A16" i="163" s="1"/>
  <c r="A17" i="163" s="1"/>
  <c r="A18" i="163" s="1"/>
  <c r="A19" i="163" s="1"/>
  <c r="A20" i="163" s="1"/>
  <c r="A21" i="163" s="1"/>
  <c r="A22" i="163" s="1"/>
  <c r="A23" i="163" s="1"/>
  <c r="A24" i="163" s="1"/>
  <c r="A25" i="163" s="1"/>
  <c r="A26" i="163" s="1"/>
  <c r="A27" i="163" s="1"/>
  <c r="A28" i="163" s="1"/>
  <c r="A29" i="163" s="1"/>
  <c r="A30" i="163" s="1"/>
  <c r="A31" i="163" s="1"/>
  <c r="A32" i="163" s="1"/>
  <c r="A33" i="163" s="1"/>
  <c r="A34" i="163" s="1"/>
  <c r="A35" i="163" s="1"/>
  <c r="A36" i="163" s="1"/>
  <c r="A37" i="163" s="1"/>
  <c r="A38" i="163" s="1"/>
  <c r="A39" i="163" s="1"/>
  <c r="A40" i="163" s="1"/>
  <c r="A41" i="163" s="1"/>
  <c r="A42" i="163" s="1"/>
  <c r="EL12" i="163"/>
  <c r="EG12" i="163"/>
  <c r="EI12" i="163" s="1"/>
  <c r="EB12" i="163"/>
  <c r="DW12" i="163"/>
  <c r="DW43" i="163" s="1"/>
  <c r="DT12" i="163"/>
  <c r="DT43" i="163" s="1"/>
  <c r="DQ12" i="163"/>
  <c r="DN12" i="163"/>
  <c r="DN43" i="163" s="1"/>
  <c r="DK12" i="163"/>
  <c r="DK43" i="163" s="1"/>
  <c r="DH12" i="163"/>
  <c r="DH43" i="163" s="1"/>
  <c r="DE12" i="163"/>
  <c r="DB12" i="163"/>
  <c r="DB43" i="163" s="1"/>
  <c r="CY12" i="163"/>
  <c r="CY43" i="163" s="1"/>
  <c r="CV12" i="163"/>
  <c r="CV43" i="163" s="1"/>
  <c r="CS12" i="163"/>
  <c r="CS43" i="163" s="1"/>
  <c r="CP12" i="163"/>
  <c r="CP43" i="163" s="1"/>
  <c r="CM12" i="163"/>
  <c r="CM43" i="163" s="1"/>
  <c r="CJ12" i="163"/>
  <c r="CJ43" i="163" s="1"/>
  <c r="CG12" i="163"/>
  <c r="CG43" i="163" s="1"/>
  <c r="CD12" i="163"/>
  <c r="CD43" i="163" s="1"/>
  <c r="CA12" i="163"/>
  <c r="CA43" i="163" s="1"/>
  <c r="BX12" i="163"/>
  <c r="BX43" i="163" s="1"/>
  <c r="BU12" i="163"/>
  <c r="BR12" i="163"/>
  <c r="BR43" i="163" s="1"/>
  <c r="BO12" i="163"/>
  <c r="BO43" i="163" s="1"/>
  <c r="BL12" i="163"/>
  <c r="BL43" i="163" s="1"/>
  <c r="BI12" i="163"/>
  <c r="BI43" i="163" s="1"/>
  <c r="BF12" i="163"/>
  <c r="BF43" i="163" s="1"/>
  <c r="BC12" i="163"/>
  <c r="BC43" i="163" s="1"/>
  <c r="AZ12" i="163"/>
  <c r="AZ43" i="163" s="1"/>
  <c r="AW12" i="163"/>
  <c r="AW43" i="163" s="1"/>
  <c r="AT12" i="163"/>
  <c r="AT43" i="163" s="1"/>
  <c r="AQ12" i="163"/>
  <c r="AQ43" i="163" s="1"/>
  <c r="AN12" i="163"/>
  <c r="AN43" i="163" s="1"/>
  <c r="AI12" i="163"/>
  <c r="EK12" i="163" s="1"/>
  <c r="AB12" i="163"/>
  <c r="AB43" i="163" s="1"/>
  <c r="Y12" i="163"/>
  <c r="Y43" i="163" s="1"/>
  <c r="V12" i="163"/>
  <c r="V43" i="163" s="1"/>
  <c r="S12" i="163"/>
  <c r="S43" i="163" s="1"/>
  <c r="P12" i="163"/>
  <c r="P43" i="163" s="1"/>
  <c r="M12" i="163"/>
  <c r="M43" i="163" s="1"/>
  <c r="J12" i="163"/>
  <c r="J43" i="163" s="1"/>
  <c r="G12" i="163"/>
  <c r="G43" i="163" s="1"/>
  <c r="D12" i="163"/>
  <c r="D43" i="163" s="1"/>
  <c r="EP2" i="163"/>
  <c r="EN2" i="163"/>
  <c r="EI2" i="163"/>
  <c r="EE2" i="163"/>
  <c r="EQ2" i="163" s="1"/>
  <c r="G5" i="163" s="1"/>
  <c r="EH39" i="163" l="1"/>
  <c r="ED32" i="163"/>
  <c r="EH32" i="163"/>
  <c r="EH33" i="163"/>
  <c r="EH28" i="163"/>
  <c r="ED30" i="163"/>
  <c r="EH38" i="163"/>
  <c r="ED35" i="163"/>
  <c r="EE35" i="163" s="1"/>
  <c r="ED41" i="163"/>
  <c r="EE41" i="163" s="1"/>
  <c r="EH16" i="163"/>
  <c r="ED42" i="163"/>
  <c r="EE42" i="163" s="1"/>
  <c r="EH23" i="163"/>
  <c r="EH24" i="163"/>
  <c r="EH29" i="163"/>
  <c r="ED39" i="163"/>
  <c r="EE39" i="163" s="1"/>
  <c r="EH14" i="163"/>
  <c r="EH17" i="163"/>
  <c r="EH37" i="163"/>
  <c r="EH21" i="163"/>
  <c r="ED40" i="163"/>
  <c r="EE40" i="163" s="1"/>
  <c r="EH35" i="163"/>
  <c r="EH15" i="163"/>
  <c r="EH31" i="163"/>
  <c r="EH36" i="163"/>
  <c r="EH40" i="163"/>
  <c r="EH42" i="163"/>
  <c r="EH22" i="163"/>
  <c r="ED25" i="163"/>
  <c r="EE25" i="163" s="1"/>
  <c r="EH27" i="163"/>
  <c r="AE43" i="163"/>
  <c r="ED15" i="163"/>
  <c r="EE15" i="163" s="1"/>
  <c r="ED16" i="163"/>
  <c r="EE16" i="163" s="1"/>
  <c r="ED17" i="163"/>
  <c r="EE17" i="163" s="1"/>
  <c r="ED18" i="163"/>
  <c r="EE18" i="163" s="1"/>
  <c r="EH20" i="163"/>
  <c r="AH43" i="163"/>
  <c r="ED13" i="163"/>
  <c r="EE13" i="163" s="1"/>
  <c r="EH19" i="163"/>
  <c r="ED22" i="163"/>
  <c r="EE22" i="163" s="1"/>
  <c r="ED23" i="163"/>
  <c r="EE23" i="163" s="1"/>
  <c r="ED24" i="163"/>
  <c r="EE24" i="163" s="1"/>
  <c r="EH30" i="163"/>
  <c r="ED37" i="163"/>
  <c r="ED31" i="163"/>
  <c r="EE31" i="163" s="1"/>
  <c r="EH25" i="163"/>
  <c r="EC39" i="163"/>
  <c r="EM12" i="163"/>
  <c r="EN12" i="163" s="1"/>
  <c r="EE14" i="163"/>
  <c r="ED27" i="163"/>
  <c r="EE27" i="163" s="1"/>
  <c r="EN37" i="163"/>
  <c r="EM27" i="163"/>
  <c r="ED19" i="163"/>
  <c r="EN13" i="163"/>
  <c r="EN15" i="163"/>
  <c r="ED26" i="163"/>
  <c r="EE32" i="163"/>
  <c r="EE33" i="163"/>
  <c r="EN17" i="163"/>
  <c r="EC17" i="163"/>
  <c r="EC13" i="163"/>
  <c r="EM19" i="163"/>
  <c r="EN19" i="163" s="1"/>
  <c r="EN24" i="163"/>
  <c r="EC24" i="163"/>
  <c r="EN31" i="163"/>
  <c r="EN34" i="163"/>
  <c r="EC36" i="163"/>
  <c r="EN41" i="163"/>
  <c r="EI6" i="163"/>
  <c r="EC12" i="163"/>
  <c r="EK18" i="163"/>
  <c r="EN18" i="163" s="1"/>
  <c r="EB19" i="163"/>
  <c r="AK20" i="163"/>
  <c r="ED20" i="163" s="1"/>
  <c r="EE20" i="163" s="1"/>
  <c r="EK25" i="163"/>
  <c r="EN25" i="163" s="1"/>
  <c r="EB26" i="163"/>
  <c r="AK27" i="163"/>
  <c r="EC31" i="163"/>
  <c r="EC38" i="163"/>
  <c r="EC14" i="163"/>
  <c r="EK20" i="163"/>
  <c r="EC21" i="163"/>
  <c r="EK27" i="163"/>
  <c r="EN27" i="163" s="1"/>
  <c r="EB28" i="163"/>
  <c r="AK29" i="163"/>
  <c r="EM29" i="163" s="1"/>
  <c r="EC33" i="163"/>
  <c r="AK36" i="163"/>
  <c r="EM36" i="163" s="1"/>
  <c r="EC40" i="163"/>
  <c r="EI4" i="163"/>
  <c r="EI5" i="163" s="1"/>
  <c r="EC16" i="163"/>
  <c r="EK29" i="163"/>
  <c r="EC29" i="163" s="1"/>
  <c r="EB30" i="163"/>
  <c r="EK36" i="163"/>
  <c r="EB37" i="163"/>
  <c r="AK38" i="163"/>
  <c r="EM38" i="163" s="1"/>
  <c r="EN38" i="163" s="1"/>
  <c r="EC42" i="163"/>
  <c r="AK12" i="163"/>
  <c r="ED12" i="163" s="1"/>
  <c r="EH12" i="163"/>
  <c r="AK19" i="163"/>
  <c r="AK26" i="163"/>
  <c r="EM26" i="163" s="1"/>
  <c r="EN26" i="163" s="1"/>
  <c r="DQ43" i="163"/>
  <c r="AK28" i="163"/>
  <c r="EM28" i="163" s="1"/>
  <c r="EN28" i="163" s="1"/>
  <c r="EC32" i="163"/>
  <c r="EH43" i="163" l="1"/>
  <c r="EE12" i="163"/>
  <c r="EE26" i="163"/>
  <c r="EC26" i="163"/>
  <c r="EC25" i="163"/>
  <c r="EN36" i="163"/>
  <c r="ED36" i="163"/>
  <c r="EE36" i="163" s="1"/>
  <c r="EE30" i="163"/>
  <c r="EC30" i="163"/>
  <c r="EN4" i="163"/>
  <c r="EC28" i="163"/>
  <c r="EN29" i="163"/>
  <c r="EC20" i="163"/>
  <c r="ED29" i="163"/>
  <c r="EE29" i="163" s="1"/>
  <c r="EE19" i="163"/>
  <c r="EC19" i="163"/>
  <c r="AK43" i="163"/>
  <c r="EE37" i="163"/>
  <c r="EC37" i="163"/>
  <c r="EN6" i="163"/>
  <c r="EE6" i="163"/>
  <c r="G8" i="163" s="1"/>
  <c r="EC18" i="163"/>
  <c r="ED38" i="163"/>
  <c r="EE38" i="163" s="1"/>
  <c r="EE4" i="163"/>
  <c r="ED28" i="163"/>
  <c r="EE28" i="163" s="1"/>
  <c r="EM20" i="163"/>
  <c r="EM43" i="163" s="1"/>
  <c r="EC27" i="163"/>
  <c r="DH42" i="162"/>
  <c r="EL41" i="162"/>
  <c r="EK41" i="162"/>
  <c r="EG41" i="162"/>
  <c r="EI41" i="162" s="1"/>
  <c r="EB41" i="162"/>
  <c r="DW41" i="162"/>
  <c r="DT41" i="162"/>
  <c r="DQ41" i="162"/>
  <c r="EM41" i="162" s="1"/>
  <c r="DN41" i="162"/>
  <c r="DK41" i="162"/>
  <c r="DH41" i="162"/>
  <c r="DE41" i="162"/>
  <c r="DB41" i="162"/>
  <c r="CY41" i="162"/>
  <c r="CV41" i="162"/>
  <c r="CS41" i="162"/>
  <c r="CP41" i="162"/>
  <c r="CM41" i="162"/>
  <c r="CJ41" i="162"/>
  <c r="CG41" i="162"/>
  <c r="CD41" i="162"/>
  <c r="CA41" i="162"/>
  <c r="BX41" i="162"/>
  <c r="BU41" i="162"/>
  <c r="BR41" i="162"/>
  <c r="BO41" i="162"/>
  <c r="BL41" i="162"/>
  <c r="BI41" i="162"/>
  <c r="BF41" i="162"/>
  <c r="BC41" i="162"/>
  <c r="AZ41" i="162"/>
  <c r="AW41" i="162"/>
  <c r="AT41" i="162"/>
  <c r="AQ41" i="162"/>
  <c r="AN41" i="162"/>
  <c r="AK41" i="162"/>
  <c r="AI41" i="162"/>
  <c r="AB41" i="162"/>
  <c r="Y41" i="162"/>
  <c r="V41" i="162"/>
  <c r="S41" i="162"/>
  <c r="P41" i="162"/>
  <c r="M41" i="162"/>
  <c r="J41" i="162"/>
  <c r="G41" i="162"/>
  <c r="D41" i="162"/>
  <c r="EL40" i="162"/>
  <c r="EI40" i="162"/>
  <c r="EG40" i="162"/>
  <c r="DW40" i="162"/>
  <c r="DT40" i="162"/>
  <c r="DQ40" i="162"/>
  <c r="DN40" i="162"/>
  <c r="DK40" i="162"/>
  <c r="DH40" i="162"/>
  <c r="DE40" i="162"/>
  <c r="DB40" i="162"/>
  <c r="CY40" i="162"/>
  <c r="CV40" i="162"/>
  <c r="CS40" i="162"/>
  <c r="CP40" i="162"/>
  <c r="CM40" i="162"/>
  <c r="CJ40" i="162"/>
  <c r="CG40" i="162"/>
  <c r="CD40" i="162"/>
  <c r="CA40" i="162"/>
  <c r="BX40" i="162"/>
  <c r="BX42" i="162" s="1"/>
  <c r="BU40" i="162"/>
  <c r="BR40" i="162"/>
  <c r="BO40" i="162"/>
  <c r="BL40" i="162"/>
  <c r="BI40" i="162"/>
  <c r="BF40" i="162"/>
  <c r="BC40" i="162"/>
  <c r="AZ40" i="162"/>
  <c r="AW40" i="162"/>
  <c r="AT40" i="162"/>
  <c r="AQ40" i="162"/>
  <c r="AN40" i="162"/>
  <c r="AN42" i="162" s="1"/>
  <c r="AI40" i="162"/>
  <c r="EB40" i="162" s="1"/>
  <c r="AB40" i="162"/>
  <c r="Y40" i="162"/>
  <c r="EH40" i="162" s="1"/>
  <c r="V40" i="162"/>
  <c r="S40" i="162"/>
  <c r="P40" i="162"/>
  <c r="M40" i="162"/>
  <c r="J40" i="162"/>
  <c r="G40" i="162"/>
  <c r="D40" i="162"/>
  <c r="EL39" i="162"/>
  <c r="EK39" i="162"/>
  <c r="EG39" i="162"/>
  <c r="EI39" i="162" s="1"/>
  <c r="EC39" i="162"/>
  <c r="EB39" i="162"/>
  <c r="DW39" i="162"/>
  <c r="DT39" i="162"/>
  <c r="DQ39" i="162"/>
  <c r="DN39" i="162"/>
  <c r="DK39" i="162"/>
  <c r="DH39" i="162"/>
  <c r="DE39" i="162"/>
  <c r="DB39" i="162"/>
  <c r="CY39" i="162"/>
  <c r="CV39" i="162"/>
  <c r="CS39" i="162"/>
  <c r="CP39" i="162"/>
  <c r="CM39" i="162"/>
  <c r="CJ39" i="162"/>
  <c r="CG39" i="162"/>
  <c r="CD39" i="162"/>
  <c r="CA39" i="162"/>
  <c r="BX39" i="162"/>
  <c r="BU39" i="162"/>
  <c r="BR39" i="162"/>
  <c r="BO39" i="162"/>
  <c r="BL39" i="162"/>
  <c r="BI39" i="162"/>
  <c r="BF39" i="162"/>
  <c r="BC39" i="162"/>
  <c r="AZ39" i="162"/>
  <c r="AW39" i="162"/>
  <c r="AT39" i="162"/>
  <c r="AQ39" i="162"/>
  <c r="AN39" i="162"/>
  <c r="AI39" i="162"/>
  <c r="AK39" i="162" s="1"/>
  <c r="AB39" i="162"/>
  <c r="Y39" i="162"/>
  <c r="V39" i="162"/>
  <c r="S39" i="162"/>
  <c r="P39" i="162"/>
  <c r="M39" i="162"/>
  <c r="J39" i="162"/>
  <c r="G39" i="162"/>
  <c r="D39" i="162"/>
  <c r="EL38" i="162"/>
  <c r="EI38" i="162"/>
  <c r="EG38" i="162"/>
  <c r="DW38" i="162"/>
  <c r="DT38" i="162"/>
  <c r="DQ38" i="162"/>
  <c r="DN38" i="162"/>
  <c r="DK38" i="162"/>
  <c r="DH38" i="162"/>
  <c r="DE38" i="162"/>
  <c r="DB38" i="162"/>
  <c r="CY38" i="162"/>
  <c r="CV38" i="162"/>
  <c r="CS38" i="162"/>
  <c r="CP38" i="162"/>
  <c r="CM38" i="162"/>
  <c r="CJ38" i="162"/>
  <c r="CG38" i="162"/>
  <c r="CD38" i="162"/>
  <c r="CA38" i="162"/>
  <c r="BX38" i="162"/>
  <c r="BU38" i="162"/>
  <c r="BR38" i="162"/>
  <c r="BO38" i="162"/>
  <c r="BL38" i="162"/>
  <c r="BI38" i="162"/>
  <c r="BF38" i="162"/>
  <c r="BC38" i="162"/>
  <c r="AZ38" i="162"/>
  <c r="AW38" i="162"/>
  <c r="AT38" i="162"/>
  <c r="AQ38" i="162"/>
  <c r="AN38" i="162"/>
  <c r="AI38" i="162"/>
  <c r="EB38" i="162" s="1"/>
  <c r="EH38" i="162"/>
  <c r="AB38" i="162"/>
  <c r="Y38" i="162"/>
  <c r="V38" i="162"/>
  <c r="S38" i="162"/>
  <c r="P38" i="162"/>
  <c r="M38" i="162"/>
  <c r="J38" i="162"/>
  <c r="G38" i="162"/>
  <c r="D38" i="162"/>
  <c r="EL37" i="162"/>
  <c r="EG37" i="162"/>
  <c r="EI37" i="162" s="1"/>
  <c r="DW37" i="162"/>
  <c r="DT37" i="162"/>
  <c r="DQ37" i="162"/>
  <c r="DN37" i="162"/>
  <c r="DK37" i="162"/>
  <c r="DH37" i="162"/>
  <c r="DE37" i="162"/>
  <c r="DB37" i="162"/>
  <c r="CY37" i="162"/>
  <c r="CV37" i="162"/>
  <c r="CS37" i="162"/>
  <c r="CP37" i="162"/>
  <c r="CM37" i="162"/>
  <c r="CJ37" i="162"/>
  <c r="CG37" i="162"/>
  <c r="CD37" i="162"/>
  <c r="CA37" i="162"/>
  <c r="BX37" i="162"/>
  <c r="BU37" i="162"/>
  <c r="BR37" i="162"/>
  <c r="BO37" i="162"/>
  <c r="BL37" i="162"/>
  <c r="BI37" i="162"/>
  <c r="BF37" i="162"/>
  <c r="BC37" i="162"/>
  <c r="AZ37" i="162"/>
  <c r="AW37" i="162"/>
  <c r="AT37" i="162"/>
  <c r="AQ37" i="162"/>
  <c r="AN37" i="162"/>
  <c r="AI37" i="162"/>
  <c r="EK37" i="162" s="1"/>
  <c r="AB37" i="162"/>
  <c r="Y37" i="162"/>
  <c r="V37" i="162"/>
  <c r="S37" i="162"/>
  <c r="P37" i="162"/>
  <c r="M37" i="162"/>
  <c r="J37" i="162"/>
  <c r="G37" i="162"/>
  <c r="D37" i="162"/>
  <c r="EL36" i="162"/>
  <c r="EG36" i="162"/>
  <c r="EI36" i="162" s="1"/>
  <c r="DW36" i="162"/>
  <c r="DT36" i="162"/>
  <c r="DQ36" i="162"/>
  <c r="DN36" i="162"/>
  <c r="DK36" i="162"/>
  <c r="DH36" i="162"/>
  <c r="DE36" i="162"/>
  <c r="DB36" i="162"/>
  <c r="CY36" i="162"/>
  <c r="CV36" i="162"/>
  <c r="CS36" i="162"/>
  <c r="CP36" i="162"/>
  <c r="CM36" i="162"/>
  <c r="CJ36" i="162"/>
  <c r="CG36" i="162"/>
  <c r="CD36" i="162"/>
  <c r="CA36" i="162"/>
  <c r="BX36" i="162"/>
  <c r="BU36" i="162"/>
  <c r="BR36" i="162"/>
  <c r="BO36" i="162"/>
  <c r="BL36" i="162"/>
  <c r="BI36" i="162"/>
  <c r="BF36" i="162"/>
  <c r="BC36" i="162"/>
  <c r="AZ36" i="162"/>
  <c r="AW36" i="162"/>
  <c r="AT36" i="162"/>
  <c r="AQ36" i="162"/>
  <c r="AN36" i="162"/>
  <c r="AI36" i="162"/>
  <c r="AK36" i="162" s="1"/>
  <c r="AB36" i="162"/>
  <c r="Y36" i="162"/>
  <c r="V36" i="162"/>
  <c r="S36" i="162"/>
  <c r="P36" i="162"/>
  <c r="M36" i="162"/>
  <c r="J36" i="162"/>
  <c r="G36" i="162"/>
  <c r="D36" i="162"/>
  <c r="EL35" i="162"/>
  <c r="EI35" i="162"/>
  <c r="EG35" i="162"/>
  <c r="DW35" i="162"/>
  <c r="DT35" i="162"/>
  <c r="DQ35" i="162"/>
  <c r="EM35" i="162" s="1"/>
  <c r="DN35" i="162"/>
  <c r="DK35" i="162"/>
  <c r="DH35" i="162"/>
  <c r="DE35" i="162"/>
  <c r="DB35" i="162"/>
  <c r="CY35" i="162"/>
  <c r="CV35" i="162"/>
  <c r="CS35" i="162"/>
  <c r="CP35" i="162"/>
  <c r="CM35" i="162"/>
  <c r="CJ35" i="162"/>
  <c r="CG35" i="162"/>
  <c r="CD35" i="162"/>
  <c r="CA35" i="162"/>
  <c r="BX35" i="162"/>
  <c r="BU35" i="162"/>
  <c r="BR35" i="162"/>
  <c r="BO35" i="162"/>
  <c r="BL35" i="162"/>
  <c r="BI35" i="162"/>
  <c r="BF35" i="162"/>
  <c r="BC35" i="162"/>
  <c r="AZ35" i="162"/>
  <c r="AW35" i="162"/>
  <c r="AT35" i="162"/>
  <c r="AQ35" i="162"/>
  <c r="AN35" i="162"/>
  <c r="AK35" i="162"/>
  <c r="AI35" i="162"/>
  <c r="EB35" i="162" s="1"/>
  <c r="AB35" i="162"/>
  <c r="Y35" i="162"/>
  <c r="V35" i="162"/>
  <c r="S35" i="162"/>
  <c r="P35" i="162"/>
  <c r="M35" i="162"/>
  <c r="J35" i="162"/>
  <c r="G35" i="162"/>
  <c r="D35" i="162"/>
  <c r="D42" i="162" s="1"/>
  <c r="EL34" i="162"/>
  <c r="EI34" i="162"/>
  <c r="EG34" i="162"/>
  <c r="EB34" i="162"/>
  <c r="DW34" i="162"/>
  <c r="DT34" i="162"/>
  <c r="DQ34" i="162"/>
  <c r="DN34" i="162"/>
  <c r="DK34" i="162"/>
  <c r="DH34" i="162"/>
  <c r="DE34" i="162"/>
  <c r="DB34" i="162"/>
  <c r="CY34" i="162"/>
  <c r="CV34" i="162"/>
  <c r="CS34" i="162"/>
  <c r="CP34" i="162"/>
  <c r="CM34" i="162"/>
  <c r="CJ34" i="162"/>
  <c r="CG34" i="162"/>
  <c r="CD34" i="162"/>
  <c r="CA34" i="162"/>
  <c r="BX34" i="162"/>
  <c r="BU34" i="162"/>
  <c r="BR34" i="162"/>
  <c r="BO34" i="162"/>
  <c r="BL34" i="162"/>
  <c r="BI34" i="162"/>
  <c r="BF34" i="162"/>
  <c r="BC34" i="162"/>
  <c r="AZ34" i="162"/>
  <c r="AW34" i="162"/>
  <c r="AT34" i="162"/>
  <c r="AQ34" i="162"/>
  <c r="AN34" i="162"/>
  <c r="AI34" i="162"/>
  <c r="EK34" i="162" s="1"/>
  <c r="AB34" i="162"/>
  <c r="Y34" i="162"/>
  <c r="V34" i="162"/>
  <c r="S34" i="162"/>
  <c r="P34" i="162"/>
  <c r="M34" i="162"/>
  <c r="J34" i="162"/>
  <c r="G34" i="162"/>
  <c r="D34" i="162"/>
  <c r="EL33" i="162"/>
  <c r="EK33" i="162"/>
  <c r="EG33" i="162"/>
  <c r="EI33" i="162" s="1"/>
  <c r="DW33" i="162"/>
  <c r="DT33" i="162"/>
  <c r="EM33" i="162" s="1"/>
  <c r="DQ33" i="162"/>
  <c r="DN33" i="162"/>
  <c r="DK33" i="162"/>
  <c r="DH33" i="162"/>
  <c r="DE33" i="162"/>
  <c r="DB33" i="162"/>
  <c r="CY33" i="162"/>
  <c r="CV33" i="162"/>
  <c r="CS33" i="162"/>
  <c r="CP33" i="162"/>
  <c r="CM33" i="162"/>
  <c r="CJ33" i="162"/>
  <c r="CG33" i="162"/>
  <c r="CD33" i="162"/>
  <c r="CA33" i="162"/>
  <c r="BX33" i="162"/>
  <c r="BU33" i="162"/>
  <c r="BR33" i="162"/>
  <c r="BO33" i="162"/>
  <c r="BL33" i="162"/>
  <c r="BI33" i="162"/>
  <c r="BF33" i="162"/>
  <c r="BC33" i="162"/>
  <c r="AZ33" i="162"/>
  <c r="AW33" i="162"/>
  <c r="AT33" i="162"/>
  <c r="AQ33" i="162"/>
  <c r="AN33" i="162"/>
  <c r="AK33" i="162"/>
  <c r="AI33" i="162"/>
  <c r="EB33" i="162" s="1"/>
  <c r="AB33" i="162"/>
  <c r="Y33" i="162"/>
  <c r="V33" i="162"/>
  <c r="S33" i="162"/>
  <c r="P33" i="162"/>
  <c r="M33" i="162"/>
  <c r="J33" i="162"/>
  <c r="G33" i="162"/>
  <c r="D33" i="162"/>
  <c r="EL32" i="162"/>
  <c r="EI32" i="162"/>
  <c r="EG32" i="162"/>
  <c r="EB32" i="162"/>
  <c r="DW32" i="162"/>
  <c r="DT32" i="162"/>
  <c r="EM32" i="162" s="1"/>
  <c r="DQ32" i="162"/>
  <c r="DN32" i="162"/>
  <c r="DK32" i="162"/>
  <c r="DH32" i="162"/>
  <c r="DE32" i="162"/>
  <c r="DB32" i="162"/>
  <c r="CY32" i="162"/>
  <c r="CV32" i="162"/>
  <c r="CS32" i="162"/>
  <c r="CP32" i="162"/>
  <c r="CM32" i="162"/>
  <c r="CJ32" i="162"/>
  <c r="CG32" i="162"/>
  <c r="CD32" i="162"/>
  <c r="CA32" i="162"/>
  <c r="BX32" i="162"/>
  <c r="BU32" i="162"/>
  <c r="BR32" i="162"/>
  <c r="BO32" i="162"/>
  <c r="BL32" i="162"/>
  <c r="BI32" i="162"/>
  <c r="BF32" i="162"/>
  <c r="BC32" i="162"/>
  <c r="AZ32" i="162"/>
  <c r="AW32" i="162"/>
  <c r="AT32" i="162"/>
  <c r="AQ32" i="162"/>
  <c r="AN32" i="162"/>
  <c r="AK32" i="162"/>
  <c r="AI32" i="162"/>
  <c r="EK32" i="162" s="1"/>
  <c r="ED32" i="162"/>
  <c r="AB32" i="162"/>
  <c r="Y32" i="162"/>
  <c r="V32" i="162"/>
  <c r="S32" i="162"/>
  <c r="P32" i="162"/>
  <c r="M32" i="162"/>
  <c r="J32" i="162"/>
  <c r="G32" i="162"/>
  <c r="D32" i="162"/>
  <c r="EL31" i="162"/>
  <c r="EK31" i="162"/>
  <c r="EI31" i="162"/>
  <c r="EG31" i="162"/>
  <c r="EB31" i="162"/>
  <c r="EC31" i="162" s="1"/>
  <c r="DW31" i="162"/>
  <c r="DT31" i="162"/>
  <c r="DQ31" i="162"/>
  <c r="EM31" i="162" s="1"/>
  <c r="DN31" i="162"/>
  <c r="DK31" i="162"/>
  <c r="DH31" i="162"/>
  <c r="DE31" i="162"/>
  <c r="DB31" i="162"/>
  <c r="CY31" i="162"/>
  <c r="CV31" i="162"/>
  <c r="CS31" i="162"/>
  <c r="CP31" i="162"/>
  <c r="CM31" i="162"/>
  <c r="CJ31" i="162"/>
  <c r="CG31" i="162"/>
  <c r="CD31" i="162"/>
  <c r="CA31" i="162"/>
  <c r="BX31" i="162"/>
  <c r="BU31" i="162"/>
  <c r="BR31" i="162"/>
  <c r="BO31" i="162"/>
  <c r="BL31" i="162"/>
  <c r="BI31" i="162"/>
  <c r="BF31" i="162"/>
  <c r="BC31" i="162"/>
  <c r="AZ31" i="162"/>
  <c r="AW31" i="162"/>
  <c r="AT31" i="162"/>
  <c r="AQ31" i="162"/>
  <c r="AN31" i="162"/>
  <c r="AK31" i="162"/>
  <c r="AI31" i="162"/>
  <c r="AB31" i="162"/>
  <c r="Y31" i="162"/>
  <c r="V31" i="162"/>
  <c r="S31" i="162"/>
  <c r="P31" i="162"/>
  <c r="M31" i="162"/>
  <c r="J31" i="162"/>
  <c r="G31" i="162"/>
  <c r="D31" i="162"/>
  <c r="EN30" i="162"/>
  <c r="EL30" i="162"/>
  <c r="EK30" i="162"/>
  <c r="EG30" i="162"/>
  <c r="EI30" i="162" s="1"/>
  <c r="EB30" i="162"/>
  <c r="EE30" i="162" s="1"/>
  <c r="DW30" i="162"/>
  <c r="DT30" i="162"/>
  <c r="EM30" i="162" s="1"/>
  <c r="DQ30" i="162"/>
  <c r="DN30" i="162"/>
  <c r="DK30" i="162"/>
  <c r="DH30" i="162"/>
  <c r="DE30" i="162"/>
  <c r="DB30" i="162"/>
  <c r="CY30" i="162"/>
  <c r="CV30" i="162"/>
  <c r="CS30" i="162"/>
  <c r="CP30" i="162"/>
  <c r="CM30" i="162"/>
  <c r="CJ30" i="162"/>
  <c r="CG30" i="162"/>
  <c r="CD30" i="162"/>
  <c r="CA30" i="162"/>
  <c r="BX30" i="162"/>
  <c r="BU30" i="162"/>
  <c r="BR30" i="162"/>
  <c r="BO30" i="162"/>
  <c r="BL30" i="162"/>
  <c r="BI30" i="162"/>
  <c r="BF30" i="162"/>
  <c r="BC30" i="162"/>
  <c r="AZ30" i="162"/>
  <c r="AW30" i="162"/>
  <c r="AT30" i="162"/>
  <c r="AQ30" i="162"/>
  <c r="AN30" i="162"/>
  <c r="AK30" i="162"/>
  <c r="AB30" i="162"/>
  <c r="EH30" i="162" s="1"/>
  <c r="Y30" i="162"/>
  <c r="V30" i="162"/>
  <c r="S30" i="162"/>
  <c r="P30" i="162"/>
  <c r="M30" i="162"/>
  <c r="J30" i="162"/>
  <c r="G30" i="162"/>
  <c r="D30" i="162"/>
  <c r="EN29" i="162"/>
  <c r="EL29" i="162"/>
  <c r="EK29" i="162"/>
  <c r="EC29" i="162" s="1"/>
  <c r="EG29" i="162"/>
  <c r="EI29" i="162" s="1"/>
  <c r="EB29" i="162"/>
  <c r="EE29" i="162" s="1"/>
  <c r="DW29" i="162"/>
  <c r="DT29" i="162"/>
  <c r="EM29" i="162" s="1"/>
  <c r="DQ29" i="162"/>
  <c r="DN29" i="162"/>
  <c r="DK29" i="162"/>
  <c r="DH29" i="162"/>
  <c r="DE29" i="162"/>
  <c r="DB29" i="162"/>
  <c r="CY29" i="162"/>
  <c r="CV29" i="162"/>
  <c r="CS29" i="162"/>
  <c r="CP29" i="162"/>
  <c r="CM29" i="162"/>
  <c r="CJ29" i="162"/>
  <c r="CG29" i="162"/>
  <c r="CD29" i="162"/>
  <c r="CA29" i="162"/>
  <c r="BX29" i="162"/>
  <c r="BU29" i="162"/>
  <c r="BR29" i="162"/>
  <c r="BO29" i="162"/>
  <c r="BL29" i="162"/>
  <c r="BI29" i="162"/>
  <c r="BF29" i="162"/>
  <c r="BC29" i="162"/>
  <c r="AZ29" i="162"/>
  <c r="AW29" i="162"/>
  <c r="AT29" i="162"/>
  <c r="AQ29" i="162"/>
  <c r="AN29" i="162"/>
  <c r="AK29" i="162"/>
  <c r="AB29" i="162"/>
  <c r="Y29" i="162"/>
  <c r="V29" i="162"/>
  <c r="S29" i="162"/>
  <c r="P29" i="162"/>
  <c r="M29" i="162"/>
  <c r="J29" i="162"/>
  <c r="G29" i="162"/>
  <c r="D29" i="162"/>
  <c r="EN28" i="162"/>
  <c r="EL28" i="162"/>
  <c r="EK28" i="162"/>
  <c r="EG28" i="162"/>
  <c r="EI28" i="162" s="1"/>
  <c r="EB28" i="162"/>
  <c r="EE28" i="162" s="1"/>
  <c r="DW28" i="162"/>
  <c r="DT28" i="162"/>
  <c r="EM28" i="162" s="1"/>
  <c r="DQ28" i="162"/>
  <c r="DN28" i="162"/>
  <c r="DK28" i="162"/>
  <c r="DH28" i="162"/>
  <c r="DE28" i="162"/>
  <c r="DB28" i="162"/>
  <c r="CY28" i="162"/>
  <c r="CV28" i="162"/>
  <c r="CS28" i="162"/>
  <c r="CP28" i="162"/>
  <c r="CM28" i="162"/>
  <c r="CJ28" i="162"/>
  <c r="CG28" i="162"/>
  <c r="CD28" i="162"/>
  <c r="CA28" i="162"/>
  <c r="BX28" i="162"/>
  <c r="BU28" i="162"/>
  <c r="BR28" i="162"/>
  <c r="BO28" i="162"/>
  <c r="BL28" i="162"/>
  <c r="BI28" i="162"/>
  <c r="BF28" i="162"/>
  <c r="BC28" i="162"/>
  <c r="AZ28" i="162"/>
  <c r="AW28" i="162"/>
  <c r="AT28" i="162"/>
  <c r="AQ28" i="162"/>
  <c r="AN28" i="162"/>
  <c r="AK28" i="162"/>
  <c r="AB28" i="162"/>
  <c r="Y28" i="162"/>
  <c r="V28" i="162"/>
  <c r="S28" i="162"/>
  <c r="P28" i="162"/>
  <c r="M28" i="162"/>
  <c r="J28" i="162"/>
  <c r="G28" i="162"/>
  <c r="D28" i="162"/>
  <c r="EN27" i="162"/>
  <c r="EL27" i="162"/>
  <c r="EK27" i="162"/>
  <c r="EC27" i="162" s="1"/>
  <c r="EG27" i="162"/>
  <c r="EI27" i="162" s="1"/>
  <c r="EB27" i="162"/>
  <c r="EE27" i="162" s="1"/>
  <c r="DW27" i="162"/>
  <c r="DT27" i="162"/>
  <c r="EM27" i="162" s="1"/>
  <c r="DQ27" i="162"/>
  <c r="DN27" i="162"/>
  <c r="DK27" i="162"/>
  <c r="DH27" i="162"/>
  <c r="DE27" i="162"/>
  <c r="DB27" i="162"/>
  <c r="CY27" i="162"/>
  <c r="CV27" i="162"/>
  <c r="CS27" i="162"/>
  <c r="CP27" i="162"/>
  <c r="CM27" i="162"/>
  <c r="CJ27" i="162"/>
  <c r="CG27" i="162"/>
  <c r="CD27" i="162"/>
  <c r="CA27" i="162"/>
  <c r="BX27" i="162"/>
  <c r="BU27" i="162"/>
  <c r="BR27" i="162"/>
  <c r="BO27" i="162"/>
  <c r="BL27" i="162"/>
  <c r="BI27" i="162"/>
  <c r="BF27" i="162"/>
  <c r="BC27" i="162"/>
  <c r="AZ27" i="162"/>
  <c r="AW27" i="162"/>
  <c r="AT27" i="162"/>
  <c r="AQ27" i="162"/>
  <c r="AN27" i="162"/>
  <c r="AK27" i="162"/>
  <c r="AB27" i="162"/>
  <c r="Y27" i="162"/>
  <c r="V27" i="162"/>
  <c r="S27" i="162"/>
  <c r="P27" i="162"/>
  <c r="M27" i="162"/>
  <c r="J27" i="162"/>
  <c r="G27" i="162"/>
  <c r="D27" i="162"/>
  <c r="EN26" i="162"/>
  <c r="EL26" i="162"/>
  <c r="EK26" i="162"/>
  <c r="EG26" i="162"/>
  <c r="EI26" i="162" s="1"/>
  <c r="EB26" i="162"/>
  <c r="EE26" i="162" s="1"/>
  <c r="DW26" i="162"/>
  <c r="DT26" i="162"/>
  <c r="EM26" i="162" s="1"/>
  <c r="DQ26" i="162"/>
  <c r="DN26" i="162"/>
  <c r="DK26" i="162"/>
  <c r="DH26" i="162"/>
  <c r="DE26" i="162"/>
  <c r="DB26" i="162"/>
  <c r="CY26" i="162"/>
  <c r="CV26" i="162"/>
  <c r="CS26" i="162"/>
  <c r="CP26" i="162"/>
  <c r="CM26" i="162"/>
  <c r="CJ26" i="162"/>
  <c r="CG26" i="162"/>
  <c r="CD26" i="162"/>
  <c r="CA26" i="162"/>
  <c r="BX26" i="162"/>
  <c r="BU26" i="162"/>
  <c r="BR26" i="162"/>
  <c r="BO26" i="162"/>
  <c r="BL26" i="162"/>
  <c r="BI26" i="162"/>
  <c r="BF26" i="162"/>
  <c r="BC26" i="162"/>
  <c r="AZ26" i="162"/>
  <c r="AW26" i="162"/>
  <c r="AT26" i="162"/>
  <c r="AQ26" i="162"/>
  <c r="AN26" i="162"/>
  <c r="AK26" i="162"/>
  <c r="AB26" i="162"/>
  <c r="Y26" i="162"/>
  <c r="V26" i="162"/>
  <c r="S26" i="162"/>
  <c r="P26" i="162"/>
  <c r="M26" i="162"/>
  <c r="J26" i="162"/>
  <c r="G26" i="162"/>
  <c r="D26" i="162"/>
  <c r="EN25" i="162"/>
  <c r="EL25" i="162"/>
  <c r="EK25" i="162"/>
  <c r="EG25" i="162"/>
  <c r="EI25" i="162" s="1"/>
  <c r="EB25" i="162"/>
  <c r="EE25" i="162" s="1"/>
  <c r="DW25" i="162"/>
  <c r="DT25" i="162"/>
  <c r="EM25" i="162" s="1"/>
  <c r="DQ25" i="162"/>
  <c r="DN25" i="162"/>
  <c r="DK25" i="162"/>
  <c r="DH25" i="162"/>
  <c r="DE25" i="162"/>
  <c r="DB25" i="162"/>
  <c r="CY25" i="162"/>
  <c r="CV25" i="162"/>
  <c r="CS25" i="162"/>
  <c r="CP25" i="162"/>
  <c r="CM25" i="162"/>
  <c r="CJ25" i="162"/>
  <c r="CG25" i="162"/>
  <c r="CD25" i="162"/>
  <c r="CA25" i="162"/>
  <c r="BX25" i="162"/>
  <c r="BU25" i="162"/>
  <c r="BR25" i="162"/>
  <c r="BO25" i="162"/>
  <c r="BL25" i="162"/>
  <c r="BI25" i="162"/>
  <c r="BF25" i="162"/>
  <c r="BC25" i="162"/>
  <c r="AZ25" i="162"/>
  <c r="AW25" i="162"/>
  <c r="AT25" i="162"/>
  <c r="AQ25" i="162"/>
  <c r="AN25" i="162"/>
  <c r="AK25" i="162"/>
  <c r="AB25" i="162"/>
  <c r="Y25" i="162"/>
  <c r="V25" i="162"/>
  <c r="S25" i="162"/>
  <c r="P25" i="162"/>
  <c r="M25" i="162"/>
  <c r="J25" i="162"/>
  <c r="G25" i="162"/>
  <c r="D25" i="162"/>
  <c r="EN24" i="162"/>
  <c r="EL24" i="162"/>
  <c r="EK24" i="162"/>
  <c r="EG24" i="162"/>
  <c r="EI24" i="162" s="1"/>
  <c r="EB24" i="162"/>
  <c r="EE24" i="162" s="1"/>
  <c r="DW24" i="162"/>
  <c r="DT24" i="162"/>
  <c r="EM24" i="162" s="1"/>
  <c r="DQ24" i="162"/>
  <c r="DN24" i="162"/>
  <c r="DK24" i="162"/>
  <c r="DH24" i="162"/>
  <c r="DE24" i="162"/>
  <c r="DB24" i="162"/>
  <c r="CY24" i="162"/>
  <c r="CV24" i="162"/>
  <c r="CS24" i="162"/>
  <c r="CP24" i="162"/>
  <c r="CM24" i="162"/>
  <c r="CJ24" i="162"/>
  <c r="CG24" i="162"/>
  <c r="CD24" i="162"/>
  <c r="CA24" i="162"/>
  <c r="BX24" i="162"/>
  <c r="BU24" i="162"/>
  <c r="BR24" i="162"/>
  <c r="BO24" i="162"/>
  <c r="BL24" i="162"/>
  <c r="BI24" i="162"/>
  <c r="BF24" i="162"/>
  <c r="BC24" i="162"/>
  <c r="AZ24" i="162"/>
  <c r="AW24" i="162"/>
  <c r="AT24" i="162"/>
  <c r="AQ24" i="162"/>
  <c r="AN24" i="162"/>
  <c r="AK24" i="162"/>
  <c r="AB24" i="162"/>
  <c r="Y24" i="162"/>
  <c r="V24" i="162"/>
  <c r="S24" i="162"/>
  <c r="P24" i="162"/>
  <c r="M24" i="162"/>
  <c r="J24" i="162"/>
  <c r="G24" i="162"/>
  <c r="D24" i="162"/>
  <c r="EN23" i="162"/>
  <c r="EL23" i="162"/>
  <c r="EK23" i="162"/>
  <c r="EG23" i="162"/>
  <c r="EI23" i="162" s="1"/>
  <c r="EB23" i="162"/>
  <c r="EE23" i="162" s="1"/>
  <c r="DW23" i="162"/>
  <c r="DT23" i="162"/>
  <c r="EM23" i="162" s="1"/>
  <c r="DQ23" i="162"/>
  <c r="DN23" i="162"/>
  <c r="DK23" i="162"/>
  <c r="DH23" i="162"/>
  <c r="DE23" i="162"/>
  <c r="DB23" i="162"/>
  <c r="CY23" i="162"/>
  <c r="CV23" i="162"/>
  <c r="CS23" i="162"/>
  <c r="CP23" i="162"/>
  <c r="CM23" i="162"/>
  <c r="CJ23" i="162"/>
  <c r="CG23" i="162"/>
  <c r="CD23" i="162"/>
  <c r="CA23" i="162"/>
  <c r="BX23" i="162"/>
  <c r="BU23" i="162"/>
  <c r="BR23" i="162"/>
  <c r="BO23" i="162"/>
  <c r="BL23" i="162"/>
  <c r="BI23" i="162"/>
  <c r="BF23" i="162"/>
  <c r="BC23" i="162"/>
  <c r="AZ23" i="162"/>
  <c r="AW23" i="162"/>
  <c r="AT23" i="162"/>
  <c r="AQ23" i="162"/>
  <c r="AN23" i="162"/>
  <c r="AK23" i="162"/>
  <c r="AB23" i="162"/>
  <c r="Y23" i="162"/>
  <c r="V23" i="162"/>
  <c r="S23" i="162"/>
  <c r="P23" i="162"/>
  <c r="M23" i="162"/>
  <c r="J23" i="162"/>
  <c r="G23" i="162"/>
  <c r="D23" i="162"/>
  <c r="EN22" i="162"/>
  <c r="EL22" i="162"/>
  <c r="EK22" i="162"/>
  <c r="EG22" i="162"/>
  <c r="EI22" i="162" s="1"/>
  <c r="EB22" i="162"/>
  <c r="EE22" i="162" s="1"/>
  <c r="DW22" i="162"/>
  <c r="DT22" i="162"/>
  <c r="EM22" i="162" s="1"/>
  <c r="DQ22" i="162"/>
  <c r="DN22" i="162"/>
  <c r="DK22" i="162"/>
  <c r="DH22" i="162"/>
  <c r="DE22" i="162"/>
  <c r="DB22" i="162"/>
  <c r="CY22" i="162"/>
  <c r="CV22" i="162"/>
  <c r="CS22" i="162"/>
  <c r="CP22" i="162"/>
  <c r="CM22" i="162"/>
  <c r="CJ22" i="162"/>
  <c r="CG22" i="162"/>
  <c r="CD22" i="162"/>
  <c r="CA22" i="162"/>
  <c r="BX22" i="162"/>
  <c r="BU22" i="162"/>
  <c r="BR22" i="162"/>
  <c r="BO22" i="162"/>
  <c r="BL22" i="162"/>
  <c r="BI22" i="162"/>
  <c r="BF22" i="162"/>
  <c r="BC22" i="162"/>
  <c r="AZ22" i="162"/>
  <c r="AW22" i="162"/>
  <c r="AT22" i="162"/>
  <c r="AQ22" i="162"/>
  <c r="AN22" i="162"/>
  <c r="AK22" i="162"/>
  <c r="AB22" i="162"/>
  <c r="Y22" i="162"/>
  <c r="V22" i="162"/>
  <c r="S22" i="162"/>
  <c r="P22" i="162"/>
  <c r="M22" i="162"/>
  <c r="J22" i="162"/>
  <c r="G22" i="162"/>
  <c r="D22" i="162"/>
  <c r="EN21" i="162"/>
  <c r="EL21" i="162"/>
  <c r="EK21" i="162"/>
  <c r="EG21" i="162"/>
  <c r="EI21" i="162" s="1"/>
  <c r="EB21" i="162"/>
  <c r="EE21" i="162" s="1"/>
  <c r="DW21" i="162"/>
  <c r="DT21" i="162"/>
  <c r="EM21" i="162" s="1"/>
  <c r="DQ21" i="162"/>
  <c r="DN21" i="162"/>
  <c r="DK21" i="162"/>
  <c r="DH21" i="162"/>
  <c r="DE21" i="162"/>
  <c r="DB21" i="162"/>
  <c r="CY21" i="162"/>
  <c r="CV21" i="162"/>
  <c r="CS21" i="162"/>
  <c r="CP21" i="162"/>
  <c r="CM21" i="162"/>
  <c r="CJ21" i="162"/>
  <c r="CG21" i="162"/>
  <c r="CD21" i="162"/>
  <c r="CA21" i="162"/>
  <c r="BX21" i="162"/>
  <c r="BU21" i="162"/>
  <c r="BR21" i="162"/>
  <c r="BO21" i="162"/>
  <c r="BL21" i="162"/>
  <c r="BI21" i="162"/>
  <c r="BF21" i="162"/>
  <c r="BC21" i="162"/>
  <c r="AZ21" i="162"/>
  <c r="AW21" i="162"/>
  <c r="AT21" i="162"/>
  <c r="AQ21" i="162"/>
  <c r="AN21" i="162"/>
  <c r="AK21" i="162"/>
  <c r="AB21" i="162"/>
  <c r="Y21" i="162"/>
  <c r="V21" i="162"/>
  <c r="S21" i="162"/>
  <c r="P21" i="162"/>
  <c r="M21" i="162"/>
  <c r="J21" i="162"/>
  <c r="G21" i="162"/>
  <c r="D21" i="162"/>
  <c r="EN20" i="162"/>
  <c r="EL20" i="162"/>
  <c r="EK20" i="162"/>
  <c r="EG20" i="162"/>
  <c r="EI20" i="162" s="1"/>
  <c r="EB20" i="162"/>
  <c r="EE20" i="162" s="1"/>
  <c r="DW20" i="162"/>
  <c r="DT20" i="162"/>
  <c r="EM20" i="162" s="1"/>
  <c r="DQ20" i="162"/>
  <c r="DN20" i="162"/>
  <c r="DK20" i="162"/>
  <c r="DH20" i="162"/>
  <c r="DE20" i="162"/>
  <c r="DB20" i="162"/>
  <c r="CY20" i="162"/>
  <c r="CV20" i="162"/>
  <c r="CS20" i="162"/>
  <c r="CP20" i="162"/>
  <c r="CM20" i="162"/>
  <c r="CJ20" i="162"/>
  <c r="CG20" i="162"/>
  <c r="CD20" i="162"/>
  <c r="CA20" i="162"/>
  <c r="BX20" i="162"/>
  <c r="BU20" i="162"/>
  <c r="BR20" i="162"/>
  <c r="BO20" i="162"/>
  <c r="BL20" i="162"/>
  <c r="BI20" i="162"/>
  <c r="BF20" i="162"/>
  <c r="BC20" i="162"/>
  <c r="AZ20" i="162"/>
  <c r="AW20" i="162"/>
  <c r="AT20" i="162"/>
  <c r="AQ20" i="162"/>
  <c r="AN20" i="162"/>
  <c r="AK20" i="162"/>
  <c r="AB20" i="162"/>
  <c r="Y20" i="162"/>
  <c r="V20" i="162"/>
  <c r="S20" i="162"/>
  <c r="P20" i="162"/>
  <c r="M20" i="162"/>
  <c r="J20" i="162"/>
  <c r="G20" i="162"/>
  <c r="D20" i="162"/>
  <c r="EN19" i="162"/>
  <c r="EL19" i="162"/>
  <c r="EK19" i="162"/>
  <c r="EG19" i="162"/>
  <c r="EI19" i="162" s="1"/>
  <c r="EB19" i="162"/>
  <c r="EE19" i="162" s="1"/>
  <c r="DW19" i="162"/>
  <c r="DT19" i="162"/>
  <c r="EM19" i="162" s="1"/>
  <c r="DQ19" i="162"/>
  <c r="DN19" i="162"/>
  <c r="DK19" i="162"/>
  <c r="DH19" i="162"/>
  <c r="DE19" i="162"/>
  <c r="DB19" i="162"/>
  <c r="CY19" i="162"/>
  <c r="CV19" i="162"/>
  <c r="CS19" i="162"/>
  <c r="CP19" i="162"/>
  <c r="CM19" i="162"/>
  <c r="CJ19" i="162"/>
  <c r="CG19" i="162"/>
  <c r="CD19" i="162"/>
  <c r="CA19" i="162"/>
  <c r="BX19" i="162"/>
  <c r="BU19" i="162"/>
  <c r="BR19" i="162"/>
  <c r="BO19" i="162"/>
  <c r="BL19" i="162"/>
  <c r="BI19" i="162"/>
  <c r="BF19" i="162"/>
  <c r="BC19" i="162"/>
  <c r="AZ19" i="162"/>
  <c r="AW19" i="162"/>
  <c r="AT19" i="162"/>
  <c r="AQ19" i="162"/>
  <c r="AN19" i="162"/>
  <c r="AK19" i="162"/>
  <c r="AB19" i="162"/>
  <c r="Y19" i="162"/>
  <c r="V19" i="162"/>
  <c r="S19" i="162"/>
  <c r="P19" i="162"/>
  <c r="M19" i="162"/>
  <c r="J19" i="162"/>
  <c r="G19" i="162"/>
  <c r="D19" i="162"/>
  <c r="EN18" i="162"/>
  <c r="EL18" i="162"/>
  <c r="EK18" i="162"/>
  <c r="EG18" i="162"/>
  <c r="EI18" i="162" s="1"/>
  <c r="EB18" i="162"/>
  <c r="EE18" i="162" s="1"/>
  <c r="DW18" i="162"/>
  <c r="DT18" i="162"/>
  <c r="EM18" i="162" s="1"/>
  <c r="DQ18" i="162"/>
  <c r="DN18" i="162"/>
  <c r="DK18" i="162"/>
  <c r="DH18" i="162"/>
  <c r="DE18" i="162"/>
  <c r="DB18" i="162"/>
  <c r="CY18" i="162"/>
  <c r="CV18" i="162"/>
  <c r="CS18" i="162"/>
  <c r="CP18" i="162"/>
  <c r="CM18" i="162"/>
  <c r="CJ18" i="162"/>
  <c r="CG18" i="162"/>
  <c r="CD18" i="162"/>
  <c r="CA18" i="162"/>
  <c r="BX18" i="162"/>
  <c r="BU18" i="162"/>
  <c r="BR18" i="162"/>
  <c r="BO18" i="162"/>
  <c r="BL18" i="162"/>
  <c r="BI18" i="162"/>
  <c r="BF18" i="162"/>
  <c r="BC18" i="162"/>
  <c r="AZ18" i="162"/>
  <c r="AW18" i="162"/>
  <c r="AT18" i="162"/>
  <c r="AQ18" i="162"/>
  <c r="AN18" i="162"/>
  <c r="AK18" i="162"/>
  <c r="AB18" i="162"/>
  <c r="EH18" i="162" s="1"/>
  <c r="Y18" i="162"/>
  <c r="V18" i="162"/>
  <c r="S18" i="162"/>
  <c r="P18" i="162"/>
  <c r="M18" i="162"/>
  <c r="J18" i="162"/>
  <c r="G18" i="162"/>
  <c r="D18" i="162"/>
  <c r="EN17" i="162"/>
  <c r="EL17" i="162"/>
  <c r="EK17" i="162"/>
  <c r="EG17" i="162"/>
  <c r="EI17" i="162" s="1"/>
  <c r="EB17" i="162"/>
  <c r="EE17" i="162" s="1"/>
  <c r="DW17" i="162"/>
  <c r="DT17" i="162"/>
  <c r="EM17" i="162" s="1"/>
  <c r="DQ17" i="162"/>
  <c r="DN17" i="162"/>
  <c r="DK17" i="162"/>
  <c r="DH17" i="162"/>
  <c r="DE17" i="162"/>
  <c r="DB17" i="162"/>
  <c r="CY17" i="162"/>
  <c r="CV17" i="162"/>
  <c r="CS17" i="162"/>
  <c r="CP17" i="162"/>
  <c r="CM17" i="162"/>
  <c r="CJ17" i="162"/>
  <c r="CG17" i="162"/>
  <c r="CD17" i="162"/>
  <c r="CA17" i="162"/>
  <c r="BX17" i="162"/>
  <c r="BU17" i="162"/>
  <c r="BR17" i="162"/>
  <c r="BO17" i="162"/>
  <c r="BL17" i="162"/>
  <c r="BI17" i="162"/>
  <c r="BF17" i="162"/>
  <c r="BC17" i="162"/>
  <c r="AZ17" i="162"/>
  <c r="AW17" i="162"/>
  <c r="AT17" i="162"/>
  <c r="AQ17" i="162"/>
  <c r="AN17" i="162"/>
  <c r="AK17" i="162"/>
  <c r="AB17" i="162"/>
  <c r="Y17" i="162"/>
  <c r="V17" i="162"/>
  <c r="S17" i="162"/>
  <c r="P17" i="162"/>
  <c r="M17" i="162"/>
  <c r="J17" i="162"/>
  <c r="G17" i="162"/>
  <c r="D17" i="162"/>
  <c r="EN16" i="162"/>
  <c r="EL16" i="162"/>
  <c r="EK16" i="162"/>
  <c r="EG16" i="162"/>
  <c r="EI16" i="162" s="1"/>
  <c r="EB16" i="162"/>
  <c r="EE16" i="162" s="1"/>
  <c r="DW16" i="162"/>
  <c r="DT16" i="162"/>
  <c r="EM16" i="162" s="1"/>
  <c r="DQ16" i="162"/>
  <c r="DN16" i="162"/>
  <c r="DK16" i="162"/>
  <c r="DH16" i="162"/>
  <c r="DE16" i="162"/>
  <c r="DB16" i="162"/>
  <c r="CY16" i="162"/>
  <c r="CV16" i="162"/>
  <c r="CS16" i="162"/>
  <c r="CP16" i="162"/>
  <c r="CM16" i="162"/>
  <c r="CJ16" i="162"/>
  <c r="CG16" i="162"/>
  <c r="CD16" i="162"/>
  <c r="CA16" i="162"/>
  <c r="BX16" i="162"/>
  <c r="BU16" i="162"/>
  <c r="BR16" i="162"/>
  <c r="BO16" i="162"/>
  <c r="BL16" i="162"/>
  <c r="BI16" i="162"/>
  <c r="BF16" i="162"/>
  <c r="BC16" i="162"/>
  <c r="AZ16" i="162"/>
  <c r="AW16" i="162"/>
  <c r="AT16" i="162"/>
  <c r="AQ16" i="162"/>
  <c r="AN16" i="162"/>
  <c r="AK16" i="162"/>
  <c r="AB16" i="162"/>
  <c r="Y16" i="162"/>
  <c r="V16" i="162"/>
  <c r="S16" i="162"/>
  <c r="P16" i="162"/>
  <c r="M16" i="162"/>
  <c r="J16" i="162"/>
  <c r="G16" i="162"/>
  <c r="D16" i="162"/>
  <c r="EN15" i="162"/>
  <c r="EL15" i="162"/>
  <c r="EK15" i="162"/>
  <c r="EI15" i="162"/>
  <c r="EG15" i="162"/>
  <c r="EB15" i="162"/>
  <c r="EE15" i="162" s="1"/>
  <c r="DW15" i="162"/>
  <c r="DT15" i="162"/>
  <c r="EM15" i="162" s="1"/>
  <c r="DQ15" i="162"/>
  <c r="DN15" i="162"/>
  <c r="DK15" i="162"/>
  <c r="DH15" i="162"/>
  <c r="DE15" i="162"/>
  <c r="DB15" i="162"/>
  <c r="CY15" i="162"/>
  <c r="CV15" i="162"/>
  <c r="CS15" i="162"/>
  <c r="CP15" i="162"/>
  <c r="CM15" i="162"/>
  <c r="CJ15" i="162"/>
  <c r="CG15" i="162"/>
  <c r="CD15" i="162"/>
  <c r="CA15" i="162"/>
  <c r="BX15" i="162"/>
  <c r="BU15" i="162"/>
  <c r="BR15" i="162"/>
  <c r="BO15" i="162"/>
  <c r="BL15" i="162"/>
  <c r="BI15" i="162"/>
  <c r="BF15" i="162"/>
  <c r="BC15" i="162"/>
  <c r="AZ15" i="162"/>
  <c r="AW15" i="162"/>
  <c r="AT15" i="162"/>
  <c r="AQ15" i="162"/>
  <c r="AN15" i="162"/>
  <c r="AK15" i="162"/>
  <c r="AB15" i="162"/>
  <c r="Y15" i="162"/>
  <c r="V15" i="162"/>
  <c r="S15" i="162"/>
  <c r="P15" i="162"/>
  <c r="M15" i="162"/>
  <c r="J15" i="162"/>
  <c r="G15" i="162"/>
  <c r="D15" i="162"/>
  <c r="EN14" i="162"/>
  <c r="EL14" i="162"/>
  <c r="EK14" i="162"/>
  <c r="EG14" i="162"/>
  <c r="EI14" i="162" s="1"/>
  <c r="EB14" i="162"/>
  <c r="EE14" i="162" s="1"/>
  <c r="DW14" i="162"/>
  <c r="DT14" i="162"/>
  <c r="EM14" i="162" s="1"/>
  <c r="DQ14" i="162"/>
  <c r="DN14" i="162"/>
  <c r="DK14" i="162"/>
  <c r="DH14" i="162"/>
  <c r="DE14" i="162"/>
  <c r="DB14" i="162"/>
  <c r="CY14" i="162"/>
  <c r="CV14" i="162"/>
  <c r="CS14" i="162"/>
  <c r="CP14" i="162"/>
  <c r="CM14" i="162"/>
  <c r="CJ14" i="162"/>
  <c r="CG14" i="162"/>
  <c r="CD14" i="162"/>
  <c r="CA14" i="162"/>
  <c r="BX14" i="162"/>
  <c r="BU14" i="162"/>
  <c r="BR14" i="162"/>
  <c r="BO14" i="162"/>
  <c r="BL14" i="162"/>
  <c r="BI14" i="162"/>
  <c r="BF14" i="162"/>
  <c r="BC14" i="162"/>
  <c r="AZ14" i="162"/>
  <c r="AW14" i="162"/>
  <c r="AT14" i="162"/>
  <c r="AQ14" i="162"/>
  <c r="AN14" i="162"/>
  <c r="AK14" i="162"/>
  <c r="AB14" i="162"/>
  <c r="Y14" i="162"/>
  <c r="V14" i="162"/>
  <c r="S14" i="162"/>
  <c r="P14" i="162"/>
  <c r="M14" i="162"/>
  <c r="J14" i="162"/>
  <c r="G14" i="162"/>
  <c r="D14" i="162"/>
  <c r="A14" i="162"/>
  <c r="A15" i="162" s="1"/>
  <c r="A16" i="162" s="1"/>
  <c r="A17" i="162" s="1"/>
  <c r="A18" i="162" s="1"/>
  <c r="A19" i="162" s="1"/>
  <c r="A20" i="162" s="1"/>
  <c r="A21" i="162" s="1"/>
  <c r="A22" i="162" s="1"/>
  <c r="A23" i="162" s="1"/>
  <c r="A24" i="162" s="1"/>
  <c r="A25" i="162" s="1"/>
  <c r="A26" i="162" s="1"/>
  <c r="A27" i="162" s="1"/>
  <c r="A28" i="162" s="1"/>
  <c r="A29" i="162" s="1"/>
  <c r="A30" i="162" s="1"/>
  <c r="A31" i="162" s="1"/>
  <c r="A32" i="162" s="1"/>
  <c r="A33" i="162" s="1"/>
  <c r="A34" i="162" s="1"/>
  <c r="A35" i="162" s="1"/>
  <c r="A36" i="162" s="1"/>
  <c r="A37" i="162" s="1"/>
  <c r="A38" i="162" s="1"/>
  <c r="A39" i="162" s="1"/>
  <c r="A40" i="162" s="1"/>
  <c r="A41" i="162" s="1"/>
  <c r="EN13" i="162"/>
  <c r="EL13" i="162"/>
  <c r="EK13" i="162"/>
  <c r="EI13" i="162"/>
  <c r="EG13" i="162"/>
  <c r="EB13" i="162"/>
  <c r="EE13" i="162" s="1"/>
  <c r="DW13" i="162"/>
  <c r="DT13" i="162"/>
  <c r="EM13" i="162" s="1"/>
  <c r="DQ13" i="162"/>
  <c r="DN13" i="162"/>
  <c r="DK13" i="162"/>
  <c r="DH13" i="162"/>
  <c r="DE13" i="162"/>
  <c r="DB13" i="162"/>
  <c r="CY13" i="162"/>
  <c r="CV13" i="162"/>
  <c r="CS13" i="162"/>
  <c r="CP13" i="162"/>
  <c r="CM13" i="162"/>
  <c r="CJ13" i="162"/>
  <c r="CG13" i="162"/>
  <c r="CD13" i="162"/>
  <c r="CA13" i="162"/>
  <c r="BX13" i="162"/>
  <c r="BU13" i="162"/>
  <c r="BR13" i="162"/>
  <c r="BO13" i="162"/>
  <c r="BL13" i="162"/>
  <c r="BI13" i="162"/>
  <c r="BF13" i="162"/>
  <c r="BC13" i="162"/>
  <c r="AZ13" i="162"/>
  <c r="AW13" i="162"/>
  <c r="AT13" i="162"/>
  <c r="AQ13" i="162"/>
  <c r="AN13" i="162"/>
  <c r="AK13" i="162"/>
  <c r="AB13" i="162"/>
  <c r="Y13" i="162"/>
  <c r="V13" i="162"/>
  <c r="S13" i="162"/>
  <c r="P13" i="162"/>
  <c r="M13" i="162"/>
  <c r="J13" i="162"/>
  <c r="G13" i="162"/>
  <c r="D13" i="162"/>
  <c r="A13" i="162"/>
  <c r="EN12" i="162"/>
  <c r="EL12" i="162"/>
  <c r="EK12" i="162"/>
  <c r="EG12" i="162"/>
  <c r="EI12" i="162" s="1"/>
  <c r="EB12" i="162"/>
  <c r="EE12" i="162" s="1"/>
  <c r="DW12" i="162"/>
  <c r="DW42" i="162" s="1"/>
  <c r="DT12" i="162"/>
  <c r="EM12" i="162" s="1"/>
  <c r="DQ12" i="162"/>
  <c r="DQ42" i="162" s="1"/>
  <c r="DN12" i="162"/>
  <c r="DN42" i="162" s="1"/>
  <c r="DK12" i="162"/>
  <c r="DK42" i="162" s="1"/>
  <c r="DH12" i="162"/>
  <c r="DE12" i="162"/>
  <c r="DE42" i="162" s="1"/>
  <c r="DB12" i="162"/>
  <c r="DB42" i="162" s="1"/>
  <c r="CY12" i="162"/>
  <c r="CY42" i="162" s="1"/>
  <c r="CV12" i="162"/>
  <c r="CV42" i="162" s="1"/>
  <c r="CS12" i="162"/>
  <c r="CS42" i="162" s="1"/>
  <c r="CP12" i="162"/>
  <c r="CP42" i="162" s="1"/>
  <c r="CM12" i="162"/>
  <c r="CM42" i="162" s="1"/>
  <c r="CJ12" i="162"/>
  <c r="CJ42" i="162" s="1"/>
  <c r="CG12" i="162"/>
  <c r="CG42" i="162" s="1"/>
  <c r="CD12" i="162"/>
  <c r="CD42" i="162" s="1"/>
  <c r="CA12" i="162"/>
  <c r="CA42" i="162" s="1"/>
  <c r="BX12" i="162"/>
  <c r="BU12" i="162"/>
  <c r="BU42" i="162" s="1"/>
  <c r="BR12" i="162"/>
  <c r="BR42" i="162" s="1"/>
  <c r="BO12" i="162"/>
  <c r="BO42" i="162" s="1"/>
  <c r="BL12" i="162"/>
  <c r="BL42" i="162" s="1"/>
  <c r="BI12" i="162"/>
  <c r="BI42" i="162" s="1"/>
  <c r="BF12" i="162"/>
  <c r="BF42" i="162" s="1"/>
  <c r="BC12" i="162"/>
  <c r="BC42" i="162" s="1"/>
  <c r="AZ12" i="162"/>
  <c r="AZ42" i="162" s="1"/>
  <c r="AW12" i="162"/>
  <c r="AW42" i="162" s="1"/>
  <c r="AT12" i="162"/>
  <c r="AT42" i="162" s="1"/>
  <c r="AQ12" i="162"/>
  <c r="AQ42" i="162" s="1"/>
  <c r="AN12" i="162"/>
  <c r="AK12" i="162"/>
  <c r="ED12" i="162"/>
  <c r="AB12" i="162"/>
  <c r="AB42" i="162" s="1"/>
  <c r="Y12" i="162"/>
  <c r="Y42" i="162" s="1"/>
  <c r="V12" i="162"/>
  <c r="V42" i="162" s="1"/>
  <c r="S12" i="162"/>
  <c r="S42" i="162" s="1"/>
  <c r="P12" i="162"/>
  <c r="P42" i="162" s="1"/>
  <c r="M12" i="162"/>
  <c r="M42" i="162" s="1"/>
  <c r="J12" i="162"/>
  <c r="J42" i="162" s="1"/>
  <c r="G12" i="162"/>
  <c r="G42" i="162" s="1"/>
  <c r="D12" i="162"/>
  <c r="EI6" i="162"/>
  <c r="EQ2" i="162"/>
  <c r="G5" i="162" s="1"/>
  <c r="EN2" i="162"/>
  <c r="EI2" i="162"/>
  <c r="EE2" i="162"/>
  <c r="EH17" i="162" l="1"/>
  <c r="EH29" i="162"/>
  <c r="EH13" i="162"/>
  <c r="EH15" i="162"/>
  <c r="EH33" i="162"/>
  <c r="EH27" i="162"/>
  <c r="EH36" i="162"/>
  <c r="EH26" i="162"/>
  <c r="EH35" i="162"/>
  <c r="ED23" i="162"/>
  <c r="EH39" i="162"/>
  <c r="AH42" i="162"/>
  <c r="EH23" i="162"/>
  <c r="ED17" i="162"/>
  <c r="EH24" i="162"/>
  <c r="ED43" i="163"/>
  <c r="EN5" i="163"/>
  <c r="EN20" i="163"/>
  <c r="G6" i="163"/>
  <c r="EE5" i="163"/>
  <c r="G7" i="163" s="1"/>
  <c r="ED27" i="162"/>
  <c r="ED41" i="162"/>
  <c r="EE41" i="162" s="1"/>
  <c r="EH19" i="162"/>
  <c r="EH22" i="162"/>
  <c r="EH31" i="162"/>
  <c r="EH32" i="162"/>
  <c r="ED13" i="162"/>
  <c r="ED15" i="162"/>
  <c r="EH21" i="162"/>
  <c r="EH34" i="162"/>
  <c r="ED25" i="162"/>
  <c r="EH20" i="162"/>
  <c r="EE32" i="162"/>
  <c r="EH37" i="162"/>
  <c r="ED21" i="162"/>
  <c r="EH41" i="162"/>
  <c r="AE42" i="162"/>
  <c r="EH16" i="162"/>
  <c r="EH25" i="162"/>
  <c r="EH28" i="162"/>
  <c r="ED33" i="162"/>
  <c r="EE33" i="162" s="1"/>
  <c r="ED14" i="162"/>
  <c r="ED19" i="162"/>
  <c r="ED31" i="162"/>
  <c r="EE31" i="162" s="1"/>
  <c r="ED29" i="162"/>
  <c r="EN33" i="162"/>
  <c r="ED36" i="162"/>
  <c r="ED40" i="162"/>
  <c r="EE40" i="162" s="1"/>
  <c r="EN31" i="162"/>
  <c r="EC33" i="162"/>
  <c r="EC38" i="162"/>
  <c r="EM40" i="162"/>
  <c r="EN32" i="162"/>
  <c r="EM36" i="162"/>
  <c r="EM39" i="162"/>
  <c r="EN39" i="162" s="1"/>
  <c r="ED38" i="162"/>
  <c r="EE38" i="162" s="1"/>
  <c r="EN41" i="162"/>
  <c r="EM38" i="162"/>
  <c r="ED39" i="162"/>
  <c r="EE39" i="162" s="1"/>
  <c r="EE6" i="162"/>
  <c r="G8" i="162" s="1"/>
  <c r="EC12" i="162"/>
  <c r="EC14" i="162"/>
  <c r="EC16" i="162"/>
  <c r="EC18" i="162"/>
  <c r="EC20" i="162"/>
  <c r="EC22" i="162"/>
  <c r="EC24" i="162"/>
  <c r="EC26" i="162"/>
  <c r="EC28" i="162"/>
  <c r="EC30" i="162"/>
  <c r="ED35" i="162"/>
  <c r="EE35" i="162" s="1"/>
  <c r="EK36" i="162"/>
  <c r="EN36" i="162" s="1"/>
  <c r="EB37" i="162"/>
  <c r="AK38" i="162"/>
  <c r="ED16" i="162"/>
  <c r="ED18" i="162"/>
  <c r="ED20" i="162"/>
  <c r="ED22" i="162"/>
  <c r="ED24" i="162"/>
  <c r="ED26" i="162"/>
  <c r="ED28" i="162"/>
  <c r="ED30" i="162"/>
  <c r="EN6" i="162"/>
  <c r="EC32" i="162"/>
  <c r="EK38" i="162"/>
  <c r="AK40" i="162"/>
  <c r="EH14" i="162"/>
  <c r="EC34" i="162"/>
  <c r="EK40" i="162"/>
  <c r="EK35" i="162"/>
  <c r="EN35" i="162" s="1"/>
  <c r="EB36" i="162"/>
  <c r="AK37" i="162"/>
  <c r="EM37" i="162" s="1"/>
  <c r="EN37" i="162" s="1"/>
  <c r="EC41" i="162"/>
  <c r="EH12" i="162"/>
  <c r="EI4" i="162"/>
  <c r="EI5" i="162" s="1"/>
  <c r="EC21" i="162"/>
  <c r="EC23" i="162"/>
  <c r="EC25" i="162"/>
  <c r="EC15" i="162"/>
  <c r="EC17" i="162"/>
  <c r="EC19" i="162"/>
  <c r="DT42" i="162"/>
  <c r="EC13" i="162"/>
  <c r="AK34" i="162"/>
  <c r="AK42" i="162" s="1"/>
  <c r="EH42" i="162" l="1"/>
  <c r="ED37" i="162"/>
  <c r="EE37" i="162" s="1"/>
  <c r="EE36" i="162"/>
  <c r="EC36" i="162"/>
  <c r="EM34" i="162"/>
  <c r="ED34" i="162"/>
  <c r="EE34" i="162" s="1"/>
  <c r="EC35" i="162"/>
  <c r="EN40" i="162"/>
  <c r="EE4" i="162"/>
  <c r="EC40" i="162"/>
  <c r="EN4" i="162"/>
  <c r="EN5" i="162" s="1"/>
  <c r="EN38" i="162"/>
  <c r="EC37" i="162"/>
  <c r="EE5" i="162" l="1"/>
  <c r="G7" i="162" s="1"/>
  <c r="G6" i="162"/>
  <c r="EM42" i="162"/>
  <c r="EN34" i="162"/>
  <c r="ED42" i="162"/>
  <c r="EL42" i="161" l="1"/>
  <c r="EK42" i="161"/>
  <c r="EN42" i="161" s="1"/>
  <c r="EG42" i="161"/>
  <c r="EI42" i="161" s="1"/>
  <c r="EB42" i="161"/>
  <c r="EE42" i="161" s="1"/>
  <c r="DW42" i="161"/>
  <c r="DT42" i="161"/>
  <c r="EM42" i="161" s="1"/>
  <c r="DQ42" i="161"/>
  <c r="DN42" i="161"/>
  <c r="DK42" i="161"/>
  <c r="DH42" i="161"/>
  <c r="DE42" i="161"/>
  <c r="DB42" i="161"/>
  <c r="CY42" i="161"/>
  <c r="CV42" i="161"/>
  <c r="CS42" i="161"/>
  <c r="CP42" i="161"/>
  <c r="CM42" i="161"/>
  <c r="CJ42" i="161"/>
  <c r="CG42" i="161"/>
  <c r="CD42" i="161"/>
  <c r="CA42" i="161"/>
  <c r="BX42" i="161"/>
  <c r="BU42" i="161"/>
  <c r="BR42" i="161"/>
  <c r="BO42" i="161"/>
  <c r="BL42" i="161"/>
  <c r="BI42" i="161"/>
  <c r="BF42" i="161"/>
  <c r="BC42" i="161"/>
  <c r="AZ42" i="161"/>
  <c r="AW42" i="161"/>
  <c r="AT42" i="161"/>
  <c r="AQ42" i="161"/>
  <c r="AN42" i="161"/>
  <c r="AK42" i="161"/>
  <c r="AB42" i="161"/>
  <c r="Y42" i="161"/>
  <c r="V42" i="161"/>
  <c r="S42" i="161"/>
  <c r="P42" i="161"/>
  <c r="M42" i="161"/>
  <c r="J42" i="161"/>
  <c r="G42" i="161"/>
  <c r="D42" i="161"/>
  <c r="EN41" i="161"/>
  <c r="EL41" i="161"/>
  <c r="EK41" i="161"/>
  <c r="EI41" i="161"/>
  <c r="EG41" i="161"/>
  <c r="EB41" i="161"/>
  <c r="EC41" i="161" s="1"/>
  <c r="DW41" i="161"/>
  <c r="DT41" i="161"/>
  <c r="EM41" i="161" s="1"/>
  <c r="DQ41" i="161"/>
  <c r="DN41" i="161"/>
  <c r="DK41" i="161"/>
  <c r="DH41" i="161"/>
  <c r="DE41" i="161"/>
  <c r="DB41" i="161"/>
  <c r="CY41" i="161"/>
  <c r="CV41" i="161"/>
  <c r="CS41" i="161"/>
  <c r="CP41" i="161"/>
  <c r="CM41" i="161"/>
  <c r="CJ41" i="161"/>
  <c r="CG41" i="161"/>
  <c r="CD41" i="161"/>
  <c r="CA41" i="161"/>
  <c r="BX41" i="161"/>
  <c r="BU41" i="161"/>
  <c r="BR41" i="161"/>
  <c r="BO41" i="161"/>
  <c r="BL41" i="161"/>
  <c r="BI41" i="161"/>
  <c r="BF41" i="161"/>
  <c r="BC41" i="161"/>
  <c r="AZ41" i="161"/>
  <c r="AW41" i="161"/>
  <c r="AT41" i="161"/>
  <c r="AQ41" i="161"/>
  <c r="AN41" i="161"/>
  <c r="AK41" i="161"/>
  <c r="AB41" i="161"/>
  <c r="Y41" i="161"/>
  <c r="V41" i="161"/>
  <c r="S41" i="161"/>
  <c r="P41" i="161"/>
  <c r="M41" i="161"/>
  <c r="J41" i="161"/>
  <c r="G41" i="161"/>
  <c r="D41" i="161"/>
  <c r="EL40" i="161"/>
  <c r="EK40" i="161"/>
  <c r="EN40" i="161" s="1"/>
  <c r="EG40" i="161"/>
  <c r="EI40" i="161" s="1"/>
  <c r="EB40" i="161"/>
  <c r="EE40" i="161" s="1"/>
  <c r="DW40" i="161"/>
  <c r="DT40" i="161"/>
  <c r="EM40" i="161" s="1"/>
  <c r="DQ40" i="161"/>
  <c r="DN40" i="161"/>
  <c r="DK40" i="161"/>
  <c r="DH40" i="161"/>
  <c r="DE40" i="161"/>
  <c r="DB40" i="161"/>
  <c r="CY40" i="161"/>
  <c r="CV40" i="161"/>
  <c r="CS40" i="161"/>
  <c r="CP40" i="161"/>
  <c r="CM40" i="161"/>
  <c r="CJ40" i="161"/>
  <c r="CG40" i="161"/>
  <c r="CD40" i="161"/>
  <c r="CA40" i="161"/>
  <c r="BX40" i="161"/>
  <c r="BU40" i="161"/>
  <c r="BR40" i="161"/>
  <c r="BO40" i="161"/>
  <c r="BL40" i="161"/>
  <c r="BI40" i="161"/>
  <c r="BF40" i="161"/>
  <c r="BC40" i="161"/>
  <c r="AZ40" i="161"/>
  <c r="AW40" i="161"/>
  <c r="AT40" i="161"/>
  <c r="AQ40" i="161"/>
  <c r="AN40" i="161"/>
  <c r="AK40" i="161"/>
  <c r="AB40" i="161"/>
  <c r="Y40" i="161"/>
  <c r="V40" i="161"/>
  <c r="S40" i="161"/>
  <c r="P40" i="161"/>
  <c r="M40" i="161"/>
  <c r="J40" i="161"/>
  <c r="G40" i="161"/>
  <c r="D40" i="161"/>
  <c r="EN39" i="161"/>
  <c r="EL39" i="161"/>
  <c r="EK39" i="161"/>
  <c r="EI39" i="161"/>
  <c r="EG39" i="161"/>
  <c r="EB39" i="161"/>
  <c r="EC39" i="161" s="1"/>
  <c r="DW39" i="161"/>
  <c r="DT39" i="161"/>
  <c r="EM39" i="161" s="1"/>
  <c r="DQ39" i="161"/>
  <c r="DN39" i="161"/>
  <c r="DK39" i="161"/>
  <c r="DH39" i="161"/>
  <c r="DE39" i="161"/>
  <c r="DB39" i="161"/>
  <c r="CY39" i="161"/>
  <c r="CV39" i="161"/>
  <c r="CS39" i="161"/>
  <c r="CP39" i="161"/>
  <c r="CM39" i="161"/>
  <c r="CJ39" i="161"/>
  <c r="CG39" i="161"/>
  <c r="CD39" i="161"/>
  <c r="CA39" i="161"/>
  <c r="BX39" i="161"/>
  <c r="BU39" i="161"/>
  <c r="BR39" i="161"/>
  <c r="BO39" i="161"/>
  <c r="BL39" i="161"/>
  <c r="BI39" i="161"/>
  <c r="BF39" i="161"/>
  <c r="BC39" i="161"/>
  <c r="AZ39" i="161"/>
  <c r="AW39" i="161"/>
  <c r="AT39" i="161"/>
  <c r="AQ39" i="161"/>
  <c r="AN39" i="161"/>
  <c r="AK39" i="161"/>
  <c r="AB39" i="161"/>
  <c r="ED39" i="161" s="1"/>
  <c r="Y39" i="161"/>
  <c r="V39" i="161"/>
  <c r="S39" i="161"/>
  <c r="P39" i="161"/>
  <c r="M39" i="161"/>
  <c r="J39" i="161"/>
  <c r="G39" i="161"/>
  <c r="D39" i="161"/>
  <c r="EL38" i="161"/>
  <c r="EK38" i="161"/>
  <c r="EN38" i="161" s="1"/>
  <c r="EI38" i="161"/>
  <c r="EG38" i="161"/>
  <c r="EB38" i="161"/>
  <c r="EE38" i="161" s="1"/>
  <c r="DW38" i="161"/>
  <c r="DT38" i="161"/>
  <c r="EM38" i="161" s="1"/>
  <c r="DQ38" i="161"/>
  <c r="DN38" i="161"/>
  <c r="DK38" i="161"/>
  <c r="DH38" i="161"/>
  <c r="DE38" i="161"/>
  <c r="DB38" i="161"/>
  <c r="CY38" i="161"/>
  <c r="CV38" i="161"/>
  <c r="CS38" i="161"/>
  <c r="CP38" i="161"/>
  <c r="CM38" i="161"/>
  <c r="CJ38" i="161"/>
  <c r="CG38" i="161"/>
  <c r="CD38" i="161"/>
  <c r="CA38" i="161"/>
  <c r="BX38" i="161"/>
  <c r="BU38" i="161"/>
  <c r="BR38" i="161"/>
  <c r="BO38" i="161"/>
  <c r="BL38" i="161"/>
  <c r="BI38" i="161"/>
  <c r="BF38" i="161"/>
  <c r="BC38" i="161"/>
  <c r="AZ38" i="161"/>
  <c r="AW38" i="161"/>
  <c r="AT38" i="161"/>
  <c r="AQ38" i="161"/>
  <c r="AN38" i="161"/>
  <c r="AK38" i="161"/>
  <c r="AB38" i="161"/>
  <c r="Y38" i="161"/>
  <c r="V38" i="161"/>
  <c r="S38" i="161"/>
  <c r="P38" i="161"/>
  <c r="M38" i="161"/>
  <c r="J38" i="161"/>
  <c r="G38" i="161"/>
  <c r="D38" i="161"/>
  <c r="EN37" i="161"/>
  <c r="EL37" i="161"/>
  <c r="EK37" i="161"/>
  <c r="EI37" i="161"/>
  <c r="EG37" i="161"/>
  <c r="EB37" i="161"/>
  <c r="EC37" i="161" s="1"/>
  <c r="DW37" i="161"/>
  <c r="DT37" i="161"/>
  <c r="EM37" i="161" s="1"/>
  <c r="DQ37" i="161"/>
  <c r="DN37" i="161"/>
  <c r="DK37" i="161"/>
  <c r="DH37" i="161"/>
  <c r="DE37" i="161"/>
  <c r="DB37" i="161"/>
  <c r="CY37" i="161"/>
  <c r="CV37" i="161"/>
  <c r="CS37" i="161"/>
  <c r="CP37" i="161"/>
  <c r="CM37" i="161"/>
  <c r="CJ37" i="161"/>
  <c r="CG37" i="161"/>
  <c r="CD37" i="161"/>
  <c r="CA37" i="161"/>
  <c r="BX37" i="161"/>
  <c r="BU37" i="161"/>
  <c r="BR37" i="161"/>
  <c r="BO37" i="161"/>
  <c r="BL37" i="161"/>
  <c r="BI37" i="161"/>
  <c r="BF37" i="161"/>
  <c r="BC37" i="161"/>
  <c r="AZ37" i="161"/>
  <c r="AW37" i="161"/>
  <c r="AT37" i="161"/>
  <c r="AQ37" i="161"/>
  <c r="AN37" i="161"/>
  <c r="AK37" i="161"/>
  <c r="AB37" i="161"/>
  <c r="Y37" i="161"/>
  <c r="V37" i="161"/>
  <c r="S37" i="161"/>
  <c r="P37" i="161"/>
  <c r="M37" i="161"/>
  <c r="J37" i="161"/>
  <c r="G37" i="161"/>
  <c r="D37" i="161"/>
  <c r="EL36" i="161"/>
  <c r="EK36" i="161"/>
  <c r="EN36" i="161" s="1"/>
  <c r="EI36" i="161"/>
  <c r="EG36" i="161"/>
  <c r="EB36" i="161"/>
  <c r="EE36" i="161" s="1"/>
  <c r="DW36" i="161"/>
  <c r="DT36" i="161"/>
  <c r="EM36" i="161" s="1"/>
  <c r="DQ36" i="161"/>
  <c r="DN36" i="161"/>
  <c r="DK36" i="161"/>
  <c r="DH36" i="161"/>
  <c r="DE36" i="161"/>
  <c r="DB36" i="161"/>
  <c r="CY36" i="161"/>
  <c r="CV36" i="161"/>
  <c r="CS36" i="161"/>
  <c r="CP36" i="161"/>
  <c r="CM36" i="161"/>
  <c r="CJ36" i="161"/>
  <c r="CG36" i="161"/>
  <c r="CD36" i="161"/>
  <c r="CA36" i="161"/>
  <c r="BX36" i="161"/>
  <c r="BU36" i="161"/>
  <c r="BR36" i="161"/>
  <c r="BO36" i="161"/>
  <c r="BL36" i="161"/>
  <c r="BI36" i="161"/>
  <c r="BF36" i="161"/>
  <c r="BC36" i="161"/>
  <c r="AZ36" i="161"/>
  <c r="AW36" i="161"/>
  <c r="AT36" i="161"/>
  <c r="AQ36" i="161"/>
  <c r="AN36" i="161"/>
  <c r="AK36" i="161"/>
  <c r="AB36" i="161"/>
  <c r="Y36" i="161"/>
  <c r="V36" i="161"/>
  <c r="EH36" i="161" s="1"/>
  <c r="S36" i="161"/>
  <c r="P36" i="161"/>
  <c r="M36" i="161"/>
  <c r="J36" i="161"/>
  <c r="G36" i="161"/>
  <c r="D36" i="161"/>
  <c r="EN35" i="161"/>
  <c r="EL35" i="161"/>
  <c r="EK35" i="161"/>
  <c r="EI35" i="161"/>
  <c r="EG35" i="161"/>
  <c r="EB35" i="161"/>
  <c r="EC35" i="161" s="1"/>
  <c r="DW35" i="161"/>
  <c r="DT35" i="161"/>
  <c r="EM35" i="161" s="1"/>
  <c r="DQ35" i="161"/>
  <c r="DN35" i="161"/>
  <c r="DK35" i="161"/>
  <c r="DH35" i="161"/>
  <c r="DE35" i="161"/>
  <c r="DB35" i="161"/>
  <c r="CY35" i="161"/>
  <c r="CV35" i="161"/>
  <c r="CS35" i="161"/>
  <c r="CP35" i="161"/>
  <c r="CM35" i="161"/>
  <c r="CJ35" i="161"/>
  <c r="CG35" i="161"/>
  <c r="CD35" i="161"/>
  <c r="CA35" i="161"/>
  <c r="BX35" i="161"/>
  <c r="BU35" i="161"/>
  <c r="BR35" i="161"/>
  <c r="BO35" i="161"/>
  <c r="BL35" i="161"/>
  <c r="BI35" i="161"/>
  <c r="BF35" i="161"/>
  <c r="BC35" i="161"/>
  <c r="AZ35" i="161"/>
  <c r="AW35" i="161"/>
  <c r="AT35" i="161"/>
  <c r="AQ35" i="161"/>
  <c r="AN35" i="161"/>
  <c r="AK35" i="161"/>
  <c r="AB35" i="161"/>
  <c r="Y35" i="161"/>
  <c r="V35" i="161"/>
  <c r="S35" i="161"/>
  <c r="P35" i="161"/>
  <c r="M35" i="161"/>
  <c r="J35" i="161"/>
  <c r="G35" i="161"/>
  <c r="D35" i="161"/>
  <c r="EL34" i="161"/>
  <c r="EK34" i="161"/>
  <c r="EN34" i="161" s="1"/>
  <c r="EI34" i="161"/>
  <c r="EG34" i="161"/>
  <c r="EB34" i="161"/>
  <c r="EE34" i="161" s="1"/>
  <c r="DW34" i="161"/>
  <c r="DT34" i="161"/>
  <c r="EM34" i="161" s="1"/>
  <c r="DQ34" i="161"/>
  <c r="DN34" i="161"/>
  <c r="DK34" i="161"/>
  <c r="DH34" i="161"/>
  <c r="DE34" i="161"/>
  <c r="DB34" i="161"/>
  <c r="CY34" i="161"/>
  <c r="CV34" i="161"/>
  <c r="CS34" i="161"/>
  <c r="CP34" i="161"/>
  <c r="CM34" i="161"/>
  <c r="CJ34" i="161"/>
  <c r="CG34" i="161"/>
  <c r="CD34" i="161"/>
  <c r="CA34" i="161"/>
  <c r="BX34" i="161"/>
  <c r="BU34" i="161"/>
  <c r="BR34" i="161"/>
  <c r="BO34" i="161"/>
  <c r="BL34" i="161"/>
  <c r="BI34" i="161"/>
  <c r="BF34" i="161"/>
  <c r="BC34" i="161"/>
  <c r="AZ34" i="161"/>
  <c r="AW34" i="161"/>
  <c r="AT34" i="161"/>
  <c r="AQ34" i="161"/>
  <c r="AN34" i="161"/>
  <c r="AK34" i="161"/>
  <c r="AB34" i="161"/>
  <c r="Y34" i="161"/>
  <c r="V34" i="161"/>
  <c r="S34" i="161"/>
  <c r="P34" i="161"/>
  <c r="M34" i="161"/>
  <c r="J34" i="161"/>
  <c r="G34" i="161"/>
  <c r="D34" i="161"/>
  <c r="EN33" i="161"/>
  <c r="EL33" i="161"/>
  <c r="EK33" i="161"/>
  <c r="EI33" i="161"/>
  <c r="EG33" i="161"/>
  <c r="EB33" i="161"/>
  <c r="EC33" i="161" s="1"/>
  <c r="DW33" i="161"/>
  <c r="DT33" i="161"/>
  <c r="EM33" i="161" s="1"/>
  <c r="DQ33" i="161"/>
  <c r="DN33" i="161"/>
  <c r="DK33" i="161"/>
  <c r="DH33" i="161"/>
  <c r="DE33" i="161"/>
  <c r="DB33" i="161"/>
  <c r="CY33" i="161"/>
  <c r="CV33" i="161"/>
  <c r="CS33" i="161"/>
  <c r="CP33" i="161"/>
  <c r="CM33" i="161"/>
  <c r="CJ33" i="161"/>
  <c r="CG33" i="161"/>
  <c r="CD33" i="161"/>
  <c r="CA33" i="161"/>
  <c r="BX33" i="161"/>
  <c r="BU33" i="161"/>
  <c r="BR33" i="161"/>
  <c r="BO33" i="161"/>
  <c r="BL33" i="161"/>
  <c r="BI33" i="161"/>
  <c r="BF33" i="161"/>
  <c r="BC33" i="161"/>
  <c r="AZ33" i="161"/>
  <c r="AW33" i="161"/>
  <c r="AT33" i="161"/>
  <c r="AQ33" i="161"/>
  <c r="AN33" i="161"/>
  <c r="AK33" i="161"/>
  <c r="AB33" i="161"/>
  <c r="Y33" i="161"/>
  <c r="V33" i="161"/>
  <c r="S33" i="161"/>
  <c r="EH33" i="161" s="1"/>
  <c r="P33" i="161"/>
  <c r="M33" i="161"/>
  <c r="J33" i="161"/>
  <c r="G33" i="161"/>
  <c r="D33" i="161"/>
  <c r="EL32" i="161"/>
  <c r="EK32" i="161"/>
  <c r="EN32" i="161" s="1"/>
  <c r="EI32" i="161"/>
  <c r="EG32" i="161"/>
  <c r="EB32" i="161"/>
  <c r="EE32" i="161" s="1"/>
  <c r="DW32" i="161"/>
  <c r="DT32" i="161"/>
  <c r="EM32" i="161" s="1"/>
  <c r="DQ32" i="161"/>
  <c r="DN32" i="161"/>
  <c r="DK32" i="161"/>
  <c r="DH32" i="161"/>
  <c r="DE32" i="161"/>
  <c r="DB32" i="161"/>
  <c r="CY32" i="161"/>
  <c r="CV32" i="161"/>
  <c r="CS32" i="161"/>
  <c r="CP32" i="161"/>
  <c r="CM32" i="161"/>
  <c r="CJ32" i="161"/>
  <c r="CG32" i="161"/>
  <c r="CD32" i="161"/>
  <c r="CA32" i="161"/>
  <c r="BX32" i="161"/>
  <c r="BU32" i="161"/>
  <c r="BR32" i="161"/>
  <c r="BO32" i="161"/>
  <c r="BL32" i="161"/>
  <c r="BI32" i="161"/>
  <c r="BF32" i="161"/>
  <c r="BC32" i="161"/>
  <c r="AZ32" i="161"/>
  <c r="AW32" i="161"/>
  <c r="AT32" i="161"/>
  <c r="AQ32" i="161"/>
  <c r="AN32" i="161"/>
  <c r="AK32" i="161"/>
  <c r="AB32" i="161"/>
  <c r="Y32" i="161"/>
  <c r="V32" i="161"/>
  <c r="S32" i="161"/>
  <c r="P32" i="161"/>
  <c r="M32" i="161"/>
  <c r="J32" i="161"/>
  <c r="G32" i="161"/>
  <c r="D32" i="161"/>
  <c r="EN31" i="161"/>
  <c r="EL31" i="161"/>
  <c r="EK31" i="161"/>
  <c r="EI31" i="161"/>
  <c r="EG31" i="161"/>
  <c r="EB31" i="161"/>
  <c r="EC31" i="161" s="1"/>
  <c r="DW31" i="161"/>
  <c r="DT31" i="161"/>
  <c r="EM31" i="161" s="1"/>
  <c r="DQ31" i="161"/>
  <c r="DN31" i="161"/>
  <c r="DK31" i="161"/>
  <c r="DH31" i="161"/>
  <c r="DE31" i="161"/>
  <c r="DB31" i="161"/>
  <c r="CY31" i="161"/>
  <c r="CV31" i="161"/>
  <c r="CS31" i="161"/>
  <c r="CP31" i="161"/>
  <c r="CM31" i="161"/>
  <c r="CJ31" i="161"/>
  <c r="CG31" i="161"/>
  <c r="CD31" i="161"/>
  <c r="CA31" i="161"/>
  <c r="BX31" i="161"/>
  <c r="BU31" i="161"/>
  <c r="BR31" i="161"/>
  <c r="BO31" i="161"/>
  <c r="BL31" i="161"/>
  <c r="BI31" i="161"/>
  <c r="BF31" i="161"/>
  <c r="BC31" i="161"/>
  <c r="AZ31" i="161"/>
  <c r="AW31" i="161"/>
  <c r="AT31" i="161"/>
  <c r="AQ31" i="161"/>
  <c r="AN31" i="161"/>
  <c r="AK31" i="161"/>
  <c r="AB31" i="161"/>
  <c r="Y31" i="161"/>
  <c r="V31" i="161"/>
  <c r="S31" i="161"/>
  <c r="P31" i="161"/>
  <c r="M31" i="161"/>
  <c r="J31" i="161"/>
  <c r="G31" i="161"/>
  <c r="D31" i="161"/>
  <c r="EL30" i="161"/>
  <c r="EK30" i="161"/>
  <c r="EN30" i="161" s="1"/>
  <c r="EI30" i="161"/>
  <c r="EG30" i="161"/>
  <c r="EB30" i="161"/>
  <c r="EE30" i="161" s="1"/>
  <c r="DW30" i="161"/>
  <c r="DT30" i="161"/>
  <c r="EM30" i="161" s="1"/>
  <c r="DQ30" i="161"/>
  <c r="DN30" i="161"/>
  <c r="DK30" i="161"/>
  <c r="DH30" i="161"/>
  <c r="DE30" i="161"/>
  <c r="DB30" i="161"/>
  <c r="CY30" i="161"/>
  <c r="CV30" i="161"/>
  <c r="CS30" i="161"/>
  <c r="CP30" i="161"/>
  <c r="CM30" i="161"/>
  <c r="CJ30" i="161"/>
  <c r="CG30" i="161"/>
  <c r="CD30" i="161"/>
  <c r="CA30" i="161"/>
  <c r="BX30" i="161"/>
  <c r="BU30" i="161"/>
  <c r="BR30" i="161"/>
  <c r="BO30" i="161"/>
  <c r="BL30" i="161"/>
  <c r="BI30" i="161"/>
  <c r="BF30" i="161"/>
  <c r="BC30" i="161"/>
  <c r="AZ30" i="161"/>
  <c r="AW30" i="161"/>
  <c r="AT30" i="161"/>
  <c r="AQ30" i="161"/>
  <c r="AN30" i="161"/>
  <c r="AK30" i="161"/>
  <c r="AB30" i="161"/>
  <c r="Y30" i="161"/>
  <c r="V30" i="161"/>
  <c r="S30" i="161"/>
  <c r="P30" i="161"/>
  <c r="M30" i="161"/>
  <c r="J30" i="161"/>
  <c r="G30" i="161"/>
  <c r="D30" i="161"/>
  <c r="EN29" i="161"/>
  <c r="EL29" i="161"/>
  <c r="EK29" i="161"/>
  <c r="EI29" i="161"/>
  <c r="EG29" i="161"/>
  <c r="EB29" i="161"/>
  <c r="EC29" i="161" s="1"/>
  <c r="DW29" i="161"/>
  <c r="DT29" i="161"/>
  <c r="EM29" i="161" s="1"/>
  <c r="DQ29" i="161"/>
  <c r="DN29" i="161"/>
  <c r="DK29" i="161"/>
  <c r="DH29" i="161"/>
  <c r="DE29" i="161"/>
  <c r="DB29" i="161"/>
  <c r="CY29" i="161"/>
  <c r="CV29" i="161"/>
  <c r="CS29" i="161"/>
  <c r="CP29" i="161"/>
  <c r="CM29" i="161"/>
  <c r="CJ29" i="161"/>
  <c r="CG29" i="161"/>
  <c r="CD29" i="161"/>
  <c r="CA29" i="161"/>
  <c r="BX29" i="161"/>
  <c r="BU29" i="161"/>
  <c r="BR29" i="161"/>
  <c r="BO29" i="161"/>
  <c r="BL29" i="161"/>
  <c r="BI29" i="161"/>
  <c r="BF29" i="161"/>
  <c r="BC29" i="161"/>
  <c r="AZ29" i="161"/>
  <c r="AW29" i="161"/>
  <c r="AT29" i="161"/>
  <c r="AQ29" i="161"/>
  <c r="AN29" i="161"/>
  <c r="AK29" i="161"/>
  <c r="AB29" i="161"/>
  <c r="Y29" i="161"/>
  <c r="V29" i="161"/>
  <c r="S29" i="161"/>
  <c r="P29" i="161"/>
  <c r="M29" i="161"/>
  <c r="J29" i="161"/>
  <c r="G29" i="161"/>
  <c r="D29" i="161"/>
  <c r="EL28" i="161"/>
  <c r="EK28" i="161"/>
  <c r="EN28" i="161" s="1"/>
  <c r="EI28" i="161"/>
  <c r="EG28" i="161"/>
  <c r="EB28" i="161"/>
  <c r="EE28" i="161" s="1"/>
  <c r="DW28" i="161"/>
  <c r="DT28" i="161"/>
  <c r="EM28" i="161" s="1"/>
  <c r="DQ28" i="161"/>
  <c r="DN28" i="161"/>
  <c r="DK28" i="161"/>
  <c r="DH28" i="161"/>
  <c r="DE28" i="161"/>
  <c r="DB28" i="161"/>
  <c r="CY28" i="161"/>
  <c r="CV28" i="161"/>
  <c r="CS28" i="161"/>
  <c r="CP28" i="161"/>
  <c r="CM28" i="161"/>
  <c r="CJ28" i="161"/>
  <c r="CG28" i="161"/>
  <c r="CD28" i="161"/>
  <c r="CA28" i="161"/>
  <c r="BX28" i="161"/>
  <c r="BU28" i="161"/>
  <c r="BR28" i="161"/>
  <c r="BO28" i="161"/>
  <c r="BL28" i="161"/>
  <c r="BI28" i="161"/>
  <c r="BF28" i="161"/>
  <c r="BC28" i="161"/>
  <c r="AZ28" i="161"/>
  <c r="AW28" i="161"/>
  <c r="AT28" i="161"/>
  <c r="AQ28" i="161"/>
  <c r="AN28" i="161"/>
  <c r="AK28" i="161"/>
  <c r="AB28" i="161"/>
  <c r="Y28" i="161"/>
  <c r="V28" i="161"/>
  <c r="S28" i="161"/>
  <c r="P28" i="161"/>
  <c r="M28" i="161"/>
  <c r="J28" i="161"/>
  <c r="G28" i="161"/>
  <c r="D28" i="161"/>
  <c r="EN27" i="161"/>
  <c r="EL27" i="161"/>
  <c r="EK27" i="161"/>
  <c r="EI27" i="161"/>
  <c r="EG27" i="161"/>
  <c r="EB27" i="161"/>
  <c r="EC27" i="161" s="1"/>
  <c r="DW27" i="161"/>
  <c r="DT27" i="161"/>
  <c r="EM27" i="161" s="1"/>
  <c r="DQ27" i="161"/>
  <c r="DN27" i="161"/>
  <c r="DK27" i="161"/>
  <c r="DH27" i="161"/>
  <c r="DE27" i="161"/>
  <c r="DB27" i="161"/>
  <c r="CY27" i="161"/>
  <c r="CV27" i="161"/>
  <c r="CS27" i="161"/>
  <c r="CP27" i="161"/>
  <c r="CM27" i="161"/>
  <c r="CJ27" i="161"/>
  <c r="CG27" i="161"/>
  <c r="CD27" i="161"/>
  <c r="CA27" i="161"/>
  <c r="BX27" i="161"/>
  <c r="BU27" i="161"/>
  <c r="BR27" i="161"/>
  <c r="BO27" i="161"/>
  <c r="BL27" i="161"/>
  <c r="BI27" i="161"/>
  <c r="BF27" i="161"/>
  <c r="BC27" i="161"/>
  <c r="AZ27" i="161"/>
  <c r="AW27" i="161"/>
  <c r="AT27" i="161"/>
  <c r="AQ27" i="161"/>
  <c r="AN27" i="161"/>
  <c r="AK27" i="161"/>
  <c r="AB27" i="161"/>
  <c r="Y27" i="161"/>
  <c r="V27" i="161"/>
  <c r="S27" i="161"/>
  <c r="P27" i="161"/>
  <c r="M27" i="161"/>
  <c r="J27" i="161"/>
  <c r="G27" i="161"/>
  <c r="D27" i="161"/>
  <c r="EL26" i="161"/>
  <c r="EI26" i="161"/>
  <c r="EG26" i="161"/>
  <c r="EB26" i="161"/>
  <c r="DW26" i="161"/>
  <c r="DT26" i="161"/>
  <c r="DQ26" i="161"/>
  <c r="DN26" i="161"/>
  <c r="DK26" i="161"/>
  <c r="DH26" i="161"/>
  <c r="DE26" i="161"/>
  <c r="DB26" i="161"/>
  <c r="CY26" i="161"/>
  <c r="CV26" i="161"/>
  <c r="CS26" i="161"/>
  <c r="CP26" i="161"/>
  <c r="CM26" i="161"/>
  <c r="CJ26" i="161"/>
  <c r="CG26" i="161"/>
  <c r="CD26" i="161"/>
  <c r="CA26" i="161"/>
  <c r="BX26" i="161"/>
  <c r="BU26" i="161"/>
  <c r="BR26" i="161"/>
  <c r="BO26" i="161"/>
  <c r="BL26" i="161"/>
  <c r="BI26" i="161"/>
  <c r="BF26" i="161"/>
  <c r="BC26" i="161"/>
  <c r="AZ26" i="161"/>
  <c r="AW26" i="161"/>
  <c r="AT26" i="161"/>
  <c r="AQ26" i="161"/>
  <c r="AN26" i="161"/>
  <c r="AI26" i="161"/>
  <c r="EK26" i="161" s="1"/>
  <c r="AB26" i="161"/>
  <c r="Y26" i="161"/>
  <c r="V26" i="161"/>
  <c r="S26" i="161"/>
  <c r="P26" i="161"/>
  <c r="M26" i="161"/>
  <c r="J26" i="161"/>
  <c r="G26" i="161"/>
  <c r="D26" i="161"/>
  <c r="EL25" i="161"/>
  <c r="EK25" i="161"/>
  <c r="EC25" i="161" s="1"/>
  <c r="EI25" i="161"/>
  <c r="EG25" i="161"/>
  <c r="EB25" i="161"/>
  <c r="DW25" i="161"/>
  <c r="DT25" i="161"/>
  <c r="DQ25" i="161"/>
  <c r="EM25" i="161" s="1"/>
  <c r="DN25" i="161"/>
  <c r="DK25" i="161"/>
  <c r="DH25" i="161"/>
  <c r="DE25" i="161"/>
  <c r="DB25" i="161"/>
  <c r="CY25" i="161"/>
  <c r="CV25" i="161"/>
  <c r="CS25" i="161"/>
  <c r="CP25" i="161"/>
  <c r="CM25" i="161"/>
  <c r="CJ25" i="161"/>
  <c r="CG25" i="161"/>
  <c r="CD25" i="161"/>
  <c r="CA25" i="161"/>
  <c r="BX25" i="161"/>
  <c r="BU25" i="161"/>
  <c r="BR25" i="161"/>
  <c r="BO25" i="161"/>
  <c r="BL25" i="161"/>
  <c r="BI25" i="161"/>
  <c r="BF25" i="161"/>
  <c r="BC25" i="161"/>
  <c r="AZ25" i="161"/>
  <c r="AW25" i="161"/>
  <c r="AT25" i="161"/>
  <c r="AQ25" i="161"/>
  <c r="AN25" i="161"/>
  <c r="AK25" i="161"/>
  <c r="AB25" i="161"/>
  <c r="Y25" i="161"/>
  <c r="V25" i="161"/>
  <c r="S25" i="161"/>
  <c r="EH25" i="161" s="1"/>
  <c r="P25" i="161"/>
  <c r="M25" i="161"/>
  <c r="J25" i="161"/>
  <c r="G25" i="161"/>
  <c r="D25" i="161"/>
  <c r="ED25" i="161" s="1"/>
  <c r="EL24" i="161"/>
  <c r="EK24" i="161"/>
  <c r="EC24" i="161" s="1"/>
  <c r="EI24" i="161"/>
  <c r="EG24" i="161"/>
  <c r="EB24" i="161"/>
  <c r="DW24" i="161"/>
  <c r="DT24" i="161"/>
  <c r="DQ24" i="161"/>
  <c r="EM24" i="161" s="1"/>
  <c r="DN24" i="161"/>
  <c r="DK24" i="161"/>
  <c r="DH24" i="161"/>
  <c r="DE24" i="161"/>
  <c r="DB24" i="161"/>
  <c r="CY24" i="161"/>
  <c r="CV24" i="161"/>
  <c r="CS24" i="161"/>
  <c r="CP24" i="161"/>
  <c r="CM24" i="161"/>
  <c r="CJ24" i="161"/>
  <c r="CG24" i="161"/>
  <c r="CD24" i="161"/>
  <c r="CA24" i="161"/>
  <c r="BX24" i="161"/>
  <c r="BU24" i="161"/>
  <c r="BR24" i="161"/>
  <c r="BO24" i="161"/>
  <c r="BL24" i="161"/>
  <c r="BI24" i="161"/>
  <c r="BF24" i="161"/>
  <c r="BC24" i="161"/>
  <c r="AZ24" i="161"/>
  <c r="AW24" i="161"/>
  <c r="AT24" i="161"/>
  <c r="AQ24" i="161"/>
  <c r="AN24" i="161"/>
  <c r="AK24" i="161"/>
  <c r="AI24" i="161"/>
  <c r="AB24" i="161"/>
  <c r="EH24" i="161" s="1"/>
  <c r="Y24" i="161"/>
  <c r="V24" i="161"/>
  <c r="S24" i="161"/>
  <c r="P24" i="161"/>
  <c r="M24" i="161"/>
  <c r="J24" i="161"/>
  <c r="G24" i="161"/>
  <c r="D24" i="161"/>
  <c r="ED24" i="161" s="1"/>
  <c r="EL23" i="161"/>
  <c r="EK23" i="161"/>
  <c r="EG23" i="161"/>
  <c r="EI23" i="161" s="1"/>
  <c r="EB23" i="161"/>
  <c r="DW23" i="161"/>
  <c r="DT23" i="161"/>
  <c r="DQ23" i="161"/>
  <c r="DN23" i="161"/>
  <c r="DK23" i="161"/>
  <c r="DH23" i="161"/>
  <c r="DE23" i="161"/>
  <c r="DB23" i="161"/>
  <c r="CY23" i="161"/>
  <c r="CV23" i="161"/>
  <c r="CS23" i="161"/>
  <c r="CP23" i="161"/>
  <c r="CM23" i="161"/>
  <c r="CJ23" i="161"/>
  <c r="CG23" i="161"/>
  <c r="CD23" i="161"/>
  <c r="CA23" i="161"/>
  <c r="BX23" i="161"/>
  <c r="BU23" i="161"/>
  <c r="BR23" i="161"/>
  <c r="BO23" i="161"/>
  <c r="BL23" i="161"/>
  <c r="BI23" i="161"/>
  <c r="BF23" i="161"/>
  <c r="BC23" i="161"/>
  <c r="AZ23" i="161"/>
  <c r="AW23" i="161"/>
  <c r="AT23" i="161"/>
  <c r="AQ23" i="161"/>
  <c r="AN23" i="161"/>
  <c r="AI23" i="161"/>
  <c r="AK23" i="161" s="1"/>
  <c r="AB23" i="161"/>
  <c r="Y23" i="161"/>
  <c r="V23" i="161"/>
  <c r="S23" i="161"/>
  <c r="P23" i="161"/>
  <c r="M23" i="161"/>
  <c r="J23" i="161"/>
  <c r="G23" i="161"/>
  <c r="D23" i="161"/>
  <c r="EL22" i="161"/>
  <c r="EK22" i="161"/>
  <c r="EN22" i="161" s="1"/>
  <c r="EG22" i="161"/>
  <c r="EI22" i="161" s="1"/>
  <c r="DW22" i="161"/>
  <c r="DT22" i="161"/>
  <c r="DQ22" i="161"/>
  <c r="DN22" i="161"/>
  <c r="DK22" i="161"/>
  <c r="DH22" i="161"/>
  <c r="DE22" i="161"/>
  <c r="DB22" i="161"/>
  <c r="CY22" i="161"/>
  <c r="CV22" i="161"/>
  <c r="CS22" i="161"/>
  <c r="CP22" i="161"/>
  <c r="CM22" i="161"/>
  <c r="CJ22" i="161"/>
  <c r="CG22" i="161"/>
  <c r="CD22" i="161"/>
  <c r="CA22" i="161"/>
  <c r="BX22" i="161"/>
  <c r="BU22" i="161"/>
  <c r="BR22" i="161"/>
  <c r="BO22" i="161"/>
  <c r="EM22" i="161" s="1"/>
  <c r="BL22" i="161"/>
  <c r="BI22" i="161"/>
  <c r="BF22" i="161"/>
  <c r="BC22" i="161"/>
  <c r="AZ22" i="161"/>
  <c r="AW22" i="161"/>
  <c r="AT22" i="161"/>
  <c r="AQ22" i="161"/>
  <c r="AN22" i="161"/>
  <c r="AK22" i="161"/>
  <c r="AI22" i="161"/>
  <c r="EB22" i="161" s="1"/>
  <c r="AB22" i="161"/>
  <c r="Y22" i="161"/>
  <c r="V22" i="161"/>
  <c r="S22" i="161"/>
  <c r="P22" i="161"/>
  <c r="M22" i="161"/>
  <c r="J22" i="161"/>
  <c r="G22" i="161"/>
  <c r="D22" i="161"/>
  <c r="EL21" i="161"/>
  <c r="EG21" i="161"/>
  <c r="EI21" i="161" s="1"/>
  <c r="DW21" i="161"/>
  <c r="DT21" i="161"/>
  <c r="EM21" i="161" s="1"/>
  <c r="DQ21" i="161"/>
  <c r="DN21" i="161"/>
  <c r="DK21" i="161"/>
  <c r="DH21" i="161"/>
  <c r="DE21" i="161"/>
  <c r="DB21" i="161"/>
  <c r="CY21" i="161"/>
  <c r="CV21" i="161"/>
  <c r="CS21" i="161"/>
  <c r="CP21" i="161"/>
  <c r="CM21" i="161"/>
  <c r="CJ21" i="161"/>
  <c r="CG21" i="161"/>
  <c r="CD21" i="161"/>
  <c r="CA21" i="161"/>
  <c r="BX21" i="161"/>
  <c r="BU21" i="161"/>
  <c r="BR21" i="161"/>
  <c r="BO21" i="161"/>
  <c r="BL21" i="161"/>
  <c r="BI21" i="161"/>
  <c r="BF21" i="161"/>
  <c r="BC21" i="161"/>
  <c r="AZ21" i="161"/>
  <c r="AW21" i="161"/>
  <c r="AT21" i="161"/>
  <c r="AQ21" i="161"/>
  <c r="AN21" i="161"/>
  <c r="AI21" i="161"/>
  <c r="AK21" i="161" s="1"/>
  <c r="AB21" i="161"/>
  <c r="Y21" i="161"/>
  <c r="V21" i="161"/>
  <c r="S21" i="161"/>
  <c r="P21" i="161"/>
  <c r="M21" i="161"/>
  <c r="J21" i="161"/>
  <c r="G21" i="161"/>
  <c r="D21" i="161"/>
  <c r="EL20" i="161"/>
  <c r="EG20" i="161"/>
  <c r="EI20" i="161" s="1"/>
  <c r="DW20" i="161"/>
  <c r="DT20" i="161"/>
  <c r="DQ20" i="161"/>
  <c r="EM20" i="161" s="1"/>
  <c r="DN20" i="161"/>
  <c r="DK20" i="161"/>
  <c r="DH20" i="161"/>
  <c r="DE20" i="161"/>
  <c r="DB20" i="161"/>
  <c r="CY20" i="161"/>
  <c r="CV20" i="161"/>
  <c r="CS20" i="161"/>
  <c r="CP20" i="161"/>
  <c r="CM20" i="161"/>
  <c r="CJ20" i="161"/>
  <c r="CG20" i="161"/>
  <c r="CD20" i="161"/>
  <c r="CA20" i="161"/>
  <c r="BX20" i="161"/>
  <c r="BU20" i="161"/>
  <c r="BR20" i="161"/>
  <c r="BO20" i="161"/>
  <c r="BL20" i="161"/>
  <c r="BI20" i="161"/>
  <c r="BF20" i="161"/>
  <c r="BC20" i="161"/>
  <c r="AZ20" i="161"/>
  <c r="AW20" i="161"/>
  <c r="AT20" i="161"/>
  <c r="AQ20" i="161"/>
  <c r="AN20" i="161"/>
  <c r="AK20" i="161"/>
  <c r="AI20" i="161"/>
  <c r="EB20" i="161" s="1"/>
  <c r="AB20" i="161"/>
  <c r="Y20" i="161"/>
  <c r="V20" i="161"/>
  <c r="S20" i="161"/>
  <c r="P20" i="161"/>
  <c r="M20" i="161"/>
  <c r="J20" i="161"/>
  <c r="G20" i="161"/>
  <c r="D20" i="161"/>
  <c r="EL19" i="161"/>
  <c r="EG19" i="161"/>
  <c r="EI19" i="161" s="1"/>
  <c r="DW19" i="161"/>
  <c r="DT19" i="161"/>
  <c r="DQ19" i="161"/>
  <c r="DN19" i="161"/>
  <c r="DK19" i="161"/>
  <c r="DH19" i="161"/>
  <c r="DE19" i="161"/>
  <c r="DB19" i="161"/>
  <c r="CY19" i="161"/>
  <c r="CV19" i="161"/>
  <c r="CS19" i="161"/>
  <c r="CP19" i="161"/>
  <c r="CM19" i="161"/>
  <c r="CJ19" i="161"/>
  <c r="CG19" i="161"/>
  <c r="CD19" i="161"/>
  <c r="CA19" i="161"/>
  <c r="BX19" i="161"/>
  <c r="BU19" i="161"/>
  <c r="BR19" i="161"/>
  <c r="BO19" i="161"/>
  <c r="BL19" i="161"/>
  <c r="BI19" i="161"/>
  <c r="BF19" i="161"/>
  <c r="BC19" i="161"/>
  <c r="AZ19" i="161"/>
  <c r="AW19" i="161"/>
  <c r="AT19" i="161"/>
  <c r="AQ19" i="161"/>
  <c r="AN19" i="161"/>
  <c r="AI19" i="161"/>
  <c r="EK19" i="161" s="1"/>
  <c r="AB19" i="161"/>
  <c r="Y19" i="161"/>
  <c r="V19" i="161"/>
  <c r="S19" i="161"/>
  <c r="P19" i="161"/>
  <c r="M19" i="161"/>
  <c r="J19" i="161"/>
  <c r="G19" i="161"/>
  <c r="D19" i="161"/>
  <c r="EL18" i="161"/>
  <c r="EK18" i="161"/>
  <c r="EC18" i="161" s="1"/>
  <c r="EI18" i="161"/>
  <c r="EG18" i="161"/>
  <c r="EB18" i="161"/>
  <c r="DW18" i="161"/>
  <c r="DT18" i="161"/>
  <c r="DQ18" i="161"/>
  <c r="DN18" i="161"/>
  <c r="DK18" i="161"/>
  <c r="DH18" i="161"/>
  <c r="DE18" i="161"/>
  <c r="DB18" i="161"/>
  <c r="CY18" i="161"/>
  <c r="CV18" i="161"/>
  <c r="CS18" i="161"/>
  <c r="CP18" i="161"/>
  <c r="CM18" i="161"/>
  <c r="CJ18" i="161"/>
  <c r="CG18" i="161"/>
  <c r="CD18" i="161"/>
  <c r="CA18" i="161"/>
  <c r="BX18" i="161"/>
  <c r="BU18" i="161"/>
  <c r="BR18" i="161"/>
  <c r="BO18" i="161"/>
  <c r="BL18" i="161"/>
  <c r="BI18" i="161"/>
  <c r="BF18" i="161"/>
  <c r="BC18" i="161"/>
  <c r="AZ18" i="161"/>
  <c r="AW18" i="161"/>
  <c r="AT18" i="161"/>
  <c r="AQ18" i="161"/>
  <c r="AN18" i="161"/>
  <c r="AI18" i="161"/>
  <c r="AK18" i="161" s="1"/>
  <c r="AB18" i="161"/>
  <c r="Y18" i="161"/>
  <c r="V18" i="161"/>
  <c r="S18" i="161"/>
  <c r="P18" i="161"/>
  <c r="M18" i="161"/>
  <c r="J18" i="161"/>
  <c r="G18" i="161"/>
  <c r="D18" i="161"/>
  <c r="EL17" i="161"/>
  <c r="EK17" i="161"/>
  <c r="EN17" i="161" s="1"/>
  <c r="EI17" i="161"/>
  <c r="EG17" i="161"/>
  <c r="DW17" i="161"/>
  <c r="DT17" i="161"/>
  <c r="EM17" i="161" s="1"/>
  <c r="DQ17" i="161"/>
  <c r="DN17" i="161"/>
  <c r="DK17" i="161"/>
  <c r="DH17" i="161"/>
  <c r="DE17" i="161"/>
  <c r="DB17" i="161"/>
  <c r="CY17" i="161"/>
  <c r="CV17" i="161"/>
  <c r="CS17" i="161"/>
  <c r="CP17" i="161"/>
  <c r="CM17" i="161"/>
  <c r="CJ17" i="161"/>
  <c r="CG17" i="161"/>
  <c r="CD17" i="161"/>
  <c r="CA17" i="161"/>
  <c r="BX17" i="161"/>
  <c r="BU17" i="161"/>
  <c r="BR17" i="161"/>
  <c r="BO17" i="161"/>
  <c r="BL17" i="161"/>
  <c r="BI17" i="161"/>
  <c r="BF17" i="161"/>
  <c r="BC17" i="161"/>
  <c r="AZ17" i="161"/>
  <c r="AW17" i="161"/>
  <c r="AT17" i="161"/>
  <c r="AQ17" i="161"/>
  <c r="AN17" i="161"/>
  <c r="AL17" i="161"/>
  <c r="EB17" i="161" s="1"/>
  <c r="AK17" i="161"/>
  <c r="AI17" i="161"/>
  <c r="AB17" i="161"/>
  <c r="Y17" i="161"/>
  <c r="V17" i="161"/>
  <c r="S17" i="161"/>
  <c r="P17" i="161"/>
  <c r="M17" i="161"/>
  <c r="J17" i="161"/>
  <c r="G17" i="161"/>
  <c r="D17" i="161"/>
  <c r="EL16" i="161"/>
  <c r="EG16" i="161"/>
  <c r="EI16" i="161" s="1"/>
  <c r="DW16" i="161"/>
  <c r="DT16" i="161"/>
  <c r="EM16" i="161" s="1"/>
  <c r="DQ16" i="161"/>
  <c r="DN16" i="161"/>
  <c r="DK16" i="161"/>
  <c r="DH16" i="161"/>
  <c r="DE16" i="161"/>
  <c r="DB16" i="161"/>
  <c r="CY16" i="161"/>
  <c r="CV16" i="161"/>
  <c r="CS16" i="161"/>
  <c r="CP16" i="161"/>
  <c r="CM16" i="161"/>
  <c r="CJ16" i="161"/>
  <c r="CG16" i="161"/>
  <c r="CD16" i="161"/>
  <c r="CA16" i="161"/>
  <c r="BX16" i="161"/>
  <c r="BU16" i="161"/>
  <c r="BR16" i="161"/>
  <c r="BO16" i="161"/>
  <c r="BL16" i="161"/>
  <c r="BI16" i="161"/>
  <c r="BF16" i="161"/>
  <c r="BC16" i="161"/>
  <c r="AZ16" i="161"/>
  <c r="AW16" i="161"/>
  <c r="AT16" i="161"/>
  <c r="AQ16" i="161"/>
  <c r="AN16" i="161"/>
  <c r="AL16" i="161"/>
  <c r="EK16" i="161" s="1"/>
  <c r="EN16" i="161" s="1"/>
  <c r="AK16" i="161"/>
  <c r="AI16" i="161"/>
  <c r="EB16" i="161" s="1"/>
  <c r="AB16" i="161"/>
  <c r="Y16" i="161"/>
  <c r="V16" i="161"/>
  <c r="S16" i="161"/>
  <c r="P16" i="161"/>
  <c r="M16" i="161"/>
  <c r="J16" i="161"/>
  <c r="G16" i="161"/>
  <c r="D16" i="161"/>
  <c r="EL15" i="161"/>
  <c r="EI15" i="161"/>
  <c r="EG15" i="161"/>
  <c r="EB15" i="161"/>
  <c r="EC15" i="161" s="1"/>
  <c r="DW15" i="161"/>
  <c r="DT15" i="161"/>
  <c r="EM15" i="161" s="1"/>
  <c r="DQ15" i="161"/>
  <c r="DN15" i="161"/>
  <c r="DK15" i="161"/>
  <c r="DH15" i="161"/>
  <c r="DE15" i="161"/>
  <c r="DB15" i="161"/>
  <c r="CY15" i="161"/>
  <c r="CV15" i="161"/>
  <c r="CS15" i="161"/>
  <c r="CP15" i="161"/>
  <c r="CM15" i="161"/>
  <c r="CJ15" i="161"/>
  <c r="CG15" i="161"/>
  <c r="CD15" i="161"/>
  <c r="CA15" i="161"/>
  <c r="BX15" i="161"/>
  <c r="BU15" i="161"/>
  <c r="BR15" i="161"/>
  <c r="BO15" i="161"/>
  <c r="BL15" i="161"/>
  <c r="BI15" i="161"/>
  <c r="BF15" i="161"/>
  <c r="BC15" i="161"/>
  <c r="AZ15" i="161"/>
  <c r="AW15" i="161"/>
  <c r="AT15" i="161"/>
  <c r="AQ15" i="161"/>
  <c r="AN15" i="161"/>
  <c r="AL15" i="161"/>
  <c r="EK15" i="161" s="1"/>
  <c r="EN15" i="161" s="1"/>
  <c r="AI15" i="161"/>
  <c r="AK15" i="161" s="1"/>
  <c r="AB15" i="161"/>
  <c r="Y15" i="161"/>
  <c r="V15" i="161"/>
  <c r="S15" i="161"/>
  <c r="P15" i="161"/>
  <c r="M15" i="161"/>
  <c r="J15" i="161"/>
  <c r="G15" i="161"/>
  <c r="D15" i="161"/>
  <c r="EL14" i="161"/>
  <c r="EK14" i="161"/>
  <c r="EI14" i="161"/>
  <c r="EG14" i="161"/>
  <c r="DW14" i="161"/>
  <c r="DT14" i="161"/>
  <c r="EM14" i="161" s="1"/>
  <c r="DQ14" i="161"/>
  <c r="DN14" i="161"/>
  <c r="DK14" i="161"/>
  <c r="DH14" i="161"/>
  <c r="DE14" i="161"/>
  <c r="DB14" i="161"/>
  <c r="CY14" i="161"/>
  <c r="CV14" i="161"/>
  <c r="CS14" i="161"/>
  <c r="CP14" i="161"/>
  <c r="CM14" i="161"/>
  <c r="CJ14" i="161"/>
  <c r="CG14" i="161"/>
  <c r="CD14" i="161"/>
  <c r="CA14" i="161"/>
  <c r="BX14" i="161"/>
  <c r="BU14" i="161"/>
  <c r="BR14" i="161"/>
  <c r="BO14" i="161"/>
  <c r="BL14" i="161"/>
  <c r="BI14" i="161"/>
  <c r="BF14" i="161"/>
  <c r="BC14" i="161"/>
  <c r="AZ14" i="161"/>
  <c r="AW14" i="161"/>
  <c r="AT14" i="161"/>
  <c r="AQ14" i="161"/>
  <c r="AN14" i="161"/>
  <c r="AL14" i="161"/>
  <c r="EB14" i="161" s="1"/>
  <c r="AK14" i="161"/>
  <c r="AI14" i="161"/>
  <c r="AB14" i="161"/>
  <c r="Y14" i="161"/>
  <c r="V14" i="161"/>
  <c r="S14" i="161"/>
  <c r="EH14" i="161" s="1"/>
  <c r="P14" i="161"/>
  <c r="M14" i="161"/>
  <c r="J14" i="161"/>
  <c r="G14" i="161"/>
  <c r="D14" i="161"/>
  <c r="EL13" i="161"/>
  <c r="EG13" i="161"/>
  <c r="EI4" i="161" s="1"/>
  <c r="EI5" i="161" s="1"/>
  <c r="DW13" i="161"/>
  <c r="DT13" i="161"/>
  <c r="DQ13" i="161"/>
  <c r="DN13" i="161"/>
  <c r="DK13" i="161"/>
  <c r="DH13" i="161"/>
  <c r="DE13" i="161"/>
  <c r="DB13" i="161"/>
  <c r="CY13" i="161"/>
  <c r="CY43" i="161" s="1"/>
  <c r="CV13" i="161"/>
  <c r="CS13" i="161"/>
  <c r="CP13" i="161"/>
  <c r="CM13" i="161"/>
  <c r="CJ13" i="161"/>
  <c r="CG13" i="161"/>
  <c r="CD13" i="161"/>
  <c r="CA13" i="161"/>
  <c r="BX13" i="161"/>
  <c r="BU13" i="161"/>
  <c r="BR13" i="161"/>
  <c r="BO13" i="161"/>
  <c r="BO43" i="161" s="1"/>
  <c r="BL13" i="161"/>
  <c r="BI13" i="161"/>
  <c r="BF13" i="161"/>
  <c r="BC13" i="161"/>
  <c r="AZ13" i="161"/>
  <c r="AW13" i="161"/>
  <c r="AT13" i="161"/>
  <c r="AQ13" i="161"/>
  <c r="AN13" i="161"/>
  <c r="AL13" i="161"/>
  <c r="EK13" i="161" s="1"/>
  <c r="AI13" i="161"/>
  <c r="EB13" i="161" s="1"/>
  <c r="AB13" i="161"/>
  <c r="Y13" i="161"/>
  <c r="V13" i="161"/>
  <c r="S13" i="161"/>
  <c r="P13" i="161"/>
  <c r="M13" i="161"/>
  <c r="J13" i="161"/>
  <c r="G13" i="161"/>
  <c r="D13" i="161"/>
  <c r="A13" i="161"/>
  <c r="A14" i="161" s="1"/>
  <c r="A15" i="161" s="1"/>
  <c r="A16" i="161" s="1"/>
  <c r="A17" i="161" s="1"/>
  <c r="A18" i="161" s="1"/>
  <c r="A19" i="161" s="1"/>
  <c r="A20" i="161" s="1"/>
  <c r="A21" i="161" s="1"/>
  <c r="A22" i="161" s="1"/>
  <c r="A23" i="161" s="1"/>
  <c r="A24" i="161" s="1"/>
  <c r="A25" i="161" s="1"/>
  <c r="A26" i="161" s="1"/>
  <c r="A27" i="161" s="1"/>
  <c r="A28" i="161" s="1"/>
  <c r="A29" i="161" s="1"/>
  <c r="A30" i="161" s="1"/>
  <c r="A31" i="161" s="1"/>
  <c r="A32" i="161" s="1"/>
  <c r="A33" i="161" s="1"/>
  <c r="A34" i="161" s="1"/>
  <c r="A35" i="161" s="1"/>
  <c r="A36" i="161" s="1"/>
  <c r="A37" i="161" s="1"/>
  <c r="A38" i="161" s="1"/>
  <c r="A39" i="161" s="1"/>
  <c r="A40" i="161" s="1"/>
  <c r="A41" i="161" s="1"/>
  <c r="A42" i="161" s="1"/>
  <c r="EL12" i="161"/>
  <c r="EI12" i="161"/>
  <c r="EG12" i="161"/>
  <c r="EB12" i="161"/>
  <c r="DW12" i="161"/>
  <c r="DW43" i="161" s="1"/>
  <c r="DT12" i="161"/>
  <c r="DT43" i="161" s="1"/>
  <c r="DQ12" i="161"/>
  <c r="DQ43" i="161" s="1"/>
  <c r="DN12" i="161"/>
  <c r="DN43" i="161" s="1"/>
  <c r="DK12" i="161"/>
  <c r="DK43" i="161" s="1"/>
  <c r="DH12" i="161"/>
  <c r="DH43" i="161" s="1"/>
  <c r="DE12" i="161"/>
  <c r="DE43" i="161" s="1"/>
  <c r="DB12" i="161"/>
  <c r="DB43" i="161" s="1"/>
  <c r="CY12" i="161"/>
  <c r="CV12" i="161"/>
  <c r="CV43" i="161" s="1"/>
  <c r="CS12" i="161"/>
  <c r="CS43" i="161" s="1"/>
  <c r="CP12" i="161"/>
  <c r="CP43" i="161" s="1"/>
  <c r="CM12" i="161"/>
  <c r="CM43" i="161" s="1"/>
  <c r="CJ12" i="161"/>
  <c r="CJ43" i="161" s="1"/>
  <c r="CG12" i="161"/>
  <c r="CG43" i="161" s="1"/>
  <c r="CD12" i="161"/>
  <c r="CD43" i="161" s="1"/>
  <c r="CA12" i="161"/>
  <c r="CA43" i="161" s="1"/>
  <c r="BX12" i="161"/>
  <c r="BX43" i="161" s="1"/>
  <c r="BU12" i="161"/>
  <c r="BU43" i="161" s="1"/>
  <c r="BR12" i="161"/>
  <c r="BR43" i="161" s="1"/>
  <c r="BO12" i="161"/>
  <c r="BL12" i="161"/>
  <c r="BL43" i="161" s="1"/>
  <c r="BI12" i="161"/>
  <c r="BI43" i="161" s="1"/>
  <c r="BF12" i="161"/>
  <c r="BF43" i="161" s="1"/>
  <c r="BC12" i="161"/>
  <c r="BC43" i="161" s="1"/>
  <c r="AZ12" i="161"/>
  <c r="AZ43" i="161" s="1"/>
  <c r="AW12" i="161"/>
  <c r="AW43" i="161" s="1"/>
  <c r="AT12" i="161"/>
  <c r="AT43" i="161" s="1"/>
  <c r="AQ12" i="161"/>
  <c r="AQ43" i="161" s="1"/>
  <c r="AN12" i="161"/>
  <c r="AN43" i="161" s="1"/>
  <c r="AL12" i="161"/>
  <c r="EK12" i="161" s="1"/>
  <c r="AI12" i="161"/>
  <c r="AK12" i="161" s="1"/>
  <c r="AB12" i="161"/>
  <c r="AB43" i="161" s="1"/>
  <c r="Y12" i="161"/>
  <c r="Y43" i="161" s="1"/>
  <c r="V12" i="161"/>
  <c r="V43" i="161" s="1"/>
  <c r="S12" i="161"/>
  <c r="S43" i="161" s="1"/>
  <c r="P12" i="161"/>
  <c r="P43" i="161" s="1"/>
  <c r="M12" i="161"/>
  <c r="M43" i="161" s="1"/>
  <c r="J12" i="161"/>
  <c r="J43" i="161" s="1"/>
  <c r="G12" i="161"/>
  <c r="G43" i="161" s="1"/>
  <c r="D12" i="161"/>
  <c r="D43" i="161" s="1"/>
  <c r="EI6" i="161"/>
  <c r="EN2" i="161"/>
  <c r="EP2" i="161" s="1"/>
  <c r="EI2" i="161"/>
  <c r="EE2" i="161"/>
  <c r="EQ2" i="161" s="1"/>
  <c r="G5" i="161" s="1"/>
  <c r="EH27" i="161" l="1"/>
  <c r="EH13" i="161"/>
  <c r="EH28" i="161"/>
  <c r="ED38" i="161"/>
  <c r="ED35" i="161"/>
  <c r="ED36" i="161"/>
  <c r="ED29" i="161"/>
  <c r="ED30" i="161"/>
  <c r="EH39" i="161"/>
  <c r="EH40" i="161"/>
  <c r="ED14" i="161"/>
  <c r="EE14" i="161" s="1"/>
  <c r="EH18" i="161"/>
  <c r="EH20" i="161"/>
  <c r="ED27" i="161"/>
  <c r="ED28" i="161"/>
  <c r="EH37" i="161"/>
  <c r="EH17" i="161"/>
  <c r="EH31" i="161"/>
  <c r="EH34" i="161"/>
  <c r="EH21" i="161"/>
  <c r="EH29" i="161"/>
  <c r="EH32" i="161"/>
  <c r="ED42" i="161"/>
  <c r="EH15" i="161"/>
  <c r="EH30" i="161"/>
  <c r="ED16" i="161"/>
  <c r="EE16" i="161" s="1"/>
  <c r="ED40" i="161"/>
  <c r="AE43" i="161"/>
  <c r="ED22" i="161"/>
  <c r="EE22" i="161" s="1"/>
  <c r="EH26" i="161"/>
  <c r="ED33" i="161"/>
  <c r="ED34" i="161"/>
  <c r="EH41" i="161"/>
  <c r="EH42" i="161"/>
  <c r="ED17" i="161"/>
  <c r="EE17" i="161" s="1"/>
  <c r="AH43" i="161"/>
  <c r="ED15" i="161"/>
  <c r="EE15" i="161" s="1"/>
  <c r="EH23" i="161"/>
  <c r="ED31" i="161"/>
  <c r="ED32" i="161"/>
  <c r="EH19" i="161"/>
  <c r="ED41" i="161"/>
  <c r="EH16" i="161"/>
  <c r="ED20" i="161"/>
  <c r="EE20" i="161" s="1"/>
  <c r="EH22" i="161"/>
  <c r="EH35" i="161"/>
  <c r="ED37" i="161"/>
  <c r="EH38" i="161"/>
  <c r="ED26" i="161"/>
  <c r="EE26" i="161" s="1"/>
  <c r="EC22" i="161"/>
  <c r="EN14" i="161"/>
  <c r="EC16" i="161"/>
  <c r="ED18" i="161"/>
  <c r="EE18" i="161" s="1"/>
  <c r="ED23" i="161"/>
  <c r="EE23" i="161" s="1"/>
  <c r="ED19" i="161"/>
  <c r="EC12" i="161"/>
  <c r="EC17" i="161"/>
  <c r="EM18" i="161"/>
  <c r="EM23" i="161"/>
  <c r="EN23" i="161" s="1"/>
  <c r="EE25" i="161"/>
  <c r="EE24" i="161"/>
  <c r="EC13" i="161"/>
  <c r="EN12" i="161"/>
  <c r="EC14" i="161"/>
  <c r="EE4" i="161"/>
  <c r="EK21" i="161"/>
  <c r="EN21" i="161" s="1"/>
  <c r="EN24" i="161"/>
  <c r="EE27" i="161"/>
  <c r="EE29" i="161"/>
  <c r="EE31" i="161"/>
  <c r="EE33" i="161"/>
  <c r="EE35" i="161"/>
  <c r="EE37" i="161"/>
  <c r="EE39" i="161"/>
  <c r="EE41" i="161"/>
  <c r="AK13" i="161"/>
  <c r="AK43" i="161" s="1"/>
  <c r="ED12" i="161"/>
  <c r="EE12" i="161" s="1"/>
  <c r="EI13" i="161"/>
  <c r="EH12" i="161"/>
  <c r="EB19" i="161"/>
  <c r="EC26" i="161"/>
  <c r="EC28" i="161"/>
  <c r="EC30" i="161"/>
  <c r="EC32" i="161"/>
  <c r="EC34" i="161"/>
  <c r="EC36" i="161"/>
  <c r="EC38" i="161"/>
  <c r="EC40" i="161"/>
  <c r="EC42" i="161"/>
  <c r="EB21" i="161"/>
  <c r="EK20" i="161"/>
  <c r="EN20" i="161" s="1"/>
  <c r="EM12" i="161"/>
  <c r="EN18" i="161"/>
  <c r="EN25" i="161"/>
  <c r="ED21" i="161"/>
  <c r="AK19" i="161"/>
  <c r="EM19" i="161" s="1"/>
  <c r="EN19" i="161" s="1"/>
  <c r="EC23" i="161"/>
  <c r="AK26" i="161"/>
  <c r="EM26" i="161" s="1"/>
  <c r="EN26" i="161" s="1"/>
  <c r="EH43" i="161" l="1"/>
  <c r="EN4" i="161"/>
  <c r="EE19" i="161"/>
  <c r="EC19" i="161"/>
  <c r="EN6" i="161"/>
  <c r="EE21" i="161"/>
  <c r="EC21" i="161"/>
  <c r="EE6" i="161"/>
  <c r="G8" i="161" s="1"/>
  <c r="EM13" i="161"/>
  <c r="EN13" i="161" s="1"/>
  <c r="EC20" i="161"/>
  <c r="G6" i="161"/>
  <c r="ED13" i="161"/>
  <c r="EE13" i="161" s="1"/>
  <c r="EM43" i="161" l="1"/>
  <c r="EE5" i="161"/>
  <c r="G7" i="161" s="1"/>
  <c r="EN5" i="161"/>
  <c r="ED43" i="161"/>
  <c r="EL42" i="160" l="1"/>
  <c r="EG42" i="160"/>
  <c r="EI42" i="160" s="1"/>
  <c r="DW42" i="160"/>
  <c r="DT42" i="160"/>
  <c r="DQ42" i="160"/>
  <c r="DN42" i="160"/>
  <c r="DK42" i="160"/>
  <c r="DH42" i="160"/>
  <c r="DE42" i="160"/>
  <c r="DB42" i="160"/>
  <c r="CY42" i="160"/>
  <c r="CV42" i="160"/>
  <c r="CS42" i="160"/>
  <c r="CP42" i="160"/>
  <c r="CM42" i="160"/>
  <c r="CJ42" i="160"/>
  <c r="CG42" i="160"/>
  <c r="CD42" i="160"/>
  <c r="CA42" i="160"/>
  <c r="BX42" i="160"/>
  <c r="BU42" i="160"/>
  <c r="BR42" i="160"/>
  <c r="BO42" i="160"/>
  <c r="BL42" i="160"/>
  <c r="BI42" i="160"/>
  <c r="BF42" i="160"/>
  <c r="BC42" i="160"/>
  <c r="AZ42" i="160"/>
  <c r="AW42" i="160"/>
  <c r="AR42" i="160"/>
  <c r="EB42" i="160" s="1"/>
  <c r="AQ42" i="160"/>
  <c r="AN42" i="160"/>
  <c r="AK42" i="160"/>
  <c r="AI42" i="160"/>
  <c r="AB42" i="160"/>
  <c r="Y42" i="160"/>
  <c r="V42" i="160"/>
  <c r="S42" i="160"/>
  <c r="P42" i="160"/>
  <c r="M42" i="160"/>
  <c r="J42" i="160"/>
  <c r="G42" i="160"/>
  <c r="D42" i="160"/>
  <c r="EL41" i="160"/>
  <c r="EG41" i="160"/>
  <c r="EI41" i="160" s="1"/>
  <c r="DW41" i="160"/>
  <c r="DT41" i="160"/>
  <c r="DQ41" i="160"/>
  <c r="DN41" i="160"/>
  <c r="DK41" i="160"/>
  <c r="DH41" i="160"/>
  <c r="DE41" i="160"/>
  <c r="DB41" i="160"/>
  <c r="CY41" i="160"/>
  <c r="CV41" i="160"/>
  <c r="CS41" i="160"/>
  <c r="CP41" i="160"/>
  <c r="CM41" i="160"/>
  <c r="CJ41" i="160"/>
  <c r="CG41" i="160"/>
  <c r="CD41" i="160"/>
  <c r="CA41" i="160"/>
  <c r="BX41" i="160"/>
  <c r="BU41" i="160"/>
  <c r="BR41" i="160"/>
  <c r="BO41" i="160"/>
  <c r="BL41" i="160"/>
  <c r="BI41" i="160"/>
  <c r="BF41" i="160"/>
  <c r="BC41" i="160"/>
  <c r="AZ41" i="160"/>
  <c r="AW41" i="160"/>
  <c r="AR41" i="160"/>
  <c r="AT41" i="160" s="1"/>
  <c r="AQ41" i="160"/>
  <c r="AN41" i="160"/>
  <c r="AI41" i="160"/>
  <c r="EB41" i="160" s="1"/>
  <c r="AB41" i="160"/>
  <c r="Y41" i="160"/>
  <c r="V41" i="160"/>
  <c r="S41" i="160"/>
  <c r="P41" i="160"/>
  <c r="M41" i="160"/>
  <c r="J41" i="160"/>
  <c r="G41" i="160"/>
  <c r="D41" i="160"/>
  <c r="EL40" i="160"/>
  <c r="EG40" i="160"/>
  <c r="EI40" i="160" s="1"/>
  <c r="DW40" i="160"/>
  <c r="DT40" i="160"/>
  <c r="EM40" i="160" s="1"/>
  <c r="DQ40" i="160"/>
  <c r="DN40" i="160"/>
  <c r="DK40" i="160"/>
  <c r="DH40" i="160"/>
  <c r="DE40" i="160"/>
  <c r="DB40" i="160"/>
  <c r="CY40" i="160"/>
  <c r="CV40" i="160"/>
  <c r="CS40" i="160"/>
  <c r="CP40" i="160"/>
  <c r="CM40" i="160"/>
  <c r="CJ40" i="160"/>
  <c r="CG40" i="160"/>
  <c r="CD40" i="160"/>
  <c r="CA40" i="160"/>
  <c r="BX40" i="160"/>
  <c r="BU40" i="160"/>
  <c r="BR40" i="160"/>
  <c r="BO40" i="160"/>
  <c r="BL40" i="160"/>
  <c r="BI40" i="160"/>
  <c r="BF40" i="160"/>
  <c r="BC40" i="160"/>
  <c r="AZ40" i="160"/>
  <c r="AW40" i="160"/>
  <c r="AT40" i="160"/>
  <c r="AR40" i="160"/>
  <c r="EK40" i="160" s="1"/>
  <c r="AQ40" i="160"/>
  <c r="AN40" i="160"/>
  <c r="AI40" i="160"/>
  <c r="AK40" i="160" s="1"/>
  <c r="AB40" i="160"/>
  <c r="Y40" i="160"/>
  <c r="V40" i="160"/>
  <c r="S40" i="160"/>
  <c r="P40" i="160"/>
  <c r="M40" i="160"/>
  <c r="J40" i="160"/>
  <c r="G40" i="160"/>
  <c r="D40" i="160"/>
  <c r="EL39" i="160"/>
  <c r="EG39" i="160"/>
  <c r="EI39" i="160" s="1"/>
  <c r="DW39" i="160"/>
  <c r="DT39" i="160"/>
  <c r="DQ39" i="160"/>
  <c r="DN39" i="160"/>
  <c r="DK39" i="160"/>
  <c r="DH39" i="160"/>
  <c r="DE39" i="160"/>
  <c r="DB39" i="160"/>
  <c r="CY39" i="160"/>
  <c r="CV39" i="160"/>
  <c r="CS39" i="160"/>
  <c r="CP39" i="160"/>
  <c r="CM39" i="160"/>
  <c r="CJ39" i="160"/>
  <c r="CG39" i="160"/>
  <c r="CD39" i="160"/>
  <c r="CA39" i="160"/>
  <c r="BX39" i="160"/>
  <c r="BU39" i="160"/>
  <c r="BR39" i="160"/>
  <c r="BO39" i="160"/>
  <c r="BL39" i="160"/>
  <c r="BI39" i="160"/>
  <c r="BF39" i="160"/>
  <c r="BC39" i="160"/>
  <c r="AZ39" i="160"/>
  <c r="AW39" i="160"/>
  <c r="AR39" i="160"/>
  <c r="EB39" i="160" s="1"/>
  <c r="AQ39" i="160"/>
  <c r="AN39" i="160"/>
  <c r="AK39" i="160"/>
  <c r="AI39" i="160"/>
  <c r="AB39" i="160"/>
  <c r="Y39" i="160"/>
  <c r="V39" i="160"/>
  <c r="S39" i="160"/>
  <c r="P39" i="160"/>
  <c r="M39" i="160"/>
  <c r="J39" i="160"/>
  <c r="G39" i="160"/>
  <c r="D39" i="160"/>
  <c r="EL38" i="160"/>
  <c r="EG38" i="160"/>
  <c r="EI38" i="160" s="1"/>
  <c r="DW38" i="160"/>
  <c r="DT38" i="160"/>
  <c r="DQ38" i="160"/>
  <c r="DN38" i="160"/>
  <c r="DK38" i="160"/>
  <c r="DH38" i="160"/>
  <c r="DE38" i="160"/>
  <c r="DB38" i="160"/>
  <c r="CY38" i="160"/>
  <c r="CV38" i="160"/>
  <c r="CS38" i="160"/>
  <c r="CP38" i="160"/>
  <c r="CM38" i="160"/>
  <c r="CJ38" i="160"/>
  <c r="CG38" i="160"/>
  <c r="CD38" i="160"/>
  <c r="CA38" i="160"/>
  <c r="BX38" i="160"/>
  <c r="BU38" i="160"/>
  <c r="BR38" i="160"/>
  <c r="BO38" i="160"/>
  <c r="BL38" i="160"/>
  <c r="BI38" i="160"/>
  <c r="BF38" i="160"/>
  <c r="BC38" i="160"/>
  <c r="AZ38" i="160"/>
  <c r="AW38" i="160"/>
  <c r="AR38" i="160"/>
  <c r="AT38" i="160" s="1"/>
  <c r="AQ38" i="160"/>
  <c r="AN38" i="160"/>
  <c r="AI38" i="160"/>
  <c r="EB38" i="160" s="1"/>
  <c r="AB38" i="160"/>
  <c r="Y38" i="160"/>
  <c r="V38" i="160"/>
  <c r="S38" i="160"/>
  <c r="P38" i="160"/>
  <c r="M38" i="160"/>
  <c r="J38" i="160"/>
  <c r="G38" i="160"/>
  <c r="D38" i="160"/>
  <c r="EL37" i="160"/>
  <c r="EG37" i="160"/>
  <c r="EI37" i="160" s="1"/>
  <c r="DW37" i="160"/>
  <c r="DT37" i="160"/>
  <c r="EM37" i="160" s="1"/>
  <c r="DQ37" i="160"/>
  <c r="DN37" i="160"/>
  <c r="DK37" i="160"/>
  <c r="DH37" i="160"/>
  <c r="DE37" i="160"/>
  <c r="DB37" i="160"/>
  <c r="CY37" i="160"/>
  <c r="CV37" i="160"/>
  <c r="CS37" i="160"/>
  <c r="CP37" i="160"/>
  <c r="CM37" i="160"/>
  <c r="CJ37" i="160"/>
  <c r="CG37" i="160"/>
  <c r="CD37" i="160"/>
  <c r="CA37" i="160"/>
  <c r="BX37" i="160"/>
  <c r="BU37" i="160"/>
  <c r="BR37" i="160"/>
  <c r="BO37" i="160"/>
  <c r="BL37" i="160"/>
  <c r="BI37" i="160"/>
  <c r="BF37" i="160"/>
  <c r="BC37" i="160"/>
  <c r="AZ37" i="160"/>
  <c r="AW37" i="160"/>
  <c r="AT37" i="160"/>
  <c r="AR37" i="160"/>
  <c r="EK37" i="160" s="1"/>
  <c r="EN37" i="160" s="1"/>
  <c r="AQ37" i="160"/>
  <c r="AN37" i="160"/>
  <c r="AI37" i="160"/>
  <c r="AK37" i="160" s="1"/>
  <c r="AB37" i="160"/>
  <c r="Y37" i="160"/>
  <c r="V37" i="160"/>
  <c r="S37" i="160"/>
  <c r="P37" i="160"/>
  <c r="M37" i="160"/>
  <c r="J37" i="160"/>
  <c r="G37" i="160"/>
  <c r="D37" i="160"/>
  <c r="EL36" i="160"/>
  <c r="EK36" i="160"/>
  <c r="EG36" i="160"/>
  <c r="EI36" i="160" s="1"/>
  <c r="DW36" i="160"/>
  <c r="DT36" i="160"/>
  <c r="DQ36" i="160"/>
  <c r="DN36" i="160"/>
  <c r="DK36" i="160"/>
  <c r="DH36" i="160"/>
  <c r="DE36" i="160"/>
  <c r="DB36" i="160"/>
  <c r="CY36" i="160"/>
  <c r="CV36" i="160"/>
  <c r="CS36" i="160"/>
  <c r="CP36" i="160"/>
  <c r="CM36" i="160"/>
  <c r="CJ36" i="160"/>
  <c r="CG36" i="160"/>
  <c r="CD36" i="160"/>
  <c r="CA36" i="160"/>
  <c r="BX36" i="160"/>
  <c r="BU36" i="160"/>
  <c r="BR36" i="160"/>
  <c r="BO36" i="160"/>
  <c r="BL36" i="160"/>
  <c r="BI36" i="160"/>
  <c r="BF36" i="160"/>
  <c r="BC36" i="160"/>
  <c r="AZ36" i="160"/>
  <c r="AW36" i="160"/>
  <c r="AR36" i="160"/>
  <c r="EB36" i="160" s="1"/>
  <c r="AQ36" i="160"/>
  <c r="AN36" i="160"/>
  <c r="AK36" i="160"/>
  <c r="AI36" i="160"/>
  <c r="AB36" i="160"/>
  <c r="Y36" i="160"/>
  <c r="V36" i="160"/>
  <c r="S36" i="160"/>
  <c r="P36" i="160"/>
  <c r="M36" i="160"/>
  <c r="J36" i="160"/>
  <c r="G36" i="160"/>
  <c r="D36" i="160"/>
  <c r="EL35" i="160"/>
  <c r="EG35" i="160"/>
  <c r="EI35" i="160" s="1"/>
  <c r="DW35" i="160"/>
  <c r="DT35" i="160"/>
  <c r="DQ35" i="160"/>
  <c r="DN35" i="160"/>
  <c r="DK35" i="160"/>
  <c r="DH35" i="160"/>
  <c r="DE35" i="160"/>
  <c r="DB35" i="160"/>
  <c r="CY35" i="160"/>
  <c r="CV35" i="160"/>
  <c r="CS35" i="160"/>
  <c r="CP35" i="160"/>
  <c r="CM35" i="160"/>
  <c r="CJ35" i="160"/>
  <c r="CG35" i="160"/>
  <c r="CD35" i="160"/>
  <c r="CA35" i="160"/>
  <c r="BX35" i="160"/>
  <c r="BU35" i="160"/>
  <c r="BR35" i="160"/>
  <c r="BO35" i="160"/>
  <c r="BL35" i="160"/>
  <c r="BI35" i="160"/>
  <c r="BF35" i="160"/>
  <c r="BC35" i="160"/>
  <c r="AZ35" i="160"/>
  <c r="AW35" i="160"/>
  <c r="AR35" i="160"/>
  <c r="AT35" i="160" s="1"/>
  <c r="AQ35" i="160"/>
  <c r="AN35" i="160"/>
  <c r="AI35" i="160"/>
  <c r="EB35" i="160" s="1"/>
  <c r="AB35" i="160"/>
  <c r="Y35" i="160"/>
  <c r="V35" i="160"/>
  <c r="S35" i="160"/>
  <c r="P35" i="160"/>
  <c r="M35" i="160"/>
  <c r="J35" i="160"/>
  <c r="G35" i="160"/>
  <c r="D35" i="160"/>
  <c r="EL34" i="160"/>
  <c r="EG34" i="160"/>
  <c r="EI34" i="160" s="1"/>
  <c r="DW34" i="160"/>
  <c r="DT34" i="160"/>
  <c r="EM34" i="160" s="1"/>
  <c r="DQ34" i="160"/>
  <c r="DN34" i="160"/>
  <c r="DK34" i="160"/>
  <c r="DH34" i="160"/>
  <c r="DE34" i="160"/>
  <c r="DB34" i="160"/>
  <c r="CY34" i="160"/>
  <c r="CV34" i="160"/>
  <c r="CS34" i="160"/>
  <c r="CP34" i="160"/>
  <c r="CM34" i="160"/>
  <c r="CJ34" i="160"/>
  <c r="CG34" i="160"/>
  <c r="CD34" i="160"/>
  <c r="CA34" i="160"/>
  <c r="BX34" i="160"/>
  <c r="BU34" i="160"/>
  <c r="BR34" i="160"/>
  <c r="BO34" i="160"/>
  <c r="BL34" i="160"/>
  <c r="BI34" i="160"/>
  <c r="BF34" i="160"/>
  <c r="BC34" i="160"/>
  <c r="AZ34" i="160"/>
  <c r="AW34" i="160"/>
  <c r="AT34" i="160"/>
  <c r="AR34" i="160"/>
  <c r="EK34" i="160" s="1"/>
  <c r="AQ34" i="160"/>
  <c r="AN34" i="160"/>
  <c r="AI34" i="160"/>
  <c r="AK34" i="160" s="1"/>
  <c r="AB34" i="160"/>
  <c r="Y34" i="160"/>
  <c r="V34" i="160"/>
  <c r="S34" i="160"/>
  <c r="P34" i="160"/>
  <c r="M34" i="160"/>
  <c r="J34" i="160"/>
  <c r="G34" i="160"/>
  <c r="D34" i="160"/>
  <c r="EL33" i="160"/>
  <c r="EK33" i="160"/>
  <c r="EG33" i="160"/>
  <c r="EI33" i="160" s="1"/>
  <c r="DW33" i="160"/>
  <c r="DT33" i="160"/>
  <c r="DQ33" i="160"/>
  <c r="DN33" i="160"/>
  <c r="DK33" i="160"/>
  <c r="DH33" i="160"/>
  <c r="DE33" i="160"/>
  <c r="DB33" i="160"/>
  <c r="CY33" i="160"/>
  <c r="CV33" i="160"/>
  <c r="CS33" i="160"/>
  <c r="CP33" i="160"/>
  <c r="CM33" i="160"/>
  <c r="CJ33" i="160"/>
  <c r="CG33" i="160"/>
  <c r="CD33" i="160"/>
  <c r="CA33" i="160"/>
  <c r="BX33" i="160"/>
  <c r="BU33" i="160"/>
  <c r="BR33" i="160"/>
  <c r="BO33" i="160"/>
  <c r="BL33" i="160"/>
  <c r="BI33" i="160"/>
  <c r="BF33" i="160"/>
  <c r="BC33" i="160"/>
  <c r="AZ33" i="160"/>
  <c r="AW33" i="160"/>
  <c r="AR33" i="160"/>
  <c r="EB33" i="160" s="1"/>
  <c r="AQ33" i="160"/>
  <c r="AN33" i="160"/>
  <c r="AK33" i="160"/>
  <c r="AI33" i="160"/>
  <c r="AB33" i="160"/>
  <c r="Y33" i="160"/>
  <c r="V33" i="160"/>
  <c r="S33" i="160"/>
  <c r="P33" i="160"/>
  <c r="M33" i="160"/>
  <c r="J33" i="160"/>
  <c r="G33" i="160"/>
  <c r="D33" i="160"/>
  <c r="EL32" i="160"/>
  <c r="EG32" i="160"/>
  <c r="EI32" i="160" s="1"/>
  <c r="DW32" i="160"/>
  <c r="DT32" i="160"/>
  <c r="DQ32" i="160"/>
  <c r="DN32" i="160"/>
  <c r="DK32" i="160"/>
  <c r="DH32" i="160"/>
  <c r="DE32" i="160"/>
  <c r="DB32" i="160"/>
  <c r="CY32" i="160"/>
  <c r="CV32" i="160"/>
  <c r="CS32" i="160"/>
  <c r="CP32" i="160"/>
  <c r="CM32" i="160"/>
  <c r="CJ32" i="160"/>
  <c r="CG32" i="160"/>
  <c r="CD32" i="160"/>
  <c r="CA32" i="160"/>
  <c r="BX32" i="160"/>
  <c r="BU32" i="160"/>
  <c r="BR32" i="160"/>
  <c r="BO32" i="160"/>
  <c r="BL32" i="160"/>
  <c r="BI32" i="160"/>
  <c r="BF32" i="160"/>
  <c r="BC32" i="160"/>
  <c r="AZ32" i="160"/>
  <c r="AW32" i="160"/>
  <c r="AR32" i="160"/>
  <c r="AT32" i="160" s="1"/>
  <c r="AQ32" i="160"/>
  <c r="AN32" i="160"/>
  <c r="AI32" i="160"/>
  <c r="EB32" i="160" s="1"/>
  <c r="AB32" i="160"/>
  <c r="Y32" i="160"/>
  <c r="V32" i="160"/>
  <c r="S32" i="160"/>
  <c r="P32" i="160"/>
  <c r="M32" i="160"/>
  <c r="J32" i="160"/>
  <c r="G32" i="160"/>
  <c r="D32" i="160"/>
  <c r="EL31" i="160"/>
  <c r="EG31" i="160"/>
  <c r="EI31" i="160" s="1"/>
  <c r="DW31" i="160"/>
  <c r="DT31" i="160"/>
  <c r="DQ31" i="160"/>
  <c r="DN31" i="160"/>
  <c r="DK31" i="160"/>
  <c r="DH31" i="160"/>
  <c r="DE31" i="160"/>
  <c r="DB31" i="160"/>
  <c r="CY31" i="160"/>
  <c r="CV31" i="160"/>
  <c r="CS31" i="160"/>
  <c r="CP31" i="160"/>
  <c r="CM31" i="160"/>
  <c r="CJ31" i="160"/>
  <c r="CG31" i="160"/>
  <c r="CD31" i="160"/>
  <c r="CA31" i="160"/>
  <c r="BX31" i="160"/>
  <c r="BU31" i="160"/>
  <c r="BR31" i="160"/>
  <c r="BO31" i="160"/>
  <c r="BL31" i="160"/>
  <c r="BI31" i="160"/>
  <c r="BF31" i="160"/>
  <c r="BC31" i="160"/>
  <c r="AZ31" i="160"/>
  <c r="AW31" i="160"/>
  <c r="AT31" i="160"/>
  <c r="AR31" i="160"/>
  <c r="EK31" i="160" s="1"/>
  <c r="AQ31" i="160"/>
  <c r="AN31" i="160"/>
  <c r="AI31" i="160"/>
  <c r="AK31" i="160" s="1"/>
  <c r="AB31" i="160"/>
  <c r="Y31" i="160"/>
  <c r="V31" i="160"/>
  <c r="S31" i="160"/>
  <c r="P31" i="160"/>
  <c r="M31" i="160"/>
  <c r="J31" i="160"/>
  <c r="G31" i="160"/>
  <c r="D31" i="160"/>
  <c r="EL30" i="160"/>
  <c r="EK30" i="160"/>
  <c r="EG30" i="160"/>
  <c r="EI30" i="160" s="1"/>
  <c r="DW30" i="160"/>
  <c r="DT30" i="160"/>
  <c r="DQ30" i="160"/>
  <c r="DN30" i="160"/>
  <c r="DK30" i="160"/>
  <c r="DH30" i="160"/>
  <c r="DE30" i="160"/>
  <c r="DB30" i="160"/>
  <c r="CY30" i="160"/>
  <c r="CV30" i="160"/>
  <c r="CS30" i="160"/>
  <c r="CP30" i="160"/>
  <c r="CM30" i="160"/>
  <c r="CJ30" i="160"/>
  <c r="CG30" i="160"/>
  <c r="CD30" i="160"/>
  <c r="CA30" i="160"/>
  <c r="BX30" i="160"/>
  <c r="BU30" i="160"/>
  <c r="BR30" i="160"/>
  <c r="BO30" i="160"/>
  <c r="BL30" i="160"/>
  <c r="BI30" i="160"/>
  <c r="BF30" i="160"/>
  <c r="BC30" i="160"/>
  <c r="AZ30" i="160"/>
  <c r="AW30" i="160"/>
  <c r="AR30" i="160"/>
  <c r="EB30" i="160" s="1"/>
  <c r="AQ30" i="160"/>
  <c r="AN30" i="160"/>
  <c r="AK30" i="160"/>
  <c r="AI30" i="160"/>
  <c r="AB30" i="160"/>
  <c r="Y30" i="160"/>
  <c r="V30" i="160"/>
  <c r="S30" i="160"/>
  <c r="P30" i="160"/>
  <c r="M30" i="160"/>
  <c r="J30" i="160"/>
  <c r="G30" i="160"/>
  <c r="D30" i="160"/>
  <c r="EL29" i="160"/>
  <c r="EG29" i="160"/>
  <c r="EI29" i="160" s="1"/>
  <c r="DW29" i="160"/>
  <c r="DT29" i="160"/>
  <c r="DQ29" i="160"/>
  <c r="DN29" i="160"/>
  <c r="DK29" i="160"/>
  <c r="DH29" i="160"/>
  <c r="DE29" i="160"/>
  <c r="DB29" i="160"/>
  <c r="CY29" i="160"/>
  <c r="CV29" i="160"/>
  <c r="CS29" i="160"/>
  <c r="CP29" i="160"/>
  <c r="CM29" i="160"/>
  <c r="CJ29" i="160"/>
  <c r="CG29" i="160"/>
  <c r="CD29" i="160"/>
  <c r="CA29" i="160"/>
  <c r="BX29" i="160"/>
  <c r="BU29" i="160"/>
  <c r="BR29" i="160"/>
  <c r="BO29" i="160"/>
  <c r="BL29" i="160"/>
  <c r="BI29" i="160"/>
  <c r="BF29" i="160"/>
  <c r="BC29" i="160"/>
  <c r="AZ29" i="160"/>
  <c r="AW29" i="160"/>
  <c r="AR29" i="160"/>
  <c r="AT29" i="160" s="1"/>
  <c r="AQ29" i="160"/>
  <c r="AN29" i="160"/>
  <c r="AI29" i="160"/>
  <c r="EB29" i="160" s="1"/>
  <c r="AB29" i="160"/>
  <c r="Y29" i="160"/>
  <c r="V29" i="160"/>
  <c r="S29" i="160"/>
  <c r="P29" i="160"/>
  <c r="M29" i="160"/>
  <c r="J29" i="160"/>
  <c r="G29" i="160"/>
  <c r="D29" i="160"/>
  <c r="EL28" i="160"/>
  <c r="EG28" i="160"/>
  <c r="EI28" i="160" s="1"/>
  <c r="DW28" i="160"/>
  <c r="DT28" i="160"/>
  <c r="DQ28" i="160"/>
  <c r="DN28" i="160"/>
  <c r="DK28" i="160"/>
  <c r="DH28" i="160"/>
  <c r="DE28" i="160"/>
  <c r="DB28" i="160"/>
  <c r="CY28" i="160"/>
  <c r="CV28" i="160"/>
  <c r="CS28" i="160"/>
  <c r="CP28" i="160"/>
  <c r="CM28" i="160"/>
  <c r="CJ28" i="160"/>
  <c r="CG28" i="160"/>
  <c r="CD28" i="160"/>
  <c r="CA28" i="160"/>
  <c r="BX28" i="160"/>
  <c r="BU28" i="160"/>
  <c r="BR28" i="160"/>
  <c r="BO28" i="160"/>
  <c r="BL28" i="160"/>
  <c r="BI28" i="160"/>
  <c r="BF28" i="160"/>
  <c r="BC28" i="160"/>
  <c r="AZ28" i="160"/>
  <c r="AW28" i="160"/>
  <c r="AT28" i="160"/>
  <c r="AR28" i="160"/>
  <c r="EK28" i="160" s="1"/>
  <c r="AQ28" i="160"/>
  <c r="AN28" i="160"/>
  <c r="AI28" i="160"/>
  <c r="AK28" i="160" s="1"/>
  <c r="AB28" i="160"/>
  <c r="Y28" i="160"/>
  <c r="V28" i="160"/>
  <c r="S28" i="160"/>
  <c r="P28" i="160"/>
  <c r="M28" i="160"/>
  <c r="J28" i="160"/>
  <c r="G28" i="160"/>
  <c r="D28" i="160"/>
  <c r="EL27" i="160"/>
  <c r="EG27" i="160"/>
  <c r="EI27" i="160" s="1"/>
  <c r="DW27" i="160"/>
  <c r="DT27" i="160"/>
  <c r="DQ27" i="160"/>
  <c r="DN27" i="160"/>
  <c r="DK27" i="160"/>
  <c r="DH27" i="160"/>
  <c r="DE27" i="160"/>
  <c r="DB27" i="160"/>
  <c r="CY27" i="160"/>
  <c r="CV27" i="160"/>
  <c r="CS27" i="160"/>
  <c r="CP27" i="160"/>
  <c r="CM27" i="160"/>
  <c r="CJ27" i="160"/>
  <c r="CG27" i="160"/>
  <c r="CD27" i="160"/>
  <c r="CA27" i="160"/>
  <c r="BX27" i="160"/>
  <c r="BU27" i="160"/>
  <c r="BR27" i="160"/>
  <c r="BO27" i="160"/>
  <c r="BL27" i="160"/>
  <c r="BI27" i="160"/>
  <c r="BF27" i="160"/>
  <c r="BC27" i="160"/>
  <c r="AZ27" i="160"/>
  <c r="AW27" i="160"/>
  <c r="AR27" i="160"/>
  <c r="EB27" i="160" s="1"/>
  <c r="AQ27" i="160"/>
  <c r="AN27" i="160"/>
  <c r="AK27" i="160"/>
  <c r="AI27" i="160"/>
  <c r="AB27" i="160"/>
  <c r="Y27" i="160"/>
  <c r="V27" i="160"/>
  <c r="S27" i="160"/>
  <c r="P27" i="160"/>
  <c r="M27" i="160"/>
  <c r="J27" i="160"/>
  <c r="G27" i="160"/>
  <c r="D27" i="160"/>
  <c r="EL26" i="160"/>
  <c r="EG26" i="160"/>
  <c r="EI26" i="160" s="1"/>
  <c r="DW26" i="160"/>
  <c r="DT26" i="160"/>
  <c r="DQ26" i="160"/>
  <c r="DN26" i="160"/>
  <c r="DK26" i="160"/>
  <c r="DH26" i="160"/>
  <c r="DE26" i="160"/>
  <c r="DB26" i="160"/>
  <c r="CY26" i="160"/>
  <c r="CV26" i="160"/>
  <c r="CS26" i="160"/>
  <c r="CP26" i="160"/>
  <c r="CM26" i="160"/>
  <c r="CJ26" i="160"/>
  <c r="CG26" i="160"/>
  <c r="CD26" i="160"/>
  <c r="CA26" i="160"/>
  <c r="BX26" i="160"/>
  <c r="BU26" i="160"/>
  <c r="BR26" i="160"/>
  <c r="BO26" i="160"/>
  <c r="BL26" i="160"/>
  <c r="BI26" i="160"/>
  <c r="BF26" i="160"/>
  <c r="BC26" i="160"/>
  <c r="AZ26" i="160"/>
  <c r="AW26" i="160"/>
  <c r="AR26" i="160"/>
  <c r="AT26" i="160" s="1"/>
  <c r="AQ26" i="160"/>
  <c r="AN26" i="160"/>
  <c r="AI26" i="160"/>
  <c r="EB26" i="160" s="1"/>
  <c r="AB26" i="160"/>
  <c r="Y26" i="160"/>
  <c r="V26" i="160"/>
  <c r="S26" i="160"/>
  <c r="P26" i="160"/>
  <c r="M26" i="160"/>
  <c r="J26" i="160"/>
  <c r="G26" i="160"/>
  <c r="D26" i="160"/>
  <c r="EL25" i="160"/>
  <c r="EG25" i="160"/>
  <c r="EI25" i="160" s="1"/>
  <c r="DW25" i="160"/>
  <c r="DT25" i="160"/>
  <c r="DQ25" i="160"/>
  <c r="DN25" i="160"/>
  <c r="DK25" i="160"/>
  <c r="DH25" i="160"/>
  <c r="DE25" i="160"/>
  <c r="DB25" i="160"/>
  <c r="CY25" i="160"/>
  <c r="CV25" i="160"/>
  <c r="CS25" i="160"/>
  <c r="CP25" i="160"/>
  <c r="CM25" i="160"/>
  <c r="CJ25" i="160"/>
  <c r="CG25" i="160"/>
  <c r="CD25" i="160"/>
  <c r="CA25" i="160"/>
  <c r="BX25" i="160"/>
  <c r="BU25" i="160"/>
  <c r="BR25" i="160"/>
  <c r="BO25" i="160"/>
  <c r="BL25" i="160"/>
  <c r="BI25" i="160"/>
  <c r="BF25" i="160"/>
  <c r="BC25" i="160"/>
  <c r="AZ25" i="160"/>
  <c r="AW25" i="160"/>
  <c r="AT25" i="160"/>
  <c r="AR25" i="160"/>
  <c r="EK25" i="160" s="1"/>
  <c r="AQ25" i="160"/>
  <c r="AN25" i="160"/>
  <c r="AI25" i="160"/>
  <c r="AK25" i="160" s="1"/>
  <c r="AB25" i="160"/>
  <c r="Y25" i="160"/>
  <c r="V25" i="160"/>
  <c r="S25" i="160"/>
  <c r="P25" i="160"/>
  <c r="M25" i="160"/>
  <c r="J25" i="160"/>
  <c r="G25" i="160"/>
  <c r="D25" i="160"/>
  <c r="EL24" i="160"/>
  <c r="EG24" i="160"/>
  <c r="EI24" i="160" s="1"/>
  <c r="DW24" i="160"/>
  <c r="DT24" i="160"/>
  <c r="DQ24" i="160"/>
  <c r="DN24" i="160"/>
  <c r="DK24" i="160"/>
  <c r="DH24" i="160"/>
  <c r="DE24" i="160"/>
  <c r="DB24" i="160"/>
  <c r="CY24" i="160"/>
  <c r="CV24" i="160"/>
  <c r="CS24" i="160"/>
  <c r="CP24" i="160"/>
  <c r="CM24" i="160"/>
  <c r="CJ24" i="160"/>
  <c r="CG24" i="160"/>
  <c r="CD24" i="160"/>
  <c r="CA24" i="160"/>
  <c r="BX24" i="160"/>
  <c r="BU24" i="160"/>
  <c r="BR24" i="160"/>
  <c r="BO24" i="160"/>
  <c r="BL24" i="160"/>
  <c r="BI24" i="160"/>
  <c r="BF24" i="160"/>
  <c r="BC24" i="160"/>
  <c r="AZ24" i="160"/>
  <c r="AW24" i="160"/>
  <c r="AR24" i="160"/>
  <c r="EB24" i="160" s="1"/>
  <c r="AQ24" i="160"/>
  <c r="AN24" i="160"/>
  <c r="AK24" i="160"/>
  <c r="AI24" i="160"/>
  <c r="AB24" i="160"/>
  <c r="Y24" i="160"/>
  <c r="V24" i="160"/>
  <c r="S24" i="160"/>
  <c r="P24" i="160"/>
  <c r="M24" i="160"/>
  <c r="J24" i="160"/>
  <c r="G24" i="160"/>
  <c r="D24" i="160"/>
  <c r="EL23" i="160"/>
  <c r="EI23" i="160"/>
  <c r="EG23" i="160"/>
  <c r="DW23" i="160"/>
  <c r="DT23" i="160"/>
  <c r="DQ23" i="160"/>
  <c r="DN23" i="160"/>
  <c r="DK23" i="160"/>
  <c r="DH23" i="160"/>
  <c r="DE23" i="160"/>
  <c r="DB23" i="160"/>
  <c r="CY23" i="160"/>
  <c r="CV23" i="160"/>
  <c r="CS23" i="160"/>
  <c r="CP23" i="160"/>
  <c r="CM23" i="160"/>
  <c r="CJ23" i="160"/>
  <c r="CG23" i="160"/>
  <c r="CD23" i="160"/>
  <c r="CA23" i="160"/>
  <c r="BX23" i="160"/>
  <c r="BU23" i="160"/>
  <c r="BR23" i="160"/>
  <c r="BO23" i="160"/>
  <c r="BL23" i="160"/>
  <c r="BI23" i="160"/>
  <c r="BF23" i="160"/>
  <c r="BC23" i="160"/>
  <c r="AZ23" i="160"/>
  <c r="AW23" i="160"/>
  <c r="AR23" i="160"/>
  <c r="AT23" i="160" s="1"/>
  <c r="AQ23" i="160"/>
  <c r="AN23" i="160"/>
  <c r="AI23" i="160"/>
  <c r="EB23" i="160" s="1"/>
  <c r="AB23" i="160"/>
  <c r="Y23" i="160"/>
  <c r="V23" i="160"/>
  <c r="S23" i="160"/>
  <c r="P23" i="160"/>
  <c r="M23" i="160"/>
  <c r="J23" i="160"/>
  <c r="G23" i="160"/>
  <c r="D23" i="160"/>
  <c r="EL22" i="160"/>
  <c r="EG22" i="160"/>
  <c r="EI22" i="160" s="1"/>
  <c r="DW22" i="160"/>
  <c r="DT22" i="160"/>
  <c r="DQ22" i="160"/>
  <c r="DN22" i="160"/>
  <c r="DK22" i="160"/>
  <c r="DH22" i="160"/>
  <c r="DE22" i="160"/>
  <c r="DB22" i="160"/>
  <c r="CY22" i="160"/>
  <c r="CV22" i="160"/>
  <c r="CS22" i="160"/>
  <c r="CP22" i="160"/>
  <c r="CM22" i="160"/>
  <c r="CJ22" i="160"/>
  <c r="CG22" i="160"/>
  <c r="CD22" i="160"/>
  <c r="CA22" i="160"/>
  <c r="BX22" i="160"/>
  <c r="BU22" i="160"/>
  <c r="BR22" i="160"/>
  <c r="BO22" i="160"/>
  <c r="BL22" i="160"/>
  <c r="BI22" i="160"/>
  <c r="BF22" i="160"/>
  <c r="BC22" i="160"/>
  <c r="AZ22" i="160"/>
  <c r="AW22" i="160"/>
  <c r="AT22" i="160"/>
  <c r="AR22" i="160"/>
  <c r="EK22" i="160" s="1"/>
  <c r="AQ22" i="160"/>
  <c r="AN22" i="160"/>
  <c r="AI22" i="160"/>
  <c r="AK22" i="160" s="1"/>
  <c r="AB22" i="160"/>
  <c r="Y22" i="160"/>
  <c r="V22" i="160"/>
  <c r="S22" i="160"/>
  <c r="P22" i="160"/>
  <c r="M22" i="160"/>
  <c r="J22" i="160"/>
  <c r="G22" i="160"/>
  <c r="D22" i="160"/>
  <c r="EL21" i="160"/>
  <c r="EG21" i="160"/>
  <c r="EI21" i="160" s="1"/>
  <c r="DW21" i="160"/>
  <c r="DT21" i="160"/>
  <c r="DQ21" i="160"/>
  <c r="DN21" i="160"/>
  <c r="DK21" i="160"/>
  <c r="DH21" i="160"/>
  <c r="DE21" i="160"/>
  <c r="DB21" i="160"/>
  <c r="CY21" i="160"/>
  <c r="CV21" i="160"/>
  <c r="CS21" i="160"/>
  <c r="CP21" i="160"/>
  <c r="CM21" i="160"/>
  <c r="CJ21" i="160"/>
  <c r="CG21" i="160"/>
  <c r="CD21" i="160"/>
  <c r="CA21" i="160"/>
  <c r="BX21" i="160"/>
  <c r="BU21" i="160"/>
  <c r="BR21" i="160"/>
  <c r="BO21" i="160"/>
  <c r="BL21" i="160"/>
  <c r="BI21" i="160"/>
  <c r="BF21" i="160"/>
  <c r="BC21" i="160"/>
  <c r="AZ21" i="160"/>
  <c r="AW21" i="160"/>
  <c r="AR21" i="160"/>
  <c r="EB21" i="160" s="1"/>
  <c r="AQ21" i="160"/>
  <c r="AN21" i="160"/>
  <c r="AK21" i="160"/>
  <c r="AI21" i="160"/>
  <c r="AB21" i="160"/>
  <c r="Y21" i="160"/>
  <c r="V21" i="160"/>
  <c r="S21" i="160"/>
  <c r="P21" i="160"/>
  <c r="M21" i="160"/>
  <c r="J21" i="160"/>
  <c r="G21" i="160"/>
  <c r="D21" i="160"/>
  <c r="EL20" i="160"/>
  <c r="EI20" i="160"/>
  <c r="EG20" i="160"/>
  <c r="DW20" i="160"/>
  <c r="DT20" i="160"/>
  <c r="DQ20" i="160"/>
  <c r="DN20" i="160"/>
  <c r="DK20" i="160"/>
  <c r="DH20" i="160"/>
  <c r="DE20" i="160"/>
  <c r="DB20" i="160"/>
  <c r="CY20" i="160"/>
  <c r="CV20" i="160"/>
  <c r="CS20" i="160"/>
  <c r="CP20" i="160"/>
  <c r="CM20" i="160"/>
  <c r="CJ20" i="160"/>
  <c r="CG20" i="160"/>
  <c r="CD20" i="160"/>
  <c r="CA20" i="160"/>
  <c r="BX20" i="160"/>
  <c r="BU20" i="160"/>
  <c r="BR20" i="160"/>
  <c r="BO20" i="160"/>
  <c r="BL20" i="160"/>
  <c r="BI20" i="160"/>
  <c r="BF20" i="160"/>
  <c r="BC20" i="160"/>
  <c r="AZ20" i="160"/>
  <c r="AW20" i="160"/>
  <c r="AR20" i="160"/>
  <c r="AT20" i="160" s="1"/>
  <c r="AQ20" i="160"/>
  <c r="AN20" i="160"/>
  <c r="AI20" i="160"/>
  <c r="EB20" i="160" s="1"/>
  <c r="AB20" i="160"/>
  <c r="Y20" i="160"/>
  <c r="V20" i="160"/>
  <c r="S20" i="160"/>
  <c r="P20" i="160"/>
  <c r="M20" i="160"/>
  <c r="J20" i="160"/>
  <c r="G20" i="160"/>
  <c r="D20" i="160"/>
  <c r="EL19" i="160"/>
  <c r="EG19" i="160"/>
  <c r="EI19" i="160" s="1"/>
  <c r="DW19" i="160"/>
  <c r="DT19" i="160"/>
  <c r="EM19" i="160" s="1"/>
  <c r="DQ19" i="160"/>
  <c r="DN19" i="160"/>
  <c r="DK19" i="160"/>
  <c r="DH19" i="160"/>
  <c r="DE19" i="160"/>
  <c r="DB19" i="160"/>
  <c r="CY19" i="160"/>
  <c r="CV19" i="160"/>
  <c r="CS19" i="160"/>
  <c r="CP19" i="160"/>
  <c r="CM19" i="160"/>
  <c r="CJ19" i="160"/>
  <c r="CG19" i="160"/>
  <c r="CD19" i="160"/>
  <c r="CA19" i="160"/>
  <c r="BX19" i="160"/>
  <c r="BU19" i="160"/>
  <c r="BR19" i="160"/>
  <c r="BO19" i="160"/>
  <c r="BL19" i="160"/>
  <c r="BI19" i="160"/>
  <c r="BF19" i="160"/>
  <c r="BC19" i="160"/>
  <c r="AZ19" i="160"/>
  <c r="AW19" i="160"/>
  <c r="AT19" i="160"/>
  <c r="AR19" i="160"/>
  <c r="EK19" i="160" s="1"/>
  <c r="AQ19" i="160"/>
  <c r="AN19" i="160"/>
  <c r="AI19" i="160"/>
  <c r="AK19" i="160" s="1"/>
  <c r="AB19" i="160"/>
  <c r="Y19" i="160"/>
  <c r="V19" i="160"/>
  <c r="S19" i="160"/>
  <c r="P19" i="160"/>
  <c r="M19" i="160"/>
  <c r="J19" i="160"/>
  <c r="G19" i="160"/>
  <c r="D19" i="160"/>
  <c r="EL18" i="160"/>
  <c r="EG18" i="160"/>
  <c r="EI18" i="160" s="1"/>
  <c r="DW18" i="160"/>
  <c r="DT18" i="160"/>
  <c r="DQ18" i="160"/>
  <c r="EM18" i="160" s="1"/>
  <c r="DN18" i="160"/>
  <c r="DK18" i="160"/>
  <c r="DH18" i="160"/>
  <c r="DE18" i="160"/>
  <c r="DB18" i="160"/>
  <c r="CY18" i="160"/>
  <c r="CV18" i="160"/>
  <c r="CS18" i="160"/>
  <c r="CP18" i="160"/>
  <c r="CM18" i="160"/>
  <c r="CJ18" i="160"/>
  <c r="CG18" i="160"/>
  <c r="CD18" i="160"/>
  <c r="CA18" i="160"/>
  <c r="BX18" i="160"/>
  <c r="BU18" i="160"/>
  <c r="BR18" i="160"/>
  <c r="BO18" i="160"/>
  <c r="BL18" i="160"/>
  <c r="BI18" i="160"/>
  <c r="BF18" i="160"/>
  <c r="BC18" i="160"/>
  <c r="AZ18" i="160"/>
  <c r="AW18" i="160"/>
  <c r="AR18" i="160"/>
  <c r="AT18" i="160" s="1"/>
  <c r="AQ18" i="160"/>
  <c r="AL18" i="160"/>
  <c r="AN18" i="160" s="1"/>
  <c r="AI18" i="160"/>
  <c r="AK18" i="160" s="1"/>
  <c r="AB18" i="160"/>
  <c r="EH18" i="160" s="1"/>
  <c r="Y18" i="160"/>
  <c r="V18" i="160"/>
  <c r="S18" i="160"/>
  <c r="P18" i="160"/>
  <c r="M18" i="160"/>
  <c r="J18" i="160"/>
  <c r="G18" i="160"/>
  <c r="D18" i="160"/>
  <c r="EL17" i="160"/>
  <c r="EG17" i="160"/>
  <c r="EI17" i="160" s="1"/>
  <c r="DW17" i="160"/>
  <c r="DT17" i="160"/>
  <c r="DQ17" i="160"/>
  <c r="DN17" i="160"/>
  <c r="DK17" i="160"/>
  <c r="DH17" i="160"/>
  <c r="DE17" i="160"/>
  <c r="DB17" i="160"/>
  <c r="CY17" i="160"/>
  <c r="CV17" i="160"/>
  <c r="CS17" i="160"/>
  <c r="CP17" i="160"/>
  <c r="CM17" i="160"/>
  <c r="CJ17" i="160"/>
  <c r="CG17" i="160"/>
  <c r="CD17" i="160"/>
  <c r="CA17" i="160"/>
  <c r="BX17" i="160"/>
  <c r="BU17" i="160"/>
  <c r="BR17" i="160"/>
  <c r="BO17" i="160"/>
  <c r="BL17" i="160"/>
  <c r="BI17" i="160"/>
  <c r="BF17" i="160"/>
  <c r="BC17" i="160"/>
  <c r="AZ17" i="160"/>
  <c r="AW17" i="160"/>
  <c r="AT17" i="160"/>
  <c r="AR17" i="160"/>
  <c r="EK17" i="160" s="1"/>
  <c r="AQ17" i="160"/>
  <c r="AL17" i="160"/>
  <c r="EB17" i="160" s="1"/>
  <c r="AK17" i="160"/>
  <c r="AI17" i="160"/>
  <c r="AB17" i="160"/>
  <c r="Y17" i="160"/>
  <c r="V17" i="160"/>
  <c r="S17" i="160"/>
  <c r="P17" i="160"/>
  <c r="M17" i="160"/>
  <c r="J17" i="160"/>
  <c r="G17" i="160"/>
  <c r="D17" i="160"/>
  <c r="EL16" i="160"/>
  <c r="EI16" i="160"/>
  <c r="EG16" i="160"/>
  <c r="DW16" i="160"/>
  <c r="DT16" i="160"/>
  <c r="DQ16" i="160"/>
  <c r="DN16" i="160"/>
  <c r="DK16" i="160"/>
  <c r="DH16" i="160"/>
  <c r="DE16" i="160"/>
  <c r="DB16" i="160"/>
  <c r="CY16" i="160"/>
  <c r="CV16" i="160"/>
  <c r="CS16" i="160"/>
  <c r="CP16" i="160"/>
  <c r="CM16" i="160"/>
  <c r="CJ16" i="160"/>
  <c r="CG16" i="160"/>
  <c r="CD16" i="160"/>
  <c r="CA16" i="160"/>
  <c r="BX16" i="160"/>
  <c r="BU16" i="160"/>
  <c r="BR16" i="160"/>
  <c r="BO16" i="160"/>
  <c r="BL16" i="160"/>
  <c r="BI16" i="160"/>
  <c r="BF16" i="160"/>
  <c r="BC16" i="160"/>
  <c r="AZ16" i="160"/>
  <c r="AW16" i="160"/>
  <c r="AR16" i="160"/>
  <c r="EB16" i="160" s="1"/>
  <c r="AQ16" i="160"/>
  <c r="AN16" i="160"/>
  <c r="AL16" i="160"/>
  <c r="AK16" i="160"/>
  <c r="AI16" i="160"/>
  <c r="AB16" i="160"/>
  <c r="Y16" i="160"/>
  <c r="V16" i="160"/>
  <c r="S16" i="160"/>
  <c r="P16" i="160"/>
  <c r="M16" i="160"/>
  <c r="J16" i="160"/>
  <c r="G16" i="160"/>
  <c r="D16" i="160"/>
  <c r="EL15" i="160"/>
  <c r="EG15" i="160"/>
  <c r="EI15" i="160" s="1"/>
  <c r="DW15" i="160"/>
  <c r="DT15" i="160"/>
  <c r="DQ15" i="160"/>
  <c r="DN15" i="160"/>
  <c r="DK15" i="160"/>
  <c r="DH15" i="160"/>
  <c r="DE15" i="160"/>
  <c r="DB15" i="160"/>
  <c r="CY15" i="160"/>
  <c r="CV15" i="160"/>
  <c r="CS15" i="160"/>
  <c r="CP15" i="160"/>
  <c r="CM15" i="160"/>
  <c r="CJ15" i="160"/>
  <c r="CG15" i="160"/>
  <c r="CD15" i="160"/>
  <c r="CA15" i="160"/>
  <c r="BX15" i="160"/>
  <c r="BU15" i="160"/>
  <c r="BR15" i="160"/>
  <c r="BO15" i="160"/>
  <c r="BL15" i="160"/>
  <c r="BI15" i="160"/>
  <c r="BF15" i="160"/>
  <c r="BC15" i="160"/>
  <c r="AZ15" i="160"/>
  <c r="AW15" i="160"/>
  <c r="AR15" i="160"/>
  <c r="AT15" i="160" s="1"/>
  <c r="AQ15" i="160"/>
  <c r="AL15" i="160"/>
  <c r="AN15" i="160" s="1"/>
  <c r="AK15" i="160"/>
  <c r="AI15" i="160"/>
  <c r="AB15" i="160"/>
  <c r="Y15" i="160"/>
  <c r="V15" i="160"/>
  <c r="S15" i="160"/>
  <c r="P15" i="160"/>
  <c r="M15" i="160"/>
  <c r="J15" i="160"/>
  <c r="G15" i="160"/>
  <c r="D15" i="160"/>
  <c r="EL14" i="160"/>
  <c r="EG14" i="160"/>
  <c r="EI14" i="160" s="1"/>
  <c r="DW14" i="160"/>
  <c r="DT14" i="160"/>
  <c r="DQ14" i="160"/>
  <c r="DN14" i="160"/>
  <c r="DK14" i="160"/>
  <c r="DH14" i="160"/>
  <c r="DE14" i="160"/>
  <c r="DB14" i="160"/>
  <c r="CY14" i="160"/>
  <c r="CV14" i="160"/>
  <c r="CS14" i="160"/>
  <c r="CP14" i="160"/>
  <c r="CM14" i="160"/>
  <c r="CJ14" i="160"/>
  <c r="CG14" i="160"/>
  <c r="CD14" i="160"/>
  <c r="CA14" i="160"/>
  <c r="BX14" i="160"/>
  <c r="BU14" i="160"/>
  <c r="BR14" i="160"/>
  <c r="BO14" i="160"/>
  <c r="BL14" i="160"/>
  <c r="BI14" i="160"/>
  <c r="BF14" i="160"/>
  <c r="BC14" i="160"/>
  <c r="AZ14" i="160"/>
  <c r="AW14" i="160"/>
  <c r="AR14" i="160"/>
  <c r="EK14" i="160" s="1"/>
  <c r="AQ14" i="160"/>
  <c r="AL14" i="160"/>
  <c r="AN14" i="160" s="1"/>
  <c r="AI14" i="160"/>
  <c r="AK14" i="160" s="1"/>
  <c r="AB14" i="160"/>
  <c r="Y14" i="160"/>
  <c r="V14" i="160"/>
  <c r="S14" i="160"/>
  <c r="P14" i="160"/>
  <c r="M14" i="160"/>
  <c r="J14" i="160"/>
  <c r="G14" i="160"/>
  <c r="D14" i="160"/>
  <c r="EL13" i="160"/>
  <c r="EG13" i="160"/>
  <c r="EI6" i="160" s="1"/>
  <c r="DW13" i="160"/>
  <c r="DT13" i="160"/>
  <c r="DQ13" i="160"/>
  <c r="DN13" i="160"/>
  <c r="DK13" i="160"/>
  <c r="DH13" i="160"/>
  <c r="DE13" i="160"/>
  <c r="DB13" i="160"/>
  <c r="CY13" i="160"/>
  <c r="CV13" i="160"/>
  <c r="CV43" i="160" s="1"/>
  <c r="CS13" i="160"/>
  <c r="CP13" i="160"/>
  <c r="CM13" i="160"/>
  <c r="CJ13" i="160"/>
  <c r="CG13" i="160"/>
  <c r="CD13" i="160"/>
  <c r="CA13" i="160"/>
  <c r="BX13" i="160"/>
  <c r="BU13" i="160"/>
  <c r="BR13" i="160"/>
  <c r="BO13" i="160"/>
  <c r="BL13" i="160"/>
  <c r="BL43" i="160" s="1"/>
  <c r="BI13" i="160"/>
  <c r="BF13" i="160"/>
  <c r="BC13" i="160"/>
  <c r="AZ13" i="160"/>
  <c r="AW13" i="160"/>
  <c r="AT13" i="160"/>
  <c r="AR13" i="160"/>
  <c r="EK13" i="160" s="1"/>
  <c r="AQ13" i="160"/>
  <c r="AL13" i="160"/>
  <c r="EB13" i="160" s="1"/>
  <c r="AK13" i="160"/>
  <c r="AI13" i="160"/>
  <c r="AB13" i="160"/>
  <c r="Y13" i="160"/>
  <c r="V13" i="160"/>
  <c r="S13" i="160"/>
  <c r="P13" i="160"/>
  <c r="M13" i="160"/>
  <c r="J13" i="160"/>
  <c r="G13" i="160"/>
  <c r="D13" i="160"/>
  <c r="A13" i="160"/>
  <c r="A14" i="160" s="1"/>
  <c r="A15" i="160" s="1"/>
  <c r="A16" i="160" s="1"/>
  <c r="A17" i="160" s="1"/>
  <c r="A18" i="160" s="1"/>
  <c r="A19" i="160" s="1"/>
  <c r="A20" i="160" s="1"/>
  <c r="A21" i="160" s="1"/>
  <c r="A22" i="160" s="1"/>
  <c r="A23" i="160" s="1"/>
  <c r="A24" i="160" s="1"/>
  <c r="A25" i="160" s="1"/>
  <c r="A26" i="160" s="1"/>
  <c r="A27" i="160" s="1"/>
  <c r="A28" i="160" s="1"/>
  <c r="A29" i="160" s="1"/>
  <c r="A30" i="160" s="1"/>
  <c r="A31" i="160" s="1"/>
  <c r="A32" i="160" s="1"/>
  <c r="A33" i="160" s="1"/>
  <c r="A34" i="160" s="1"/>
  <c r="A35" i="160" s="1"/>
  <c r="A36" i="160" s="1"/>
  <c r="A37" i="160" s="1"/>
  <c r="A38" i="160" s="1"/>
  <c r="A39" i="160" s="1"/>
  <c r="A40" i="160" s="1"/>
  <c r="A41" i="160" s="1"/>
  <c r="A42" i="160" s="1"/>
  <c r="EL12" i="160"/>
  <c r="EI12" i="160"/>
  <c r="EG12" i="160"/>
  <c r="EI4" i="160" s="1"/>
  <c r="EI5" i="160" s="1"/>
  <c r="DW12" i="160"/>
  <c r="DW43" i="160" s="1"/>
  <c r="DT12" i="160"/>
  <c r="DT43" i="160" s="1"/>
  <c r="DQ12" i="160"/>
  <c r="DQ43" i="160" s="1"/>
  <c r="DN12" i="160"/>
  <c r="DN43" i="160" s="1"/>
  <c r="DK12" i="160"/>
  <c r="DK43" i="160" s="1"/>
  <c r="DH12" i="160"/>
  <c r="DH43" i="160" s="1"/>
  <c r="DE12" i="160"/>
  <c r="DE43" i="160" s="1"/>
  <c r="DB12" i="160"/>
  <c r="DB43" i="160" s="1"/>
  <c r="CY12" i="160"/>
  <c r="CY43" i="160" s="1"/>
  <c r="CV12" i="160"/>
  <c r="CS12" i="160"/>
  <c r="CS43" i="160" s="1"/>
  <c r="CP12" i="160"/>
  <c r="CP43" i="160" s="1"/>
  <c r="CM12" i="160"/>
  <c r="CM43" i="160" s="1"/>
  <c r="CJ12" i="160"/>
  <c r="CJ43" i="160" s="1"/>
  <c r="CG12" i="160"/>
  <c r="CG43" i="160" s="1"/>
  <c r="CD12" i="160"/>
  <c r="CD43" i="160" s="1"/>
  <c r="CA12" i="160"/>
  <c r="CA43" i="160" s="1"/>
  <c r="BX12" i="160"/>
  <c r="BX43" i="160" s="1"/>
  <c r="BU12" i="160"/>
  <c r="BU43" i="160" s="1"/>
  <c r="BR12" i="160"/>
  <c r="BR43" i="160" s="1"/>
  <c r="BO12" i="160"/>
  <c r="BO43" i="160" s="1"/>
  <c r="BL12" i="160"/>
  <c r="BI12" i="160"/>
  <c r="BI43" i="160" s="1"/>
  <c r="BF12" i="160"/>
  <c r="BF43" i="160" s="1"/>
  <c r="BC12" i="160"/>
  <c r="BC43" i="160" s="1"/>
  <c r="AZ12" i="160"/>
  <c r="AZ43" i="160" s="1"/>
  <c r="AW12" i="160"/>
  <c r="AW43" i="160" s="1"/>
  <c r="AR12" i="160"/>
  <c r="AT12" i="160" s="1"/>
  <c r="AQ12" i="160"/>
  <c r="AQ43" i="160" s="1"/>
  <c r="AO12" i="160"/>
  <c r="AL12" i="160"/>
  <c r="AN12" i="160" s="1"/>
  <c r="AI12" i="160"/>
  <c r="EB12" i="160" s="1"/>
  <c r="AB12" i="160"/>
  <c r="AB43" i="160" s="1"/>
  <c r="Y12" i="160"/>
  <c r="Y43" i="160" s="1"/>
  <c r="V12" i="160"/>
  <c r="V43" i="160" s="1"/>
  <c r="S12" i="160"/>
  <c r="S43" i="160" s="1"/>
  <c r="P12" i="160"/>
  <c r="P43" i="160" s="1"/>
  <c r="M12" i="160"/>
  <c r="M43" i="160" s="1"/>
  <c r="J12" i="160"/>
  <c r="J43" i="160" s="1"/>
  <c r="G12" i="160"/>
  <c r="G43" i="160" s="1"/>
  <c r="D12" i="160"/>
  <c r="D43" i="160" s="1"/>
  <c r="EI2" i="160"/>
  <c r="EH25" i="160" l="1"/>
  <c r="EH40" i="160"/>
  <c r="EH21" i="160"/>
  <c r="ED19" i="160"/>
  <c r="ED18" i="160"/>
  <c r="EH31" i="160"/>
  <c r="ED37" i="160"/>
  <c r="EH19" i="160"/>
  <c r="EH27" i="160"/>
  <c r="AE43" i="160"/>
  <c r="ED40" i="160"/>
  <c r="EH42" i="160"/>
  <c r="EH30" i="160"/>
  <c r="EH13" i="160"/>
  <c r="EH22" i="160"/>
  <c r="EH41" i="160"/>
  <c r="EH14" i="160"/>
  <c r="EH37" i="160"/>
  <c r="EH34" i="160"/>
  <c r="EH17" i="160"/>
  <c r="EH33" i="160"/>
  <c r="EH28" i="160"/>
  <c r="EH16" i="160"/>
  <c r="EH36" i="160"/>
  <c r="AH43" i="160"/>
  <c r="EH15" i="160"/>
  <c r="ED22" i="160"/>
  <c r="EH24" i="160"/>
  <c r="EH39" i="160"/>
  <c r="ED16" i="160"/>
  <c r="EE16" i="160" s="1"/>
  <c r="EN40" i="160"/>
  <c r="ED15" i="160"/>
  <c r="EN28" i="160"/>
  <c r="EC35" i="160"/>
  <c r="EC36" i="160"/>
  <c r="EC33" i="160"/>
  <c r="EC16" i="160"/>
  <c r="EM25" i="160"/>
  <c r="ED31" i="160"/>
  <c r="EM32" i="160"/>
  <c r="EM20" i="160"/>
  <c r="EC13" i="160"/>
  <c r="EN31" i="160"/>
  <c r="EC39" i="160"/>
  <c r="EM16" i="160"/>
  <c r="EM28" i="160"/>
  <c r="ED30" i="160"/>
  <c r="EE30" i="160" s="1"/>
  <c r="EN19" i="160"/>
  <c r="ED20" i="160"/>
  <c r="EE20" i="160" s="1"/>
  <c r="EC26" i="160"/>
  <c r="ED34" i="160"/>
  <c r="EM15" i="160"/>
  <c r="EE2" i="160"/>
  <c r="EQ2" i="160" s="1"/>
  <c r="G5" i="160" s="1"/>
  <c r="EC30" i="160"/>
  <c r="EM31" i="160"/>
  <c r="EN34" i="160"/>
  <c r="EM14" i="160"/>
  <c r="EN14" i="160" s="1"/>
  <c r="EM30" i="160"/>
  <c r="EN30" i="160" s="1"/>
  <c r="ED25" i="160"/>
  <c r="EM26" i="160"/>
  <c r="ED41" i="160"/>
  <c r="EE41" i="160" s="1"/>
  <c r="EC17" i="160"/>
  <c r="EC20" i="160"/>
  <c r="EM22" i="160"/>
  <c r="EN22" i="160" s="1"/>
  <c r="EN25" i="160"/>
  <c r="ED28" i="160"/>
  <c r="EM29" i="160"/>
  <c r="EK18" i="160"/>
  <c r="EN18" i="160" s="1"/>
  <c r="EK27" i="160"/>
  <c r="EC27" i="160" s="1"/>
  <c r="EK42" i="160"/>
  <c r="EC42" i="160" s="1"/>
  <c r="AK12" i="160"/>
  <c r="ED12" i="160"/>
  <c r="EE12" i="160" s="1"/>
  <c r="AN13" i="160"/>
  <c r="EM13" i="160" s="1"/>
  <c r="EN13" i="160" s="1"/>
  <c r="AT14" i="160"/>
  <c r="AT43" i="160" s="1"/>
  <c r="AN17" i="160"/>
  <c r="AN43" i="160" s="1"/>
  <c r="EB19" i="160"/>
  <c r="AK20" i="160"/>
  <c r="AT21" i="160"/>
  <c r="ED21" i="160" s="1"/>
  <c r="EE21" i="160" s="1"/>
  <c r="EB22" i="160"/>
  <c r="AK23" i="160"/>
  <c r="ED23" i="160" s="1"/>
  <c r="EE23" i="160" s="1"/>
  <c r="AT24" i="160"/>
  <c r="ED24" i="160" s="1"/>
  <c r="EE24" i="160" s="1"/>
  <c r="EB25" i="160"/>
  <c r="AK26" i="160"/>
  <c r="ED26" i="160" s="1"/>
  <c r="EE26" i="160" s="1"/>
  <c r="AT27" i="160"/>
  <c r="EM27" i="160" s="1"/>
  <c r="EB28" i="160"/>
  <c r="AK29" i="160"/>
  <c r="ED29" i="160" s="1"/>
  <c r="EE29" i="160" s="1"/>
  <c r="AT30" i="160"/>
  <c r="EB31" i="160"/>
  <c r="AK32" i="160"/>
  <c r="ED32" i="160" s="1"/>
  <c r="EE32" i="160" s="1"/>
  <c r="AT33" i="160"/>
  <c r="ED33" i="160" s="1"/>
  <c r="EE33" i="160" s="1"/>
  <c r="EB34" i="160"/>
  <c r="AK35" i="160"/>
  <c r="EM35" i="160" s="1"/>
  <c r="AT36" i="160"/>
  <c r="ED36" i="160" s="1"/>
  <c r="EE36" i="160" s="1"/>
  <c r="EB37" i="160"/>
  <c r="AK38" i="160"/>
  <c r="EM38" i="160" s="1"/>
  <c r="AT39" i="160"/>
  <c r="ED39" i="160" s="1"/>
  <c r="EE39" i="160" s="1"/>
  <c r="EB40" i="160"/>
  <c r="AK41" i="160"/>
  <c r="EM41" i="160" s="1"/>
  <c r="AT42" i="160"/>
  <c r="EM42" i="160" s="1"/>
  <c r="EK21" i="160"/>
  <c r="EK39" i="160"/>
  <c r="EI13" i="160"/>
  <c r="EB15" i="160"/>
  <c r="EH20" i="160"/>
  <c r="EH23" i="160"/>
  <c r="EH26" i="160"/>
  <c r="EH29" i="160"/>
  <c r="EH32" i="160"/>
  <c r="EH35" i="160"/>
  <c r="EH38" i="160"/>
  <c r="EK24" i="160"/>
  <c r="EC24" i="160" s="1"/>
  <c r="EH12" i="160"/>
  <c r="EK20" i="160"/>
  <c r="EK23" i="160"/>
  <c r="EC23" i="160" s="1"/>
  <c r="EK26" i="160"/>
  <c r="EK29" i="160"/>
  <c r="EC29" i="160" s="1"/>
  <c r="EK32" i="160"/>
  <c r="EN32" i="160" s="1"/>
  <c r="EK35" i="160"/>
  <c r="EK38" i="160"/>
  <c r="EK41" i="160"/>
  <c r="EB14" i="160"/>
  <c r="EE4" i="160" s="1"/>
  <c r="EB18" i="160"/>
  <c r="EE6" i="160" s="1"/>
  <c r="G8" i="160" s="1"/>
  <c r="EK12" i="160"/>
  <c r="EK16" i="160"/>
  <c r="EN16" i="160" s="1"/>
  <c r="AT16" i="160"/>
  <c r="EM12" i="160"/>
  <c r="EK15" i="160"/>
  <c r="EH43" i="160" l="1"/>
  <c r="G6" i="160"/>
  <c r="EN15" i="160"/>
  <c r="EN26" i="160"/>
  <c r="EE15" i="160"/>
  <c r="EC15" i="160"/>
  <c r="EE34" i="160"/>
  <c r="EC34" i="160"/>
  <c r="EE22" i="160"/>
  <c r="EC22" i="160"/>
  <c r="EM33" i="160"/>
  <c r="EN33" i="160" s="1"/>
  <c r="ED13" i="160"/>
  <c r="EE13" i="160" s="1"/>
  <c r="EM23" i="160"/>
  <c r="EN23" i="160" s="1"/>
  <c r="ED42" i="160"/>
  <c r="EE42" i="160" s="1"/>
  <c r="EN20" i="160"/>
  <c r="ED38" i="160"/>
  <c r="EE38" i="160" s="1"/>
  <c r="ED14" i="160"/>
  <c r="EE14" i="160" s="1"/>
  <c r="EE31" i="160"/>
  <c r="EC31" i="160"/>
  <c r="EE19" i="160"/>
  <c r="EC19" i="160"/>
  <c r="ED35" i="160"/>
  <c r="EE35" i="160" s="1"/>
  <c r="EM39" i="160"/>
  <c r="EN39" i="160" s="1"/>
  <c r="EM24" i="160"/>
  <c r="EN24" i="160" s="1"/>
  <c r="EN6" i="160"/>
  <c r="EN12" i="160"/>
  <c r="EN4" i="160"/>
  <c r="EC32" i="160"/>
  <c r="EC12" i="160"/>
  <c r="EC21" i="160"/>
  <c r="EM21" i="160"/>
  <c r="EN21" i="160" s="1"/>
  <c r="EE18" i="160"/>
  <c r="EC18" i="160"/>
  <c r="EM17" i="160"/>
  <c r="EN17" i="160" s="1"/>
  <c r="EC14" i="160"/>
  <c r="EE40" i="160"/>
  <c r="EC40" i="160"/>
  <c r="EE28" i="160"/>
  <c r="EC28" i="160"/>
  <c r="EM36" i="160"/>
  <c r="EN36" i="160" s="1"/>
  <c r="EN41" i="160"/>
  <c r="EN38" i="160"/>
  <c r="AK43" i="160"/>
  <c r="ED17" i="160"/>
  <c r="EE17" i="160" s="1"/>
  <c r="EC38" i="160"/>
  <c r="EN35" i="160"/>
  <c r="EE37" i="160"/>
  <c r="EC37" i="160"/>
  <c r="EE25" i="160"/>
  <c r="EC25" i="160"/>
  <c r="EN2" i="160"/>
  <c r="EP2" i="160" s="1"/>
  <c r="EN42" i="160"/>
  <c r="EC41" i="160"/>
  <c r="ED27" i="160"/>
  <c r="EE27" i="160" s="1"/>
  <c r="EN27" i="160"/>
  <c r="EN29" i="160"/>
  <c r="ED43" i="160" l="1"/>
  <c r="EE5" i="160"/>
  <c r="G7" i="160" s="1"/>
  <c r="EN5" i="160"/>
  <c r="EM43" i="160"/>
  <c r="U25" i="69" l="1"/>
  <c r="S27" i="69" l="1"/>
  <c r="P22" i="69"/>
  <c r="K22" i="69"/>
  <c r="F22" i="69"/>
  <c r="A22" i="69"/>
  <c r="N27" i="69"/>
  <c r="I27" i="69"/>
  <c r="D27" i="69"/>
  <c r="D15" i="69" l="1"/>
  <c r="EL41" i="158" l="1"/>
  <c r="EI41" i="158"/>
  <c r="EG41" i="158"/>
  <c r="EB41" i="158"/>
  <c r="DW41" i="158"/>
  <c r="DT41" i="158"/>
  <c r="DQ41" i="158"/>
  <c r="DN41" i="158"/>
  <c r="DK41" i="158"/>
  <c r="DH41" i="158"/>
  <c r="DE41" i="158"/>
  <c r="DB41" i="158"/>
  <c r="CY41" i="158"/>
  <c r="CV41" i="158"/>
  <c r="CS41" i="158"/>
  <c r="CP41" i="158"/>
  <c r="CM41" i="158"/>
  <c r="CJ41" i="158"/>
  <c r="CG41" i="158"/>
  <c r="CD41" i="158"/>
  <c r="CA41" i="158"/>
  <c r="BX41" i="158"/>
  <c r="BU41" i="158"/>
  <c r="BR41" i="158"/>
  <c r="BO41" i="158"/>
  <c r="BL41" i="158"/>
  <c r="BI41" i="158"/>
  <c r="BF41" i="158"/>
  <c r="BC41" i="158"/>
  <c r="AZ41" i="158"/>
  <c r="AW41" i="158"/>
  <c r="AT41" i="158"/>
  <c r="AR41" i="158"/>
  <c r="EK41" i="158" s="1"/>
  <c r="AQ41" i="158"/>
  <c r="AN41" i="158"/>
  <c r="AL41" i="158"/>
  <c r="AI41" i="158"/>
  <c r="AK41" i="158" s="1"/>
  <c r="AB41" i="158"/>
  <c r="Y41" i="158"/>
  <c r="V41" i="158"/>
  <c r="S41" i="158"/>
  <c r="EH41" i="158" s="1"/>
  <c r="P41" i="158"/>
  <c r="M41" i="158"/>
  <c r="J41" i="158"/>
  <c r="ED41" i="158" s="1"/>
  <c r="G41" i="158"/>
  <c r="D41" i="158"/>
  <c r="EL40" i="158"/>
  <c r="EI40" i="158"/>
  <c r="EG40" i="158"/>
  <c r="DW40" i="158"/>
  <c r="DT40" i="158"/>
  <c r="DQ40" i="158"/>
  <c r="DN40" i="158"/>
  <c r="DK40" i="158"/>
  <c r="DH40" i="158"/>
  <c r="DE40" i="158"/>
  <c r="DB40" i="158"/>
  <c r="CY40" i="158"/>
  <c r="CV40" i="158"/>
  <c r="CS40" i="158"/>
  <c r="CP40" i="158"/>
  <c r="CM40" i="158"/>
  <c r="CJ40" i="158"/>
  <c r="CG40" i="158"/>
  <c r="CD40" i="158"/>
  <c r="CA40" i="158"/>
  <c r="BX40" i="158"/>
  <c r="BU40" i="158"/>
  <c r="BR40" i="158"/>
  <c r="BO40" i="158"/>
  <c r="BL40" i="158"/>
  <c r="BI40" i="158"/>
  <c r="BF40" i="158"/>
  <c r="BC40" i="158"/>
  <c r="AZ40" i="158"/>
  <c r="AW40" i="158"/>
  <c r="AT40" i="158"/>
  <c r="AR40" i="158"/>
  <c r="EK40" i="158" s="1"/>
  <c r="AQ40" i="158"/>
  <c r="AN40" i="158"/>
  <c r="AL40" i="158"/>
  <c r="EB40" i="158" s="1"/>
  <c r="AI40" i="158"/>
  <c r="AK40" i="158" s="1"/>
  <c r="EH40" i="158"/>
  <c r="AB40" i="158"/>
  <c r="Y40" i="158"/>
  <c r="V40" i="158"/>
  <c r="S40" i="158"/>
  <c r="P40" i="158"/>
  <c r="M40" i="158"/>
  <c r="J40" i="158"/>
  <c r="G40" i="158"/>
  <c r="D40" i="158"/>
  <c r="EL39" i="158"/>
  <c r="EI39" i="158"/>
  <c r="EG39" i="158"/>
  <c r="DW39" i="158"/>
  <c r="DT39" i="158"/>
  <c r="DQ39" i="158"/>
  <c r="DN39" i="158"/>
  <c r="DK39" i="158"/>
  <c r="DH39" i="158"/>
  <c r="DE39" i="158"/>
  <c r="DB39" i="158"/>
  <c r="CY39" i="158"/>
  <c r="CV39" i="158"/>
  <c r="CS39" i="158"/>
  <c r="CP39" i="158"/>
  <c r="CM39" i="158"/>
  <c r="CJ39" i="158"/>
  <c r="CG39" i="158"/>
  <c r="CD39" i="158"/>
  <c r="CA39" i="158"/>
  <c r="BX39" i="158"/>
  <c r="BU39" i="158"/>
  <c r="BR39" i="158"/>
  <c r="BO39" i="158"/>
  <c r="BL39" i="158"/>
  <c r="BI39" i="158"/>
  <c r="BF39" i="158"/>
  <c r="BC39" i="158"/>
  <c r="AZ39" i="158"/>
  <c r="AW39" i="158"/>
  <c r="AR39" i="158"/>
  <c r="EB39" i="158" s="1"/>
  <c r="AQ39" i="158"/>
  <c r="AN39" i="158"/>
  <c r="AL39" i="158"/>
  <c r="AI39" i="158"/>
  <c r="AK39" i="158" s="1"/>
  <c r="AB39" i="158"/>
  <c r="Y39" i="158"/>
  <c r="V39" i="158"/>
  <c r="S39" i="158"/>
  <c r="P39" i="158"/>
  <c r="M39" i="158"/>
  <c r="J39" i="158"/>
  <c r="G39" i="158"/>
  <c r="D39" i="158"/>
  <c r="EL38" i="158"/>
  <c r="EG38" i="158"/>
  <c r="EI38" i="158" s="1"/>
  <c r="DW38" i="158"/>
  <c r="DT38" i="158"/>
  <c r="DQ38" i="158"/>
  <c r="DN38" i="158"/>
  <c r="DK38" i="158"/>
  <c r="DH38" i="158"/>
  <c r="DE38" i="158"/>
  <c r="DB38" i="158"/>
  <c r="CY38" i="158"/>
  <c r="CV38" i="158"/>
  <c r="CS38" i="158"/>
  <c r="CP38" i="158"/>
  <c r="CM38" i="158"/>
  <c r="CJ38" i="158"/>
  <c r="CG38" i="158"/>
  <c r="CD38" i="158"/>
  <c r="CA38" i="158"/>
  <c r="BX38" i="158"/>
  <c r="BU38" i="158"/>
  <c r="BR38" i="158"/>
  <c r="BO38" i="158"/>
  <c r="BL38" i="158"/>
  <c r="BI38" i="158"/>
  <c r="BF38" i="158"/>
  <c r="BC38" i="158"/>
  <c r="AZ38" i="158"/>
  <c r="AW38" i="158"/>
  <c r="AT38" i="158"/>
  <c r="AR38" i="158"/>
  <c r="EK38" i="158" s="1"/>
  <c r="AQ38" i="158"/>
  <c r="AL38" i="158"/>
  <c r="AN38" i="158" s="1"/>
  <c r="AI38" i="158"/>
  <c r="AK38" i="158" s="1"/>
  <c r="AB38" i="158"/>
  <c r="Y38" i="158"/>
  <c r="V38" i="158"/>
  <c r="S38" i="158"/>
  <c r="P38" i="158"/>
  <c r="M38" i="158"/>
  <c r="J38" i="158"/>
  <c r="G38" i="158"/>
  <c r="D38" i="158"/>
  <c r="EL37" i="158"/>
  <c r="EI37" i="158"/>
  <c r="EG37" i="158"/>
  <c r="EB37" i="158"/>
  <c r="DW37" i="158"/>
  <c r="DT37" i="158"/>
  <c r="DQ37" i="158"/>
  <c r="DN37" i="158"/>
  <c r="DK37" i="158"/>
  <c r="DH37" i="158"/>
  <c r="DE37" i="158"/>
  <c r="DB37" i="158"/>
  <c r="CY37" i="158"/>
  <c r="CV37" i="158"/>
  <c r="CS37" i="158"/>
  <c r="CP37" i="158"/>
  <c r="CM37" i="158"/>
  <c r="CJ37" i="158"/>
  <c r="CG37" i="158"/>
  <c r="CD37" i="158"/>
  <c r="CA37" i="158"/>
  <c r="BX37" i="158"/>
  <c r="BU37" i="158"/>
  <c r="BR37" i="158"/>
  <c r="BO37" i="158"/>
  <c r="BL37" i="158"/>
  <c r="BI37" i="158"/>
  <c r="BF37" i="158"/>
  <c r="BC37" i="158"/>
  <c r="AZ37" i="158"/>
  <c r="AW37" i="158"/>
  <c r="AT37" i="158"/>
  <c r="AR37" i="158"/>
  <c r="EK37" i="158" s="1"/>
  <c r="AQ37" i="158"/>
  <c r="AN37" i="158"/>
  <c r="AL37" i="158"/>
  <c r="AI37" i="158"/>
  <c r="AK37" i="158" s="1"/>
  <c r="AB37" i="158"/>
  <c r="Y37" i="158"/>
  <c r="V37" i="158"/>
  <c r="S37" i="158"/>
  <c r="P37" i="158"/>
  <c r="M37" i="158"/>
  <c r="J37" i="158"/>
  <c r="G37" i="158"/>
  <c r="D37" i="158"/>
  <c r="EL36" i="158"/>
  <c r="EI36" i="158"/>
  <c r="EG36" i="158"/>
  <c r="DW36" i="158"/>
  <c r="DT36" i="158"/>
  <c r="DQ36" i="158"/>
  <c r="DN36" i="158"/>
  <c r="DK36" i="158"/>
  <c r="DH36" i="158"/>
  <c r="DE36" i="158"/>
  <c r="DB36" i="158"/>
  <c r="CY36" i="158"/>
  <c r="CV36" i="158"/>
  <c r="CS36" i="158"/>
  <c r="CP36" i="158"/>
  <c r="CM36" i="158"/>
  <c r="CJ36" i="158"/>
  <c r="CG36" i="158"/>
  <c r="CD36" i="158"/>
  <c r="CA36" i="158"/>
  <c r="BX36" i="158"/>
  <c r="BU36" i="158"/>
  <c r="BR36" i="158"/>
  <c r="BO36" i="158"/>
  <c r="BL36" i="158"/>
  <c r="BI36" i="158"/>
  <c r="BF36" i="158"/>
  <c r="BC36" i="158"/>
  <c r="AZ36" i="158"/>
  <c r="AW36" i="158"/>
  <c r="AT36" i="158"/>
  <c r="AR36" i="158"/>
  <c r="EK36" i="158" s="1"/>
  <c r="AQ36" i="158"/>
  <c r="AN36" i="158"/>
  <c r="AL36" i="158"/>
  <c r="EB36" i="158" s="1"/>
  <c r="AI36" i="158"/>
  <c r="AK36" i="158" s="1"/>
  <c r="EH36" i="158"/>
  <c r="AB36" i="158"/>
  <c r="Y36" i="158"/>
  <c r="V36" i="158"/>
  <c r="S36" i="158"/>
  <c r="P36" i="158"/>
  <c r="M36" i="158"/>
  <c r="J36" i="158"/>
  <c r="G36" i="158"/>
  <c r="D36" i="158"/>
  <c r="EL35" i="158"/>
  <c r="EI35" i="158"/>
  <c r="EG35" i="158"/>
  <c r="DW35" i="158"/>
  <c r="DT35" i="158"/>
  <c r="DQ35" i="158"/>
  <c r="DN35" i="158"/>
  <c r="DK35" i="158"/>
  <c r="DH35" i="158"/>
  <c r="DE35" i="158"/>
  <c r="DB35" i="158"/>
  <c r="CY35" i="158"/>
  <c r="CV35" i="158"/>
  <c r="CS35" i="158"/>
  <c r="CP35" i="158"/>
  <c r="CM35" i="158"/>
  <c r="CJ35" i="158"/>
  <c r="CG35" i="158"/>
  <c r="CD35" i="158"/>
  <c r="CA35" i="158"/>
  <c r="BX35" i="158"/>
  <c r="BU35" i="158"/>
  <c r="BR35" i="158"/>
  <c r="BO35" i="158"/>
  <c r="BL35" i="158"/>
  <c r="BI35" i="158"/>
  <c r="BF35" i="158"/>
  <c r="BC35" i="158"/>
  <c r="AZ35" i="158"/>
  <c r="AW35" i="158"/>
  <c r="AR35" i="158"/>
  <c r="EB35" i="158" s="1"/>
  <c r="AQ35" i="158"/>
  <c r="AN35" i="158"/>
  <c r="AL35" i="158"/>
  <c r="AI35" i="158"/>
  <c r="AK35" i="158" s="1"/>
  <c r="EH35" i="158"/>
  <c r="AB35" i="158"/>
  <c r="Y35" i="158"/>
  <c r="V35" i="158"/>
  <c r="S35" i="158"/>
  <c r="P35" i="158"/>
  <c r="M35" i="158"/>
  <c r="J35" i="158"/>
  <c r="G35" i="158"/>
  <c r="D35" i="158"/>
  <c r="EL34" i="158"/>
  <c r="EG34" i="158"/>
  <c r="EI34" i="158" s="1"/>
  <c r="DW34" i="158"/>
  <c r="DT34" i="158"/>
  <c r="DQ34" i="158"/>
  <c r="EM34" i="158" s="1"/>
  <c r="DN34" i="158"/>
  <c r="DK34" i="158"/>
  <c r="DH34" i="158"/>
  <c r="DE34" i="158"/>
  <c r="DB34" i="158"/>
  <c r="CY34" i="158"/>
  <c r="CV34" i="158"/>
  <c r="CS34" i="158"/>
  <c r="CP34" i="158"/>
  <c r="CM34" i="158"/>
  <c r="CJ34" i="158"/>
  <c r="CG34" i="158"/>
  <c r="CD34" i="158"/>
  <c r="CA34" i="158"/>
  <c r="BX34" i="158"/>
  <c r="BU34" i="158"/>
  <c r="BR34" i="158"/>
  <c r="BO34" i="158"/>
  <c r="BL34" i="158"/>
  <c r="BI34" i="158"/>
  <c r="BF34" i="158"/>
  <c r="BC34" i="158"/>
  <c r="AZ34" i="158"/>
  <c r="AW34" i="158"/>
  <c r="AT34" i="158"/>
  <c r="AR34" i="158"/>
  <c r="EK34" i="158" s="1"/>
  <c r="EN34" i="158" s="1"/>
  <c r="AQ34" i="158"/>
  <c r="AL34" i="158"/>
  <c r="AN34" i="158" s="1"/>
  <c r="AI34" i="158"/>
  <c r="AK34" i="158" s="1"/>
  <c r="AB34" i="158"/>
  <c r="Y34" i="158"/>
  <c r="V34" i="158"/>
  <c r="S34" i="158"/>
  <c r="EH34" i="158" s="1"/>
  <c r="P34" i="158"/>
  <c r="M34" i="158"/>
  <c r="J34" i="158"/>
  <c r="G34" i="158"/>
  <c r="D34" i="158"/>
  <c r="EL33" i="158"/>
  <c r="EI33" i="158"/>
  <c r="EG33" i="158"/>
  <c r="EB33" i="158"/>
  <c r="DW33" i="158"/>
  <c r="DT33" i="158"/>
  <c r="DQ33" i="158"/>
  <c r="EM33" i="158" s="1"/>
  <c r="DN33" i="158"/>
  <c r="DK33" i="158"/>
  <c r="DH33" i="158"/>
  <c r="DE33" i="158"/>
  <c r="DB33" i="158"/>
  <c r="CY33" i="158"/>
  <c r="CV33" i="158"/>
  <c r="CS33" i="158"/>
  <c r="CP33" i="158"/>
  <c r="CM33" i="158"/>
  <c r="CJ33" i="158"/>
  <c r="CG33" i="158"/>
  <c r="CD33" i="158"/>
  <c r="CA33" i="158"/>
  <c r="BX33" i="158"/>
  <c r="BU33" i="158"/>
  <c r="BR33" i="158"/>
  <c r="BO33" i="158"/>
  <c r="BL33" i="158"/>
  <c r="BI33" i="158"/>
  <c r="BF33" i="158"/>
  <c r="BC33" i="158"/>
  <c r="AZ33" i="158"/>
  <c r="AW33" i="158"/>
  <c r="AT33" i="158"/>
  <c r="AR33" i="158"/>
  <c r="EK33" i="158" s="1"/>
  <c r="AQ33" i="158"/>
  <c r="AN33" i="158"/>
  <c r="AL33" i="158"/>
  <c r="AI33" i="158"/>
  <c r="AK33" i="158" s="1"/>
  <c r="AB33" i="158"/>
  <c r="Y33" i="158"/>
  <c r="V33" i="158"/>
  <c r="S33" i="158"/>
  <c r="EH33" i="158" s="1"/>
  <c r="P33" i="158"/>
  <c r="M33" i="158"/>
  <c r="J33" i="158"/>
  <c r="G33" i="158"/>
  <c r="D33" i="158"/>
  <c r="EL32" i="158"/>
  <c r="EI32" i="158"/>
  <c r="EG32" i="158"/>
  <c r="DW32" i="158"/>
  <c r="DT32" i="158"/>
  <c r="DQ32" i="158"/>
  <c r="EM32" i="158" s="1"/>
  <c r="DN32" i="158"/>
  <c r="DK32" i="158"/>
  <c r="DH32" i="158"/>
  <c r="DE32" i="158"/>
  <c r="DB32" i="158"/>
  <c r="CY32" i="158"/>
  <c r="CV32" i="158"/>
  <c r="CS32" i="158"/>
  <c r="CP32" i="158"/>
  <c r="CM32" i="158"/>
  <c r="CJ32" i="158"/>
  <c r="CG32" i="158"/>
  <c r="CD32" i="158"/>
  <c r="CA32" i="158"/>
  <c r="BX32" i="158"/>
  <c r="BU32" i="158"/>
  <c r="BR32" i="158"/>
  <c r="BO32" i="158"/>
  <c r="BL32" i="158"/>
  <c r="BI32" i="158"/>
  <c r="BF32" i="158"/>
  <c r="BC32" i="158"/>
  <c r="AZ32" i="158"/>
  <c r="AW32" i="158"/>
  <c r="AT32" i="158"/>
  <c r="AR32" i="158"/>
  <c r="EK32" i="158" s="1"/>
  <c r="AQ32" i="158"/>
  <c r="AN32" i="158"/>
  <c r="AL32" i="158"/>
  <c r="EB32" i="158" s="1"/>
  <c r="AI32" i="158"/>
  <c r="AK32" i="158" s="1"/>
  <c r="EH32" i="158"/>
  <c r="AB32" i="158"/>
  <c r="Y32" i="158"/>
  <c r="V32" i="158"/>
  <c r="S32" i="158"/>
  <c r="P32" i="158"/>
  <c r="M32" i="158"/>
  <c r="J32" i="158"/>
  <c r="G32" i="158"/>
  <c r="D32" i="158"/>
  <c r="EL31" i="158"/>
  <c r="EI31" i="158"/>
  <c r="EG31" i="158"/>
  <c r="DW31" i="158"/>
  <c r="DT31" i="158"/>
  <c r="DQ31" i="158"/>
  <c r="DN31" i="158"/>
  <c r="DK31" i="158"/>
  <c r="DH31" i="158"/>
  <c r="DE31" i="158"/>
  <c r="DB31" i="158"/>
  <c r="CY31" i="158"/>
  <c r="CV31" i="158"/>
  <c r="CS31" i="158"/>
  <c r="CP31" i="158"/>
  <c r="CM31" i="158"/>
  <c r="CJ31" i="158"/>
  <c r="CG31" i="158"/>
  <c r="CD31" i="158"/>
  <c r="CA31" i="158"/>
  <c r="BX31" i="158"/>
  <c r="BU31" i="158"/>
  <c r="BR31" i="158"/>
  <c r="BO31" i="158"/>
  <c r="BL31" i="158"/>
  <c r="BI31" i="158"/>
  <c r="BF31" i="158"/>
  <c r="BC31" i="158"/>
  <c r="AZ31" i="158"/>
  <c r="AW31" i="158"/>
  <c r="AR31" i="158"/>
  <c r="EB31" i="158" s="1"/>
  <c r="AQ31" i="158"/>
  <c r="AN31" i="158"/>
  <c r="AL31" i="158"/>
  <c r="AI31" i="158"/>
  <c r="AK31" i="158" s="1"/>
  <c r="AB31" i="158"/>
  <c r="Y31" i="158"/>
  <c r="V31" i="158"/>
  <c r="S31" i="158"/>
  <c r="P31" i="158"/>
  <c r="M31" i="158"/>
  <c r="J31" i="158"/>
  <c r="G31" i="158"/>
  <c r="D31" i="158"/>
  <c r="EL30" i="158"/>
  <c r="EG30" i="158"/>
  <c r="EI30" i="158" s="1"/>
  <c r="DW30" i="158"/>
  <c r="DT30" i="158"/>
  <c r="DQ30" i="158"/>
  <c r="DN30" i="158"/>
  <c r="DK30" i="158"/>
  <c r="DH30" i="158"/>
  <c r="DE30" i="158"/>
  <c r="DB30" i="158"/>
  <c r="CY30" i="158"/>
  <c r="CV30" i="158"/>
  <c r="CS30" i="158"/>
  <c r="CP30" i="158"/>
  <c r="CM30" i="158"/>
  <c r="CJ30" i="158"/>
  <c r="CG30" i="158"/>
  <c r="CD30" i="158"/>
  <c r="CA30" i="158"/>
  <c r="BX30" i="158"/>
  <c r="BU30" i="158"/>
  <c r="BR30" i="158"/>
  <c r="BO30" i="158"/>
  <c r="BL30" i="158"/>
  <c r="BI30" i="158"/>
  <c r="BF30" i="158"/>
  <c r="BC30" i="158"/>
  <c r="AZ30" i="158"/>
  <c r="AW30" i="158"/>
  <c r="AT30" i="158"/>
  <c r="AR30" i="158"/>
  <c r="EK30" i="158" s="1"/>
  <c r="AQ30" i="158"/>
  <c r="AL30" i="158"/>
  <c r="AN30" i="158" s="1"/>
  <c r="AI30" i="158"/>
  <c r="AK30" i="158" s="1"/>
  <c r="AB30" i="158"/>
  <c r="Y30" i="158"/>
  <c r="V30" i="158"/>
  <c r="S30" i="158"/>
  <c r="P30" i="158"/>
  <c r="M30" i="158"/>
  <c r="J30" i="158"/>
  <c r="G30" i="158"/>
  <c r="D30" i="158"/>
  <c r="EL29" i="158"/>
  <c r="EI29" i="158"/>
  <c r="EG29" i="158"/>
  <c r="EB29" i="158"/>
  <c r="DW29" i="158"/>
  <c r="DT29" i="158"/>
  <c r="DQ29" i="158"/>
  <c r="EM29" i="158" s="1"/>
  <c r="DN29" i="158"/>
  <c r="DK29" i="158"/>
  <c r="DH29" i="158"/>
  <c r="DE29" i="158"/>
  <c r="DB29" i="158"/>
  <c r="CY29" i="158"/>
  <c r="CV29" i="158"/>
  <c r="CS29" i="158"/>
  <c r="CP29" i="158"/>
  <c r="CM29" i="158"/>
  <c r="CJ29" i="158"/>
  <c r="CG29" i="158"/>
  <c r="CD29" i="158"/>
  <c r="CA29" i="158"/>
  <c r="BX29" i="158"/>
  <c r="BU29" i="158"/>
  <c r="BR29" i="158"/>
  <c r="BO29" i="158"/>
  <c r="BL29" i="158"/>
  <c r="BI29" i="158"/>
  <c r="BF29" i="158"/>
  <c r="BC29" i="158"/>
  <c r="AZ29" i="158"/>
  <c r="AW29" i="158"/>
  <c r="AT29" i="158"/>
  <c r="AR29" i="158"/>
  <c r="EK29" i="158" s="1"/>
  <c r="EN29" i="158" s="1"/>
  <c r="AQ29" i="158"/>
  <c r="AN29" i="158"/>
  <c r="AL29" i="158"/>
  <c r="AK29" i="158"/>
  <c r="AI29" i="158"/>
  <c r="AB29" i="158"/>
  <c r="Y29" i="158"/>
  <c r="V29" i="158"/>
  <c r="S29" i="158"/>
  <c r="P29" i="158"/>
  <c r="M29" i="158"/>
  <c r="J29" i="158"/>
  <c r="G29" i="158"/>
  <c r="D29" i="158"/>
  <c r="EL28" i="158"/>
  <c r="EI28" i="158"/>
  <c r="EG28" i="158"/>
  <c r="DW28" i="158"/>
  <c r="DT28" i="158"/>
  <c r="DQ28" i="158"/>
  <c r="DN28" i="158"/>
  <c r="DK28" i="158"/>
  <c r="DH28" i="158"/>
  <c r="DE28" i="158"/>
  <c r="DB28" i="158"/>
  <c r="CY28" i="158"/>
  <c r="CV28" i="158"/>
  <c r="CS28" i="158"/>
  <c r="CP28" i="158"/>
  <c r="CM28" i="158"/>
  <c r="CJ28" i="158"/>
  <c r="CG28" i="158"/>
  <c r="CD28" i="158"/>
  <c r="CA28" i="158"/>
  <c r="BX28" i="158"/>
  <c r="BU28" i="158"/>
  <c r="BR28" i="158"/>
  <c r="BO28" i="158"/>
  <c r="BL28" i="158"/>
  <c r="BI28" i="158"/>
  <c r="BF28" i="158"/>
  <c r="BC28" i="158"/>
  <c r="AZ28" i="158"/>
  <c r="AW28" i="158"/>
  <c r="AT28" i="158"/>
  <c r="AR28" i="158"/>
  <c r="EK28" i="158" s="1"/>
  <c r="AQ28" i="158"/>
  <c r="AN28" i="158"/>
  <c r="AL28" i="158"/>
  <c r="AI28" i="158"/>
  <c r="AK28" i="158" s="1"/>
  <c r="EH28" i="158"/>
  <c r="AB28" i="158"/>
  <c r="Y28" i="158"/>
  <c r="V28" i="158"/>
  <c r="S28" i="158"/>
  <c r="P28" i="158"/>
  <c r="M28" i="158"/>
  <c r="J28" i="158"/>
  <c r="G28" i="158"/>
  <c r="D28" i="158"/>
  <c r="EL27" i="158"/>
  <c r="EI27" i="158"/>
  <c r="EG27" i="158"/>
  <c r="DW27" i="158"/>
  <c r="DT27" i="158"/>
  <c r="DQ27" i="158"/>
  <c r="DN27" i="158"/>
  <c r="DK27" i="158"/>
  <c r="DH27" i="158"/>
  <c r="DE27" i="158"/>
  <c r="DB27" i="158"/>
  <c r="CY27" i="158"/>
  <c r="CV27" i="158"/>
  <c r="CS27" i="158"/>
  <c r="CP27" i="158"/>
  <c r="CM27" i="158"/>
  <c r="CJ27" i="158"/>
  <c r="CG27" i="158"/>
  <c r="CD27" i="158"/>
  <c r="CA27" i="158"/>
  <c r="BX27" i="158"/>
  <c r="BU27" i="158"/>
  <c r="BR27" i="158"/>
  <c r="BO27" i="158"/>
  <c r="BL27" i="158"/>
  <c r="BI27" i="158"/>
  <c r="BF27" i="158"/>
  <c r="BC27" i="158"/>
  <c r="AZ27" i="158"/>
  <c r="AW27" i="158"/>
  <c r="AR27" i="158"/>
  <c r="EB27" i="158" s="1"/>
  <c r="AQ27" i="158"/>
  <c r="AN27" i="158"/>
  <c r="AL27" i="158"/>
  <c r="AI27" i="158"/>
  <c r="AK27" i="158" s="1"/>
  <c r="EH27" i="158"/>
  <c r="AB27" i="158"/>
  <c r="Y27" i="158"/>
  <c r="V27" i="158"/>
  <c r="S27" i="158"/>
  <c r="P27" i="158"/>
  <c r="M27" i="158"/>
  <c r="J27" i="158"/>
  <c r="G27" i="158"/>
  <c r="D27" i="158"/>
  <c r="EL26" i="158"/>
  <c r="EG26" i="158"/>
  <c r="EI26" i="158" s="1"/>
  <c r="EB26" i="158"/>
  <c r="DW26" i="158"/>
  <c r="DT26" i="158"/>
  <c r="DQ26" i="158"/>
  <c r="DN26" i="158"/>
  <c r="DK26" i="158"/>
  <c r="DH26" i="158"/>
  <c r="DE26" i="158"/>
  <c r="DB26" i="158"/>
  <c r="CY26" i="158"/>
  <c r="CV26" i="158"/>
  <c r="CS26" i="158"/>
  <c r="CP26" i="158"/>
  <c r="CM26" i="158"/>
  <c r="CJ26" i="158"/>
  <c r="CG26" i="158"/>
  <c r="CD26" i="158"/>
  <c r="CA26" i="158"/>
  <c r="BX26" i="158"/>
  <c r="BU26" i="158"/>
  <c r="BR26" i="158"/>
  <c r="BO26" i="158"/>
  <c r="BL26" i="158"/>
  <c r="BI26" i="158"/>
  <c r="BF26" i="158"/>
  <c r="BC26" i="158"/>
  <c r="AZ26" i="158"/>
  <c r="AW26" i="158"/>
  <c r="AT26" i="158"/>
  <c r="AR26" i="158"/>
  <c r="EK26" i="158" s="1"/>
  <c r="AQ26" i="158"/>
  <c r="AL26" i="158"/>
  <c r="AN26" i="158" s="1"/>
  <c r="AI26" i="158"/>
  <c r="AK26" i="158" s="1"/>
  <c r="AB26" i="158"/>
  <c r="Y26" i="158"/>
  <c r="V26" i="158"/>
  <c r="S26" i="158"/>
  <c r="EH26" i="158" s="1"/>
  <c r="P26" i="158"/>
  <c r="M26" i="158"/>
  <c r="J26" i="158"/>
  <c r="G26" i="158"/>
  <c r="D26" i="158"/>
  <c r="EL25" i="158"/>
  <c r="EI25" i="158"/>
  <c r="EG25" i="158"/>
  <c r="EB25" i="158"/>
  <c r="DW25" i="158"/>
  <c r="DT25" i="158"/>
  <c r="DQ25" i="158"/>
  <c r="EM25" i="158" s="1"/>
  <c r="DN25" i="158"/>
  <c r="DK25" i="158"/>
  <c r="DH25" i="158"/>
  <c r="DE25" i="158"/>
  <c r="DB25" i="158"/>
  <c r="CY25" i="158"/>
  <c r="CV25" i="158"/>
  <c r="CS25" i="158"/>
  <c r="CP25" i="158"/>
  <c r="CM25" i="158"/>
  <c r="CJ25" i="158"/>
  <c r="CG25" i="158"/>
  <c r="CD25" i="158"/>
  <c r="CA25" i="158"/>
  <c r="BX25" i="158"/>
  <c r="BU25" i="158"/>
  <c r="BR25" i="158"/>
  <c r="BO25" i="158"/>
  <c r="BL25" i="158"/>
  <c r="BI25" i="158"/>
  <c r="BF25" i="158"/>
  <c r="BC25" i="158"/>
  <c r="AZ25" i="158"/>
  <c r="AW25" i="158"/>
  <c r="AT25" i="158"/>
  <c r="AR25" i="158"/>
  <c r="EK25" i="158" s="1"/>
  <c r="AQ25" i="158"/>
  <c r="AN25" i="158"/>
  <c r="AL25" i="158"/>
  <c r="AK25" i="158"/>
  <c r="AI25" i="158"/>
  <c r="AB25" i="158"/>
  <c r="Y25" i="158"/>
  <c r="V25" i="158"/>
  <c r="S25" i="158"/>
  <c r="EH25" i="158" s="1"/>
  <c r="P25" i="158"/>
  <c r="M25" i="158"/>
  <c r="J25" i="158"/>
  <c r="G25" i="158"/>
  <c r="D25" i="158"/>
  <c r="EL24" i="158"/>
  <c r="EI24" i="158"/>
  <c r="EG24" i="158"/>
  <c r="DW24" i="158"/>
  <c r="DT24" i="158"/>
  <c r="DQ24" i="158"/>
  <c r="DN24" i="158"/>
  <c r="DK24" i="158"/>
  <c r="DH24" i="158"/>
  <c r="DE24" i="158"/>
  <c r="DB24" i="158"/>
  <c r="CY24" i="158"/>
  <c r="CV24" i="158"/>
  <c r="CS24" i="158"/>
  <c r="CP24" i="158"/>
  <c r="CM24" i="158"/>
  <c r="CJ24" i="158"/>
  <c r="CG24" i="158"/>
  <c r="CD24" i="158"/>
  <c r="CA24" i="158"/>
  <c r="BX24" i="158"/>
  <c r="BU24" i="158"/>
  <c r="BR24" i="158"/>
  <c r="BO24" i="158"/>
  <c r="BL24" i="158"/>
  <c r="BI24" i="158"/>
  <c r="BF24" i="158"/>
  <c r="BC24" i="158"/>
  <c r="AZ24" i="158"/>
  <c r="AW24" i="158"/>
  <c r="AT24" i="158"/>
  <c r="AR24" i="158"/>
  <c r="EK24" i="158" s="1"/>
  <c r="AO24" i="158"/>
  <c r="AQ24" i="158" s="1"/>
  <c r="AL24" i="158"/>
  <c r="AN24" i="158" s="1"/>
  <c r="AK24" i="158"/>
  <c r="AI24" i="158"/>
  <c r="AB24" i="158"/>
  <c r="Y24" i="158"/>
  <c r="V24" i="158"/>
  <c r="S24" i="158"/>
  <c r="P24" i="158"/>
  <c r="M24" i="158"/>
  <c r="J24" i="158"/>
  <c r="G24" i="158"/>
  <c r="D24" i="158"/>
  <c r="EL23" i="158"/>
  <c r="EG23" i="158"/>
  <c r="EI23" i="158" s="1"/>
  <c r="DW23" i="158"/>
  <c r="DT23" i="158"/>
  <c r="DQ23" i="158"/>
  <c r="DN23" i="158"/>
  <c r="DK23" i="158"/>
  <c r="DH23" i="158"/>
  <c r="DE23" i="158"/>
  <c r="DB23" i="158"/>
  <c r="CY23" i="158"/>
  <c r="CV23" i="158"/>
  <c r="CS23" i="158"/>
  <c r="CP23" i="158"/>
  <c r="CM23" i="158"/>
  <c r="CJ23" i="158"/>
  <c r="CG23" i="158"/>
  <c r="CD23" i="158"/>
  <c r="CA23" i="158"/>
  <c r="BX23" i="158"/>
  <c r="BU23" i="158"/>
  <c r="BR23" i="158"/>
  <c r="BO23" i="158"/>
  <c r="BL23" i="158"/>
  <c r="BI23" i="158"/>
  <c r="BF23" i="158"/>
  <c r="BC23" i="158"/>
  <c r="AZ23" i="158"/>
  <c r="AW23" i="158"/>
  <c r="AR23" i="158"/>
  <c r="AT23" i="158" s="1"/>
  <c r="AQ23" i="158"/>
  <c r="AO23" i="158"/>
  <c r="AL23" i="158"/>
  <c r="EB23" i="158" s="1"/>
  <c r="AI23" i="158"/>
  <c r="AK23" i="158" s="1"/>
  <c r="AB23" i="158"/>
  <c r="Y23" i="158"/>
  <c r="V23" i="158"/>
  <c r="S23" i="158"/>
  <c r="P23" i="158"/>
  <c r="M23" i="158"/>
  <c r="J23" i="158"/>
  <c r="G23" i="158"/>
  <c r="D23" i="158"/>
  <c r="EL22" i="158"/>
  <c r="EG22" i="158"/>
  <c r="EI22" i="158" s="1"/>
  <c r="DW22" i="158"/>
  <c r="DT22" i="158"/>
  <c r="DQ22" i="158"/>
  <c r="DN22" i="158"/>
  <c r="DK22" i="158"/>
  <c r="DH22" i="158"/>
  <c r="DE22" i="158"/>
  <c r="DB22" i="158"/>
  <c r="CY22" i="158"/>
  <c r="CV22" i="158"/>
  <c r="CS22" i="158"/>
  <c r="CP22" i="158"/>
  <c r="CM22" i="158"/>
  <c r="CJ22" i="158"/>
  <c r="CG22" i="158"/>
  <c r="CD22" i="158"/>
  <c r="CA22" i="158"/>
  <c r="BX22" i="158"/>
  <c r="BU22" i="158"/>
  <c r="BR22" i="158"/>
  <c r="BO22" i="158"/>
  <c r="BL22" i="158"/>
  <c r="BI22" i="158"/>
  <c r="BF22" i="158"/>
  <c r="BC22" i="158"/>
  <c r="AZ22" i="158"/>
  <c r="AW22" i="158"/>
  <c r="AT22" i="158"/>
  <c r="AR22" i="158"/>
  <c r="EK22" i="158" s="1"/>
  <c r="AO22" i="158"/>
  <c r="EB22" i="158" s="1"/>
  <c r="AN22" i="158"/>
  <c r="AL22" i="158"/>
  <c r="AI22" i="158"/>
  <c r="AK22" i="158" s="1"/>
  <c r="AB22" i="158"/>
  <c r="Y22" i="158"/>
  <c r="V22" i="158"/>
  <c r="S22" i="158"/>
  <c r="P22" i="158"/>
  <c r="M22" i="158"/>
  <c r="J22" i="158"/>
  <c r="G22" i="158"/>
  <c r="D22" i="158"/>
  <c r="EL21" i="158"/>
  <c r="EG21" i="158"/>
  <c r="EI21" i="158" s="1"/>
  <c r="EB21" i="158"/>
  <c r="DW21" i="158"/>
  <c r="DT21" i="158"/>
  <c r="DQ21" i="158"/>
  <c r="EM21" i="158" s="1"/>
  <c r="DN21" i="158"/>
  <c r="DK21" i="158"/>
  <c r="DH21" i="158"/>
  <c r="DE21" i="158"/>
  <c r="DB21" i="158"/>
  <c r="CY21" i="158"/>
  <c r="CV21" i="158"/>
  <c r="CS21" i="158"/>
  <c r="CP21" i="158"/>
  <c r="CM21" i="158"/>
  <c r="CJ21" i="158"/>
  <c r="CG21" i="158"/>
  <c r="CD21" i="158"/>
  <c r="CA21" i="158"/>
  <c r="BX21" i="158"/>
  <c r="BU21" i="158"/>
  <c r="BR21" i="158"/>
  <c r="BO21" i="158"/>
  <c r="BL21" i="158"/>
  <c r="BI21" i="158"/>
  <c r="BF21" i="158"/>
  <c r="BC21" i="158"/>
  <c r="AZ21" i="158"/>
  <c r="AW21" i="158"/>
  <c r="AT21" i="158"/>
  <c r="AR21" i="158"/>
  <c r="EK21" i="158" s="1"/>
  <c r="EN21" i="158" s="1"/>
  <c r="AQ21" i="158"/>
  <c r="AO21" i="158"/>
  <c r="AL21" i="158"/>
  <c r="AN21" i="158" s="1"/>
  <c r="AK21" i="158"/>
  <c r="AI21" i="158"/>
  <c r="AB21" i="158"/>
  <c r="Y21" i="158"/>
  <c r="V21" i="158"/>
  <c r="S21" i="158"/>
  <c r="P21" i="158"/>
  <c r="M21" i="158"/>
  <c r="J21" i="158"/>
  <c r="G21" i="158"/>
  <c r="D21" i="158"/>
  <c r="EL20" i="158"/>
  <c r="EI20" i="158"/>
  <c r="EG20" i="158"/>
  <c r="EB20" i="158"/>
  <c r="DW20" i="158"/>
  <c r="DT20" i="158"/>
  <c r="DQ20" i="158"/>
  <c r="DN20" i="158"/>
  <c r="DK20" i="158"/>
  <c r="DH20" i="158"/>
  <c r="DE20" i="158"/>
  <c r="DB20" i="158"/>
  <c r="CY20" i="158"/>
  <c r="CV20" i="158"/>
  <c r="CS20" i="158"/>
  <c r="CP20" i="158"/>
  <c r="CM20" i="158"/>
  <c r="CJ20" i="158"/>
  <c r="CG20" i="158"/>
  <c r="CD20" i="158"/>
  <c r="CA20" i="158"/>
  <c r="BX20" i="158"/>
  <c r="BU20" i="158"/>
  <c r="BR20" i="158"/>
  <c r="BO20" i="158"/>
  <c r="BL20" i="158"/>
  <c r="BI20" i="158"/>
  <c r="BF20" i="158"/>
  <c r="BC20" i="158"/>
  <c r="AZ20" i="158"/>
  <c r="AW20" i="158"/>
  <c r="AR20" i="158"/>
  <c r="AT20" i="158" s="1"/>
  <c r="AQ20" i="158"/>
  <c r="AO20" i="158"/>
  <c r="AN20" i="158"/>
  <c r="AL20" i="158"/>
  <c r="AI20" i="158"/>
  <c r="EK20" i="158" s="1"/>
  <c r="AB20" i="158"/>
  <c r="Y20" i="158"/>
  <c r="V20" i="158"/>
  <c r="S20" i="158"/>
  <c r="P20" i="158"/>
  <c r="M20" i="158"/>
  <c r="J20" i="158"/>
  <c r="G20" i="158"/>
  <c r="D20" i="158"/>
  <c r="EL19" i="158"/>
  <c r="EG19" i="158"/>
  <c r="EI19" i="158" s="1"/>
  <c r="DW19" i="158"/>
  <c r="DT19" i="158"/>
  <c r="EM19" i="158" s="1"/>
  <c r="DQ19" i="158"/>
  <c r="DN19" i="158"/>
  <c r="DK19" i="158"/>
  <c r="DH19" i="158"/>
  <c r="DE19" i="158"/>
  <c r="DB19" i="158"/>
  <c r="CY19" i="158"/>
  <c r="CV19" i="158"/>
  <c r="CS19" i="158"/>
  <c r="CP19" i="158"/>
  <c r="CM19" i="158"/>
  <c r="CJ19" i="158"/>
  <c r="CG19" i="158"/>
  <c r="CD19" i="158"/>
  <c r="CA19" i="158"/>
  <c r="BX19" i="158"/>
  <c r="BU19" i="158"/>
  <c r="BR19" i="158"/>
  <c r="BO19" i="158"/>
  <c r="BL19" i="158"/>
  <c r="BI19" i="158"/>
  <c r="BF19" i="158"/>
  <c r="BC19" i="158"/>
  <c r="AZ19" i="158"/>
  <c r="AW19" i="158"/>
  <c r="AR19" i="158"/>
  <c r="AT19" i="158" s="1"/>
  <c r="AO19" i="158"/>
  <c r="AQ19" i="158" s="1"/>
  <c r="AN19" i="158"/>
  <c r="AL19" i="158"/>
  <c r="AK19" i="158"/>
  <c r="AI19" i="158"/>
  <c r="AB19" i="158"/>
  <c r="Y19" i="158"/>
  <c r="V19" i="158"/>
  <c r="S19" i="158"/>
  <c r="P19" i="158"/>
  <c r="M19" i="158"/>
  <c r="J19" i="158"/>
  <c r="G19" i="158"/>
  <c r="D19" i="158"/>
  <c r="EL18" i="158"/>
  <c r="EI18" i="158"/>
  <c r="EG18" i="158"/>
  <c r="DW18" i="158"/>
  <c r="DT18" i="158"/>
  <c r="DQ18" i="158"/>
  <c r="DN18" i="158"/>
  <c r="DK18" i="158"/>
  <c r="DH18" i="158"/>
  <c r="DE18" i="158"/>
  <c r="DB18" i="158"/>
  <c r="CY18" i="158"/>
  <c r="CV18" i="158"/>
  <c r="CS18" i="158"/>
  <c r="CP18" i="158"/>
  <c r="CM18" i="158"/>
  <c r="CJ18" i="158"/>
  <c r="CG18" i="158"/>
  <c r="CD18" i="158"/>
  <c r="CA18" i="158"/>
  <c r="BX18" i="158"/>
  <c r="BU18" i="158"/>
  <c r="BR18" i="158"/>
  <c r="BO18" i="158"/>
  <c r="BL18" i="158"/>
  <c r="BI18" i="158"/>
  <c r="BF18" i="158"/>
  <c r="BC18" i="158"/>
  <c r="AZ18" i="158"/>
  <c r="AW18" i="158"/>
  <c r="AT18" i="158"/>
  <c r="AR18" i="158"/>
  <c r="EK18" i="158" s="1"/>
  <c r="AO18" i="158"/>
  <c r="EB18" i="158" s="1"/>
  <c r="AL18" i="158"/>
  <c r="AN18" i="158" s="1"/>
  <c r="AK18" i="158"/>
  <c r="AI18" i="158"/>
  <c r="AB18" i="158"/>
  <c r="Y18" i="158"/>
  <c r="V18" i="158"/>
  <c r="S18" i="158"/>
  <c r="P18" i="158"/>
  <c r="M18" i="158"/>
  <c r="J18" i="158"/>
  <c r="G18" i="158"/>
  <c r="D18" i="158"/>
  <c r="EL17" i="158"/>
  <c r="EG17" i="158"/>
  <c r="EI17" i="158" s="1"/>
  <c r="DW17" i="158"/>
  <c r="DT17" i="158"/>
  <c r="DQ17" i="158"/>
  <c r="DN17" i="158"/>
  <c r="DK17" i="158"/>
  <c r="DH17" i="158"/>
  <c r="DH42" i="158" s="1"/>
  <c r="DE17" i="158"/>
  <c r="DB17" i="158"/>
  <c r="CY17" i="158"/>
  <c r="CY42" i="158" s="1"/>
  <c r="CV17" i="158"/>
  <c r="CS17" i="158"/>
  <c r="CP17" i="158"/>
  <c r="CM17" i="158"/>
  <c r="CJ17" i="158"/>
  <c r="CG17" i="158"/>
  <c r="CD17" i="158"/>
  <c r="CA17" i="158"/>
  <c r="BX17" i="158"/>
  <c r="BX42" i="158" s="1"/>
  <c r="BU17" i="158"/>
  <c r="BR17" i="158"/>
  <c r="BO17" i="158"/>
  <c r="BO42" i="158" s="1"/>
  <c r="BL17" i="158"/>
  <c r="BI17" i="158"/>
  <c r="BF17" i="158"/>
  <c r="BC17" i="158"/>
  <c r="AZ17" i="158"/>
  <c r="AW17" i="158"/>
  <c r="AR17" i="158"/>
  <c r="AT17" i="158" s="1"/>
  <c r="AQ17" i="158"/>
  <c r="AO17" i="158"/>
  <c r="AL17" i="158"/>
  <c r="EB17" i="158" s="1"/>
  <c r="AI17" i="158"/>
  <c r="AK17" i="158" s="1"/>
  <c r="AB17" i="158"/>
  <c r="Y17" i="158"/>
  <c r="V17" i="158"/>
  <c r="S17" i="158"/>
  <c r="EH17" i="158" s="1"/>
  <c r="P17" i="158"/>
  <c r="M17" i="158"/>
  <c r="J17" i="158"/>
  <c r="G17" i="158"/>
  <c r="D17" i="158"/>
  <c r="EL16" i="158"/>
  <c r="EG16" i="158"/>
  <c r="EI16" i="158" s="1"/>
  <c r="DW16" i="158"/>
  <c r="DT16" i="158"/>
  <c r="DQ16" i="158"/>
  <c r="DN16" i="158"/>
  <c r="DK16" i="158"/>
  <c r="DH16" i="158"/>
  <c r="DE16" i="158"/>
  <c r="DB16" i="158"/>
  <c r="CY16" i="158"/>
  <c r="CV16" i="158"/>
  <c r="CS16" i="158"/>
  <c r="CP16" i="158"/>
  <c r="CM16" i="158"/>
  <c r="CJ16" i="158"/>
  <c r="CG16" i="158"/>
  <c r="CD16" i="158"/>
  <c r="CA16" i="158"/>
  <c r="BX16" i="158"/>
  <c r="BU16" i="158"/>
  <c r="BR16" i="158"/>
  <c r="BO16" i="158"/>
  <c r="BL16" i="158"/>
  <c r="BI16" i="158"/>
  <c r="BF16" i="158"/>
  <c r="BC16" i="158"/>
  <c r="AZ16" i="158"/>
  <c r="AW16" i="158"/>
  <c r="AT16" i="158"/>
  <c r="AR16" i="158"/>
  <c r="EK16" i="158" s="1"/>
  <c r="AO16" i="158"/>
  <c r="AQ16" i="158" s="1"/>
  <c r="AN16" i="158"/>
  <c r="AL16" i="158"/>
  <c r="EB16" i="158" s="1"/>
  <c r="AI16" i="158"/>
  <c r="AK16" i="158" s="1"/>
  <c r="EH16" i="158"/>
  <c r="AB16" i="158"/>
  <c r="Y16" i="158"/>
  <c r="V16" i="158"/>
  <c r="S16" i="158"/>
  <c r="P16" i="158"/>
  <c r="M16" i="158"/>
  <c r="J16" i="158"/>
  <c r="G16" i="158"/>
  <c r="D16" i="158"/>
  <c r="EL15" i="158"/>
  <c r="EG15" i="158"/>
  <c r="EI15" i="158" s="1"/>
  <c r="EB15" i="158"/>
  <c r="DW15" i="158"/>
  <c r="DT15" i="158"/>
  <c r="DQ15" i="158"/>
  <c r="DN15" i="158"/>
  <c r="DK15" i="158"/>
  <c r="DH15" i="158"/>
  <c r="DE15" i="158"/>
  <c r="DB15" i="158"/>
  <c r="CY15" i="158"/>
  <c r="CV15" i="158"/>
  <c r="CS15" i="158"/>
  <c r="CP15" i="158"/>
  <c r="CM15" i="158"/>
  <c r="CJ15" i="158"/>
  <c r="CG15" i="158"/>
  <c r="CD15" i="158"/>
  <c r="CA15" i="158"/>
  <c r="BX15" i="158"/>
  <c r="BU15" i="158"/>
  <c r="BR15" i="158"/>
  <c r="BO15" i="158"/>
  <c r="BL15" i="158"/>
  <c r="BI15" i="158"/>
  <c r="BF15" i="158"/>
  <c r="BC15" i="158"/>
  <c r="AZ15" i="158"/>
  <c r="AW15" i="158"/>
  <c r="AT15" i="158"/>
  <c r="AR15" i="158"/>
  <c r="EK15" i="158" s="1"/>
  <c r="AQ15" i="158"/>
  <c r="AO15" i="158"/>
  <c r="AL15" i="158"/>
  <c r="AN15" i="158" s="1"/>
  <c r="AK15" i="158"/>
  <c r="AI15" i="158"/>
  <c r="AB15" i="158"/>
  <c r="Y15" i="158"/>
  <c r="V15" i="158"/>
  <c r="S15" i="158"/>
  <c r="P15" i="158"/>
  <c r="M15" i="158"/>
  <c r="J15" i="158"/>
  <c r="G15" i="158"/>
  <c r="D15" i="158"/>
  <c r="D42" i="158" s="1"/>
  <c r="EL14" i="158"/>
  <c r="EI14" i="158"/>
  <c r="EG14" i="158"/>
  <c r="EB14" i="158"/>
  <c r="DW14" i="158"/>
  <c r="DT14" i="158"/>
  <c r="DQ14" i="158"/>
  <c r="DN14" i="158"/>
  <c r="DK14" i="158"/>
  <c r="DH14" i="158"/>
  <c r="DE14" i="158"/>
  <c r="DB14" i="158"/>
  <c r="CY14" i="158"/>
  <c r="CV14" i="158"/>
  <c r="CS14" i="158"/>
  <c r="CP14" i="158"/>
  <c r="CM14" i="158"/>
  <c r="CJ14" i="158"/>
  <c r="CG14" i="158"/>
  <c r="CD14" i="158"/>
  <c r="CA14" i="158"/>
  <c r="BX14" i="158"/>
  <c r="BU14" i="158"/>
  <c r="BR14" i="158"/>
  <c r="BO14" i="158"/>
  <c r="BL14" i="158"/>
  <c r="BI14" i="158"/>
  <c r="BF14" i="158"/>
  <c r="BC14" i="158"/>
  <c r="AZ14" i="158"/>
  <c r="AW14" i="158"/>
  <c r="AR14" i="158"/>
  <c r="AT14" i="158" s="1"/>
  <c r="EM14" i="158" s="1"/>
  <c r="AQ14" i="158"/>
  <c r="AO14" i="158"/>
  <c r="AN14" i="158"/>
  <c r="AL14" i="158"/>
  <c r="AI14" i="158"/>
  <c r="AK14" i="158" s="1"/>
  <c r="AB14" i="158"/>
  <c r="Y14" i="158"/>
  <c r="V14" i="158"/>
  <c r="S14" i="158"/>
  <c r="EH14" i="158" s="1"/>
  <c r="P14" i="158"/>
  <c r="M14" i="158"/>
  <c r="J14" i="158"/>
  <c r="G14" i="158"/>
  <c r="D14" i="158"/>
  <c r="A14" i="158"/>
  <c r="A15" i="158" s="1"/>
  <c r="A16" i="158" s="1"/>
  <c r="A17" i="158" s="1"/>
  <c r="A18" i="158" s="1"/>
  <c r="A19" i="158" s="1"/>
  <c r="A20" i="158" s="1"/>
  <c r="A21" i="158" s="1"/>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EL13" i="158"/>
  <c r="EK13" i="158"/>
  <c r="EG13" i="158"/>
  <c r="EI13" i="158" s="1"/>
  <c r="DW13" i="158"/>
  <c r="DT13" i="158"/>
  <c r="DQ13" i="158"/>
  <c r="DN13" i="158"/>
  <c r="DK13" i="158"/>
  <c r="DH13" i="158"/>
  <c r="DE13" i="158"/>
  <c r="DB13" i="158"/>
  <c r="CY13" i="158"/>
  <c r="CV13" i="158"/>
  <c r="CS13" i="158"/>
  <c r="CP13" i="158"/>
  <c r="CM13" i="158"/>
  <c r="CJ13" i="158"/>
  <c r="CG13" i="158"/>
  <c r="CD13" i="158"/>
  <c r="CA13" i="158"/>
  <c r="BX13" i="158"/>
  <c r="BU13" i="158"/>
  <c r="BR13" i="158"/>
  <c r="BO13" i="158"/>
  <c r="BL13" i="158"/>
  <c r="BI13" i="158"/>
  <c r="BF13" i="158"/>
  <c r="BC13" i="158"/>
  <c r="AZ13" i="158"/>
  <c r="AW13" i="158"/>
  <c r="AT13" i="158"/>
  <c r="AQ13" i="158"/>
  <c r="AO13" i="158"/>
  <c r="AL13" i="158"/>
  <c r="AN13" i="158" s="1"/>
  <c r="AI13" i="158"/>
  <c r="AK13" i="158" s="1"/>
  <c r="AB13" i="158"/>
  <c r="Y13" i="158"/>
  <c r="V13" i="158"/>
  <c r="S13" i="158"/>
  <c r="P13" i="158"/>
  <c r="M13" i="158"/>
  <c r="J13" i="158"/>
  <c r="G13" i="158"/>
  <c r="D13" i="158"/>
  <c r="A13" i="158"/>
  <c r="EL12" i="158"/>
  <c r="EG12" i="158"/>
  <c r="EI4" i="158" s="1"/>
  <c r="EI5" i="158" s="1"/>
  <c r="DW12" i="158"/>
  <c r="DW42" i="158" s="1"/>
  <c r="DT12" i="158"/>
  <c r="DT42" i="158" s="1"/>
  <c r="DQ12" i="158"/>
  <c r="DN12" i="158"/>
  <c r="DN42" i="158" s="1"/>
  <c r="DK12" i="158"/>
  <c r="DK42" i="158" s="1"/>
  <c r="DH12" i="158"/>
  <c r="DE12" i="158"/>
  <c r="DE42" i="158" s="1"/>
  <c r="DB12" i="158"/>
  <c r="DB42" i="158" s="1"/>
  <c r="CY12" i="158"/>
  <c r="CV12" i="158"/>
  <c r="CV42" i="158" s="1"/>
  <c r="CS12" i="158"/>
  <c r="CS42" i="158" s="1"/>
  <c r="CP12" i="158"/>
  <c r="CP42" i="158" s="1"/>
  <c r="CM12" i="158"/>
  <c r="CM42" i="158" s="1"/>
  <c r="CJ12" i="158"/>
  <c r="CJ42" i="158" s="1"/>
  <c r="CG12" i="158"/>
  <c r="CG42" i="158" s="1"/>
  <c r="CD12" i="158"/>
  <c r="CD42" i="158" s="1"/>
  <c r="CA12" i="158"/>
  <c r="CA42" i="158" s="1"/>
  <c r="BX12" i="158"/>
  <c r="BU12" i="158"/>
  <c r="BU42" i="158" s="1"/>
  <c r="BR12" i="158"/>
  <c r="BR42" i="158" s="1"/>
  <c r="BO12" i="158"/>
  <c r="BL12" i="158"/>
  <c r="BL42" i="158" s="1"/>
  <c r="BI12" i="158"/>
  <c r="BI42" i="158" s="1"/>
  <c r="BF12" i="158"/>
  <c r="BF42" i="158" s="1"/>
  <c r="BC12" i="158"/>
  <c r="BC42" i="158" s="1"/>
  <c r="AZ12" i="158"/>
  <c r="AZ42" i="158" s="1"/>
  <c r="AW12" i="158"/>
  <c r="AW42" i="158" s="1"/>
  <c r="AT12" i="158"/>
  <c r="AQ12" i="158"/>
  <c r="AO12" i="158"/>
  <c r="AL12" i="158"/>
  <c r="EK12" i="158" s="1"/>
  <c r="AI12" i="158"/>
  <c r="AK12" i="158" s="1"/>
  <c r="AB12" i="158"/>
  <c r="AB42" i="158" s="1"/>
  <c r="Y12" i="158"/>
  <c r="Y42" i="158" s="1"/>
  <c r="V12" i="158"/>
  <c r="V42" i="158" s="1"/>
  <c r="S12" i="158"/>
  <c r="S42" i="158" s="1"/>
  <c r="P12" i="158"/>
  <c r="P42" i="158" s="1"/>
  <c r="M12" i="158"/>
  <c r="M42" i="158" s="1"/>
  <c r="J12" i="158"/>
  <c r="J42" i="158" s="1"/>
  <c r="G12" i="158"/>
  <c r="D12" i="158"/>
  <c r="G5" i="158"/>
  <c r="EQ2" i="158"/>
  <c r="EI2" i="158"/>
  <c r="EE2" i="158"/>
  <c r="EH24" i="158" l="1"/>
  <c r="EH12" i="158"/>
  <c r="EH39" i="158"/>
  <c r="EH22" i="158"/>
  <c r="EH18" i="158"/>
  <c r="EH13" i="158"/>
  <c r="EH15" i="158"/>
  <c r="ED25" i="158"/>
  <c r="EE25" i="158" s="1"/>
  <c r="ED28" i="158"/>
  <c r="ED34" i="158"/>
  <c r="ED24" i="158"/>
  <c r="EH29" i="158"/>
  <c r="EH30" i="158"/>
  <c r="ED13" i="158"/>
  <c r="EH31" i="158"/>
  <c r="AE42" i="158"/>
  <c r="EH23" i="158"/>
  <c r="EH37" i="158"/>
  <c r="EH38" i="158"/>
  <c r="EH20" i="158"/>
  <c r="ED32" i="158"/>
  <c r="EE32" i="158" s="1"/>
  <c r="ED33" i="158"/>
  <c r="EE33" i="158" s="1"/>
  <c r="AH42" i="158"/>
  <c r="EH21" i="158"/>
  <c r="ED29" i="158"/>
  <c r="EE29" i="158" s="1"/>
  <c r="EH19" i="158"/>
  <c r="EC16" i="158"/>
  <c r="EN33" i="158"/>
  <c r="ED38" i="158"/>
  <c r="ED40" i="158"/>
  <c r="EE40" i="158" s="1"/>
  <c r="EC40" i="158"/>
  <c r="EN2" i="158"/>
  <c r="EP2" i="158" s="1"/>
  <c r="EN41" i="158"/>
  <c r="EM30" i="158"/>
  <c r="EC36" i="158"/>
  <c r="EM13" i="158"/>
  <c r="EN13" i="158" s="1"/>
  <c r="EM15" i="158"/>
  <c r="EN15" i="158" s="1"/>
  <c r="EM16" i="158"/>
  <c r="EN16" i="158" s="1"/>
  <c r="ED20" i="158"/>
  <c r="EE20" i="158" s="1"/>
  <c r="ED21" i="158"/>
  <c r="EE21" i="158" s="1"/>
  <c r="ED22" i="158"/>
  <c r="EE22" i="158" s="1"/>
  <c r="EN25" i="158"/>
  <c r="EM40" i="158"/>
  <c r="EN40" i="158" s="1"/>
  <c r="EM41" i="158"/>
  <c r="EM24" i="158"/>
  <c r="EN24" i="158" s="1"/>
  <c r="EM26" i="158"/>
  <c r="EN26" i="158" s="1"/>
  <c r="ED36" i="158"/>
  <c r="EE36" i="158" s="1"/>
  <c r="ED37" i="158"/>
  <c r="EE37" i="158" s="1"/>
  <c r="EN38" i="158"/>
  <c r="ED19" i="158"/>
  <c r="EC22" i="158"/>
  <c r="EN36" i="158"/>
  <c r="EN37" i="158"/>
  <c r="EM28" i="158"/>
  <c r="EN28" i="158" s="1"/>
  <c r="ED30" i="158"/>
  <c r="EC32" i="158"/>
  <c r="EM38" i="158"/>
  <c r="EE41" i="158"/>
  <c r="EC18" i="158"/>
  <c r="EM23" i="158"/>
  <c r="EM36" i="158"/>
  <c r="EM37" i="158"/>
  <c r="EC17" i="158"/>
  <c r="EM20" i="158"/>
  <c r="EN20" i="158" s="1"/>
  <c r="ED26" i="158"/>
  <c r="EE26" i="158" s="1"/>
  <c r="EN30" i="158"/>
  <c r="ED14" i="158"/>
  <c r="EE14" i="158" s="1"/>
  <c r="ED16" i="158"/>
  <c r="EE16" i="158" s="1"/>
  <c r="EN32" i="158"/>
  <c r="AN23" i="158"/>
  <c r="ED23" i="158" s="1"/>
  <c r="EE23" i="158" s="1"/>
  <c r="EB30" i="158"/>
  <c r="EB34" i="158"/>
  <c r="EB38" i="158"/>
  <c r="EI12" i="158"/>
  <c r="EC15" i="158"/>
  <c r="EC21" i="158"/>
  <c r="EC26" i="158"/>
  <c r="AQ18" i="158"/>
  <c r="AQ42" i="158" s="1"/>
  <c r="EC20" i="158"/>
  <c r="EK23" i="158"/>
  <c r="G42" i="158"/>
  <c r="ED15" i="158"/>
  <c r="EE15" i="158" s="1"/>
  <c r="EB19" i="158"/>
  <c r="EK27" i="158"/>
  <c r="EC29" i="158"/>
  <c r="EK31" i="158"/>
  <c r="EC33" i="158"/>
  <c r="EK35" i="158"/>
  <c r="EC35" i="158" s="1"/>
  <c r="EC37" i="158"/>
  <c r="EK39" i="158"/>
  <c r="EC39" i="158" s="1"/>
  <c r="EC41" i="158"/>
  <c r="EK17" i="158"/>
  <c r="AK20" i="158"/>
  <c r="AK42" i="158" s="1"/>
  <c r="AQ22" i="158"/>
  <c r="EM22" i="158" s="1"/>
  <c r="EN22" i="158" s="1"/>
  <c r="EC25" i="158"/>
  <c r="AT27" i="158"/>
  <c r="EM27" i="158" s="1"/>
  <c r="AT31" i="158"/>
  <c r="ED31" i="158" s="1"/>
  <c r="EE31" i="158" s="1"/>
  <c r="AT35" i="158"/>
  <c r="EM35" i="158" s="1"/>
  <c r="AT39" i="158"/>
  <c r="ED39" i="158" s="1"/>
  <c r="EE39" i="158" s="1"/>
  <c r="DQ42" i="158"/>
  <c r="EB24" i="158"/>
  <c r="EB28" i="158"/>
  <c r="AN12" i="158"/>
  <c r="EM12" i="158" s="1"/>
  <c r="EB13" i="158"/>
  <c r="EI6" i="158"/>
  <c r="EB12" i="158"/>
  <c r="EK19" i="158"/>
  <c r="EN19" i="158" s="1"/>
  <c r="AN17" i="158"/>
  <c r="EM17" i="158" s="1"/>
  <c r="EK14" i="158"/>
  <c r="EN14" i="158" s="1"/>
  <c r="EH42" i="158" l="1"/>
  <c r="EN12" i="158"/>
  <c r="EN31" i="158"/>
  <c r="EE38" i="158"/>
  <c r="EC38" i="158"/>
  <c r="EC31" i="158"/>
  <c r="EE19" i="158"/>
  <c r="EC19" i="158"/>
  <c r="EE34" i="158"/>
  <c r="EC34" i="158"/>
  <c r="AT42" i="158"/>
  <c r="EM18" i="158"/>
  <c r="EN18" i="158" s="1"/>
  <c r="ED35" i="158"/>
  <c r="EE35" i="158" s="1"/>
  <c r="EN27" i="158"/>
  <c r="EE4" i="158"/>
  <c r="EC12" i="158"/>
  <c r="EE6" i="158"/>
  <c r="G8" i="158" s="1"/>
  <c r="EE30" i="158"/>
  <c r="EC30" i="158"/>
  <c r="ED12" i="158"/>
  <c r="EE12" i="158" s="1"/>
  <c r="ED18" i="158"/>
  <c r="EE18" i="158" s="1"/>
  <c r="EC27" i="158"/>
  <c r="EE13" i="158"/>
  <c r="EC13" i="158"/>
  <c r="EN17" i="158"/>
  <c r="EN23" i="158"/>
  <c r="AN42" i="158"/>
  <c r="ED27" i="158"/>
  <c r="EE27" i="158" s="1"/>
  <c r="EC23" i="158"/>
  <c r="EE28" i="158"/>
  <c r="EC28" i="158"/>
  <c r="EC14" i="158"/>
  <c r="ED17" i="158"/>
  <c r="EE17" i="158" s="1"/>
  <c r="EE24" i="158"/>
  <c r="EC24" i="158"/>
  <c r="EM39" i="158"/>
  <c r="EN39" i="158" s="1"/>
  <c r="EN4" i="158"/>
  <c r="EN5" i="158" s="1"/>
  <c r="EN35" i="158"/>
  <c r="EM31" i="158"/>
  <c r="EN6" i="158"/>
  <c r="EM42" i="158" l="1"/>
  <c r="ED42" i="158"/>
  <c r="G6" i="158"/>
  <c r="EE5" i="158"/>
  <c r="G7" i="158" s="1"/>
  <c r="EL41" i="157" l="1"/>
  <c r="EI41" i="157"/>
  <c r="EG41" i="157"/>
  <c r="DW41" i="157"/>
  <c r="DT41" i="157"/>
  <c r="DQ41" i="157"/>
  <c r="DN41" i="157"/>
  <c r="DK41" i="157"/>
  <c r="DH41" i="157"/>
  <c r="DE41" i="157"/>
  <c r="DB41" i="157"/>
  <c r="CY41" i="157"/>
  <c r="CV41" i="157"/>
  <c r="CS41" i="157"/>
  <c r="CP41" i="157"/>
  <c r="CM41" i="157"/>
  <c r="CJ41" i="157"/>
  <c r="CG41" i="157"/>
  <c r="CD41" i="157"/>
  <c r="CA41" i="157"/>
  <c r="BX41" i="157"/>
  <c r="BU41" i="157"/>
  <c r="BR41" i="157"/>
  <c r="BO41" i="157"/>
  <c r="BL41" i="157"/>
  <c r="BI41" i="157"/>
  <c r="BF41" i="157"/>
  <c r="BC41" i="157"/>
  <c r="AZ41" i="157"/>
  <c r="AW41" i="157"/>
  <c r="AT41" i="157"/>
  <c r="AO41" i="157"/>
  <c r="EK41" i="157" s="1"/>
  <c r="AN41" i="157"/>
  <c r="AL41" i="157"/>
  <c r="AI41" i="157"/>
  <c r="AK41" i="157" s="1"/>
  <c r="AB41" i="157"/>
  <c r="Y41" i="157"/>
  <c r="V41" i="157"/>
  <c r="S41" i="157"/>
  <c r="P41" i="157"/>
  <c r="M41" i="157"/>
  <c r="J41" i="157"/>
  <c r="G41" i="157"/>
  <c r="D41" i="157"/>
  <c r="EL40" i="157"/>
  <c r="EI40" i="157"/>
  <c r="EG40" i="157"/>
  <c r="DW40" i="157"/>
  <c r="DT40" i="157"/>
  <c r="DQ40" i="157"/>
  <c r="DN40" i="157"/>
  <c r="DK40" i="157"/>
  <c r="DH40" i="157"/>
  <c r="DE40" i="157"/>
  <c r="DB40" i="157"/>
  <c r="CY40" i="157"/>
  <c r="CV40" i="157"/>
  <c r="CS40" i="157"/>
  <c r="CP40" i="157"/>
  <c r="CM40" i="157"/>
  <c r="CJ40" i="157"/>
  <c r="CG40" i="157"/>
  <c r="CD40" i="157"/>
  <c r="CA40" i="157"/>
  <c r="BX40" i="157"/>
  <c r="BU40" i="157"/>
  <c r="BR40" i="157"/>
  <c r="BO40" i="157"/>
  <c r="BL40" i="157"/>
  <c r="BI40" i="157"/>
  <c r="BF40" i="157"/>
  <c r="BC40" i="157"/>
  <c r="AZ40" i="157"/>
  <c r="AW40" i="157"/>
  <c r="AT40" i="157"/>
  <c r="AO40" i="157"/>
  <c r="EK40" i="157" s="1"/>
  <c r="AN40" i="157"/>
  <c r="AL40" i="157"/>
  <c r="EB40" i="157" s="1"/>
  <c r="AK40" i="157"/>
  <c r="EH40" i="157"/>
  <c r="AB40" i="157"/>
  <c r="Y40" i="157"/>
  <c r="V40" i="157"/>
  <c r="S40" i="157"/>
  <c r="P40" i="157"/>
  <c r="M40" i="157"/>
  <c r="J40" i="157"/>
  <c r="G40" i="157"/>
  <c r="D40" i="157"/>
  <c r="EL39" i="157"/>
  <c r="EI39" i="157"/>
  <c r="EG39" i="157"/>
  <c r="DW39" i="157"/>
  <c r="DT39" i="157"/>
  <c r="DQ39" i="157"/>
  <c r="DN39" i="157"/>
  <c r="DK39" i="157"/>
  <c r="DH39" i="157"/>
  <c r="DE39" i="157"/>
  <c r="DB39" i="157"/>
  <c r="CY39" i="157"/>
  <c r="CV39" i="157"/>
  <c r="CS39" i="157"/>
  <c r="CP39" i="157"/>
  <c r="CM39" i="157"/>
  <c r="CJ39" i="157"/>
  <c r="CG39" i="157"/>
  <c r="CD39" i="157"/>
  <c r="CA39" i="157"/>
  <c r="BX39" i="157"/>
  <c r="BU39" i="157"/>
  <c r="BR39" i="157"/>
  <c r="BO39" i="157"/>
  <c r="BL39" i="157"/>
  <c r="BI39" i="157"/>
  <c r="BF39" i="157"/>
  <c r="BC39" i="157"/>
  <c r="AZ39" i="157"/>
  <c r="AW39" i="157"/>
  <c r="AT39" i="157"/>
  <c r="AQ39" i="157"/>
  <c r="AO39" i="157"/>
  <c r="EB39" i="157" s="1"/>
  <c r="AN39" i="157"/>
  <c r="AL39" i="157"/>
  <c r="AI39" i="157"/>
  <c r="EK39" i="157" s="1"/>
  <c r="AB39" i="157"/>
  <c r="Y39" i="157"/>
  <c r="V39" i="157"/>
  <c r="S39" i="157"/>
  <c r="P39" i="157"/>
  <c r="M39" i="157"/>
  <c r="J39" i="157"/>
  <c r="G39" i="157"/>
  <c r="D39" i="157"/>
  <c r="EL38" i="157"/>
  <c r="EG38" i="157"/>
  <c r="EI38" i="157" s="1"/>
  <c r="DW38" i="157"/>
  <c r="DT38" i="157"/>
  <c r="DQ38" i="157"/>
  <c r="DN38" i="157"/>
  <c r="DK38" i="157"/>
  <c r="DH38" i="157"/>
  <c r="DE38" i="157"/>
  <c r="DB38" i="157"/>
  <c r="CY38" i="157"/>
  <c r="CV38" i="157"/>
  <c r="CS38" i="157"/>
  <c r="CP38" i="157"/>
  <c r="CM38" i="157"/>
  <c r="CJ38" i="157"/>
  <c r="CG38" i="157"/>
  <c r="CD38" i="157"/>
  <c r="CA38" i="157"/>
  <c r="BX38" i="157"/>
  <c r="BU38" i="157"/>
  <c r="BR38" i="157"/>
  <c r="BO38" i="157"/>
  <c r="BL38" i="157"/>
  <c r="BI38" i="157"/>
  <c r="BF38" i="157"/>
  <c r="BC38" i="157"/>
  <c r="AZ38" i="157"/>
  <c r="AW38" i="157"/>
  <c r="AT38" i="157"/>
  <c r="AQ38" i="157"/>
  <c r="AO38" i="157"/>
  <c r="AL38" i="157"/>
  <c r="EK38" i="157" s="1"/>
  <c r="AI38" i="157"/>
  <c r="AK38" i="157" s="1"/>
  <c r="AB38" i="157"/>
  <c r="Y38" i="157"/>
  <c r="V38" i="157"/>
  <c r="S38" i="157"/>
  <c r="P38" i="157"/>
  <c r="M38" i="157"/>
  <c r="J38" i="157"/>
  <c r="G38" i="157"/>
  <c r="D38" i="157"/>
  <c r="EL37" i="157"/>
  <c r="EK37" i="157"/>
  <c r="EG37" i="157"/>
  <c r="EI37" i="157" s="1"/>
  <c r="DW37" i="157"/>
  <c r="DT37" i="157"/>
  <c r="EM37" i="157" s="1"/>
  <c r="DQ37" i="157"/>
  <c r="DN37" i="157"/>
  <c r="DK37" i="157"/>
  <c r="DH37" i="157"/>
  <c r="DE37" i="157"/>
  <c r="DB37" i="157"/>
  <c r="CY37" i="157"/>
  <c r="CV37" i="157"/>
  <c r="CS37" i="157"/>
  <c r="CP37" i="157"/>
  <c r="CM37" i="157"/>
  <c r="CJ37" i="157"/>
  <c r="CG37" i="157"/>
  <c r="CD37" i="157"/>
  <c r="CA37" i="157"/>
  <c r="BX37" i="157"/>
  <c r="BU37" i="157"/>
  <c r="BR37" i="157"/>
  <c r="BO37" i="157"/>
  <c r="BL37" i="157"/>
  <c r="BI37" i="157"/>
  <c r="BF37" i="157"/>
  <c r="BC37" i="157"/>
  <c r="AZ37" i="157"/>
  <c r="AW37" i="157"/>
  <c r="AT37" i="157"/>
  <c r="AQ37" i="157"/>
  <c r="AO37" i="157"/>
  <c r="AL37" i="157"/>
  <c r="AN37" i="157" s="1"/>
  <c r="AK37" i="157"/>
  <c r="AI37" i="157"/>
  <c r="AB37" i="157"/>
  <c r="Y37" i="157"/>
  <c r="V37" i="157"/>
  <c r="S37" i="157"/>
  <c r="P37" i="157"/>
  <c r="M37" i="157"/>
  <c r="J37" i="157"/>
  <c r="G37" i="157"/>
  <c r="D37" i="157"/>
  <c r="EL36" i="157"/>
  <c r="EG36" i="157"/>
  <c r="EI36" i="157" s="1"/>
  <c r="DW36" i="157"/>
  <c r="DT36" i="157"/>
  <c r="DQ36" i="157"/>
  <c r="DN36" i="157"/>
  <c r="DK36" i="157"/>
  <c r="DH36" i="157"/>
  <c r="DE36" i="157"/>
  <c r="DB36" i="157"/>
  <c r="CY36" i="157"/>
  <c r="CV36" i="157"/>
  <c r="CS36" i="157"/>
  <c r="CP36" i="157"/>
  <c r="CM36" i="157"/>
  <c r="CJ36" i="157"/>
  <c r="CG36" i="157"/>
  <c r="CD36" i="157"/>
  <c r="CA36" i="157"/>
  <c r="BX36" i="157"/>
  <c r="BU36" i="157"/>
  <c r="BR36" i="157"/>
  <c r="BO36" i="157"/>
  <c r="BL36" i="157"/>
  <c r="BI36" i="157"/>
  <c r="BF36" i="157"/>
  <c r="BC36" i="157"/>
  <c r="AZ36" i="157"/>
  <c r="AW36" i="157"/>
  <c r="AT36" i="157"/>
  <c r="AQ36" i="157"/>
  <c r="AO36" i="157"/>
  <c r="AL36" i="157"/>
  <c r="EB36" i="157" s="1"/>
  <c r="AI36" i="157"/>
  <c r="AK36" i="157" s="1"/>
  <c r="EH36" i="157"/>
  <c r="AB36" i="157"/>
  <c r="Y36" i="157"/>
  <c r="V36" i="157"/>
  <c r="S36" i="157"/>
  <c r="P36" i="157"/>
  <c r="M36" i="157"/>
  <c r="J36" i="157"/>
  <c r="G36" i="157"/>
  <c r="D36" i="157"/>
  <c r="EL35" i="157"/>
  <c r="EI35" i="157"/>
  <c r="EG35" i="157"/>
  <c r="DW35" i="157"/>
  <c r="DT35" i="157"/>
  <c r="DQ35" i="157"/>
  <c r="DN35" i="157"/>
  <c r="DK35" i="157"/>
  <c r="DH35" i="157"/>
  <c r="DE35" i="157"/>
  <c r="DB35" i="157"/>
  <c r="CY35" i="157"/>
  <c r="CV35" i="157"/>
  <c r="CS35" i="157"/>
  <c r="CP35" i="157"/>
  <c r="CM35" i="157"/>
  <c r="CJ35" i="157"/>
  <c r="CG35" i="157"/>
  <c r="CD35" i="157"/>
  <c r="CA35" i="157"/>
  <c r="BX35" i="157"/>
  <c r="BU35" i="157"/>
  <c r="BR35" i="157"/>
  <c r="BO35" i="157"/>
  <c r="BL35" i="157"/>
  <c r="BI35" i="157"/>
  <c r="BF35" i="157"/>
  <c r="BC35" i="157"/>
  <c r="AZ35" i="157"/>
  <c r="AW35" i="157"/>
  <c r="AT35" i="157"/>
  <c r="AQ35" i="157"/>
  <c r="AO35" i="157"/>
  <c r="EB35" i="157" s="1"/>
  <c r="AN35" i="157"/>
  <c r="AL35" i="157"/>
  <c r="AI35" i="157"/>
  <c r="EK35" i="157" s="1"/>
  <c r="AB35" i="157"/>
  <c r="Y35" i="157"/>
  <c r="EH35" i="157" s="1"/>
  <c r="V35" i="157"/>
  <c r="S35" i="157"/>
  <c r="P35" i="157"/>
  <c r="M35" i="157"/>
  <c r="J35" i="157"/>
  <c r="G35" i="157"/>
  <c r="D35" i="157"/>
  <c r="EL34" i="157"/>
  <c r="EG34" i="157"/>
  <c r="EI34" i="157" s="1"/>
  <c r="DW34" i="157"/>
  <c r="DT34" i="157"/>
  <c r="DQ34" i="157"/>
  <c r="DN34" i="157"/>
  <c r="DK34" i="157"/>
  <c r="DH34" i="157"/>
  <c r="DE34" i="157"/>
  <c r="DB34" i="157"/>
  <c r="CY34" i="157"/>
  <c r="CV34" i="157"/>
  <c r="CS34" i="157"/>
  <c r="CP34" i="157"/>
  <c r="CM34" i="157"/>
  <c r="CJ34" i="157"/>
  <c r="CG34" i="157"/>
  <c r="CD34" i="157"/>
  <c r="CA34" i="157"/>
  <c r="BX34" i="157"/>
  <c r="BU34" i="157"/>
  <c r="BR34" i="157"/>
  <c r="BO34" i="157"/>
  <c r="BL34" i="157"/>
  <c r="BI34" i="157"/>
  <c r="BF34" i="157"/>
  <c r="BC34" i="157"/>
  <c r="AZ34" i="157"/>
  <c r="AW34" i="157"/>
  <c r="AT34" i="157"/>
  <c r="AQ34" i="157"/>
  <c r="AO34" i="157"/>
  <c r="AL34" i="157"/>
  <c r="EK34" i="157" s="1"/>
  <c r="AI34" i="157"/>
  <c r="AK34" i="157" s="1"/>
  <c r="AB34" i="157"/>
  <c r="Y34" i="157"/>
  <c r="V34" i="157"/>
  <c r="S34" i="157"/>
  <c r="P34" i="157"/>
  <c r="M34" i="157"/>
  <c r="J34" i="157"/>
  <c r="G34" i="157"/>
  <c r="D34" i="157"/>
  <c r="EL33" i="157"/>
  <c r="EK33" i="157"/>
  <c r="EG33" i="157"/>
  <c r="EI33" i="157" s="1"/>
  <c r="DW33" i="157"/>
  <c r="DT33" i="157"/>
  <c r="DQ33" i="157"/>
  <c r="DN33" i="157"/>
  <c r="DK33" i="157"/>
  <c r="DH33" i="157"/>
  <c r="DE33" i="157"/>
  <c r="DB33" i="157"/>
  <c r="CY33" i="157"/>
  <c r="CV33" i="157"/>
  <c r="CS33" i="157"/>
  <c r="CP33" i="157"/>
  <c r="CM33" i="157"/>
  <c r="CJ33" i="157"/>
  <c r="CG33" i="157"/>
  <c r="CD33" i="157"/>
  <c r="CA33" i="157"/>
  <c r="BX33" i="157"/>
  <c r="BU33" i="157"/>
  <c r="BR33" i="157"/>
  <c r="BO33" i="157"/>
  <c r="BL33" i="157"/>
  <c r="BI33" i="157"/>
  <c r="BF33" i="157"/>
  <c r="BC33" i="157"/>
  <c r="AZ33" i="157"/>
  <c r="AW33" i="157"/>
  <c r="AT33" i="157"/>
  <c r="AQ33" i="157"/>
  <c r="AO33" i="157"/>
  <c r="AL33" i="157"/>
  <c r="AN33" i="157" s="1"/>
  <c r="AK33" i="157"/>
  <c r="AI33" i="157"/>
  <c r="AB33" i="157"/>
  <c r="Y33" i="157"/>
  <c r="V33" i="157"/>
  <c r="S33" i="157"/>
  <c r="P33" i="157"/>
  <c r="M33" i="157"/>
  <c r="J33" i="157"/>
  <c r="G33" i="157"/>
  <c r="D33" i="157"/>
  <c r="EL32" i="157"/>
  <c r="EG32" i="157"/>
  <c r="EI32" i="157" s="1"/>
  <c r="DW32" i="157"/>
  <c r="DT32" i="157"/>
  <c r="DQ32" i="157"/>
  <c r="DN32" i="157"/>
  <c r="DK32" i="157"/>
  <c r="DH32" i="157"/>
  <c r="DE32" i="157"/>
  <c r="DB32" i="157"/>
  <c r="CY32" i="157"/>
  <c r="CV32" i="157"/>
  <c r="CS32" i="157"/>
  <c r="CP32" i="157"/>
  <c r="CM32" i="157"/>
  <c r="CJ32" i="157"/>
  <c r="CG32" i="157"/>
  <c r="CD32" i="157"/>
  <c r="CA32" i="157"/>
  <c r="BX32" i="157"/>
  <c r="BU32" i="157"/>
  <c r="BR32" i="157"/>
  <c r="BO32" i="157"/>
  <c r="BL32" i="157"/>
  <c r="BI32" i="157"/>
  <c r="BF32" i="157"/>
  <c r="BC32" i="157"/>
  <c r="AZ32" i="157"/>
  <c r="AW32" i="157"/>
  <c r="AT32" i="157"/>
  <c r="AQ32" i="157"/>
  <c r="AO32" i="157"/>
  <c r="AL32" i="157"/>
  <c r="EB32" i="157" s="1"/>
  <c r="AI32" i="157"/>
  <c r="AK32" i="157" s="1"/>
  <c r="EH32" i="157"/>
  <c r="AB32" i="157"/>
  <c r="Y32" i="157"/>
  <c r="V32" i="157"/>
  <c r="S32" i="157"/>
  <c r="P32" i="157"/>
  <c r="M32" i="157"/>
  <c r="J32" i="157"/>
  <c r="G32" i="157"/>
  <c r="D32" i="157"/>
  <c r="EL31" i="157"/>
  <c r="EI31" i="157"/>
  <c r="EG31" i="157"/>
  <c r="DW31" i="157"/>
  <c r="DT31" i="157"/>
  <c r="DQ31" i="157"/>
  <c r="DN31" i="157"/>
  <c r="DK31" i="157"/>
  <c r="DH31" i="157"/>
  <c r="DE31" i="157"/>
  <c r="DB31" i="157"/>
  <c r="CY31" i="157"/>
  <c r="CV31" i="157"/>
  <c r="CS31" i="157"/>
  <c r="CP31" i="157"/>
  <c r="CM31" i="157"/>
  <c r="CJ31" i="157"/>
  <c r="CG31" i="157"/>
  <c r="CD31" i="157"/>
  <c r="CA31" i="157"/>
  <c r="BX31" i="157"/>
  <c r="BU31" i="157"/>
  <c r="BR31" i="157"/>
  <c r="BO31" i="157"/>
  <c r="BL31" i="157"/>
  <c r="BI31" i="157"/>
  <c r="BF31" i="157"/>
  <c r="BC31" i="157"/>
  <c r="AZ31" i="157"/>
  <c r="AW31" i="157"/>
  <c r="AT31" i="157"/>
  <c r="AQ31" i="157"/>
  <c r="AO31" i="157"/>
  <c r="EB31" i="157" s="1"/>
  <c r="AN31" i="157"/>
  <c r="AL31" i="157"/>
  <c r="AI31" i="157"/>
  <c r="EK31" i="157" s="1"/>
  <c r="AB31" i="157"/>
  <c r="Y31" i="157"/>
  <c r="V31" i="157"/>
  <c r="S31" i="157"/>
  <c r="P31" i="157"/>
  <c r="M31" i="157"/>
  <c r="J31" i="157"/>
  <c r="G31" i="157"/>
  <c r="D31" i="157"/>
  <c r="EL30" i="157"/>
  <c r="EG30" i="157"/>
  <c r="EI30" i="157" s="1"/>
  <c r="DW30" i="157"/>
  <c r="DT30" i="157"/>
  <c r="DQ30" i="157"/>
  <c r="DN30" i="157"/>
  <c r="DK30" i="157"/>
  <c r="DH30" i="157"/>
  <c r="DE30" i="157"/>
  <c r="DB30" i="157"/>
  <c r="CY30" i="157"/>
  <c r="CV30" i="157"/>
  <c r="CS30" i="157"/>
  <c r="CP30" i="157"/>
  <c r="CM30" i="157"/>
  <c r="CJ30" i="157"/>
  <c r="CG30" i="157"/>
  <c r="CD30" i="157"/>
  <c r="CA30" i="157"/>
  <c r="BX30" i="157"/>
  <c r="BU30" i="157"/>
  <c r="BR30" i="157"/>
  <c r="BO30" i="157"/>
  <c r="BL30" i="157"/>
  <c r="BI30" i="157"/>
  <c r="BF30" i="157"/>
  <c r="BC30" i="157"/>
  <c r="AZ30" i="157"/>
  <c r="AW30" i="157"/>
  <c r="AT30" i="157"/>
  <c r="AQ30" i="157"/>
  <c r="AO30" i="157"/>
  <c r="AL30" i="157"/>
  <c r="EK30" i="157" s="1"/>
  <c r="AI30" i="157"/>
  <c r="AK30" i="157" s="1"/>
  <c r="AB30" i="157"/>
  <c r="Y30" i="157"/>
  <c r="V30" i="157"/>
  <c r="S30" i="157"/>
  <c r="P30" i="157"/>
  <c r="M30" i="157"/>
  <c r="J30" i="157"/>
  <c r="G30" i="157"/>
  <c r="D30" i="157"/>
  <c r="EL29" i="157"/>
  <c r="EK29" i="157"/>
  <c r="EG29" i="157"/>
  <c r="EI29" i="157" s="1"/>
  <c r="DW29" i="157"/>
  <c r="DT29" i="157"/>
  <c r="DQ29" i="157"/>
  <c r="DN29" i="157"/>
  <c r="DK29" i="157"/>
  <c r="DH29" i="157"/>
  <c r="DE29" i="157"/>
  <c r="DB29" i="157"/>
  <c r="CY29" i="157"/>
  <c r="CV29" i="157"/>
  <c r="CS29" i="157"/>
  <c r="CP29" i="157"/>
  <c r="CM29" i="157"/>
  <c r="CJ29" i="157"/>
  <c r="CG29" i="157"/>
  <c r="CD29" i="157"/>
  <c r="CA29" i="157"/>
  <c r="BX29" i="157"/>
  <c r="BU29" i="157"/>
  <c r="BR29" i="157"/>
  <c r="BO29" i="157"/>
  <c r="BL29" i="157"/>
  <c r="BI29" i="157"/>
  <c r="BF29" i="157"/>
  <c r="BC29" i="157"/>
  <c r="AZ29" i="157"/>
  <c r="AW29" i="157"/>
  <c r="AT29" i="157"/>
  <c r="AQ29" i="157"/>
  <c r="AO29" i="157"/>
  <c r="AL29" i="157"/>
  <c r="AN29" i="157" s="1"/>
  <c r="AK29" i="157"/>
  <c r="AI29" i="157"/>
  <c r="AB29" i="157"/>
  <c r="Y29" i="157"/>
  <c r="V29" i="157"/>
  <c r="S29" i="157"/>
  <c r="EH29" i="157" s="1"/>
  <c r="P29" i="157"/>
  <c r="M29" i="157"/>
  <c r="J29" i="157"/>
  <c r="G29" i="157"/>
  <c r="D29" i="157"/>
  <c r="EL28" i="157"/>
  <c r="EG28" i="157"/>
  <c r="EI28" i="157" s="1"/>
  <c r="DW28" i="157"/>
  <c r="DT28" i="157"/>
  <c r="DQ28" i="157"/>
  <c r="DN28" i="157"/>
  <c r="DK28" i="157"/>
  <c r="DH28" i="157"/>
  <c r="DE28" i="157"/>
  <c r="DB28" i="157"/>
  <c r="CY28" i="157"/>
  <c r="CV28" i="157"/>
  <c r="CS28" i="157"/>
  <c r="CP28" i="157"/>
  <c r="CM28" i="157"/>
  <c r="CJ28" i="157"/>
  <c r="CG28" i="157"/>
  <c r="CD28" i="157"/>
  <c r="CA28" i="157"/>
  <c r="BX28" i="157"/>
  <c r="BU28" i="157"/>
  <c r="BR28" i="157"/>
  <c r="BO28" i="157"/>
  <c r="BL28" i="157"/>
  <c r="BI28" i="157"/>
  <c r="BF28" i="157"/>
  <c r="BC28" i="157"/>
  <c r="AZ28" i="157"/>
  <c r="AW28" i="157"/>
  <c r="AT28" i="157"/>
  <c r="AQ28" i="157"/>
  <c r="AO28" i="157"/>
  <c r="AL28" i="157"/>
  <c r="EB28" i="157" s="1"/>
  <c r="AI28" i="157"/>
  <c r="AK28" i="157" s="1"/>
  <c r="AB28" i="157"/>
  <c r="Y28" i="157"/>
  <c r="V28" i="157"/>
  <c r="S28" i="157"/>
  <c r="P28" i="157"/>
  <c r="M28" i="157"/>
  <c r="J28" i="157"/>
  <c r="G28" i="157"/>
  <c r="D28" i="157"/>
  <c r="EL27" i="157"/>
  <c r="EG27" i="157"/>
  <c r="EI27" i="157" s="1"/>
  <c r="DW27" i="157"/>
  <c r="DT27" i="157"/>
  <c r="DQ27" i="157"/>
  <c r="DN27" i="157"/>
  <c r="DK27" i="157"/>
  <c r="DH27" i="157"/>
  <c r="DE27" i="157"/>
  <c r="DB27" i="157"/>
  <c r="CY27" i="157"/>
  <c r="CV27" i="157"/>
  <c r="CS27" i="157"/>
  <c r="CP27" i="157"/>
  <c r="CM27" i="157"/>
  <c r="CJ27" i="157"/>
  <c r="CG27" i="157"/>
  <c r="CD27" i="157"/>
  <c r="CA27" i="157"/>
  <c r="BX27" i="157"/>
  <c r="BU27" i="157"/>
  <c r="BR27" i="157"/>
  <c r="BO27" i="157"/>
  <c r="BL27" i="157"/>
  <c r="BI27" i="157"/>
  <c r="BF27" i="157"/>
  <c r="BC27" i="157"/>
  <c r="AZ27" i="157"/>
  <c r="AW27" i="157"/>
  <c r="AT27" i="157"/>
  <c r="AQ27" i="157"/>
  <c r="AO27" i="157"/>
  <c r="AN27" i="157"/>
  <c r="AL27" i="157"/>
  <c r="EB27" i="157" s="1"/>
  <c r="AI27" i="157"/>
  <c r="EK27" i="157" s="1"/>
  <c r="AB27" i="157"/>
  <c r="Y27" i="157"/>
  <c r="V27" i="157"/>
  <c r="S27" i="157"/>
  <c r="P27" i="157"/>
  <c r="M27" i="157"/>
  <c r="J27" i="157"/>
  <c r="G27" i="157"/>
  <c r="D27" i="157"/>
  <c r="EL26" i="157"/>
  <c r="EG26" i="157"/>
  <c r="EI26" i="157" s="1"/>
  <c r="DW26" i="157"/>
  <c r="DT26" i="157"/>
  <c r="DQ26" i="157"/>
  <c r="DN26" i="157"/>
  <c r="DK26" i="157"/>
  <c r="DH26" i="157"/>
  <c r="DE26" i="157"/>
  <c r="DB26" i="157"/>
  <c r="CY26" i="157"/>
  <c r="CV26" i="157"/>
  <c r="CS26" i="157"/>
  <c r="CP26" i="157"/>
  <c r="CM26" i="157"/>
  <c r="CJ26" i="157"/>
  <c r="CG26" i="157"/>
  <c r="CD26" i="157"/>
  <c r="CA26" i="157"/>
  <c r="BX26" i="157"/>
  <c r="BU26" i="157"/>
  <c r="BR26" i="157"/>
  <c r="BO26" i="157"/>
  <c r="BL26" i="157"/>
  <c r="BI26" i="157"/>
  <c r="BF26" i="157"/>
  <c r="BC26" i="157"/>
  <c r="AZ26" i="157"/>
  <c r="AW26" i="157"/>
  <c r="AT26" i="157"/>
  <c r="AQ26" i="157"/>
  <c r="AO26" i="157"/>
  <c r="AL26" i="157"/>
  <c r="EK26" i="157" s="1"/>
  <c r="AI26" i="157"/>
  <c r="AK26" i="157" s="1"/>
  <c r="AB26" i="157"/>
  <c r="Y26" i="157"/>
  <c r="V26" i="157"/>
  <c r="S26" i="157"/>
  <c r="P26" i="157"/>
  <c r="M26" i="157"/>
  <c r="J26" i="157"/>
  <c r="G26" i="157"/>
  <c r="D26" i="157"/>
  <c r="EL25" i="157"/>
  <c r="EK25" i="157"/>
  <c r="EG25" i="157"/>
  <c r="EI25" i="157" s="1"/>
  <c r="DW25" i="157"/>
  <c r="DT25" i="157"/>
  <c r="DQ25" i="157"/>
  <c r="DN25" i="157"/>
  <c r="DK25" i="157"/>
  <c r="DH25" i="157"/>
  <c r="DE25" i="157"/>
  <c r="DB25" i="157"/>
  <c r="CY25" i="157"/>
  <c r="CV25" i="157"/>
  <c r="CS25" i="157"/>
  <c r="CP25" i="157"/>
  <c r="CM25" i="157"/>
  <c r="CJ25" i="157"/>
  <c r="CG25" i="157"/>
  <c r="CD25" i="157"/>
  <c r="CA25" i="157"/>
  <c r="BX25" i="157"/>
  <c r="BU25" i="157"/>
  <c r="BR25" i="157"/>
  <c r="BO25" i="157"/>
  <c r="BL25" i="157"/>
  <c r="BI25" i="157"/>
  <c r="BF25" i="157"/>
  <c r="BC25" i="157"/>
  <c r="AZ25" i="157"/>
  <c r="AW25" i="157"/>
  <c r="AT25" i="157"/>
  <c r="AQ25" i="157"/>
  <c r="AO25" i="157"/>
  <c r="AL25" i="157"/>
  <c r="AN25" i="157" s="1"/>
  <c r="AI25" i="157"/>
  <c r="AK25" i="157" s="1"/>
  <c r="AB25" i="157"/>
  <c r="Y25" i="157"/>
  <c r="V25" i="157"/>
  <c r="S25" i="157"/>
  <c r="P25" i="157"/>
  <c r="M25" i="157"/>
  <c r="J25" i="157"/>
  <c r="G25" i="157"/>
  <c r="D25" i="157"/>
  <c r="EL24" i="157"/>
  <c r="EG24" i="157"/>
  <c r="EI24" i="157" s="1"/>
  <c r="DW24" i="157"/>
  <c r="DT24" i="157"/>
  <c r="DQ24" i="157"/>
  <c r="DN24" i="157"/>
  <c r="DK24" i="157"/>
  <c r="DH24" i="157"/>
  <c r="DE24" i="157"/>
  <c r="DB24" i="157"/>
  <c r="CY24" i="157"/>
  <c r="CV24" i="157"/>
  <c r="CS24" i="157"/>
  <c r="CP24" i="157"/>
  <c r="CM24" i="157"/>
  <c r="CJ24" i="157"/>
  <c r="CG24" i="157"/>
  <c r="CD24" i="157"/>
  <c r="CA24" i="157"/>
  <c r="BX24" i="157"/>
  <c r="BU24" i="157"/>
  <c r="BR24" i="157"/>
  <c r="BO24" i="157"/>
  <c r="BL24" i="157"/>
  <c r="BI24" i="157"/>
  <c r="BF24" i="157"/>
  <c r="BC24" i="157"/>
  <c r="AZ24" i="157"/>
  <c r="AW24" i="157"/>
  <c r="AT24" i="157"/>
  <c r="AQ24" i="157"/>
  <c r="AL24" i="157"/>
  <c r="EB24" i="157" s="1"/>
  <c r="AK24" i="157"/>
  <c r="AI24" i="157"/>
  <c r="EH24" i="157"/>
  <c r="AB24" i="157"/>
  <c r="Y24" i="157"/>
  <c r="V24" i="157"/>
  <c r="S24" i="157"/>
  <c r="P24" i="157"/>
  <c r="M24" i="157"/>
  <c r="J24" i="157"/>
  <c r="G24" i="157"/>
  <c r="D24" i="157"/>
  <c r="EL23" i="157"/>
  <c r="EI23" i="157"/>
  <c r="EG23" i="157"/>
  <c r="EB23" i="157"/>
  <c r="DW23" i="157"/>
  <c r="DT23" i="157"/>
  <c r="DQ23" i="157"/>
  <c r="EM23" i="157" s="1"/>
  <c r="DN23" i="157"/>
  <c r="DK23" i="157"/>
  <c r="DH23" i="157"/>
  <c r="DE23" i="157"/>
  <c r="DB23" i="157"/>
  <c r="CY23" i="157"/>
  <c r="CV23" i="157"/>
  <c r="CS23" i="157"/>
  <c r="CP23" i="157"/>
  <c r="CM23" i="157"/>
  <c r="CJ23" i="157"/>
  <c r="CG23" i="157"/>
  <c r="CD23" i="157"/>
  <c r="CA23" i="157"/>
  <c r="BX23" i="157"/>
  <c r="BU23" i="157"/>
  <c r="BR23" i="157"/>
  <c r="BO23" i="157"/>
  <c r="BL23" i="157"/>
  <c r="BI23" i="157"/>
  <c r="BF23" i="157"/>
  <c r="BC23" i="157"/>
  <c r="AZ23" i="157"/>
  <c r="AW23" i="157"/>
  <c r="AT23" i="157"/>
  <c r="AQ23" i="157"/>
  <c r="AN23" i="157"/>
  <c r="AL23" i="157"/>
  <c r="EK23" i="157" s="1"/>
  <c r="EN23" i="157" s="1"/>
  <c r="AK23" i="157"/>
  <c r="AI23" i="157"/>
  <c r="AB23" i="157"/>
  <c r="Y23" i="157"/>
  <c r="V23" i="157"/>
  <c r="S23" i="157"/>
  <c r="P23" i="157"/>
  <c r="M23" i="157"/>
  <c r="J23" i="157"/>
  <c r="G23" i="157"/>
  <c r="D23" i="157"/>
  <c r="EL22" i="157"/>
  <c r="EI22" i="157"/>
  <c r="EG22" i="157"/>
  <c r="DW22" i="157"/>
  <c r="DT22" i="157"/>
  <c r="DQ22" i="157"/>
  <c r="DN22" i="157"/>
  <c r="DK22" i="157"/>
  <c r="DH22" i="157"/>
  <c r="DE22" i="157"/>
  <c r="DB22" i="157"/>
  <c r="CY22" i="157"/>
  <c r="CV22" i="157"/>
  <c r="CS22" i="157"/>
  <c r="CP22" i="157"/>
  <c r="CM22" i="157"/>
  <c r="CJ22" i="157"/>
  <c r="CG22" i="157"/>
  <c r="CD22" i="157"/>
  <c r="CA22" i="157"/>
  <c r="BX22" i="157"/>
  <c r="BU22" i="157"/>
  <c r="BR22" i="157"/>
  <c r="BO22" i="157"/>
  <c r="BL22" i="157"/>
  <c r="BI22" i="157"/>
  <c r="BF22" i="157"/>
  <c r="BC22" i="157"/>
  <c r="AZ22" i="157"/>
  <c r="AW22" i="157"/>
  <c r="AT22" i="157"/>
  <c r="AQ22" i="157"/>
  <c r="AL22" i="157"/>
  <c r="EK22" i="157" s="1"/>
  <c r="AI22" i="157"/>
  <c r="AK22" i="157" s="1"/>
  <c r="AB22" i="157"/>
  <c r="Y22" i="157"/>
  <c r="V22" i="157"/>
  <c r="S22" i="157"/>
  <c r="P22" i="157"/>
  <c r="M22" i="157"/>
  <c r="J22" i="157"/>
  <c r="G22" i="157"/>
  <c r="D22" i="157"/>
  <c r="EL21" i="157"/>
  <c r="EG21" i="157"/>
  <c r="EI21" i="157" s="1"/>
  <c r="DW21" i="157"/>
  <c r="DT21" i="157"/>
  <c r="DQ21" i="157"/>
  <c r="DN21" i="157"/>
  <c r="DK21" i="157"/>
  <c r="DH21" i="157"/>
  <c r="DE21" i="157"/>
  <c r="DB21" i="157"/>
  <c r="CY21" i="157"/>
  <c r="CV21" i="157"/>
  <c r="CS21" i="157"/>
  <c r="CP21" i="157"/>
  <c r="CM21" i="157"/>
  <c r="CJ21" i="157"/>
  <c r="CG21" i="157"/>
  <c r="CD21" i="157"/>
  <c r="CA21" i="157"/>
  <c r="BX21" i="157"/>
  <c r="BU21" i="157"/>
  <c r="BR21" i="157"/>
  <c r="BO21" i="157"/>
  <c r="BL21" i="157"/>
  <c r="BI21" i="157"/>
  <c r="BF21" i="157"/>
  <c r="BC21" i="157"/>
  <c r="AZ21" i="157"/>
  <c r="AW21" i="157"/>
  <c r="AT21" i="157"/>
  <c r="AQ21" i="157"/>
  <c r="AL21" i="157"/>
  <c r="EB21" i="157" s="1"/>
  <c r="AK21" i="157"/>
  <c r="AI21" i="157"/>
  <c r="AB21" i="157"/>
  <c r="Y21" i="157"/>
  <c r="V21" i="157"/>
  <c r="S21" i="157"/>
  <c r="P21" i="157"/>
  <c r="M21" i="157"/>
  <c r="J21" i="157"/>
  <c r="G21" i="157"/>
  <c r="D21" i="157"/>
  <c r="EL20" i="157"/>
  <c r="EI20" i="157"/>
  <c r="EG20" i="157"/>
  <c r="EB20" i="157"/>
  <c r="DW20" i="157"/>
  <c r="DT20" i="157"/>
  <c r="DQ20" i="157"/>
  <c r="EM20" i="157" s="1"/>
  <c r="DN20" i="157"/>
  <c r="DK20" i="157"/>
  <c r="DH20" i="157"/>
  <c r="DE20" i="157"/>
  <c r="DB20" i="157"/>
  <c r="CY20" i="157"/>
  <c r="CV20" i="157"/>
  <c r="CS20" i="157"/>
  <c r="CP20" i="157"/>
  <c r="CM20" i="157"/>
  <c r="CJ20" i="157"/>
  <c r="CG20" i="157"/>
  <c r="CD20" i="157"/>
  <c r="CA20" i="157"/>
  <c r="BX20" i="157"/>
  <c r="BU20" i="157"/>
  <c r="BR20" i="157"/>
  <c r="BO20" i="157"/>
  <c r="BL20" i="157"/>
  <c r="BI20" i="157"/>
  <c r="BF20" i="157"/>
  <c r="BC20" i="157"/>
  <c r="AZ20" i="157"/>
  <c r="AW20" i="157"/>
  <c r="AT20" i="157"/>
  <c r="AQ20" i="157"/>
  <c r="AN20" i="157"/>
  <c r="AL20" i="157"/>
  <c r="EK20" i="157" s="1"/>
  <c r="AK20" i="157"/>
  <c r="AI20" i="157"/>
  <c r="AB20" i="157"/>
  <c r="Y20" i="157"/>
  <c r="V20" i="157"/>
  <c r="S20" i="157"/>
  <c r="P20" i="157"/>
  <c r="M20" i="157"/>
  <c r="J20" i="157"/>
  <c r="G20" i="157"/>
  <c r="D20" i="157"/>
  <c r="EL19" i="157"/>
  <c r="EI19" i="157"/>
  <c r="EG19" i="157"/>
  <c r="DW19" i="157"/>
  <c r="DT19" i="157"/>
  <c r="DQ19" i="157"/>
  <c r="DN19" i="157"/>
  <c r="DK19" i="157"/>
  <c r="DH19" i="157"/>
  <c r="DE19" i="157"/>
  <c r="DB19" i="157"/>
  <c r="CY19" i="157"/>
  <c r="CV19" i="157"/>
  <c r="CS19" i="157"/>
  <c r="CP19" i="157"/>
  <c r="CM19" i="157"/>
  <c r="CJ19" i="157"/>
  <c r="CG19" i="157"/>
  <c r="CD19" i="157"/>
  <c r="CA19" i="157"/>
  <c r="BX19" i="157"/>
  <c r="BU19" i="157"/>
  <c r="BR19" i="157"/>
  <c r="BO19" i="157"/>
  <c r="BL19" i="157"/>
  <c r="BI19" i="157"/>
  <c r="BF19" i="157"/>
  <c r="BC19" i="157"/>
  <c r="AZ19" i="157"/>
  <c r="AW19" i="157"/>
  <c r="AT19" i="157"/>
  <c r="AQ19" i="157"/>
  <c r="AL19" i="157"/>
  <c r="EK19" i="157" s="1"/>
  <c r="AI19" i="157"/>
  <c r="AK19" i="157" s="1"/>
  <c r="AB19" i="157"/>
  <c r="Y19" i="157"/>
  <c r="V19" i="157"/>
  <c r="S19" i="157"/>
  <c r="P19" i="157"/>
  <c r="M19" i="157"/>
  <c r="J19" i="157"/>
  <c r="G19" i="157"/>
  <c r="D19" i="157"/>
  <c r="EL18" i="157"/>
  <c r="EG18" i="157"/>
  <c r="EI18" i="157" s="1"/>
  <c r="DW18" i="157"/>
  <c r="DT18" i="157"/>
  <c r="DQ18" i="157"/>
  <c r="DN18" i="157"/>
  <c r="DK18" i="157"/>
  <c r="DH18" i="157"/>
  <c r="DE18" i="157"/>
  <c r="DB18" i="157"/>
  <c r="CY18" i="157"/>
  <c r="CV18" i="157"/>
  <c r="CS18" i="157"/>
  <c r="CP18" i="157"/>
  <c r="CM18" i="157"/>
  <c r="CJ18" i="157"/>
  <c r="CG18" i="157"/>
  <c r="CD18" i="157"/>
  <c r="CA18" i="157"/>
  <c r="BX18" i="157"/>
  <c r="BU18" i="157"/>
  <c r="BR18" i="157"/>
  <c r="BO18" i="157"/>
  <c r="BL18" i="157"/>
  <c r="BI18" i="157"/>
  <c r="BF18" i="157"/>
  <c r="BC18" i="157"/>
  <c r="AZ18" i="157"/>
  <c r="AW18" i="157"/>
  <c r="AT18" i="157"/>
  <c r="AQ18" i="157"/>
  <c r="AL18" i="157"/>
  <c r="EB18" i="157" s="1"/>
  <c r="AK18" i="157"/>
  <c r="AI18" i="157"/>
  <c r="EH18" i="157"/>
  <c r="AB18" i="157"/>
  <c r="Y18" i="157"/>
  <c r="V18" i="157"/>
  <c r="S18" i="157"/>
  <c r="P18" i="157"/>
  <c r="M18" i="157"/>
  <c r="J18" i="157"/>
  <c r="G18" i="157"/>
  <c r="D18" i="157"/>
  <c r="EL17" i="157"/>
  <c r="EI17" i="157"/>
  <c r="EG17" i="157"/>
  <c r="EB17" i="157"/>
  <c r="EC17" i="157" s="1"/>
  <c r="DW17" i="157"/>
  <c r="DT17" i="157"/>
  <c r="DQ17" i="157"/>
  <c r="DN17" i="157"/>
  <c r="DK17" i="157"/>
  <c r="DH17" i="157"/>
  <c r="DE17" i="157"/>
  <c r="DB17" i="157"/>
  <c r="CY17" i="157"/>
  <c r="CV17" i="157"/>
  <c r="CS17" i="157"/>
  <c r="CP17" i="157"/>
  <c r="CM17" i="157"/>
  <c r="CJ17" i="157"/>
  <c r="CG17" i="157"/>
  <c r="CD17" i="157"/>
  <c r="CA17" i="157"/>
  <c r="BX17" i="157"/>
  <c r="BU17" i="157"/>
  <c r="BR17" i="157"/>
  <c r="BO17" i="157"/>
  <c r="BL17" i="157"/>
  <c r="BI17" i="157"/>
  <c r="BF17" i="157"/>
  <c r="BC17" i="157"/>
  <c r="AZ17" i="157"/>
  <c r="AW17" i="157"/>
  <c r="AT17" i="157"/>
  <c r="AQ17" i="157"/>
  <c r="AN17" i="157"/>
  <c r="AL17" i="157"/>
  <c r="EK17" i="157" s="1"/>
  <c r="AI17" i="157"/>
  <c r="AK17" i="157" s="1"/>
  <c r="AB17" i="157"/>
  <c r="Y17" i="157"/>
  <c r="V17" i="157"/>
  <c r="S17" i="157"/>
  <c r="P17" i="157"/>
  <c r="M17" i="157"/>
  <c r="J17" i="157"/>
  <c r="G17" i="157"/>
  <c r="D17" i="157"/>
  <c r="EL16" i="157"/>
  <c r="EK16" i="157"/>
  <c r="EI16" i="157"/>
  <c r="EG16" i="157"/>
  <c r="EB16" i="157"/>
  <c r="DW16" i="157"/>
  <c r="DT16" i="157"/>
  <c r="DQ16" i="157"/>
  <c r="EM16" i="157" s="1"/>
  <c r="DN16" i="157"/>
  <c r="DK16" i="157"/>
  <c r="DH16" i="157"/>
  <c r="DE16" i="157"/>
  <c r="DB16" i="157"/>
  <c r="CY16" i="157"/>
  <c r="CV16" i="157"/>
  <c r="CS16" i="157"/>
  <c r="CP16" i="157"/>
  <c r="CM16" i="157"/>
  <c r="CJ16" i="157"/>
  <c r="CG16" i="157"/>
  <c r="CD16" i="157"/>
  <c r="CA16" i="157"/>
  <c r="BX16" i="157"/>
  <c r="BU16" i="157"/>
  <c r="BR16" i="157"/>
  <c r="BO16" i="157"/>
  <c r="BL16" i="157"/>
  <c r="BI16" i="157"/>
  <c r="BF16" i="157"/>
  <c r="BC16" i="157"/>
  <c r="AZ16" i="157"/>
  <c r="AW16" i="157"/>
  <c r="AT16" i="157"/>
  <c r="AQ16" i="157"/>
  <c r="AN16" i="157"/>
  <c r="AK16" i="157"/>
  <c r="AI16" i="157"/>
  <c r="AB16" i="157"/>
  <c r="Y16" i="157"/>
  <c r="V16" i="157"/>
  <c r="S16" i="157"/>
  <c r="P16" i="157"/>
  <c r="M16" i="157"/>
  <c r="J16" i="157"/>
  <c r="G16" i="157"/>
  <c r="D16" i="157"/>
  <c r="EL15" i="157"/>
  <c r="EG15" i="157"/>
  <c r="EI15" i="157" s="1"/>
  <c r="DW15" i="157"/>
  <c r="DT15" i="157"/>
  <c r="DQ15" i="157"/>
  <c r="DN15" i="157"/>
  <c r="DK15" i="157"/>
  <c r="DH15" i="157"/>
  <c r="DE15" i="157"/>
  <c r="DB15" i="157"/>
  <c r="CY15" i="157"/>
  <c r="CY42" i="157" s="1"/>
  <c r="CV15" i="157"/>
  <c r="CS15" i="157"/>
  <c r="CP15" i="157"/>
  <c r="CM15" i="157"/>
  <c r="CJ15" i="157"/>
  <c r="CG15" i="157"/>
  <c r="CD15" i="157"/>
  <c r="CA15" i="157"/>
  <c r="BX15" i="157"/>
  <c r="BU15" i="157"/>
  <c r="BR15" i="157"/>
  <c r="BO15" i="157"/>
  <c r="BO42" i="157" s="1"/>
  <c r="BL15" i="157"/>
  <c r="BI15" i="157"/>
  <c r="BF15" i="157"/>
  <c r="BC15" i="157"/>
  <c r="AZ15" i="157"/>
  <c r="AW15" i="157"/>
  <c r="AT15" i="157"/>
  <c r="AQ15" i="157"/>
  <c r="AN15" i="157"/>
  <c r="AI15" i="157"/>
  <c r="EB15" i="157" s="1"/>
  <c r="AB15" i="157"/>
  <c r="Y15" i="157"/>
  <c r="V15" i="157"/>
  <c r="S15" i="157"/>
  <c r="P15" i="157"/>
  <c r="M15" i="157"/>
  <c r="J15" i="157"/>
  <c r="G15" i="157"/>
  <c r="D15" i="157"/>
  <c r="EL14" i="157"/>
  <c r="EK14" i="157"/>
  <c r="EG14" i="157"/>
  <c r="EI14" i="157" s="1"/>
  <c r="DW14" i="157"/>
  <c r="DT14" i="157"/>
  <c r="DQ14" i="157"/>
  <c r="DN14" i="157"/>
  <c r="DK14" i="157"/>
  <c r="DH14" i="157"/>
  <c r="DE14" i="157"/>
  <c r="DB14" i="157"/>
  <c r="CY14" i="157"/>
  <c r="CV14" i="157"/>
  <c r="CS14" i="157"/>
  <c r="CP14" i="157"/>
  <c r="CM14" i="157"/>
  <c r="CJ14" i="157"/>
  <c r="CG14" i="157"/>
  <c r="CD14" i="157"/>
  <c r="CA14" i="157"/>
  <c r="BX14" i="157"/>
  <c r="BU14" i="157"/>
  <c r="BR14" i="157"/>
  <c r="BO14" i="157"/>
  <c r="BL14" i="157"/>
  <c r="BI14" i="157"/>
  <c r="BF14" i="157"/>
  <c r="BC14" i="157"/>
  <c r="AZ14" i="157"/>
  <c r="AW14" i="157"/>
  <c r="AT14" i="157"/>
  <c r="AQ14" i="157"/>
  <c r="AN14" i="157"/>
  <c r="AI14" i="157"/>
  <c r="AK14" i="157" s="1"/>
  <c r="AB14" i="157"/>
  <c r="Y14" i="157"/>
  <c r="V14" i="157"/>
  <c r="S14" i="157"/>
  <c r="P14" i="157"/>
  <c r="M14" i="157"/>
  <c r="J14" i="157"/>
  <c r="G14" i="157"/>
  <c r="D14" i="157"/>
  <c r="EL13" i="157"/>
  <c r="EI13" i="157"/>
  <c r="EG13" i="157"/>
  <c r="DW13" i="157"/>
  <c r="DT13" i="157"/>
  <c r="DQ13" i="157"/>
  <c r="EM13" i="157" s="1"/>
  <c r="DN13" i="157"/>
  <c r="DK13" i="157"/>
  <c r="DH13" i="157"/>
  <c r="DE13" i="157"/>
  <c r="DB13" i="157"/>
  <c r="CY13" i="157"/>
  <c r="CV13" i="157"/>
  <c r="CS13" i="157"/>
  <c r="CP13" i="157"/>
  <c r="CM13" i="157"/>
  <c r="CJ13" i="157"/>
  <c r="CG13" i="157"/>
  <c r="CD13" i="157"/>
  <c r="CA13" i="157"/>
  <c r="BX13" i="157"/>
  <c r="BU13" i="157"/>
  <c r="BR13" i="157"/>
  <c r="BO13" i="157"/>
  <c r="BL13" i="157"/>
  <c r="BI13" i="157"/>
  <c r="BF13" i="157"/>
  <c r="BC13" i="157"/>
  <c r="AZ13" i="157"/>
  <c r="AW13" i="157"/>
  <c r="AT13" i="157"/>
  <c r="AQ13" i="157"/>
  <c r="AN13" i="157"/>
  <c r="AK13" i="157"/>
  <c r="AI13" i="157"/>
  <c r="EB13" i="157" s="1"/>
  <c r="EH13" i="157"/>
  <c r="AB13" i="157"/>
  <c r="Y13" i="157"/>
  <c r="V13" i="157"/>
  <c r="S13" i="157"/>
  <c r="P13" i="157"/>
  <c r="M13" i="157"/>
  <c r="J13" i="157"/>
  <c r="G13" i="157"/>
  <c r="D13" i="157"/>
  <c r="EL12" i="157"/>
  <c r="EG12" i="157"/>
  <c r="EI12" i="157" s="1"/>
  <c r="EB12" i="157"/>
  <c r="DW12" i="157"/>
  <c r="DT12" i="157"/>
  <c r="DQ12" i="157"/>
  <c r="DN12" i="157"/>
  <c r="DK12" i="157"/>
  <c r="DH12" i="157"/>
  <c r="DE12" i="157"/>
  <c r="DB12" i="157"/>
  <c r="CY12" i="157"/>
  <c r="CV12" i="157"/>
  <c r="CS12" i="157"/>
  <c r="CP12" i="157"/>
  <c r="CM12" i="157"/>
  <c r="CJ12" i="157"/>
  <c r="CG12" i="157"/>
  <c r="CD12" i="157"/>
  <c r="CA12" i="157"/>
  <c r="BX12" i="157"/>
  <c r="BU12" i="157"/>
  <c r="BR12" i="157"/>
  <c r="BO12" i="157"/>
  <c r="BL12" i="157"/>
  <c r="BI12" i="157"/>
  <c r="BF12" i="157"/>
  <c r="BC12" i="157"/>
  <c r="AZ12" i="157"/>
  <c r="AW12" i="157"/>
  <c r="AT12" i="157"/>
  <c r="AQ12" i="157"/>
  <c r="AN12" i="157"/>
  <c r="AI12" i="157"/>
  <c r="EK12" i="157" s="1"/>
  <c r="AB12" i="157"/>
  <c r="Y12" i="157"/>
  <c r="V12" i="157"/>
  <c r="S12" i="157"/>
  <c r="P12" i="157"/>
  <c r="M12" i="157"/>
  <c r="J12" i="157"/>
  <c r="G12" i="157"/>
  <c r="D12" i="157"/>
  <c r="A12" i="157"/>
  <c r="A13" i="157" s="1"/>
  <c r="A14" i="157" s="1"/>
  <c r="A15" i="157" s="1"/>
  <c r="A16" i="157" s="1"/>
  <c r="A17" i="157" s="1"/>
  <c r="A18" i="157" s="1"/>
  <c r="A19" i="157" s="1"/>
  <c r="A20" i="157" s="1"/>
  <c r="A21" i="157" s="1"/>
  <c r="A22" i="157" s="1"/>
  <c r="A23" i="157" s="1"/>
  <c r="A24" i="157" s="1"/>
  <c r="A25" i="157" s="1"/>
  <c r="A26" i="157" s="1"/>
  <c r="A27" i="157" s="1"/>
  <c r="A28" i="157" s="1"/>
  <c r="A29" i="157" s="1"/>
  <c r="A30" i="157" s="1"/>
  <c r="A31" i="157" s="1"/>
  <c r="A32" i="157" s="1"/>
  <c r="A33" i="157" s="1"/>
  <c r="A34" i="157" s="1"/>
  <c r="A35" i="157" s="1"/>
  <c r="A36" i="157" s="1"/>
  <c r="A37" i="157" s="1"/>
  <c r="A38" i="157" s="1"/>
  <c r="A39" i="157" s="1"/>
  <c r="A40" i="157" s="1"/>
  <c r="A41" i="157" s="1"/>
  <c r="EL11" i="157"/>
  <c r="EK11" i="157"/>
  <c r="EG11" i="157"/>
  <c r="EI11" i="157" s="1"/>
  <c r="DW11" i="157"/>
  <c r="DW42" i="157" s="1"/>
  <c r="DT11" i="157"/>
  <c r="DT42" i="157" s="1"/>
  <c r="DQ11" i="157"/>
  <c r="DQ42" i="157" s="1"/>
  <c r="DN11" i="157"/>
  <c r="DN42" i="157" s="1"/>
  <c r="DK11" i="157"/>
  <c r="DK42" i="157" s="1"/>
  <c r="DH11" i="157"/>
  <c r="DH42" i="157" s="1"/>
  <c r="DE11" i="157"/>
  <c r="DE42" i="157" s="1"/>
  <c r="DB11" i="157"/>
  <c r="DB42" i="157" s="1"/>
  <c r="CY11" i="157"/>
  <c r="CV11" i="157"/>
  <c r="CV42" i="157" s="1"/>
  <c r="CS11" i="157"/>
  <c r="CS42" i="157" s="1"/>
  <c r="CP11" i="157"/>
  <c r="CP42" i="157" s="1"/>
  <c r="CM11" i="157"/>
  <c r="CM42" i="157" s="1"/>
  <c r="CJ11" i="157"/>
  <c r="CJ42" i="157" s="1"/>
  <c r="CG11" i="157"/>
  <c r="CG42" i="157" s="1"/>
  <c r="CD11" i="157"/>
  <c r="CD42" i="157" s="1"/>
  <c r="CA11" i="157"/>
  <c r="CA42" i="157" s="1"/>
  <c r="BX11" i="157"/>
  <c r="BX42" i="157" s="1"/>
  <c r="BU11" i="157"/>
  <c r="BU42" i="157" s="1"/>
  <c r="BR11" i="157"/>
  <c r="BR42" i="157" s="1"/>
  <c r="BO11" i="157"/>
  <c r="BL11" i="157"/>
  <c r="BL42" i="157" s="1"/>
  <c r="BI11" i="157"/>
  <c r="BI42" i="157" s="1"/>
  <c r="BF11" i="157"/>
  <c r="BF42" i="157" s="1"/>
  <c r="BC11" i="157"/>
  <c r="BC42" i="157" s="1"/>
  <c r="AZ11" i="157"/>
  <c r="AZ42" i="157" s="1"/>
  <c r="AW11" i="157"/>
  <c r="AW42" i="157" s="1"/>
  <c r="AT11" i="157"/>
  <c r="AT42" i="157" s="1"/>
  <c r="AQ11" i="157"/>
  <c r="AN11" i="157"/>
  <c r="AI11" i="157"/>
  <c r="AK11" i="157" s="1"/>
  <c r="AB11" i="157"/>
  <c r="AB42" i="157" s="1"/>
  <c r="Y11" i="157"/>
  <c r="Y42" i="157" s="1"/>
  <c r="V11" i="157"/>
  <c r="V42" i="157" s="1"/>
  <c r="S11" i="157"/>
  <c r="P11" i="157"/>
  <c r="P42" i="157" s="1"/>
  <c r="M11" i="157"/>
  <c r="M42" i="157" s="1"/>
  <c r="J11" i="157"/>
  <c r="J42" i="157" s="1"/>
  <c r="G11" i="157"/>
  <c r="G42" i="157" s="1"/>
  <c r="D11" i="157"/>
  <c r="EI2" i="157"/>
  <c r="EH38" i="157" l="1"/>
  <c r="EH25" i="157"/>
  <c r="EH31" i="157"/>
  <c r="EH30" i="157"/>
  <c r="EH28" i="157"/>
  <c r="ED16" i="157"/>
  <c r="ED25" i="157"/>
  <c r="EH16" i="157"/>
  <c r="EH21" i="157"/>
  <c r="EH23" i="157"/>
  <c r="ED20" i="157"/>
  <c r="EE20" i="157" s="1"/>
  <c r="EE16" i="157"/>
  <c r="EH22" i="157"/>
  <c r="EH15" i="157"/>
  <c r="AE42" i="157"/>
  <c r="EH11" i="157"/>
  <c r="EH17" i="157"/>
  <c r="EH37" i="157"/>
  <c r="ED13" i="157"/>
  <c r="EE13" i="157" s="1"/>
  <c r="ED33" i="157"/>
  <c r="AH42" i="157"/>
  <c r="EH20" i="157"/>
  <c r="EH34" i="157"/>
  <c r="EH41" i="157"/>
  <c r="EH33" i="157"/>
  <c r="ED37" i="157"/>
  <c r="EH14" i="157"/>
  <c r="ED23" i="157"/>
  <c r="EE23" i="157" s="1"/>
  <c r="EH27" i="157"/>
  <c r="EH19" i="157"/>
  <c r="EH26" i="157"/>
  <c r="ED29" i="157"/>
  <c r="EH12" i="157"/>
  <c r="EH39" i="157"/>
  <c r="EC27" i="157"/>
  <c r="EN34" i="157"/>
  <c r="ED39" i="157"/>
  <c r="EE39" i="157" s="1"/>
  <c r="EN20" i="157"/>
  <c r="EC21" i="157"/>
  <c r="ED34" i="157"/>
  <c r="EC40" i="157"/>
  <c r="EM24" i="157"/>
  <c r="ED14" i="157"/>
  <c r="EM29" i="157"/>
  <c r="EN29" i="157" s="1"/>
  <c r="ED31" i="157"/>
  <c r="EE31" i="157" s="1"/>
  <c r="EN2" i="157"/>
  <c r="EP2" i="157" s="1"/>
  <c r="EN37" i="157"/>
  <c r="EN27" i="157"/>
  <c r="EC32" i="157"/>
  <c r="EM14" i="157"/>
  <c r="EN14" i="157" s="1"/>
  <c r="EN16" i="157"/>
  <c r="EC39" i="157"/>
  <c r="EC35" i="157"/>
  <c r="EC23" i="157"/>
  <c r="ED11" i="157"/>
  <c r="ED17" i="157"/>
  <c r="EE17" i="157" s="1"/>
  <c r="EC18" i="157"/>
  <c r="EM27" i="157"/>
  <c r="EC31" i="157"/>
  <c r="EM21" i="157"/>
  <c r="EM34" i="157"/>
  <c r="EM40" i="157"/>
  <c r="EN40" i="157" s="1"/>
  <c r="AN42" i="157"/>
  <c r="EM12" i="157"/>
  <c r="EN12" i="157" s="1"/>
  <c r="ED24" i="157"/>
  <c r="EE24" i="157" s="1"/>
  <c r="EM33" i="157"/>
  <c r="EC36" i="157"/>
  <c r="ED36" i="157"/>
  <c r="EE36" i="157" s="1"/>
  <c r="EC15" i="157"/>
  <c r="ED15" i="157"/>
  <c r="EE15" i="157" s="1"/>
  <c r="EM17" i="157"/>
  <c r="EN17" i="157" s="1"/>
  <c r="EM25" i="157"/>
  <c r="EN25" i="157" s="1"/>
  <c r="ED27" i="157"/>
  <c r="EE27" i="157" s="1"/>
  <c r="EN33" i="157"/>
  <c r="EC20" i="157"/>
  <c r="AN28" i="157"/>
  <c r="ED28" i="157" s="1"/>
  <c r="EE28" i="157" s="1"/>
  <c r="AN32" i="157"/>
  <c r="ED32" i="157" s="1"/>
  <c r="EE32" i="157" s="1"/>
  <c r="AN36" i="157"/>
  <c r="EM36" i="157" s="1"/>
  <c r="EM11" i="157"/>
  <c r="EK13" i="157"/>
  <c r="EN13" i="157" s="1"/>
  <c r="EB14" i="157"/>
  <c r="AK15" i="157"/>
  <c r="EM15" i="157" s="1"/>
  <c r="AN18" i="157"/>
  <c r="ED18" i="157" s="1"/>
  <c r="EE18" i="157" s="1"/>
  <c r="AN21" i="157"/>
  <c r="ED21" i="157" s="1"/>
  <c r="EE21" i="157" s="1"/>
  <c r="AN24" i="157"/>
  <c r="EB26" i="157"/>
  <c r="AK27" i="157"/>
  <c r="EB30" i="157"/>
  <c r="AK31" i="157"/>
  <c r="EM31" i="157" s="1"/>
  <c r="EN31" i="157" s="1"/>
  <c r="EB34" i="157"/>
  <c r="AK35" i="157"/>
  <c r="EM35" i="157" s="1"/>
  <c r="EN35" i="157" s="1"/>
  <c r="EB38" i="157"/>
  <c r="AK39" i="157"/>
  <c r="EM39" i="157" s="1"/>
  <c r="EN39" i="157" s="1"/>
  <c r="AQ40" i="157"/>
  <c r="ED40" i="157" s="1"/>
  <c r="EE40" i="157" s="1"/>
  <c r="EK18" i="157"/>
  <c r="EK21" i="157"/>
  <c r="EK24" i="157"/>
  <c r="EN24" i="157" s="1"/>
  <c r="EK28" i="157"/>
  <c r="EK32" i="157"/>
  <c r="EK36" i="157"/>
  <c r="D42" i="157"/>
  <c r="EC12" i="157"/>
  <c r="EB19" i="157"/>
  <c r="EB22" i="157"/>
  <c r="EB41" i="157"/>
  <c r="EK15" i="157"/>
  <c r="EB11" i="157"/>
  <c r="AK12" i="157"/>
  <c r="AK42" i="157" s="1"/>
  <c r="EC16" i="157"/>
  <c r="EB25" i="157"/>
  <c r="EB29" i="157"/>
  <c r="EB33" i="157"/>
  <c r="EB37" i="157"/>
  <c r="EI5" i="157"/>
  <c r="AN26" i="157"/>
  <c r="ED26" i="157" s="1"/>
  <c r="AN30" i="157"/>
  <c r="EM30" i="157" s="1"/>
  <c r="EN30" i="157" s="1"/>
  <c r="AN34" i="157"/>
  <c r="AN38" i="157"/>
  <c r="ED38" i="157" s="1"/>
  <c r="S42" i="157"/>
  <c r="EI3" i="157"/>
  <c r="EI4" i="157" s="1"/>
  <c r="AN19" i="157"/>
  <c r="ED19" i="157" s="1"/>
  <c r="AN22" i="157"/>
  <c r="EM22" i="157" s="1"/>
  <c r="EN22" i="157" s="1"/>
  <c r="AQ41" i="157"/>
  <c r="ED41" i="157" s="1"/>
  <c r="EH42" i="157" l="1"/>
  <c r="EE14" i="157"/>
  <c r="EC14" i="157"/>
  <c r="AQ42" i="157"/>
  <c r="ED22" i="157"/>
  <c r="EE22" i="157" s="1"/>
  <c r="ED12" i="157"/>
  <c r="EE12" i="157" s="1"/>
  <c r="EN36" i="157"/>
  <c r="EE29" i="157"/>
  <c r="EC29" i="157"/>
  <c r="EN32" i="157"/>
  <c r="EE34" i="157"/>
  <c r="EC34" i="157"/>
  <c r="EM18" i="157"/>
  <c r="EN18" i="157" s="1"/>
  <c r="EE25" i="157"/>
  <c r="EC25" i="157"/>
  <c r="EM32" i="157"/>
  <c r="EM41" i="157"/>
  <c r="EN41" i="157" s="1"/>
  <c r="EN3" i="157"/>
  <c r="EC30" i="157"/>
  <c r="ED30" i="157"/>
  <c r="EE30" i="157" s="1"/>
  <c r="EM26" i="157"/>
  <c r="EN26" i="157" s="1"/>
  <c r="EN5" i="157"/>
  <c r="EE3" i="157"/>
  <c r="EE11" i="157"/>
  <c r="EC11" i="157"/>
  <c r="EE5" i="157"/>
  <c r="G7" i="157" s="1"/>
  <c r="EN21" i="157"/>
  <c r="EE26" i="157"/>
  <c r="EC26" i="157"/>
  <c r="EM38" i="157"/>
  <c r="EN38" i="157" s="1"/>
  <c r="EC24" i="157"/>
  <c r="ED35" i="157"/>
  <c r="EE35" i="157" s="1"/>
  <c r="EM28" i="157"/>
  <c r="EN28" i="157" s="1"/>
  <c r="EM19" i="157"/>
  <c r="EN19" i="157" s="1"/>
  <c r="EN15" i="157"/>
  <c r="EE37" i="157"/>
  <c r="EC37" i="157"/>
  <c r="EE41" i="157"/>
  <c r="EC41" i="157"/>
  <c r="EE2" i="157"/>
  <c r="EQ2" i="157" s="1"/>
  <c r="G4" i="157" s="1"/>
  <c r="EC22" i="157"/>
  <c r="EN11" i="157"/>
  <c r="EC28" i="157"/>
  <c r="EC13" i="157"/>
  <c r="EE38" i="157"/>
  <c r="EC38" i="157"/>
  <c r="EE33" i="157"/>
  <c r="EC33" i="157"/>
  <c r="EE19" i="157"/>
  <c r="EC19" i="157"/>
  <c r="EM42" i="157" l="1"/>
  <c r="ED42" i="157"/>
  <c r="G5" i="157"/>
  <c r="EE4" i="157"/>
  <c r="G6" i="157" s="1"/>
  <c r="EN4" i="157"/>
  <c r="EL41" i="156" l="1"/>
  <c r="EI41" i="156"/>
  <c r="EG41" i="156"/>
  <c r="EB41" i="156"/>
  <c r="DW41" i="156"/>
  <c r="DT41" i="156"/>
  <c r="EM41" i="156" s="1"/>
  <c r="DQ41" i="156"/>
  <c r="DN41" i="156"/>
  <c r="DK41" i="156"/>
  <c r="DH41" i="156"/>
  <c r="DE41" i="156"/>
  <c r="DB41" i="156"/>
  <c r="CY41" i="156"/>
  <c r="CV41" i="156"/>
  <c r="CS41" i="156"/>
  <c r="CP41" i="156"/>
  <c r="CM41" i="156"/>
  <c r="CJ41" i="156"/>
  <c r="CG41" i="156"/>
  <c r="CD41" i="156"/>
  <c r="CA41" i="156"/>
  <c r="BX41" i="156"/>
  <c r="BU41" i="156"/>
  <c r="BR41" i="156"/>
  <c r="BO41" i="156"/>
  <c r="BL41" i="156"/>
  <c r="BI41" i="156"/>
  <c r="BF41" i="156"/>
  <c r="BC41" i="156"/>
  <c r="AZ41" i="156"/>
  <c r="AW41" i="156"/>
  <c r="AT41" i="156"/>
  <c r="AQ41" i="156"/>
  <c r="AN41" i="156"/>
  <c r="AK41" i="156"/>
  <c r="AI41" i="156"/>
  <c r="EK41" i="156" s="1"/>
  <c r="AB41" i="156"/>
  <c r="Y41" i="156"/>
  <c r="V41" i="156"/>
  <c r="EH41" i="156" s="1"/>
  <c r="S41" i="156"/>
  <c r="P41" i="156"/>
  <c r="M41" i="156"/>
  <c r="J41" i="156"/>
  <c r="G41" i="156"/>
  <c r="D41" i="156"/>
  <c r="ED41" i="156" s="1"/>
  <c r="EL40" i="156"/>
  <c r="EK40" i="156"/>
  <c r="EI40" i="156"/>
  <c r="EG40" i="156"/>
  <c r="EB40" i="156"/>
  <c r="EC40" i="156" s="1"/>
  <c r="DW40" i="156"/>
  <c r="DT40" i="156"/>
  <c r="DQ40" i="156"/>
  <c r="EM40" i="156" s="1"/>
  <c r="DN40" i="156"/>
  <c r="DK40" i="156"/>
  <c r="DH40" i="156"/>
  <c r="DE40" i="156"/>
  <c r="DB40" i="156"/>
  <c r="CY40" i="156"/>
  <c r="CV40" i="156"/>
  <c r="CS40" i="156"/>
  <c r="CP40" i="156"/>
  <c r="CM40" i="156"/>
  <c r="CJ40" i="156"/>
  <c r="CG40" i="156"/>
  <c r="CD40" i="156"/>
  <c r="CA40" i="156"/>
  <c r="BX40" i="156"/>
  <c r="BU40" i="156"/>
  <c r="BR40" i="156"/>
  <c r="BO40" i="156"/>
  <c r="BL40" i="156"/>
  <c r="BI40" i="156"/>
  <c r="BF40" i="156"/>
  <c r="BC40" i="156"/>
  <c r="AZ40" i="156"/>
  <c r="AW40" i="156"/>
  <c r="AT40" i="156"/>
  <c r="AQ40" i="156"/>
  <c r="AN40" i="156"/>
  <c r="AK40" i="156"/>
  <c r="AI40" i="156"/>
  <c r="AB40" i="156"/>
  <c r="Y40" i="156"/>
  <c r="V40" i="156"/>
  <c r="EH40" i="156" s="1"/>
  <c r="S40" i="156"/>
  <c r="P40" i="156"/>
  <c r="M40" i="156"/>
  <c r="J40" i="156"/>
  <c r="G40" i="156"/>
  <c r="ED40" i="156" s="1"/>
  <c r="EE40" i="156" s="1"/>
  <c r="D40" i="156"/>
  <c r="EL39" i="156"/>
  <c r="EK39" i="156"/>
  <c r="EG39" i="156"/>
  <c r="EI39" i="156" s="1"/>
  <c r="DW39" i="156"/>
  <c r="DT39" i="156"/>
  <c r="DQ39" i="156"/>
  <c r="DN39" i="156"/>
  <c r="DK39" i="156"/>
  <c r="DH39" i="156"/>
  <c r="DE39" i="156"/>
  <c r="DB39" i="156"/>
  <c r="CY39" i="156"/>
  <c r="CV39" i="156"/>
  <c r="CS39" i="156"/>
  <c r="CP39" i="156"/>
  <c r="CM39" i="156"/>
  <c r="CJ39" i="156"/>
  <c r="CG39" i="156"/>
  <c r="CD39" i="156"/>
  <c r="CA39" i="156"/>
  <c r="BX39" i="156"/>
  <c r="BU39" i="156"/>
  <c r="BR39" i="156"/>
  <c r="BO39" i="156"/>
  <c r="BL39" i="156"/>
  <c r="BI39" i="156"/>
  <c r="BF39" i="156"/>
  <c r="BC39" i="156"/>
  <c r="AZ39" i="156"/>
  <c r="AW39" i="156"/>
  <c r="AT39" i="156"/>
  <c r="AQ39" i="156"/>
  <c r="AN39" i="156"/>
  <c r="AI39" i="156"/>
  <c r="AK39" i="156" s="1"/>
  <c r="AB39" i="156"/>
  <c r="Y39" i="156"/>
  <c r="V39" i="156"/>
  <c r="S39" i="156"/>
  <c r="P39" i="156"/>
  <c r="M39" i="156"/>
  <c r="J39" i="156"/>
  <c r="G39" i="156"/>
  <c r="D39" i="156"/>
  <c r="EL38" i="156"/>
  <c r="EH38" i="156"/>
  <c r="EG38" i="156"/>
  <c r="EI38" i="156" s="1"/>
  <c r="DW38" i="156"/>
  <c r="DT38" i="156"/>
  <c r="DQ38" i="156"/>
  <c r="EM38" i="156" s="1"/>
  <c r="DN38" i="156"/>
  <c r="DK38" i="156"/>
  <c r="DH38" i="156"/>
  <c r="DE38" i="156"/>
  <c r="DB38" i="156"/>
  <c r="CY38" i="156"/>
  <c r="CV38" i="156"/>
  <c r="CS38" i="156"/>
  <c r="CP38" i="156"/>
  <c r="CM38" i="156"/>
  <c r="CJ38" i="156"/>
  <c r="CG38" i="156"/>
  <c r="CD38" i="156"/>
  <c r="CA38" i="156"/>
  <c r="BX38" i="156"/>
  <c r="BU38" i="156"/>
  <c r="BR38" i="156"/>
  <c r="BO38" i="156"/>
  <c r="BL38" i="156"/>
  <c r="BI38" i="156"/>
  <c r="BF38" i="156"/>
  <c r="BC38" i="156"/>
  <c r="AZ38" i="156"/>
  <c r="AW38" i="156"/>
  <c r="AT38" i="156"/>
  <c r="AQ38" i="156"/>
  <c r="AN38" i="156"/>
  <c r="AK38" i="156"/>
  <c r="AI38" i="156"/>
  <c r="EB38" i="156" s="1"/>
  <c r="AB38" i="156"/>
  <c r="Y38" i="156"/>
  <c r="V38" i="156"/>
  <c r="S38" i="156"/>
  <c r="P38" i="156"/>
  <c r="M38" i="156"/>
  <c r="J38" i="156"/>
  <c r="G38" i="156"/>
  <c r="D38" i="156"/>
  <c r="EL37" i="156"/>
  <c r="EG37" i="156"/>
  <c r="EI37" i="156" s="1"/>
  <c r="EB37" i="156"/>
  <c r="DW37" i="156"/>
  <c r="DT37" i="156"/>
  <c r="DQ37" i="156"/>
  <c r="DN37" i="156"/>
  <c r="DK37" i="156"/>
  <c r="DH37" i="156"/>
  <c r="DE37" i="156"/>
  <c r="DB37" i="156"/>
  <c r="CY37" i="156"/>
  <c r="CV37" i="156"/>
  <c r="CS37" i="156"/>
  <c r="CP37" i="156"/>
  <c r="CM37" i="156"/>
  <c r="CJ37" i="156"/>
  <c r="CG37" i="156"/>
  <c r="CD37" i="156"/>
  <c r="CA37" i="156"/>
  <c r="BX37" i="156"/>
  <c r="BU37" i="156"/>
  <c r="BR37" i="156"/>
  <c r="BO37" i="156"/>
  <c r="BL37" i="156"/>
  <c r="BI37" i="156"/>
  <c r="BF37" i="156"/>
  <c r="BC37" i="156"/>
  <c r="AZ37" i="156"/>
  <c r="AW37" i="156"/>
  <c r="AT37" i="156"/>
  <c r="AQ37" i="156"/>
  <c r="AN37" i="156"/>
  <c r="AI37" i="156"/>
  <c r="EK37" i="156" s="1"/>
  <c r="AB37" i="156"/>
  <c r="Y37" i="156"/>
  <c r="V37" i="156"/>
  <c r="S37" i="156"/>
  <c r="EH37" i="156" s="1"/>
  <c r="P37" i="156"/>
  <c r="M37" i="156"/>
  <c r="J37" i="156"/>
  <c r="G37" i="156"/>
  <c r="D37" i="156"/>
  <c r="EL36" i="156"/>
  <c r="EK36" i="156"/>
  <c r="EG36" i="156"/>
  <c r="EI36" i="156" s="1"/>
  <c r="DW36" i="156"/>
  <c r="DT36" i="156"/>
  <c r="EM36" i="156" s="1"/>
  <c r="DQ36" i="156"/>
  <c r="DN36" i="156"/>
  <c r="DK36" i="156"/>
  <c r="DH36" i="156"/>
  <c r="DE36" i="156"/>
  <c r="DB36" i="156"/>
  <c r="CY36" i="156"/>
  <c r="CV36" i="156"/>
  <c r="CS36" i="156"/>
  <c r="CP36" i="156"/>
  <c r="CM36" i="156"/>
  <c r="CJ36" i="156"/>
  <c r="CG36" i="156"/>
  <c r="CD36" i="156"/>
  <c r="CA36" i="156"/>
  <c r="BX36" i="156"/>
  <c r="BU36" i="156"/>
  <c r="BR36" i="156"/>
  <c r="BO36" i="156"/>
  <c r="BL36" i="156"/>
  <c r="BI36" i="156"/>
  <c r="BF36" i="156"/>
  <c r="BC36" i="156"/>
  <c r="AZ36" i="156"/>
  <c r="AW36" i="156"/>
  <c r="AT36" i="156"/>
  <c r="AQ36" i="156"/>
  <c r="AN36" i="156"/>
  <c r="AI36" i="156"/>
  <c r="AK36" i="156" s="1"/>
  <c r="AB36" i="156"/>
  <c r="Y36" i="156"/>
  <c r="V36" i="156"/>
  <c r="S36" i="156"/>
  <c r="EH36" i="156" s="1"/>
  <c r="P36" i="156"/>
  <c r="M36" i="156"/>
  <c r="J36" i="156"/>
  <c r="G36" i="156"/>
  <c r="D36" i="156"/>
  <c r="EL35" i="156"/>
  <c r="EK35" i="156"/>
  <c r="EI35" i="156"/>
  <c r="EG35" i="156"/>
  <c r="EB35" i="156"/>
  <c r="EC35" i="156" s="1"/>
  <c r="DW35" i="156"/>
  <c r="DT35" i="156"/>
  <c r="EM35" i="156" s="1"/>
  <c r="EN35" i="156" s="1"/>
  <c r="DQ35" i="156"/>
  <c r="DN35" i="156"/>
  <c r="DK35" i="156"/>
  <c r="DH35" i="156"/>
  <c r="DE35" i="156"/>
  <c r="DB35" i="156"/>
  <c r="CY35" i="156"/>
  <c r="CV35" i="156"/>
  <c r="CS35" i="156"/>
  <c r="CP35" i="156"/>
  <c r="CM35" i="156"/>
  <c r="CJ35" i="156"/>
  <c r="CG35" i="156"/>
  <c r="CD35" i="156"/>
  <c r="CA35" i="156"/>
  <c r="BX35" i="156"/>
  <c r="BU35" i="156"/>
  <c r="BR35" i="156"/>
  <c r="BO35" i="156"/>
  <c r="BL35" i="156"/>
  <c r="BI35" i="156"/>
  <c r="BF35" i="156"/>
  <c r="BC35" i="156"/>
  <c r="AZ35" i="156"/>
  <c r="AW35" i="156"/>
  <c r="AT35" i="156"/>
  <c r="AQ35" i="156"/>
  <c r="AN35" i="156"/>
  <c r="AK35" i="156"/>
  <c r="AI35" i="156"/>
  <c r="ED35" i="156"/>
  <c r="AB35" i="156"/>
  <c r="Y35" i="156"/>
  <c r="V35" i="156"/>
  <c r="EH35" i="156" s="1"/>
  <c r="S35" i="156"/>
  <c r="P35" i="156"/>
  <c r="M35" i="156"/>
  <c r="J35" i="156"/>
  <c r="G35" i="156"/>
  <c r="D35" i="156"/>
  <c r="EL34" i="156"/>
  <c r="EK34" i="156"/>
  <c r="EC34" i="156" s="1"/>
  <c r="EI34" i="156"/>
  <c r="EG34" i="156"/>
  <c r="EB34" i="156"/>
  <c r="DW34" i="156"/>
  <c r="DT34" i="156"/>
  <c r="DQ34" i="156"/>
  <c r="EM34" i="156" s="1"/>
  <c r="DN34" i="156"/>
  <c r="DK34" i="156"/>
  <c r="DH34" i="156"/>
  <c r="DE34" i="156"/>
  <c r="DB34" i="156"/>
  <c r="CY34" i="156"/>
  <c r="CV34" i="156"/>
  <c r="CS34" i="156"/>
  <c r="CP34" i="156"/>
  <c r="CM34" i="156"/>
  <c r="CJ34" i="156"/>
  <c r="CG34" i="156"/>
  <c r="CD34" i="156"/>
  <c r="CA34" i="156"/>
  <c r="BX34" i="156"/>
  <c r="BU34" i="156"/>
  <c r="BR34" i="156"/>
  <c r="BO34" i="156"/>
  <c r="BL34" i="156"/>
  <c r="BI34" i="156"/>
  <c r="BF34" i="156"/>
  <c r="BC34" i="156"/>
  <c r="AZ34" i="156"/>
  <c r="AW34" i="156"/>
  <c r="AT34" i="156"/>
  <c r="AQ34" i="156"/>
  <c r="AN34" i="156"/>
  <c r="AK34" i="156"/>
  <c r="AI34" i="156"/>
  <c r="AB34" i="156"/>
  <c r="Y34" i="156"/>
  <c r="V34" i="156"/>
  <c r="S34" i="156"/>
  <c r="P34" i="156"/>
  <c r="M34" i="156"/>
  <c r="J34" i="156"/>
  <c r="G34" i="156"/>
  <c r="D34" i="156"/>
  <c r="ED34" i="156" s="1"/>
  <c r="EL33" i="156"/>
  <c r="EG33" i="156"/>
  <c r="EI33" i="156" s="1"/>
  <c r="DW33" i="156"/>
  <c r="DT33" i="156"/>
  <c r="DQ33" i="156"/>
  <c r="DN33" i="156"/>
  <c r="DK33" i="156"/>
  <c r="DH33" i="156"/>
  <c r="DE33" i="156"/>
  <c r="DB33" i="156"/>
  <c r="CY33" i="156"/>
  <c r="CV33" i="156"/>
  <c r="CS33" i="156"/>
  <c r="CP33" i="156"/>
  <c r="CM33" i="156"/>
  <c r="CJ33" i="156"/>
  <c r="CG33" i="156"/>
  <c r="CD33" i="156"/>
  <c r="CA33" i="156"/>
  <c r="BX33" i="156"/>
  <c r="BU33" i="156"/>
  <c r="BR33" i="156"/>
  <c r="BO33" i="156"/>
  <c r="BL33" i="156"/>
  <c r="BI33" i="156"/>
  <c r="BF33" i="156"/>
  <c r="BC33" i="156"/>
  <c r="AZ33" i="156"/>
  <c r="AW33" i="156"/>
  <c r="AT33" i="156"/>
  <c r="AQ33" i="156"/>
  <c r="AN33" i="156"/>
  <c r="AI33" i="156"/>
  <c r="EB33" i="156" s="1"/>
  <c r="AB33" i="156"/>
  <c r="Y33" i="156"/>
  <c r="V33" i="156"/>
  <c r="S33" i="156"/>
  <c r="P33" i="156"/>
  <c r="M33" i="156"/>
  <c r="J33" i="156"/>
  <c r="G33" i="156"/>
  <c r="D33" i="156"/>
  <c r="EL32" i="156"/>
  <c r="EK32" i="156"/>
  <c r="EG32" i="156"/>
  <c r="EI32" i="156" s="1"/>
  <c r="DW32" i="156"/>
  <c r="DT32" i="156"/>
  <c r="DQ32" i="156"/>
  <c r="EM32" i="156" s="1"/>
  <c r="DN32" i="156"/>
  <c r="DK32" i="156"/>
  <c r="DH32" i="156"/>
  <c r="DE32" i="156"/>
  <c r="DB32" i="156"/>
  <c r="CY32" i="156"/>
  <c r="CV32" i="156"/>
  <c r="CS32" i="156"/>
  <c r="CP32" i="156"/>
  <c r="CM32" i="156"/>
  <c r="CJ32" i="156"/>
  <c r="CG32" i="156"/>
  <c r="CD32" i="156"/>
  <c r="CA32" i="156"/>
  <c r="BX32" i="156"/>
  <c r="BU32" i="156"/>
  <c r="BR32" i="156"/>
  <c r="BO32" i="156"/>
  <c r="BL32" i="156"/>
  <c r="BI32" i="156"/>
  <c r="BF32" i="156"/>
  <c r="BC32" i="156"/>
  <c r="AZ32" i="156"/>
  <c r="AW32" i="156"/>
  <c r="AT32" i="156"/>
  <c r="AQ32" i="156"/>
  <c r="AN32" i="156"/>
  <c r="AK32" i="156"/>
  <c r="AI32" i="156"/>
  <c r="EB32" i="156" s="1"/>
  <c r="AB32" i="156"/>
  <c r="Y32" i="156"/>
  <c r="V32" i="156"/>
  <c r="EH32" i="156" s="1"/>
  <c r="S32" i="156"/>
  <c r="P32" i="156"/>
  <c r="M32" i="156"/>
  <c r="J32" i="156"/>
  <c r="G32" i="156"/>
  <c r="D32" i="156"/>
  <c r="EL31" i="156"/>
  <c r="EI31" i="156"/>
  <c r="EG31" i="156"/>
  <c r="DW31" i="156"/>
  <c r="DT31" i="156"/>
  <c r="DQ31" i="156"/>
  <c r="EM31" i="156" s="1"/>
  <c r="DN31" i="156"/>
  <c r="DK31" i="156"/>
  <c r="DH31" i="156"/>
  <c r="DE31" i="156"/>
  <c r="DB31" i="156"/>
  <c r="CY31" i="156"/>
  <c r="CV31" i="156"/>
  <c r="CS31" i="156"/>
  <c r="CP31" i="156"/>
  <c r="CM31" i="156"/>
  <c r="CJ31" i="156"/>
  <c r="CG31" i="156"/>
  <c r="CD31" i="156"/>
  <c r="CA31" i="156"/>
  <c r="BX31" i="156"/>
  <c r="BU31" i="156"/>
  <c r="BR31" i="156"/>
  <c r="BO31" i="156"/>
  <c r="BL31" i="156"/>
  <c r="BI31" i="156"/>
  <c r="BF31" i="156"/>
  <c r="BC31" i="156"/>
  <c r="AZ31" i="156"/>
  <c r="AW31" i="156"/>
  <c r="AT31" i="156"/>
  <c r="AQ31" i="156"/>
  <c r="AN31" i="156"/>
  <c r="AI31" i="156"/>
  <c r="AK31" i="156" s="1"/>
  <c r="AB31" i="156"/>
  <c r="Y31" i="156"/>
  <c r="V31" i="156"/>
  <c r="S31" i="156"/>
  <c r="EH31" i="156" s="1"/>
  <c r="P31" i="156"/>
  <c r="M31" i="156"/>
  <c r="J31" i="156"/>
  <c r="G31" i="156"/>
  <c r="D31" i="156"/>
  <c r="EL30" i="156"/>
  <c r="EG30" i="156"/>
  <c r="EI30" i="156" s="1"/>
  <c r="DW30" i="156"/>
  <c r="DT30" i="156"/>
  <c r="DQ30" i="156"/>
  <c r="DN30" i="156"/>
  <c r="DK30" i="156"/>
  <c r="DH30" i="156"/>
  <c r="DE30" i="156"/>
  <c r="DB30" i="156"/>
  <c r="CY30" i="156"/>
  <c r="CV30" i="156"/>
  <c r="CS30" i="156"/>
  <c r="CP30" i="156"/>
  <c r="CM30" i="156"/>
  <c r="CJ30" i="156"/>
  <c r="CG30" i="156"/>
  <c r="CD30" i="156"/>
  <c r="CA30" i="156"/>
  <c r="BX30" i="156"/>
  <c r="BU30" i="156"/>
  <c r="BR30" i="156"/>
  <c r="BO30" i="156"/>
  <c r="BL30" i="156"/>
  <c r="BI30" i="156"/>
  <c r="BF30" i="156"/>
  <c r="BC30" i="156"/>
  <c r="AZ30" i="156"/>
  <c r="AW30" i="156"/>
  <c r="AT30" i="156"/>
  <c r="AQ30" i="156"/>
  <c r="AN30" i="156"/>
  <c r="AI30" i="156"/>
  <c r="EB30" i="156" s="1"/>
  <c r="AB30" i="156"/>
  <c r="Y30" i="156"/>
  <c r="V30" i="156"/>
  <c r="S30" i="156"/>
  <c r="EH30" i="156" s="1"/>
  <c r="P30" i="156"/>
  <c r="M30" i="156"/>
  <c r="J30" i="156"/>
  <c r="G30" i="156"/>
  <c r="D30" i="156"/>
  <c r="EL29" i="156"/>
  <c r="EI29" i="156"/>
  <c r="EG29" i="156"/>
  <c r="EB29" i="156"/>
  <c r="DW29" i="156"/>
  <c r="DT29" i="156"/>
  <c r="EM29" i="156" s="1"/>
  <c r="DQ29" i="156"/>
  <c r="DN29" i="156"/>
  <c r="DK29" i="156"/>
  <c r="DH29" i="156"/>
  <c r="DE29" i="156"/>
  <c r="DB29" i="156"/>
  <c r="CY29" i="156"/>
  <c r="CV29" i="156"/>
  <c r="CS29" i="156"/>
  <c r="CP29" i="156"/>
  <c r="CM29" i="156"/>
  <c r="CJ29" i="156"/>
  <c r="CG29" i="156"/>
  <c r="CD29" i="156"/>
  <c r="CA29" i="156"/>
  <c r="BX29" i="156"/>
  <c r="BU29" i="156"/>
  <c r="BR29" i="156"/>
  <c r="BO29" i="156"/>
  <c r="BL29" i="156"/>
  <c r="BI29" i="156"/>
  <c r="BF29" i="156"/>
  <c r="BC29" i="156"/>
  <c r="AZ29" i="156"/>
  <c r="AW29" i="156"/>
  <c r="AT29" i="156"/>
  <c r="AQ29" i="156"/>
  <c r="AN29" i="156"/>
  <c r="AK29" i="156"/>
  <c r="AI29" i="156"/>
  <c r="EK29" i="156" s="1"/>
  <c r="EN29" i="156" s="1"/>
  <c r="AB29" i="156"/>
  <c r="Y29" i="156"/>
  <c r="V29" i="156"/>
  <c r="S29" i="156"/>
  <c r="P29" i="156"/>
  <c r="M29" i="156"/>
  <c r="J29" i="156"/>
  <c r="G29" i="156"/>
  <c r="D29" i="156"/>
  <c r="EL28" i="156"/>
  <c r="EK28" i="156"/>
  <c r="EN28" i="156" s="1"/>
  <c r="EI28" i="156"/>
  <c r="EG28" i="156"/>
  <c r="EB28" i="156"/>
  <c r="EC28" i="156" s="1"/>
  <c r="DW28" i="156"/>
  <c r="DT28" i="156"/>
  <c r="DQ28" i="156"/>
  <c r="EM28" i="156" s="1"/>
  <c r="DN28" i="156"/>
  <c r="DK28" i="156"/>
  <c r="DH28" i="156"/>
  <c r="DE28" i="156"/>
  <c r="DB28" i="156"/>
  <c r="CY28" i="156"/>
  <c r="CV28" i="156"/>
  <c r="CS28" i="156"/>
  <c r="CP28" i="156"/>
  <c r="CM28" i="156"/>
  <c r="CJ28" i="156"/>
  <c r="CG28" i="156"/>
  <c r="CD28" i="156"/>
  <c r="CA28" i="156"/>
  <c r="BX28" i="156"/>
  <c r="BU28" i="156"/>
  <c r="BR28" i="156"/>
  <c r="BO28" i="156"/>
  <c r="BL28" i="156"/>
  <c r="BI28" i="156"/>
  <c r="BF28" i="156"/>
  <c r="BC28" i="156"/>
  <c r="AZ28" i="156"/>
  <c r="AW28" i="156"/>
  <c r="AT28" i="156"/>
  <c r="AQ28" i="156"/>
  <c r="AN28" i="156"/>
  <c r="AK28" i="156"/>
  <c r="AI28" i="156"/>
  <c r="AB28" i="156"/>
  <c r="Y28" i="156"/>
  <c r="V28" i="156"/>
  <c r="S28" i="156"/>
  <c r="P28" i="156"/>
  <c r="M28" i="156"/>
  <c r="J28" i="156"/>
  <c r="G28" i="156"/>
  <c r="D28" i="156"/>
  <c r="EL27" i="156"/>
  <c r="EK27" i="156"/>
  <c r="EI27" i="156"/>
  <c r="EG27" i="156"/>
  <c r="DW27" i="156"/>
  <c r="DT27" i="156"/>
  <c r="DQ27" i="156"/>
  <c r="DN27" i="156"/>
  <c r="DK27" i="156"/>
  <c r="DH27" i="156"/>
  <c r="DE27" i="156"/>
  <c r="DB27" i="156"/>
  <c r="CY27" i="156"/>
  <c r="CV27" i="156"/>
  <c r="CS27" i="156"/>
  <c r="CP27" i="156"/>
  <c r="CM27" i="156"/>
  <c r="CJ27" i="156"/>
  <c r="CG27" i="156"/>
  <c r="CD27" i="156"/>
  <c r="CA27" i="156"/>
  <c r="BX27" i="156"/>
  <c r="BU27" i="156"/>
  <c r="BR27" i="156"/>
  <c r="BO27" i="156"/>
  <c r="BL27" i="156"/>
  <c r="BI27" i="156"/>
  <c r="BF27" i="156"/>
  <c r="BC27" i="156"/>
  <c r="AZ27" i="156"/>
  <c r="AW27" i="156"/>
  <c r="AT27" i="156"/>
  <c r="AQ27" i="156"/>
  <c r="AN27" i="156"/>
  <c r="AI27" i="156"/>
  <c r="AK27" i="156" s="1"/>
  <c r="AB27" i="156"/>
  <c r="Y27" i="156"/>
  <c r="V27" i="156"/>
  <c r="S27" i="156"/>
  <c r="P27" i="156"/>
  <c r="M27" i="156"/>
  <c r="J27" i="156"/>
  <c r="G27" i="156"/>
  <c r="D27" i="156"/>
  <c r="EL26" i="156"/>
  <c r="EH26" i="156"/>
  <c r="EG26" i="156"/>
  <c r="EI26" i="156" s="1"/>
  <c r="DW26" i="156"/>
  <c r="DT26" i="156"/>
  <c r="DQ26" i="156"/>
  <c r="EM26" i="156" s="1"/>
  <c r="DN26" i="156"/>
  <c r="DK26" i="156"/>
  <c r="DH26" i="156"/>
  <c r="DE26" i="156"/>
  <c r="DB26" i="156"/>
  <c r="CY26" i="156"/>
  <c r="CV26" i="156"/>
  <c r="CS26" i="156"/>
  <c r="CP26" i="156"/>
  <c r="CM26" i="156"/>
  <c r="CJ26" i="156"/>
  <c r="CG26" i="156"/>
  <c r="CD26" i="156"/>
  <c r="CA26" i="156"/>
  <c r="BX26" i="156"/>
  <c r="BU26" i="156"/>
  <c r="BR26" i="156"/>
  <c r="BO26" i="156"/>
  <c r="BL26" i="156"/>
  <c r="BI26" i="156"/>
  <c r="BF26" i="156"/>
  <c r="BC26" i="156"/>
  <c r="AZ26" i="156"/>
  <c r="AW26" i="156"/>
  <c r="AT26" i="156"/>
  <c r="AQ26" i="156"/>
  <c r="AN26" i="156"/>
  <c r="AK26" i="156"/>
  <c r="AI26" i="156"/>
  <c r="EB26" i="156" s="1"/>
  <c r="AB26" i="156"/>
  <c r="Y26" i="156"/>
  <c r="V26" i="156"/>
  <c r="S26" i="156"/>
  <c r="P26" i="156"/>
  <c r="M26" i="156"/>
  <c r="J26" i="156"/>
  <c r="G26" i="156"/>
  <c r="D26" i="156"/>
  <c r="EL25" i="156"/>
  <c r="EG25" i="156"/>
  <c r="EI25" i="156" s="1"/>
  <c r="EB25" i="156"/>
  <c r="DW25" i="156"/>
  <c r="DT25" i="156"/>
  <c r="DQ25" i="156"/>
  <c r="DN25" i="156"/>
  <c r="DK25" i="156"/>
  <c r="DH25" i="156"/>
  <c r="DE25" i="156"/>
  <c r="DB25" i="156"/>
  <c r="CY25" i="156"/>
  <c r="CV25" i="156"/>
  <c r="CS25" i="156"/>
  <c r="CP25" i="156"/>
  <c r="CM25" i="156"/>
  <c r="CJ25" i="156"/>
  <c r="CG25" i="156"/>
  <c r="CD25" i="156"/>
  <c r="CA25" i="156"/>
  <c r="BX25" i="156"/>
  <c r="BU25" i="156"/>
  <c r="BR25" i="156"/>
  <c r="BO25" i="156"/>
  <c r="BL25" i="156"/>
  <c r="BI25" i="156"/>
  <c r="BF25" i="156"/>
  <c r="BC25" i="156"/>
  <c r="AZ25" i="156"/>
  <c r="AW25" i="156"/>
  <c r="AT25" i="156"/>
  <c r="AQ25" i="156"/>
  <c r="AN25" i="156"/>
  <c r="AI25" i="156"/>
  <c r="EK25" i="156" s="1"/>
  <c r="AB25" i="156"/>
  <c r="Y25" i="156"/>
  <c r="V25" i="156"/>
  <c r="S25" i="156"/>
  <c r="EH25" i="156" s="1"/>
  <c r="P25" i="156"/>
  <c r="M25" i="156"/>
  <c r="J25" i="156"/>
  <c r="G25" i="156"/>
  <c r="D25" i="156"/>
  <c r="EL24" i="156"/>
  <c r="EK24" i="156"/>
  <c r="EG24" i="156"/>
  <c r="EI24" i="156" s="1"/>
  <c r="DW24" i="156"/>
  <c r="DT24" i="156"/>
  <c r="EM24" i="156" s="1"/>
  <c r="DQ24" i="156"/>
  <c r="DN24" i="156"/>
  <c r="DK24" i="156"/>
  <c r="DH24" i="156"/>
  <c r="DE24" i="156"/>
  <c r="DB24" i="156"/>
  <c r="CY24" i="156"/>
  <c r="CV24" i="156"/>
  <c r="CS24" i="156"/>
  <c r="CP24" i="156"/>
  <c r="CM24" i="156"/>
  <c r="CJ24" i="156"/>
  <c r="CG24" i="156"/>
  <c r="CD24" i="156"/>
  <c r="CA24" i="156"/>
  <c r="BX24" i="156"/>
  <c r="BU24" i="156"/>
  <c r="BR24" i="156"/>
  <c r="BO24" i="156"/>
  <c r="BL24" i="156"/>
  <c r="BI24" i="156"/>
  <c r="BF24" i="156"/>
  <c r="BC24" i="156"/>
  <c r="AZ24" i="156"/>
  <c r="AW24" i="156"/>
  <c r="AT24" i="156"/>
  <c r="AQ24" i="156"/>
  <c r="AN24" i="156"/>
  <c r="AI24" i="156"/>
  <c r="AK24" i="156" s="1"/>
  <c r="AB24" i="156"/>
  <c r="Y24" i="156"/>
  <c r="V24" i="156"/>
  <c r="S24" i="156"/>
  <c r="P24" i="156"/>
  <c r="M24" i="156"/>
  <c r="J24" i="156"/>
  <c r="G24" i="156"/>
  <c r="D24" i="156"/>
  <c r="EL23" i="156"/>
  <c r="EK23" i="156"/>
  <c r="EI23" i="156"/>
  <c r="EG23" i="156"/>
  <c r="EB23" i="156"/>
  <c r="EC23" i="156" s="1"/>
  <c r="DW23" i="156"/>
  <c r="DT23" i="156"/>
  <c r="EM23" i="156" s="1"/>
  <c r="EN23" i="156" s="1"/>
  <c r="DQ23" i="156"/>
  <c r="DN23" i="156"/>
  <c r="DK23" i="156"/>
  <c r="DH23" i="156"/>
  <c r="DE23" i="156"/>
  <c r="DB23" i="156"/>
  <c r="CY23" i="156"/>
  <c r="CV23" i="156"/>
  <c r="CS23" i="156"/>
  <c r="CP23" i="156"/>
  <c r="CM23" i="156"/>
  <c r="CJ23" i="156"/>
  <c r="CG23" i="156"/>
  <c r="CD23" i="156"/>
  <c r="CA23" i="156"/>
  <c r="BX23" i="156"/>
  <c r="BU23" i="156"/>
  <c r="BR23" i="156"/>
  <c r="BO23" i="156"/>
  <c r="BL23" i="156"/>
  <c r="BI23" i="156"/>
  <c r="BF23" i="156"/>
  <c r="BC23" i="156"/>
  <c r="AZ23" i="156"/>
  <c r="AW23" i="156"/>
  <c r="AT23" i="156"/>
  <c r="AQ23" i="156"/>
  <c r="AN23" i="156"/>
  <c r="AK23" i="156"/>
  <c r="AI23" i="156"/>
  <c r="ED23" i="156"/>
  <c r="AB23" i="156"/>
  <c r="Y23" i="156"/>
  <c r="V23" i="156"/>
  <c r="EH23" i="156" s="1"/>
  <c r="S23" i="156"/>
  <c r="P23" i="156"/>
  <c r="M23" i="156"/>
  <c r="J23" i="156"/>
  <c r="G23" i="156"/>
  <c r="D23" i="156"/>
  <c r="EL22" i="156"/>
  <c r="EK22" i="156"/>
  <c r="EI22" i="156"/>
  <c r="EG22" i="156"/>
  <c r="EC22" i="156"/>
  <c r="EB22" i="156"/>
  <c r="DW22" i="156"/>
  <c r="DT22" i="156"/>
  <c r="DQ22" i="156"/>
  <c r="EM22" i="156" s="1"/>
  <c r="DN22" i="156"/>
  <c r="DK22" i="156"/>
  <c r="DH22" i="156"/>
  <c r="DE22" i="156"/>
  <c r="DB22" i="156"/>
  <c r="CY22" i="156"/>
  <c r="CV22" i="156"/>
  <c r="CS22" i="156"/>
  <c r="CP22" i="156"/>
  <c r="CM22" i="156"/>
  <c r="CJ22" i="156"/>
  <c r="CG22" i="156"/>
  <c r="CD22" i="156"/>
  <c r="CA22" i="156"/>
  <c r="BX22" i="156"/>
  <c r="BU22" i="156"/>
  <c r="BR22" i="156"/>
  <c r="BO22" i="156"/>
  <c r="BL22" i="156"/>
  <c r="BI22" i="156"/>
  <c r="BF22" i="156"/>
  <c r="BC22" i="156"/>
  <c r="AZ22" i="156"/>
  <c r="AW22" i="156"/>
  <c r="AT22" i="156"/>
  <c r="AQ22" i="156"/>
  <c r="AN22" i="156"/>
  <c r="AK22" i="156"/>
  <c r="AI22" i="156"/>
  <c r="AB22" i="156"/>
  <c r="Y22" i="156"/>
  <c r="V22" i="156"/>
  <c r="S22" i="156"/>
  <c r="P22" i="156"/>
  <c r="M22" i="156"/>
  <c r="J22" i="156"/>
  <c r="G22" i="156"/>
  <c r="D22" i="156"/>
  <c r="EL21" i="156"/>
  <c r="EG21" i="156"/>
  <c r="EI21" i="156" s="1"/>
  <c r="DW21" i="156"/>
  <c r="DT21" i="156"/>
  <c r="DQ21" i="156"/>
  <c r="DN21" i="156"/>
  <c r="DK21" i="156"/>
  <c r="DH21" i="156"/>
  <c r="DE21" i="156"/>
  <c r="DB21" i="156"/>
  <c r="CY21" i="156"/>
  <c r="CV21" i="156"/>
  <c r="CS21" i="156"/>
  <c r="CP21" i="156"/>
  <c r="CM21" i="156"/>
  <c r="CJ21" i="156"/>
  <c r="CG21" i="156"/>
  <c r="CD21" i="156"/>
  <c r="CA21" i="156"/>
  <c r="BX21" i="156"/>
  <c r="BU21" i="156"/>
  <c r="BR21" i="156"/>
  <c r="BO21" i="156"/>
  <c r="BL21" i="156"/>
  <c r="BI21" i="156"/>
  <c r="BF21" i="156"/>
  <c r="BC21" i="156"/>
  <c r="AZ21" i="156"/>
  <c r="AW21" i="156"/>
  <c r="AT21" i="156"/>
  <c r="AQ21" i="156"/>
  <c r="AN21" i="156"/>
  <c r="AI21" i="156"/>
  <c r="EB21" i="156" s="1"/>
  <c r="AB21" i="156"/>
  <c r="Y21" i="156"/>
  <c r="V21" i="156"/>
  <c r="S21" i="156"/>
  <c r="P21" i="156"/>
  <c r="M21" i="156"/>
  <c r="J21" i="156"/>
  <c r="G21" i="156"/>
  <c r="D21" i="156"/>
  <c r="EL20" i="156"/>
  <c r="EK20" i="156"/>
  <c r="EG20" i="156"/>
  <c r="EI20" i="156" s="1"/>
  <c r="DW20" i="156"/>
  <c r="DT20" i="156"/>
  <c r="DQ20" i="156"/>
  <c r="EM20" i="156" s="1"/>
  <c r="DN20" i="156"/>
  <c r="DK20" i="156"/>
  <c r="DH20" i="156"/>
  <c r="DE20" i="156"/>
  <c r="DB20" i="156"/>
  <c r="CY20" i="156"/>
  <c r="CV20" i="156"/>
  <c r="CS20" i="156"/>
  <c r="CP20" i="156"/>
  <c r="CM20" i="156"/>
  <c r="CJ20" i="156"/>
  <c r="CG20" i="156"/>
  <c r="CD20" i="156"/>
  <c r="CA20" i="156"/>
  <c r="BX20" i="156"/>
  <c r="BU20" i="156"/>
  <c r="BR20" i="156"/>
  <c r="BO20" i="156"/>
  <c r="BL20" i="156"/>
  <c r="BI20" i="156"/>
  <c r="BF20" i="156"/>
  <c r="BC20" i="156"/>
  <c r="AZ20" i="156"/>
  <c r="AW20" i="156"/>
  <c r="AT20" i="156"/>
  <c r="AQ20" i="156"/>
  <c r="AN20" i="156"/>
  <c r="AK20" i="156"/>
  <c r="AI20" i="156"/>
  <c r="EB20" i="156" s="1"/>
  <c r="AB20" i="156"/>
  <c r="Y20" i="156"/>
  <c r="V20" i="156"/>
  <c r="S20" i="156"/>
  <c r="P20" i="156"/>
  <c r="M20" i="156"/>
  <c r="J20" i="156"/>
  <c r="G20" i="156"/>
  <c r="D20" i="156"/>
  <c r="EL19" i="156"/>
  <c r="EI19" i="156"/>
  <c r="EG19" i="156"/>
  <c r="DW19" i="156"/>
  <c r="DT19" i="156"/>
  <c r="EM19" i="156" s="1"/>
  <c r="DQ19" i="156"/>
  <c r="DN19" i="156"/>
  <c r="DK19" i="156"/>
  <c r="DH19" i="156"/>
  <c r="DE19" i="156"/>
  <c r="DB19" i="156"/>
  <c r="CY19" i="156"/>
  <c r="CV19" i="156"/>
  <c r="CS19" i="156"/>
  <c r="CP19" i="156"/>
  <c r="CM19" i="156"/>
  <c r="CJ19" i="156"/>
  <c r="CG19" i="156"/>
  <c r="CD19" i="156"/>
  <c r="CA19" i="156"/>
  <c r="BX19" i="156"/>
  <c r="BU19" i="156"/>
  <c r="BR19" i="156"/>
  <c r="BO19" i="156"/>
  <c r="BL19" i="156"/>
  <c r="BI19" i="156"/>
  <c r="BF19" i="156"/>
  <c r="BC19" i="156"/>
  <c r="AZ19" i="156"/>
  <c r="AW19" i="156"/>
  <c r="AT19" i="156"/>
  <c r="AQ19" i="156"/>
  <c r="AN19" i="156"/>
  <c r="AI19" i="156"/>
  <c r="AK19" i="156" s="1"/>
  <c r="AB19" i="156"/>
  <c r="Y19" i="156"/>
  <c r="V19" i="156"/>
  <c r="S19" i="156"/>
  <c r="EH19" i="156" s="1"/>
  <c r="P19" i="156"/>
  <c r="M19" i="156"/>
  <c r="J19" i="156"/>
  <c r="G19" i="156"/>
  <c r="ED19" i="156" s="1"/>
  <c r="D19" i="156"/>
  <c r="EL18" i="156"/>
  <c r="EG18" i="156"/>
  <c r="EI18" i="156" s="1"/>
  <c r="DW18" i="156"/>
  <c r="DT18" i="156"/>
  <c r="DQ18" i="156"/>
  <c r="DN18" i="156"/>
  <c r="DK18" i="156"/>
  <c r="DH18" i="156"/>
  <c r="DE18" i="156"/>
  <c r="DB18" i="156"/>
  <c r="CY18" i="156"/>
  <c r="CV18" i="156"/>
  <c r="CS18" i="156"/>
  <c r="CP18" i="156"/>
  <c r="CM18" i="156"/>
  <c r="CJ18" i="156"/>
  <c r="CG18" i="156"/>
  <c r="CD18" i="156"/>
  <c r="CA18" i="156"/>
  <c r="BX18" i="156"/>
  <c r="BU18" i="156"/>
  <c r="BR18" i="156"/>
  <c r="BO18" i="156"/>
  <c r="BL18" i="156"/>
  <c r="BI18" i="156"/>
  <c r="BF18" i="156"/>
  <c r="BC18" i="156"/>
  <c r="AZ18" i="156"/>
  <c r="AW18" i="156"/>
  <c r="AT18" i="156"/>
  <c r="AQ18" i="156"/>
  <c r="AN18" i="156"/>
  <c r="AI18" i="156"/>
  <c r="EB18" i="156" s="1"/>
  <c r="AB18" i="156"/>
  <c r="Y18" i="156"/>
  <c r="V18" i="156"/>
  <c r="S18" i="156"/>
  <c r="P18" i="156"/>
  <c r="M18" i="156"/>
  <c r="J18" i="156"/>
  <c r="G18" i="156"/>
  <c r="D18" i="156"/>
  <c r="EL17" i="156"/>
  <c r="EI17" i="156"/>
  <c r="EG17" i="156"/>
  <c r="EB17" i="156"/>
  <c r="DW17" i="156"/>
  <c r="DT17" i="156"/>
  <c r="EM17" i="156" s="1"/>
  <c r="DQ17" i="156"/>
  <c r="DN17" i="156"/>
  <c r="DK17" i="156"/>
  <c r="DH17" i="156"/>
  <c r="DE17" i="156"/>
  <c r="DB17" i="156"/>
  <c r="CY17" i="156"/>
  <c r="CV17" i="156"/>
  <c r="CS17" i="156"/>
  <c r="CP17" i="156"/>
  <c r="CM17" i="156"/>
  <c r="CJ17" i="156"/>
  <c r="CG17" i="156"/>
  <c r="CD17" i="156"/>
  <c r="CA17" i="156"/>
  <c r="BX17" i="156"/>
  <c r="BU17" i="156"/>
  <c r="BR17" i="156"/>
  <c r="BO17" i="156"/>
  <c r="BL17" i="156"/>
  <c r="BI17" i="156"/>
  <c r="BF17" i="156"/>
  <c r="BC17" i="156"/>
  <c r="AZ17" i="156"/>
  <c r="AW17" i="156"/>
  <c r="AT17" i="156"/>
  <c r="AQ17" i="156"/>
  <c r="AN17" i="156"/>
  <c r="AK17" i="156"/>
  <c r="AI17" i="156"/>
  <c r="EK17" i="156" s="1"/>
  <c r="EN17" i="156" s="1"/>
  <c r="AB17" i="156"/>
  <c r="Y17" i="156"/>
  <c r="V17" i="156"/>
  <c r="EH17" i="156" s="1"/>
  <c r="S17" i="156"/>
  <c r="P17" i="156"/>
  <c r="M17" i="156"/>
  <c r="J17" i="156"/>
  <c r="G17" i="156"/>
  <c r="D17" i="156"/>
  <c r="ED17" i="156" s="1"/>
  <c r="EL16" i="156"/>
  <c r="EK16" i="156"/>
  <c r="EI16" i="156"/>
  <c r="EG16" i="156"/>
  <c r="EB16" i="156"/>
  <c r="EC16" i="156" s="1"/>
  <c r="DW16" i="156"/>
  <c r="DT16" i="156"/>
  <c r="DQ16" i="156"/>
  <c r="EM16" i="156" s="1"/>
  <c r="DN16" i="156"/>
  <c r="DK16" i="156"/>
  <c r="DH16" i="156"/>
  <c r="DE16" i="156"/>
  <c r="DB16" i="156"/>
  <c r="CY16" i="156"/>
  <c r="CV16" i="156"/>
  <c r="CS16" i="156"/>
  <c r="CP16" i="156"/>
  <c r="CM16" i="156"/>
  <c r="CJ16" i="156"/>
  <c r="CG16" i="156"/>
  <c r="CD16" i="156"/>
  <c r="CA16" i="156"/>
  <c r="BX16" i="156"/>
  <c r="BU16" i="156"/>
  <c r="BR16" i="156"/>
  <c r="BO16" i="156"/>
  <c r="BL16" i="156"/>
  <c r="BI16" i="156"/>
  <c r="BF16" i="156"/>
  <c r="BC16" i="156"/>
  <c r="AZ16" i="156"/>
  <c r="AW16" i="156"/>
  <c r="AT16" i="156"/>
  <c r="AQ16" i="156"/>
  <c r="AN16" i="156"/>
  <c r="AK16" i="156"/>
  <c r="AI16" i="156"/>
  <c r="AB16" i="156"/>
  <c r="Y16" i="156"/>
  <c r="V16" i="156"/>
  <c r="EH16" i="156" s="1"/>
  <c r="S16" i="156"/>
  <c r="P16" i="156"/>
  <c r="M16" i="156"/>
  <c r="J16" i="156"/>
  <c r="G16" i="156"/>
  <c r="ED16" i="156" s="1"/>
  <c r="EE16" i="156" s="1"/>
  <c r="D16" i="156"/>
  <c r="EL15" i="156"/>
  <c r="EI15" i="156"/>
  <c r="EG15" i="156"/>
  <c r="DW15" i="156"/>
  <c r="DT15" i="156"/>
  <c r="DQ15" i="156"/>
  <c r="DN15" i="156"/>
  <c r="DK15" i="156"/>
  <c r="DH15" i="156"/>
  <c r="DE15" i="156"/>
  <c r="DB15" i="156"/>
  <c r="CY15" i="156"/>
  <c r="CV15" i="156"/>
  <c r="CS15" i="156"/>
  <c r="CP15" i="156"/>
  <c r="CM15" i="156"/>
  <c r="CJ15" i="156"/>
  <c r="CG15" i="156"/>
  <c r="CD15" i="156"/>
  <c r="CA15" i="156"/>
  <c r="BX15" i="156"/>
  <c r="BU15" i="156"/>
  <c r="BR15" i="156"/>
  <c r="BO15" i="156"/>
  <c r="BL15" i="156"/>
  <c r="BI15" i="156"/>
  <c r="BF15" i="156"/>
  <c r="BC15" i="156"/>
  <c r="AZ15" i="156"/>
  <c r="AW15" i="156"/>
  <c r="AR15" i="156"/>
  <c r="EK15" i="156" s="1"/>
  <c r="AQ15" i="156"/>
  <c r="AO15" i="156"/>
  <c r="AN15" i="156"/>
  <c r="AL15" i="156"/>
  <c r="EB15" i="156" s="1"/>
  <c r="AI15" i="156"/>
  <c r="AK15" i="156" s="1"/>
  <c r="AB15" i="156"/>
  <c r="Y15" i="156"/>
  <c r="V15" i="156"/>
  <c r="S15" i="156"/>
  <c r="P15" i="156"/>
  <c r="M15" i="156"/>
  <c r="J15" i="156"/>
  <c r="G15" i="156"/>
  <c r="D15" i="156"/>
  <c r="EL14" i="156"/>
  <c r="EI14" i="156"/>
  <c r="EG14" i="156"/>
  <c r="DW14" i="156"/>
  <c r="DT14" i="156"/>
  <c r="EM14" i="156" s="1"/>
  <c r="DQ14" i="156"/>
  <c r="DN14" i="156"/>
  <c r="DK14" i="156"/>
  <c r="DH14" i="156"/>
  <c r="DE14" i="156"/>
  <c r="DB14" i="156"/>
  <c r="CY14" i="156"/>
  <c r="CV14" i="156"/>
  <c r="CS14" i="156"/>
  <c r="CP14" i="156"/>
  <c r="CM14" i="156"/>
  <c r="CJ14" i="156"/>
  <c r="CG14" i="156"/>
  <c r="CD14" i="156"/>
  <c r="CA14" i="156"/>
  <c r="BX14" i="156"/>
  <c r="BU14" i="156"/>
  <c r="BR14" i="156"/>
  <c r="BO14" i="156"/>
  <c r="BL14" i="156"/>
  <c r="BI14" i="156"/>
  <c r="BF14" i="156"/>
  <c r="BC14" i="156"/>
  <c r="AZ14" i="156"/>
  <c r="AW14" i="156"/>
  <c r="AT14" i="156"/>
  <c r="AR14" i="156"/>
  <c r="EK14" i="156" s="1"/>
  <c r="AO14" i="156"/>
  <c r="AQ14" i="156" s="1"/>
  <c r="AN14" i="156"/>
  <c r="AL14" i="156"/>
  <c r="AK14" i="156"/>
  <c r="AI14" i="156"/>
  <c r="AB14" i="156"/>
  <c r="Y14" i="156"/>
  <c r="V14" i="156"/>
  <c r="S14" i="156"/>
  <c r="P14" i="156"/>
  <c r="M14" i="156"/>
  <c r="J14" i="156"/>
  <c r="G14" i="156"/>
  <c r="D14" i="156"/>
  <c r="EL13" i="156"/>
  <c r="EI13" i="156"/>
  <c r="EG13" i="156"/>
  <c r="DW13" i="156"/>
  <c r="DT13" i="156"/>
  <c r="DQ13" i="156"/>
  <c r="DN13" i="156"/>
  <c r="DK13" i="156"/>
  <c r="DH13" i="156"/>
  <c r="DE13" i="156"/>
  <c r="DB13" i="156"/>
  <c r="CY13" i="156"/>
  <c r="CV13" i="156"/>
  <c r="CS13" i="156"/>
  <c r="CP13" i="156"/>
  <c r="CM13" i="156"/>
  <c r="CJ13" i="156"/>
  <c r="CG13" i="156"/>
  <c r="CD13" i="156"/>
  <c r="CA13" i="156"/>
  <c r="BX13" i="156"/>
  <c r="BU13" i="156"/>
  <c r="BR13" i="156"/>
  <c r="BO13" i="156"/>
  <c r="BL13" i="156"/>
  <c r="BI13" i="156"/>
  <c r="BF13" i="156"/>
  <c r="BC13" i="156"/>
  <c r="AZ13" i="156"/>
  <c r="AW13" i="156"/>
  <c r="AT13" i="156"/>
  <c r="AR13" i="156"/>
  <c r="EK13" i="156" s="1"/>
  <c r="AQ13" i="156"/>
  <c r="AO13" i="156"/>
  <c r="AL13" i="156"/>
  <c r="AN13" i="156" s="1"/>
  <c r="AK13" i="156"/>
  <c r="AI13" i="156"/>
  <c r="AB13" i="156"/>
  <c r="Y13" i="156"/>
  <c r="V13" i="156"/>
  <c r="S13" i="156"/>
  <c r="P13" i="156"/>
  <c r="M13" i="156"/>
  <c r="J13" i="156"/>
  <c r="G13" i="156"/>
  <c r="D13" i="156"/>
  <c r="EL12" i="156"/>
  <c r="EG12" i="156"/>
  <c r="EI5" i="156" s="1"/>
  <c r="DW12" i="156"/>
  <c r="DT12" i="156"/>
  <c r="DQ12" i="156"/>
  <c r="DN12" i="156"/>
  <c r="DK12" i="156"/>
  <c r="DH12" i="156"/>
  <c r="DE12" i="156"/>
  <c r="DB12" i="156"/>
  <c r="CY12" i="156"/>
  <c r="CY42" i="156" s="1"/>
  <c r="CV12" i="156"/>
  <c r="CS12" i="156"/>
  <c r="CP12" i="156"/>
  <c r="CM12" i="156"/>
  <c r="CJ12" i="156"/>
  <c r="CG12" i="156"/>
  <c r="CD12" i="156"/>
  <c r="CA12" i="156"/>
  <c r="BX12" i="156"/>
  <c r="BU12" i="156"/>
  <c r="BR12" i="156"/>
  <c r="BO12" i="156"/>
  <c r="BO42" i="156" s="1"/>
  <c r="BL12" i="156"/>
  <c r="BI12" i="156"/>
  <c r="BF12" i="156"/>
  <c r="BC12" i="156"/>
  <c r="AZ12" i="156"/>
  <c r="AW12" i="156"/>
  <c r="AR12" i="156"/>
  <c r="EB12" i="156" s="1"/>
  <c r="AQ12" i="156"/>
  <c r="AO12" i="156"/>
  <c r="AN12" i="156"/>
  <c r="AL12" i="156"/>
  <c r="AI12" i="156"/>
  <c r="AK12" i="156" s="1"/>
  <c r="AB12" i="156"/>
  <c r="Y12" i="156"/>
  <c r="V12" i="156"/>
  <c r="S12" i="156"/>
  <c r="P12" i="156"/>
  <c r="M12" i="156"/>
  <c r="J12" i="156"/>
  <c r="G12" i="156"/>
  <c r="D12" i="156"/>
  <c r="A12" i="156"/>
  <c r="A13" i="156" s="1"/>
  <c r="A14" i="156" s="1"/>
  <c r="A15" i="156" s="1"/>
  <c r="A16" i="156" s="1"/>
  <c r="A17" i="156" s="1"/>
  <c r="A18" i="156" s="1"/>
  <c r="A19" i="156" s="1"/>
  <c r="A20" i="156" s="1"/>
  <c r="A21" i="156" s="1"/>
  <c r="A22" i="156" s="1"/>
  <c r="A23" i="156" s="1"/>
  <c r="A24" i="156" s="1"/>
  <c r="A25" i="156" s="1"/>
  <c r="A26" i="156" s="1"/>
  <c r="A27" i="156" s="1"/>
  <c r="A28" i="156" s="1"/>
  <c r="A29" i="156" s="1"/>
  <c r="A30" i="156" s="1"/>
  <c r="A31" i="156" s="1"/>
  <c r="A32" i="156" s="1"/>
  <c r="A33" i="156" s="1"/>
  <c r="A34" i="156" s="1"/>
  <c r="A35" i="156" s="1"/>
  <c r="A36" i="156" s="1"/>
  <c r="A37" i="156" s="1"/>
  <c r="A38" i="156" s="1"/>
  <c r="A39" i="156" s="1"/>
  <c r="A40" i="156" s="1"/>
  <c r="A41" i="156" s="1"/>
  <c r="EL11" i="156"/>
  <c r="EI11" i="156"/>
  <c r="EG11" i="156"/>
  <c r="DW11" i="156"/>
  <c r="DW42" i="156" s="1"/>
  <c r="DT11" i="156"/>
  <c r="DT42" i="156" s="1"/>
  <c r="DQ11" i="156"/>
  <c r="DQ42" i="156" s="1"/>
  <c r="DN11" i="156"/>
  <c r="DN42" i="156" s="1"/>
  <c r="DK11" i="156"/>
  <c r="DK42" i="156" s="1"/>
  <c r="DH11" i="156"/>
  <c r="DH42" i="156" s="1"/>
  <c r="DE11" i="156"/>
  <c r="DE42" i="156" s="1"/>
  <c r="DB11" i="156"/>
  <c r="DB42" i="156" s="1"/>
  <c r="CY11" i="156"/>
  <c r="CV11" i="156"/>
  <c r="CV42" i="156" s="1"/>
  <c r="CS11" i="156"/>
  <c r="CS42" i="156" s="1"/>
  <c r="CP11" i="156"/>
  <c r="CP42" i="156" s="1"/>
  <c r="CM11" i="156"/>
  <c r="CM42" i="156" s="1"/>
  <c r="CJ11" i="156"/>
  <c r="CJ42" i="156" s="1"/>
  <c r="CG11" i="156"/>
  <c r="CG42" i="156" s="1"/>
  <c r="CD11" i="156"/>
  <c r="CD42" i="156" s="1"/>
  <c r="CA11" i="156"/>
  <c r="CA42" i="156" s="1"/>
  <c r="BX11" i="156"/>
  <c r="BX42" i="156" s="1"/>
  <c r="BU11" i="156"/>
  <c r="BU42" i="156" s="1"/>
  <c r="BR11" i="156"/>
  <c r="BR42" i="156" s="1"/>
  <c r="BO11" i="156"/>
  <c r="BL11" i="156"/>
  <c r="BL42" i="156" s="1"/>
  <c r="BI11" i="156"/>
  <c r="BI42" i="156" s="1"/>
  <c r="BF11" i="156"/>
  <c r="BF42" i="156" s="1"/>
  <c r="BC11" i="156"/>
  <c r="BC42" i="156" s="1"/>
  <c r="AZ11" i="156"/>
  <c r="AZ42" i="156" s="1"/>
  <c r="AW11" i="156"/>
  <c r="AW42" i="156" s="1"/>
  <c r="AT11" i="156"/>
  <c r="AR11" i="156"/>
  <c r="EK11" i="156" s="1"/>
  <c r="AO11" i="156"/>
  <c r="EB11" i="156" s="1"/>
  <c r="AN11" i="156"/>
  <c r="AL11" i="156"/>
  <c r="AK11" i="156"/>
  <c r="AI11" i="156"/>
  <c r="AB11" i="156"/>
  <c r="AB42" i="156" s="1"/>
  <c r="Y11" i="156"/>
  <c r="Y42" i="156" s="1"/>
  <c r="V11" i="156"/>
  <c r="V42" i="156" s="1"/>
  <c r="S11" i="156"/>
  <c r="S42" i="156" s="1"/>
  <c r="P11" i="156"/>
  <c r="P42" i="156" s="1"/>
  <c r="M11" i="156"/>
  <c r="M42" i="156" s="1"/>
  <c r="J11" i="156"/>
  <c r="J42" i="156" s="1"/>
  <c r="G11" i="156"/>
  <c r="G42" i="156" s="1"/>
  <c r="D11" i="156"/>
  <c r="EI3" i="156"/>
  <c r="EI4" i="156" s="1"/>
  <c r="EQ2" i="156"/>
  <c r="G4" i="156" s="1"/>
  <c r="EI2" i="156"/>
  <c r="EE2" i="156"/>
  <c r="AH42" i="156" l="1"/>
  <c r="ED29" i="156"/>
  <c r="EH34" i="156"/>
  <c r="EH11" i="156"/>
  <c r="ED28" i="156"/>
  <c r="EE28" i="156" s="1"/>
  <c r="EH18" i="156"/>
  <c r="EH24" i="156"/>
  <c r="EH22" i="156"/>
  <c r="ED26" i="156"/>
  <c r="EE26" i="156" s="1"/>
  <c r="ED38" i="156"/>
  <c r="EE38" i="156" s="1"/>
  <c r="EH15" i="156"/>
  <c r="EH14" i="156"/>
  <c r="ED20" i="156"/>
  <c r="EE20" i="156" s="1"/>
  <c r="EH21" i="156"/>
  <c r="EH28" i="156"/>
  <c r="EH29" i="156"/>
  <c r="EH27" i="156"/>
  <c r="EE29" i="156"/>
  <c r="ED32" i="156"/>
  <c r="EH33" i="156"/>
  <c r="EH39" i="156"/>
  <c r="EH13" i="156"/>
  <c r="ED31" i="156"/>
  <c r="EH12" i="156"/>
  <c r="EH20" i="156"/>
  <c r="ED22" i="156"/>
  <c r="EE22" i="156" s="1"/>
  <c r="EN16" i="156"/>
  <c r="ED24" i="156"/>
  <c r="EC30" i="156"/>
  <c r="ED36" i="156"/>
  <c r="EN2" i="156"/>
  <c r="EN41" i="156"/>
  <c r="EN20" i="156"/>
  <c r="ED30" i="156"/>
  <c r="EE30" i="156" s="1"/>
  <c r="ED13" i="156"/>
  <c r="ED14" i="156"/>
  <c r="EC15" i="156"/>
  <c r="EC21" i="156"/>
  <c r="EN32" i="156"/>
  <c r="ED12" i="156"/>
  <c r="EE12" i="156" s="1"/>
  <c r="EC20" i="156"/>
  <c r="ED27" i="156"/>
  <c r="ED33" i="156"/>
  <c r="EE33" i="156" s="1"/>
  <c r="ED39" i="156"/>
  <c r="AN42" i="156"/>
  <c r="EE32" i="156"/>
  <c r="EC32" i="156"/>
  <c r="EM21" i="156"/>
  <c r="EN24" i="156"/>
  <c r="EE34" i="156"/>
  <c r="EN36" i="156"/>
  <c r="EC11" i="156"/>
  <c r="EN14" i="156"/>
  <c r="AT42" i="156"/>
  <c r="EM13" i="156"/>
  <c r="EN13" i="156" s="1"/>
  <c r="EE17" i="156"/>
  <c r="EM27" i="156"/>
  <c r="EN27" i="156" s="1"/>
  <c r="EM33" i="156"/>
  <c r="EM39" i="156"/>
  <c r="EN39" i="156" s="1"/>
  <c r="EE41" i="156"/>
  <c r="ED25" i="156"/>
  <c r="EE25" i="156" s="1"/>
  <c r="EM12" i="156"/>
  <c r="EN22" i="156"/>
  <c r="EN40" i="156"/>
  <c r="AE42" i="156"/>
  <c r="EK19" i="156"/>
  <c r="EN19" i="156" s="1"/>
  <c r="AK21" i="156"/>
  <c r="ED21" i="156" s="1"/>
  <c r="EE21" i="156" s="1"/>
  <c r="EE23" i="156"/>
  <c r="EC25" i="156"/>
  <c r="EK31" i="156"/>
  <c r="EN31" i="156" s="1"/>
  <c r="AK33" i="156"/>
  <c r="EN34" i="156"/>
  <c r="EE35" i="156"/>
  <c r="EC37" i="156"/>
  <c r="EI12" i="156"/>
  <c r="EK26" i="156"/>
  <c r="EN26" i="156" s="1"/>
  <c r="EB27" i="156"/>
  <c r="EK38" i="156"/>
  <c r="EN38" i="156" s="1"/>
  <c r="EB39" i="156"/>
  <c r="EK21" i="156"/>
  <c r="EK33" i="156"/>
  <c r="EC33" i="156" s="1"/>
  <c r="D42" i="156"/>
  <c r="AK30" i="156"/>
  <c r="EM30" i="156" s="1"/>
  <c r="EK12" i="156"/>
  <c r="EN12" i="156" s="1"/>
  <c r="AK18" i="156"/>
  <c r="ED18" i="156" s="1"/>
  <c r="EE18" i="156" s="1"/>
  <c r="EC17" i="156"/>
  <c r="EB24" i="156"/>
  <c r="AK25" i="156"/>
  <c r="EM25" i="156" s="1"/>
  <c r="EN25" i="156" s="1"/>
  <c r="EC29" i="156"/>
  <c r="EB36" i="156"/>
  <c r="AK37" i="156"/>
  <c r="EM37" i="156" s="1"/>
  <c r="EN37" i="156" s="1"/>
  <c r="EC41" i="156"/>
  <c r="EB14" i="156"/>
  <c r="EB19" i="156"/>
  <c r="EK30" i="156"/>
  <c r="EB31" i="156"/>
  <c r="AQ11" i="156"/>
  <c r="AQ42" i="156" s="1"/>
  <c r="AT12" i="156"/>
  <c r="EB13" i="156"/>
  <c r="EK18" i="156"/>
  <c r="AT15" i="156"/>
  <c r="EM15" i="156" s="1"/>
  <c r="EN15" i="156" s="1"/>
  <c r="EH42" i="156" l="1"/>
  <c r="EC12" i="156"/>
  <c r="EN30" i="156"/>
  <c r="ED37" i="156"/>
  <c r="EE37" i="156" s="1"/>
  <c r="EE19" i="156"/>
  <c r="EC19" i="156"/>
  <c r="EE14" i="156"/>
  <c r="EC14" i="156"/>
  <c r="EN33" i="156"/>
  <c r="EN3" i="156"/>
  <c r="EM18" i="156"/>
  <c r="EN21" i="156"/>
  <c r="AK42" i="156"/>
  <c r="EE39" i="156"/>
  <c r="EC39" i="156"/>
  <c r="EE5" i="156"/>
  <c r="G7" i="156" s="1"/>
  <c r="EN5" i="156"/>
  <c r="EC38" i="156"/>
  <c r="EE3" i="156"/>
  <c r="EE36" i="156"/>
  <c r="EC36" i="156"/>
  <c r="EM11" i="156"/>
  <c r="EE27" i="156"/>
  <c r="EC27" i="156"/>
  <c r="EC26" i="156"/>
  <c r="EN18" i="156"/>
  <c r="EE13" i="156"/>
  <c r="EC13" i="156"/>
  <c r="EE24" i="156"/>
  <c r="EC24" i="156"/>
  <c r="EC18" i="156"/>
  <c r="ED15" i="156"/>
  <c r="EE15" i="156" s="1"/>
  <c r="ED11" i="156"/>
  <c r="EE31" i="156"/>
  <c r="EC31" i="156"/>
  <c r="EM42" i="156" l="1"/>
  <c r="EN11" i="156"/>
  <c r="G5" i="156"/>
  <c r="EE4" i="156"/>
  <c r="G6" i="156" s="1"/>
  <c r="ED42" i="156"/>
  <c r="EE11" i="156"/>
  <c r="EN4" i="156"/>
  <c r="EL40" i="155" l="1"/>
  <c r="EK40" i="155"/>
  <c r="EN40" i="155" s="1"/>
  <c r="EI40" i="155"/>
  <c r="EG40" i="155"/>
  <c r="EB40" i="155"/>
  <c r="DW40" i="155"/>
  <c r="DT40" i="155"/>
  <c r="DQ40" i="155"/>
  <c r="EM40" i="155" s="1"/>
  <c r="DN40" i="155"/>
  <c r="DK40" i="155"/>
  <c r="DH40" i="155"/>
  <c r="DE40" i="155"/>
  <c r="DB40" i="155"/>
  <c r="CY40" i="155"/>
  <c r="CV40" i="155"/>
  <c r="CS40" i="155"/>
  <c r="CP40" i="155"/>
  <c r="CM40" i="155"/>
  <c r="CJ40" i="155"/>
  <c r="CG40" i="155"/>
  <c r="CD40" i="155"/>
  <c r="CA40" i="155"/>
  <c r="BX40" i="155"/>
  <c r="BU40" i="155"/>
  <c r="BR40" i="155"/>
  <c r="BO40" i="155"/>
  <c r="BL40" i="155"/>
  <c r="BI40" i="155"/>
  <c r="BF40" i="155"/>
  <c r="BC40" i="155"/>
  <c r="AZ40" i="155"/>
  <c r="AW40" i="155"/>
  <c r="AT40" i="155"/>
  <c r="AQ40" i="155"/>
  <c r="AN40" i="155"/>
  <c r="AK40" i="155"/>
  <c r="AI40" i="155"/>
  <c r="AB40" i="155"/>
  <c r="Y40" i="155"/>
  <c r="V40" i="155"/>
  <c r="S40" i="155"/>
  <c r="EH40" i="155" s="1"/>
  <c r="P40" i="155"/>
  <c r="M40" i="155"/>
  <c r="J40" i="155"/>
  <c r="ED40" i="155" s="1"/>
  <c r="G40" i="155"/>
  <c r="D40" i="155"/>
  <c r="EL39" i="155"/>
  <c r="EK39" i="155"/>
  <c r="EG39" i="155"/>
  <c r="EI39" i="155" s="1"/>
  <c r="DW39" i="155"/>
  <c r="DT39" i="155"/>
  <c r="DQ39" i="155"/>
  <c r="DN39" i="155"/>
  <c r="DK39" i="155"/>
  <c r="DH39" i="155"/>
  <c r="DE39" i="155"/>
  <c r="DB39" i="155"/>
  <c r="CY39" i="155"/>
  <c r="CV39" i="155"/>
  <c r="CS39" i="155"/>
  <c r="CP39" i="155"/>
  <c r="CM39" i="155"/>
  <c r="CJ39" i="155"/>
  <c r="CG39" i="155"/>
  <c r="CD39" i="155"/>
  <c r="CA39" i="155"/>
  <c r="BX39" i="155"/>
  <c r="BU39" i="155"/>
  <c r="BR39" i="155"/>
  <c r="BO39" i="155"/>
  <c r="BL39" i="155"/>
  <c r="BI39" i="155"/>
  <c r="BF39" i="155"/>
  <c r="BC39" i="155"/>
  <c r="AZ39" i="155"/>
  <c r="AW39" i="155"/>
  <c r="AT39" i="155"/>
  <c r="AQ39" i="155"/>
  <c r="AN39" i="155"/>
  <c r="AI39" i="155"/>
  <c r="EB39" i="155" s="1"/>
  <c r="AB39" i="155"/>
  <c r="Y39" i="155"/>
  <c r="V39" i="155"/>
  <c r="S39" i="155"/>
  <c r="P39" i="155"/>
  <c r="M39" i="155"/>
  <c r="J39" i="155"/>
  <c r="G39" i="155"/>
  <c r="D39" i="155"/>
  <c r="EL38" i="155"/>
  <c r="EG38" i="155"/>
  <c r="EI38" i="155" s="1"/>
  <c r="DW38" i="155"/>
  <c r="DT38" i="155"/>
  <c r="DQ38" i="155"/>
  <c r="DN38" i="155"/>
  <c r="DK38" i="155"/>
  <c r="DH38" i="155"/>
  <c r="DE38" i="155"/>
  <c r="DB38" i="155"/>
  <c r="CY38" i="155"/>
  <c r="CV38" i="155"/>
  <c r="CS38" i="155"/>
  <c r="CP38" i="155"/>
  <c r="CM38" i="155"/>
  <c r="CJ38" i="155"/>
  <c r="CG38" i="155"/>
  <c r="CD38" i="155"/>
  <c r="CA38" i="155"/>
  <c r="BX38" i="155"/>
  <c r="BU38" i="155"/>
  <c r="BR38" i="155"/>
  <c r="BO38" i="155"/>
  <c r="BL38" i="155"/>
  <c r="BI38" i="155"/>
  <c r="BF38" i="155"/>
  <c r="BC38" i="155"/>
  <c r="AZ38" i="155"/>
  <c r="AW38" i="155"/>
  <c r="AT38" i="155"/>
  <c r="AQ38" i="155"/>
  <c r="AN38" i="155"/>
  <c r="AI38" i="155"/>
  <c r="EK38" i="155" s="1"/>
  <c r="AB38" i="155"/>
  <c r="Y38" i="155"/>
  <c r="V38" i="155"/>
  <c r="S38" i="155"/>
  <c r="EH38" i="155" s="1"/>
  <c r="P38" i="155"/>
  <c r="M38" i="155"/>
  <c r="J38" i="155"/>
  <c r="G38" i="155"/>
  <c r="D38" i="155"/>
  <c r="EL37" i="155"/>
  <c r="EG37" i="155"/>
  <c r="EI37" i="155" s="1"/>
  <c r="DW37" i="155"/>
  <c r="DT37" i="155"/>
  <c r="DQ37" i="155"/>
  <c r="DN37" i="155"/>
  <c r="DK37" i="155"/>
  <c r="DH37" i="155"/>
  <c r="DE37" i="155"/>
  <c r="DB37" i="155"/>
  <c r="CY37" i="155"/>
  <c r="CV37" i="155"/>
  <c r="CS37" i="155"/>
  <c r="CP37" i="155"/>
  <c r="CM37" i="155"/>
  <c r="CJ37" i="155"/>
  <c r="CG37" i="155"/>
  <c r="CD37" i="155"/>
  <c r="CA37" i="155"/>
  <c r="BX37" i="155"/>
  <c r="BU37" i="155"/>
  <c r="BR37" i="155"/>
  <c r="BO37" i="155"/>
  <c r="BL37" i="155"/>
  <c r="BI37" i="155"/>
  <c r="BF37" i="155"/>
  <c r="BC37" i="155"/>
  <c r="AZ37" i="155"/>
  <c r="AW37" i="155"/>
  <c r="AT37" i="155"/>
  <c r="AQ37" i="155"/>
  <c r="AN37" i="155"/>
  <c r="AI37" i="155"/>
  <c r="EB37" i="155" s="1"/>
  <c r="AB37" i="155"/>
  <c r="Y37" i="155"/>
  <c r="V37" i="155"/>
  <c r="EH37" i="155" s="1"/>
  <c r="S37" i="155"/>
  <c r="P37" i="155"/>
  <c r="M37" i="155"/>
  <c r="J37" i="155"/>
  <c r="G37" i="155"/>
  <c r="D37" i="155"/>
  <c r="EL36" i="155"/>
  <c r="EG36" i="155"/>
  <c r="EI36" i="155" s="1"/>
  <c r="DW36" i="155"/>
  <c r="DT36" i="155"/>
  <c r="DQ36" i="155"/>
  <c r="DN36" i="155"/>
  <c r="DK36" i="155"/>
  <c r="DH36" i="155"/>
  <c r="DE36" i="155"/>
  <c r="DB36" i="155"/>
  <c r="CY36" i="155"/>
  <c r="CV36" i="155"/>
  <c r="CS36" i="155"/>
  <c r="CP36" i="155"/>
  <c r="CM36" i="155"/>
  <c r="CJ36" i="155"/>
  <c r="CG36" i="155"/>
  <c r="CD36" i="155"/>
  <c r="CA36" i="155"/>
  <c r="BX36" i="155"/>
  <c r="BU36" i="155"/>
  <c r="BR36" i="155"/>
  <c r="BO36" i="155"/>
  <c r="BL36" i="155"/>
  <c r="BI36" i="155"/>
  <c r="BF36" i="155"/>
  <c r="BC36" i="155"/>
  <c r="AZ36" i="155"/>
  <c r="AW36" i="155"/>
  <c r="AT36" i="155"/>
  <c r="AQ36" i="155"/>
  <c r="AN36" i="155"/>
  <c r="AI36" i="155"/>
  <c r="EK36" i="155" s="1"/>
  <c r="AB36" i="155"/>
  <c r="Y36" i="155"/>
  <c r="V36" i="155"/>
  <c r="S36" i="155"/>
  <c r="P36" i="155"/>
  <c r="M36" i="155"/>
  <c r="J36" i="155"/>
  <c r="G36" i="155"/>
  <c r="D36" i="155"/>
  <c r="EL35" i="155"/>
  <c r="EI35" i="155"/>
  <c r="EG35" i="155"/>
  <c r="DW35" i="155"/>
  <c r="DT35" i="155"/>
  <c r="EM35" i="155" s="1"/>
  <c r="DQ35" i="155"/>
  <c r="DN35" i="155"/>
  <c r="DK35" i="155"/>
  <c r="DH35" i="155"/>
  <c r="DE35" i="155"/>
  <c r="DB35" i="155"/>
  <c r="CY35" i="155"/>
  <c r="CV35" i="155"/>
  <c r="CS35" i="155"/>
  <c r="CP35" i="155"/>
  <c r="CM35" i="155"/>
  <c r="CJ35" i="155"/>
  <c r="CG35" i="155"/>
  <c r="CD35" i="155"/>
  <c r="CA35" i="155"/>
  <c r="BX35" i="155"/>
  <c r="BU35" i="155"/>
  <c r="BR35" i="155"/>
  <c r="BO35" i="155"/>
  <c r="BL35" i="155"/>
  <c r="BI35" i="155"/>
  <c r="BF35" i="155"/>
  <c r="BC35" i="155"/>
  <c r="AZ35" i="155"/>
  <c r="AW35" i="155"/>
  <c r="AT35" i="155"/>
  <c r="AQ35" i="155"/>
  <c r="AN35" i="155"/>
  <c r="AK35" i="155"/>
  <c r="AI35" i="155"/>
  <c r="EB35" i="155" s="1"/>
  <c r="AB35" i="155"/>
  <c r="Y35" i="155"/>
  <c r="V35" i="155"/>
  <c r="S35" i="155"/>
  <c r="P35" i="155"/>
  <c r="M35" i="155"/>
  <c r="J35" i="155"/>
  <c r="G35" i="155"/>
  <c r="D35" i="155"/>
  <c r="EL34" i="155"/>
  <c r="EI34" i="155"/>
  <c r="EG34" i="155"/>
  <c r="EB34" i="155"/>
  <c r="DW34" i="155"/>
  <c r="DT34" i="155"/>
  <c r="DQ34" i="155"/>
  <c r="EM34" i="155" s="1"/>
  <c r="DN34" i="155"/>
  <c r="DK34" i="155"/>
  <c r="DH34" i="155"/>
  <c r="DE34" i="155"/>
  <c r="DB34" i="155"/>
  <c r="CY34" i="155"/>
  <c r="CV34" i="155"/>
  <c r="CS34" i="155"/>
  <c r="CP34" i="155"/>
  <c r="CM34" i="155"/>
  <c r="CJ34" i="155"/>
  <c r="CG34" i="155"/>
  <c r="CD34" i="155"/>
  <c r="CA34" i="155"/>
  <c r="BX34" i="155"/>
  <c r="BU34" i="155"/>
  <c r="BR34" i="155"/>
  <c r="BO34" i="155"/>
  <c r="BL34" i="155"/>
  <c r="BI34" i="155"/>
  <c r="BF34" i="155"/>
  <c r="BC34" i="155"/>
  <c r="AZ34" i="155"/>
  <c r="AW34" i="155"/>
  <c r="AT34" i="155"/>
  <c r="AQ34" i="155"/>
  <c r="AN34" i="155"/>
  <c r="AK34" i="155"/>
  <c r="AI34" i="155"/>
  <c r="EK34" i="155" s="1"/>
  <c r="AB34" i="155"/>
  <c r="Y34" i="155"/>
  <c r="EH34" i="155" s="1"/>
  <c r="V34" i="155"/>
  <c r="S34" i="155"/>
  <c r="P34" i="155"/>
  <c r="M34" i="155"/>
  <c r="J34" i="155"/>
  <c r="G34" i="155"/>
  <c r="D34" i="155"/>
  <c r="EL33" i="155"/>
  <c r="EK33" i="155"/>
  <c r="EI33" i="155"/>
  <c r="EG33" i="155"/>
  <c r="EC33" i="155"/>
  <c r="EB33" i="155"/>
  <c r="DW33" i="155"/>
  <c r="DT33" i="155"/>
  <c r="EM33" i="155" s="1"/>
  <c r="EN33" i="155" s="1"/>
  <c r="DQ33" i="155"/>
  <c r="DN33" i="155"/>
  <c r="DK33" i="155"/>
  <c r="DH33" i="155"/>
  <c r="DE33" i="155"/>
  <c r="DB33" i="155"/>
  <c r="CY33" i="155"/>
  <c r="CV33" i="155"/>
  <c r="CS33" i="155"/>
  <c r="CP33" i="155"/>
  <c r="CM33" i="155"/>
  <c r="CJ33" i="155"/>
  <c r="CG33" i="155"/>
  <c r="CD33" i="155"/>
  <c r="CA33" i="155"/>
  <c r="BX33" i="155"/>
  <c r="BU33" i="155"/>
  <c r="BR33" i="155"/>
  <c r="BO33" i="155"/>
  <c r="BL33" i="155"/>
  <c r="BI33" i="155"/>
  <c r="BF33" i="155"/>
  <c r="BC33" i="155"/>
  <c r="AZ33" i="155"/>
  <c r="AW33" i="155"/>
  <c r="AT33" i="155"/>
  <c r="AQ33" i="155"/>
  <c r="AN33" i="155"/>
  <c r="AI33" i="155"/>
  <c r="AK33" i="155" s="1"/>
  <c r="AB33" i="155"/>
  <c r="Y33" i="155"/>
  <c r="V33" i="155"/>
  <c r="S33" i="155"/>
  <c r="P33" i="155"/>
  <c r="M33" i="155"/>
  <c r="J33" i="155"/>
  <c r="G33" i="155"/>
  <c r="D33" i="155"/>
  <c r="EL32" i="155"/>
  <c r="EK32" i="155"/>
  <c r="EG32" i="155"/>
  <c r="EI32" i="155" s="1"/>
  <c r="DW32" i="155"/>
  <c r="DT32" i="155"/>
  <c r="EM32" i="155" s="1"/>
  <c r="DQ32" i="155"/>
  <c r="DN32" i="155"/>
  <c r="DK32" i="155"/>
  <c r="DH32" i="155"/>
  <c r="DE32" i="155"/>
  <c r="DB32" i="155"/>
  <c r="CY32" i="155"/>
  <c r="CV32" i="155"/>
  <c r="CS32" i="155"/>
  <c r="CP32" i="155"/>
  <c r="CM32" i="155"/>
  <c r="CJ32" i="155"/>
  <c r="CG32" i="155"/>
  <c r="CD32" i="155"/>
  <c r="CA32" i="155"/>
  <c r="BX32" i="155"/>
  <c r="BU32" i="155"/>
  <c r="BR32" i="155"/>
  <c r="BO32" i="155"/>
  <c r="BL32" i="155"/>
  <c r="BI32" i="155"/>
  <c r="BF32" i="155"/>
  <c r="BC32" i="155"/>
  <c r="AZ32" i="155"/>
  <c r="AW32" i="155"/>
  <c r="AT32" i="155"/>
  <c r="AQ32" i="155"/>
  <c r="AN32" i="155"/>
  <c r="AK32" i="155"/>
  <c r="AI32" i="155"/>
  <c r="EB32" i="155" s="1"/>
  <c r="AB32" i="155"/>
  <c r="Y32" i="155"/>
  <c r="V32" i="155"/>
  <c r="S32" i="155"/>
  <c r="P32" i="155"/>
  <c r="M32" i="155"/>
  <c r="J32" i="155"/>
  <c r="G32" i="155"/>
  <c r="D32" i="155"/>
  <c r="EL31" i="155"/>
  <c r="EG31" i="155"/>
  <c r="EI31" i="155" s="1"/>
  <c r="EB31" i="155"/>
  <c r="EC31" i="155" s="1"/>
  <c r="DW31" i="155"/>
  <c r="DT31" i="155"/>
  <c r="EM31" i="155" s="1"/>
  <c r="DQ31" i="155"/>
  <c r="DN31" i="155"/>
  <c r="DK31" i="155"/>
  <c r="DH31" i="155"/>
  <c r="DE31" i="155"/>
  <c r="DB31" i="155"/>
  <c r="CY31" i="155"/>
  <c r="CV31" i="155"/>
  <c r="CS31" i="155"/>
  <c r="CP31" i="155"/>
  <c r="CM31" i="155"/>
  <c r="CJ31" i="155"/>
  <c r="CG31" i="155"/>
  <c r="CD31" i="155"/>
  <c r="CA31" i="155"/>
  <c r="BX31" i="155"/>
  <c r="BU31" i="155"/>
  <c r="BR31" i="155"/>
  <c r="BO31" i="155"/>
  <c r="BL31" i="155"/>
  <c r="BI31" i="155"/>
  <c r="BF31" i="155"/>
  <c r="BC31" i="155"/>
  <c r="AZ31" i="155"/>
  <c r="AW31" i="155"/>
  <c r="AT31" i="155"/>
  <c r="AQ31" i="155"/>
  <c r="AN31" i="155"/>
  <c r="AK31" i="155"/>
  <c r="AI31" i="155"/>
  <c r="EK31" i="155" s="1"/>
  <c r="AB31" i="155"/>
  <c r="Y31" i="155"/>
  <c r="V31" i="155"/>
  <c r="S31" i="155"/>
  <c r="EH31" i="155" s="1"/>
  <c r="P31" i="155"/>
  <c r="M31" i="155"/>
  <c r="J31" i="155"/>
  <c r="G31" i="155"/>
  <c r="D31" i="155"/>
  <c r="EL30" i="155"/>
  <c r="EK30" i="155"/>
  <c r="EN30" i="155" s="1"/>
  <c r="EG30" i="155"/>
  <c r="EI30" i="155" s="1"/>
  <c r="EB30" i="155"/>
  <c r="DW30" i="155"/>
  <c r="DT30" i="155"/>
  <c r="EM30" i="155" s="1"/>
  <c r="DQ30" i="155"/>
  <c r="DN30" i="155"/>
  <c r="DK30" i="155"/>
  <c r="DH30" i="155"/>
  <c r="DE30" i="155"/>
  <c r="DB30" i="155"/>
  <c r="CY30" i="155"/>
  <c r="CV30" i="155"/>
  <c r="CS30" i="155"/>
  <c r="CP30" i="155"/>
  <c r="CM30" i="155"/>
  <c r="CJ30" i="155"/>
  <c r="CG30" i="155"/>
  <c r="CD30" i="155"/>
  <c r="CA30" i="155"/>
  <c r="BX30" i="155"/>
  <c r="BU30" i="155"/>
  <c r="BR30" i="155"/>
  <c r="BO30" i="155"/>
  <c r="BL30" i="155"/>
  <c r="BI30" i="155"/>
  <c r="BF30" i="155"/>
  <c r="BC30" i="155"/>
  <c r="AZ30" i="155"/>
  <c r="AW30" i="155"/>
  <c r="AT30" i="155"/>
  <c r="AQ30" i="155"/>
  <c r="AN30" i="155"/>
  <c r="AK30" i="155"/>
  <c r="AI30" i="155"/>
  <c r="AB30" i="155"/>
  <c r="Y30" i="155"/>
  <c r="V30" i="155"/>
  <c r="S30" i="155"/>
  <c r="EH30" i="155" s="1"/>
  <c r="P30" i="155"/>
  <c r="M30" i="155"/>
  <c r="J30" i="155"/>
  <c r="G30" i="155"/>
  <c r="D30" i="155"/>
  <c r="EL29" i="155"/>
  <c r="EK29" i="155"/>
  <c r="EG29" i="155"/>
  <c r="EI29" i="155" s="1"/>
  <c r="EB29" i="155"/>
  <c r="DW29" i="155"/>
  <c r="DT29" i="155"/>
  <c r="EM29" i="155" s="1"/>
  <c r="DQ29" i="155"/>
  <c r="DN29" i="155"/>
  <c r="DK29" i="155"/>
  <c r="DH29" i="155"/>
  <c r="DE29" i="155"/>
  <c r="DB29" i="155"/>
  <c r="CY29" i="155"/>
  <c r="CV29" i="155"/>
  <c r="CS29" i="155"/>
  <c r="CP29" i="155"/>
  <c r="CM29" i="155"/>
  <c r="CJ29" i="155"/>
  <c r="CG29" i="155"/>
  <c r="CD29" i="155"/>
  <c r="CA29" i="155"/>
  <c r="BX29" i="155"/>
  <c r="BU29" i="155"/>
  <c r="BR29" i="155"/>
  <c r="BO29" i="155"/>
  <c r="BL29" i="155"/>
  <c r="BI29" i="155"/>
  <c r="BF29" i="155"/>
  <c r="BC29" i="155"/>
  <c r="AZ29" i="155"/>
  <c r="AW29" i="155"/>
  <c r="AT29" i="155"/>
  <c r="AQ29" i="155"/>
  <c r="AN29" i="155"/>
  <c r="AK29" i="155"/>
  <c r="AI29" i="155"/>
  <c r="AB29" i="155"/>
  <c r="Y29" i="155"/>
  <c r="EH29" i="155" s="1"/>
  <c r="V29" i="155"/>
  <c r="S29" i="155"/>
  <c r="P29" i="155"/>
  <c r="M29" i="155"/>
  <c r="J29" i="155"/>
  <c r="G29" i="155"/>
  <c r="D29" i="155"/>
  <c r="EL28" i="155"/>
  <c r="EK28" i="155"/>
  <c r="EN28" i="155" s="1"/>
  <c r="EI28" i="155"/>
  <c r="EG28" i="155"/>
  <c r="EB28" i="155"/>
  <c r="DW28" i="155"/>
  <c r="DT28" i="155"/>
  <c r="DQ28" i="155"/>
  <c r="EM28" i="155" s="1"/>
  <c r="DN28" i="155"/>
  <c r="DK28" i="155"/>
  <c r="DH28" i="155"/>
  <c r="DE28" i="155"/>
  <c r="DB28" i="155"/>
  <c r="CY28" i="155"/>
  <c r="CV28" i="155"/>
  <c r="CS28" i="155"/>
  <c r="CP28" i="155"/>
  <c r="CM28" i="155"/>
  <c r="CJ28" i="155"/>
  <c r="CG28" i="155"/>
  <c r="CD28" i="155"/>
  <c r="CA28" i="155"/>
  <c r="BX28" i="155"/>
  <c r="BU28" i="155"/>
  <c r="BR28" i="155"/>
  <c r="BO28" i="155"/>
  <c r="BL28" i="155"/>
  <c r="BI28" i="155"/>
  <c r="BF28" i="155"/>
  <c r="BC28" i="155"/>
  <c r="AZ28" i="155"/>
  <c r="AW28" i="155"/>
  <c r="AT28" i="155"/>
  <c r="AQ28" i="155"/>
  <c r="AN28" i="155"/>
  <c r="AK28" i="155"/>
  <c r="AI28" i="155"/>
  <c r="AB28" i="155"/>
  <c r="Y28" i="155"/>
  <c r="V28" i="155"/>
  <c r="EH28" i="155" s="1"/>
  <c r="S28" i="155"/>
  <c r="P28" i="155"/>
  <c r="M28" i="155"/>
  <c r="J28" i="155"/>
  <c r="ED28" i="155" s="1"/>
  <c r="G28" i="155"/>
  <c r="D28" i="155"/>
  <c r="EL27" i="155"/>
  <c r="EG27" i="155"/>
  <c r="EI27" i="155" s="1"/>
  <c r="DW27" i="155"/>
  <c r="DT27" i="155"/>
  <c r="DQ27" i="155"/>
  <c r="DN27" i="155"/>
  <c r="DK27" i="155"/>
  <c r="DH27" i="155"/>
  <c r="DE27" i="155"/>
  <c r="DB27" i="155"/>
  <c r="CY27" i="155"/>
  <c r="CV27" i="155"/>
  <c r="CS27" i="155"/>
  <c r="CP27" i="155"/>
  <c r="CM27" i="155"/>
  <c r="CJ27" i="155"/>
  <c r="CG27" i="155"/>
  <c r="CD27" i="155"/>
  <c r="CA27" i="155"/>
  <c r="BX27" i="155"/>
  <c r="BU27" i="155"/>
  <c r="BR27" i="155"/>
  <c r="BO27" i="155"/>
  <c r="BL27" i="155"/>
  <c r="BI27" i="155"/>
  <c r="BF27" i="155"/>
  <c r="BC27" i="155"/>
  <c r="AZ27" i="155"/>
  <c r="AW27" i="155"/>
  <c r="AT27" i="155"/>
  <c r="AQ27" i="155"/>
  <c r="AN27" i="155"/>
  <c r="AI27" i="155"/>
  <c r="EB27" i="155" s="1"/>
  <c r="AB27" i="155"/>
  <c r="Y27" i="155"/>
  <c r="V27" i="155"/>
  <c r="S27" i="155"/>
  <c r="P27" i="155"/>
  <c r="M27" i="155"/>
  <c r="J27" i="155"/>
  <c r="G27" i="155"/>
  <c r="D27" i="155"/>
  <c r="EL26" i="155"/>
  <c r="EG26" i="155"/>
  <c r="EI26" i="155" s="1"/>
  <c r="DW26" i="155"/>
  <c r="DT26" i="155"/>
  <c r="DQ26" i="155"/>
  <c r="DN26" i="155"/>
  <c r="DK26" i="155"/>
  <c r="DH26" i="155"/>
  <c r="DE26" i="155"/>
  <c r="DB26" i="155"/>
  <c r="CY26" i="155"/>
  <c r="CV26" i="155"/>
  <c r="CS26" i="155"/>
  <c r="CP26" i="155"/>
  <c r="CM26" i="155"/>
  <c r="CJ26" i="155"/>
  <c r="CG26" i="155"/>
  <c r="CD26" i="155"/>
  <c r="CA26" i="155"/>
  <c r="BX26" i="155"/>
  <c r="BU26" i="155"/>
  <c r="BR26" i="155"/>
  <c r="BO26" i="155"/>
  <c r="BL26" i="155"/>
  <c r="BI26" i="155"/>
  <c r="BF26" i="155"/>
  <c r="BC26" i="155"/>
  <c r="AZ26" i="155"/>
  <c r="AW26" i="155"/>
  <c r="AT26" i="155"/>
  <c r="AQ26" i="155"/>
  <c r="AN26" i="155"/>
  <c r="AI26" i="155"/>
  <c r="EK26" i="155" s="1"/>
  <c r="AB26" i="155"/>
  <c r="Y26" i="155"/>
  <c r="V26" i="155"/>
  <c r="S26" i="155"/>
  <c r="EH26" i="155" s="1"/>
  <c r="P26" i="155"/>
  <c r="M26" i="155"/>
  <c r="J26" i="155"/>
  <c r="G26" i="155"/>
  <c r="D26" i="155"/>
  <c r="EL25" i="155"/>
  <c r="EG25" i="155"/>
  <c r="EI25" i="155" s="1"/>
  <c r="DW25" i="155"/>
  <c r="DT25" i="155"/>
  <c r="DQ25" i="155"/>
  <c r="DN25" i="155"/>
  <c r="DK25" i="155"/>
  <c r="DH25" i="155"/>
  <c r="DE25" i="155"/>
  <c r="DB25" i="155"/>
  <c r="CY25" i="155"/>
  <c r="CV25" i="155"/>
  <c r="CS25" i="155"/>
  <c r="CP25" i="155"/>
  <c r="CM25" i="155"/>
  <c r="CJ25" i="155"/>
  <c r="CG25" i="155"/>
  <c r="CD25" i="155"/>
  <c r="CA25" i="155"/>
  <c r="BX25" i="155"/>
  <c r="BU25" i="155"/>
  <c r="BR25" i="155"/>
  <c r="BO25" i="155"/>
  <c r="BL25" i="155"/>
  <c r="BI25" i="155"/>
  <c r="BF25" i="155"/>
  <c r="BC25" i="155"/>
  <c r="AZ25" i="155"/>
  <c r="AW25" i="155"/>
  <c r="AT25" i="155"/>
  <c r="AQ25" i="155"/>
  <c r="AN25" i="155"/>
  <c r="AI25" i="155"/>
  <c r="EB25" i="155" s="1"/>
  <c r="AB25" i="155"/>
  <c r="Y25" i="155"/>
  <c r="V25" i="155"/>
  <c r="S25" i="155"/>
  <c r="EH25" i="155" s="1"/>
  <c r="P25" i="155"/>
  <c r="M25" i="155"/>
  <c r="J25" i="155"/>
  <c r="G25" i="155"/>
  <c r="D25" i="155"/>
  <c r="EL24" i="155"/>
  <c r="EG24" i="155"/>
  <c r="EI24" i="155" s="1"/>
  <c r="DW24" i="155"/>
  <c r="DT24" i="155"/>
  <c r="DQ24" i="155"/>
  <c r="DN24" i="155"/>
  <c r="DK24" i="155"/>
  <c r="DH24" i="155"/>
  <c r="DE24" i="155"/>
  <c r="DB24" i="155"/>
  <c r="CY24" i="155"/>
  <c r="CV24" i="155"/>
  <c r="CS24" i="155"/>
  <c r="CP24" i="155"/>
  <c r="CM24" i="155"/>
  <c r="CJ24" i="155"/>
  <c r="CG24" i="155"/>
  <c r="CD24" i="155"/>
  <c r="CA24" i="155"/>
  <c r="BX24" i="155"/>
  <c r="BU24" i="155"/>
  <c r="BR24" i="155"/>
  <c r="BO24" i="155"/>
  <c r="BL24" i="155"/>
  <c r="BI24" i="155"/>
  <c r="BF24" i="155"/>
  <c r="BC24" i="155"/>
  <c r="AZ24" i="155"/>
  <c r="AW24" i="155"/>
  <c r="AT24" i="155"/>
  <c r="AQ24" i="155"/>
  <c r="AN24" i="155"/>
  <c r="AI24" i="155"/>
  <c r="EK24" i="155" s="1"/>
  <c r="AB24" i="155"/>
  <c r="Y24" i="155"/>
  <c r="V24" i="155"/>
  <c r="S24" i="155"/>
  <c r="P24" i="155"/>
  <c r="M24" i="155"/>
  <c r="J24" i="155"/>
  <c r="G24" i="155"/>
  <c r="D24" i="155"/>
  <c r="EL23" i="155"/>
  <c r="EI23" i="155"/>
  <c r="EG23" i="155"/>
  <c r="DW23" i="155"/>
  <c r="DT23" i="155"/>
  <c r="EM23" i="155" s="1"/>
  <c r="DQ23" i="155"/>
  <c r="DN23" i="155"/>
  <c r="DK23" i="155"/>
  <c r="DH23" i="155"/>
  <c r="DE23" i="155"/>
  <c r="DB23" i="155"/>
  <c r="CY23" i="155"/>
  <c r="CV23" i="155"/>
  <c r="CS23" i="155"/>
  <c r="CP23" i="155"/>
  <c r="CM23" i="155"/>
  <c r="CJ23" i="155"/>
  <c r="CG23" i="155"/>
  <c r="CD23" i="155"/>
  <c r="CA23" i="155"/>
  <c r="BX23" i="155"/>
  <c r="BU23" i="155"/>
  <c r="BR23" i="155"/>
  <c r="BO23" i="155"/>
  <c r="BL23" i="155"/>
  <c r="BI23" i="155"/>
  <c r="BF23" i="155"/>
  <c r="BC23" i="155"/>
  <c r="AZ23" i="155"/>
  <c r="AW23" i="155"/>
  <c r="AT23" i="155"/>
  <c r="AQ23" i="155"/>
  <c r="AN23" i="155"/>
  <c r="AK23" i="155"/>
  <c r="AI23" i="155"/>
  <c r="EB23" i="155" s="1"/>
  <c r="AB23" i="155"/>
  <c r="Y23" i="155"/>
  <c r="V23" i="155"/>
  <c r="S23" i="155"/>
  <c r="P23" i="155"/>
  <c r="M23" i="155"/>
  <c r="J23" i="155"/>
  <c r="G23" i="155"/>
  <c r="D23" i="155"/>
  <c r="EL22" i="155"/>
  <c r="EK22" i="155"/>
  <c r="EN22" i="155" s="1"/>
  <c r="EI22" i="155"/>
  <c r="EG22" i="155"/>
  <c r="EC22" i="155"/>
  <c r="EB22" i="155"/>
  <c r="DW22" i="155"/>
  <c r="DT22" i="155"/>
  <c r="DQ22" i="155"/>
  <c r="EM22" i="155" s="1"/>
  <c r="DN22" i="155"/>
  <c r="DK22" i="155"/>
  <c r="DH22" i="155"/>
  <c r="DE22" i="155"/>
  <c r="DB22" i="155"/>
  <c r="CY22" i="155"/>
  <c r="CV22" i="155"/>
  <c r="CS22" i="155"/>
  <c r="CP22" i="155"/>
  <c r="CM22" i="155"/>
  <c r="CJ22" i="155"/>
  <c r="CG22" i="155"/>
  <c r="CD22" i="155"/>
  <c r="CA22" i="155"/>
  <c r="BX22" i="155"/>
  <c r="BU22" i="155"/>
  <c r="BR22" i="155"/>
  <c r="BO22" i="155"/>
  <c r="BL22" i="155"/>
  <c r="BI22" i="155"/>
  <c r="BF22" i="155"/>
  <c r="BC22" i="155"/>
  <c r="AZ22" i="155"/>
  <c r="AW22" i="155"/>
  <c r="AT22" i="155"/>
  <c r="AQ22" i="155"/>
  <c r="AN22" i="155"/>
  <c r="AK22" i="155"/>
  <c r="AI22" i="155"/>
  <c r="AB22" i="155"/>
  <c r="EH22" i="155" s="1"/>
  <c r="Y22" i="155"/>
  <c r="V22" i="155"/>
  <c r="S22" i="155"/>
  <c r="P22" i="155"/>
  <c r="M22" i="155"/>
  <c r="J22" i="155"/>
  <c r="G22" i="155"/>
  <c r="D22" i="155"/>
  <c r="EL21" i="155"/>
  <c r="EC21" i="155" s="1"/>
  <c r="EK21" i="155"/>
  <c r="EI21" i="155"/>
  <c r="EG21" i="155"/>
  <c r="EB21" i="155"/>
  <c r="DW21" i="155"/>
  <c r="DT21" i="155"/>
  <c r="EM21" i="155" s="1"/>
  <c r="EN21" i="155" s="1"/>
  <c r="DQ21" i="155"/>
  <c r="DN21" i="155"/>
  <c r="DK21" i="155"/>
  <c r="DH21" i="155"/>
  <c r="DE21" i="155"/>
  <c r="DB21" i="155"/>
  <c r="CY21" i="155"/>
  <c r="CV21" i="155"/>
  <c r="CS21" i="155"/>
  <c r="CP21" i="155"/>
  <c r="CM21" i="155"/>
  <c r="CJ21" i="155"/>
  <c r="CG21" i="155"/>
  <c r="CD21" i="155"/>
  <c r="CA21" i="155"/>
  <c r="BX21" i="155"/>
  <c r="BU21" i="155"/>
  <c r="BR21" i="155"/>
  <c r="BO21" i="155"/>
  <c r="BL21" i="155"/>
  <c r="BI21" i="155"/>
  <c r="BF21" i="155"/>
  <c r="BC21" i="155"/>
  <c r="AZ21" i="155"/>
  <c r="AW21" i="155"/>
  <c r="AT21" i="155"/>
  <c r="AQ21" i="155"/>
  <c r="AN21" i="155"/>
  <c r="AI21" i="155"/>
  <c r="AK21" i="155" s="1"/>
  <c r="AB21" i="155"/>
  <c r="Y21" i="155"/>
  <c r="V21" i="155"/>
  <c r="S21" i="155"/>
  <c r="P21" i="155"/>
  <c r="M21" i="155"/>
  <c r="J21" i="155"/>
  <c r="G21" i="155"/>
  <c r="D21" i="155"/>
  <c r="EL20" i="155"/>
  <c r="EK20" i="155"/>
  <c r="EG20" i="155"/>
  <c r="EI20" i="155" s="1"/>
  <c r="DW20" i="155"/>
  <c r="DT20" i="155"/>
  <c r="EM20" i="155" s="1"/>
  <c r="EN20" i="155" s="1"/>
  <c r="DQ20" i="155"/>
  <c r="DN20" i="155"/>
  <c r="DK20" i="155"/>
  <c r="DH20" i="155"/>
  <c r="DE20" i="155"/>
  <c r="DB20" i="155"/>
  <c r="CY20" i="155"/>
  <c r="CV20" i="155"/>
  <c r="CS20" i="155"/>
  <c r="CP20" i="155"/>
  <c r="CM20" i="155"/>
  <c r="CJ20" i="155"/>
  <c r="CG20" i="155"/>
  <c r="CD20" i="155"/>
  <c r="CA20" i="155"/>
  <c r="BX20" i="155"/>
  <c r="BU20" i="155"/>
  <c r="BR20" i="155"/>
  <c r="BO20" i="155"/>
  <c r="BL20" i="155"/>
  <c r="BI20" i="155"/>
  <c r="BF20" i="155"/>
  <c r="BC20" i="155"/>
  <c r="AZ20" i="155"/>
  <c r="AW20" i="155"/>
  <c r="AT20" i="155"/>
  <c r="AQ20" i="155"/>
  <c r="AN20" i="155"/>
  <c r="AK20" i="155"/>
  <c r="AI20" i="155"/>
  <c r="EB20" i="155" s="1"/>
  <c r="AB20" i="155"/>
  <c r="Y20" i="155"/>
  <c r="V20" i="155"/>
  <c r="S20" i="155"/>
  <c r="P20" i="155"/>
  <c r="M20" i="155"/>
  <c r="J20" i="155"/>
  <c r="G20" i="155"/>
  <c r="D20" i="155"/>
  <c r="EL19" i="155"/>
  <c r="EG19" i="155"/>
  <c r="EI19" i="155" s="1"/>
  <c r="EB19" i="155"/>
  <c r="DW19" i="155"/>
  <c r="DT19" i="155"/>
  <c r="EM19" i="155" s="1"/>
  <c r="DQ19" i="155"/>
  <c r="DN19" i="155"/>
  <c r="DK19" i="155"/>
  <c r="DH19" i="155"/>
  <c r="DE19" i="155"/>
  <c r="DB19" i="155"/>
  <c r="CY19" i="155"/>
  <c r="CV19" i="155"/>
  <c r="CS19" i="155"/>
  <c r="CP19" i="155"/>
  <c r="CM19" i="155"/>
  <c r="CJ19" i="155"/>
  <c r="CG19" i="155"/>
  <c r="CD19" i="155"/>
  <c r="CA19" i="155"/>
  <c r="BX19" i="155"/>
  <c r="BU19" i="155"/>
  <c r="BR19" i="155"/>
  <c r="BO19" i="155"/>
  <c r="BL19" i="155"/>
  <c r="BI19" i="155"/>
  <c r="BF19" i="155"/>
  <c r="BC19" i="155"/>
  <c r="AZ19" i="155"/>
  <c r="AW19" i="155"/>
  <c r="AT19" i="155"/>
  <c r="AQ19" i="155"/>
  <c r="AN19" i="155"/>
  <c r="AK19" i="155"/>
  <c r="AI19" i="155"/>
  <c r="EK19" i="155" s="1"/>
  <c r="AB19" i="155"/>
  <c r="Y19" i="155"/>
  <c r="V19" i="155"/>
  <c r="S19" i="155"/>
  <c r="EH19" i="155" s="1"/>
  <c r="P19" i="155"/>
  <c r="M19" i="155"/>
  <c r="J19" i="155"/>
  <c r="G19" i="155"/>
  <c r="D19" i="155"/>
  <c r="EL18" i="155"/>
  <c r="EK18" i="155"/>
  <c r="EG18" i="155"/>
  <c r="EI18" i="155" s="1"/>
  <c r="EB18" i="155"/>
  <c r="DW18" i="155"/>
  <c r="DT18" i="155"/>
  <c r="EM18" i="155" s="1"/>
  <c r="DQ18" i="155"/>
  <c r="DN18" i="155"/>
  <c r="DK18" i="155"/>
  <c r="DH18" i="155"/>
  <c r="DE18" i="155"/>
  <c r="DB18" i="155"/>
  <c r="CY18" i="155"/>
  <c r="CV18" i="155"/>
  <c r="CS18" i="155"/>
  <c r="CP18" i="155"/>
  <c r="CM18" i="155"/>
  <c r="CJ18" i="155"/>
  <c r="CG18" i="155"/>
  <c r="CD18" i="155"/>
  <c r="CA18" i="155"/>
  <c r="BX18" i="155"/>
  <c r="BU18" i="155"/>
  <c r="BR18" i="155"/>
  <c r="BO18" i="155"/>
  <c r="BL18" i="155"/>
  <c r="BI18" i="155"/>
  <c r="BF18" i="155"/>
  <c r="BC18" i="155"/>
  <c r="AZ18" i="155"/>
  <c r="AW18" i="155"/>
  <c r="AT18" i="155"/>
  <c r="AQ18" i="155"/>
  <c r="AN18" i="155"/>
  <c r="AK18" i="155"/>
  <c r="AI18" i="155"/>
  <c r="EH18" i="155"/>
  <c r="AB18" i="155"/>
  <c r="Y18" i="155"/>
  <c r="V18" i="155"/>
  <c r="S18" i="155"/>
  <c r="P18" i="155"/>
  <c r="M18" i="155"/>
  <c r="J18" i="155"/>
  <c r="G18" i="155"/>
  <c r="D18" i="155"/>
  <c r="EL17" i="155"/>
  <c r="EG17" i="155"/>
  <c r="EI17" i="155" s="1"/>
  <c r="EB17" i="155"/>
  <c r="DW17" i="155"/>
  <c r="DT17" i="155"/>
  <c r="EM17" i="155" s="1"/>
  <c r="DQ17" i="155"/>
  <c r="DN17" i="155"/>
  <c r="DK17" i="155"/>
  <c r="DH17" i="155"/>
  <c r="DE17" i="155"/>
  <c r="DB17" i="155"/>
  <c r="CY17" i="155"/>
  <c r="CV17" i="155"/>
  <c r="CS17" i="155"/>
  <c r="CP17" i="155"/>
  <c r="CM17" i="155"/>
  <c r="CJ17" i="155"/>
  <c r="CG17" i="155"/>
  <c r="CD17" i="155"/>
  <c r="CA17" i="155"/>
  <c r="BX17" i="155"/>
  <c r="BU17" i="155"/>
  <c r="BR17" i="155"/>
  <c r="BO17" i="155"/>
  <c r="BL17" i="155"/>
  <c r="BI17" i="155"/>
  <c r="BF17" i="155"/>
  <c r="BC17" i="155"/>
  <c r="AZ17" i="155"/>
  <c r="AW17" i="155"/>
  <c r="AT17" i="155"/>
  <c r="AQ17" i="155"/>
  <c r="AN17" i="155"/>
  <c r="AK17" i="155"/>
  <c r="AI17" i="155"/>
  <c r="EK17" i="155" s="1"/>
  <c r="EN17" i="155" s="1"/>
  <c r="AB17" i="155"/>
  <c r="Y17" i="155"/>
  <c r="EH17" i="155" s="1"/>
  <c r="V17" i="155"/>
  <c r="S17" i="155"/>
  <c r="P17" i="155"/>
  <c r="M17" i="155"/>
  <c r="J17" i="155"/>
  <c r="G17" i="155"/>
  <c r="D17" i="155"/>
  <c r="EL16" i="155"/>
  <c r="EK16" i="155"/>
  <c r="EN16" i="155" s="1"/>
  <c r="EI16" i="155"/>
  <c r="EG16" i="155"/>
  <c r="EB16" i="155"/>
  <c r="DW16" i="155"/>
  <c r="DT16" i="155"/>
  <c r="DQ16" i="155"/>
  <c r="EM16" i="155" s="1"/>
  <c r="DN16" i="155"/>
  <c r="DK16" i="155"/>
  <c r="DH16" i="155"/>
  <c r="DE16" i="155"/>
  <c r="DB16" i="155"/>
  <c r="CY16" i="155"/>
  <c r="CV16" i="155"/>
  <c r="CS16" i="155"/>
  <c r="CP16" i="155"/>
  <c r="CM16" i="155"/>
  <c r="CJ16" i="155"/>
  <c r="CG16" i="155"/>
  <c r="CD16" i="155"/>
  <c r="CA16" i="155"/>
  <c r="BX16" i="155"/>
  <c r="BU16" i="155"/>
  <c r="BR16" i="155"/>
  <c r="BO16" i="155"/>
  <c r="BL16" i="155"/>
  <c r="BI16" i="155"/>
  <c r="BF16" i="155"/>
  <c r="BC16" i="155"/>
  <c r="AZ16" i="155"/>
  <c r="AW16" i="155"/>
  <c r="AT16" i="155"/>
  <c r="AQ16" i="155"/>
  <c r="AN16" i="155"/>
  <c r="AK16" i="155"/>
  <c r="AI16" i="155"/>
  <c r="AB16" i="155"/>
  <c r="Y16" i="155"/>
  <c r="V16" i="155"/>
  <c r="EH16" i="155" s="1"/>
  <c r="S16" i="155"/>
  <c r="P16" i="155"/>
  <c r="M16" i="155"/>
  <c r="J16" i="155"/>
  <c r="ED16" i="155" s="1"/>
  <c r="G16" i="155"/>
  <c r="D16" i="155"/>
  <c r="EL15" i="155"/>
  <c r="EG15" i="155"/>
  <c r="EI15" i="155" s="1"/>
  <c r="DW15" i="155"/>
  <c r="DT15" i="155"/>
  <c r="DQ15" i="155"/>
  <c r="DN15" i="155"/>
  <c r="DK15" i="155"/>
  <c r="DH15" i="155"/>
  <c r="DE15" i="155"/>
  <c r="DB15" i="155"/>
  <c r="CY15" i="155"/>
  <c r="CV15" i="155"/>
  <c r="CS15" i="155"/>
  <c r="CP15" i="155"/>
  <c r="CM15" i="155"/>
  <c r="CJ15" i="155"/>
  <c r="CG15" i="155"/>
  <c r="CD15" i="155"/>
  <c r="CA15" i="155"/>
  <c r="BX15" i="155"/>
  <c r="BU15" i="155"/>
  <c r="BR15" i="155"/>
  <c r="BO15" i="155"/>
  <c r="BL15" i="155"/>
  <c r="BI15" i="155"/>
  <c r="BF15" i="155"/>
  <c r="BC15" i="155"/>
  <c r="AZ15" i="155"/>
  <c r="AW15" i="155"/>
  <c r="AT15" i="155"/>
  <c r="AQ15" i="155"/>
  <c r="AN15" i="155"/>
  <c r="AI15" i="155"/>
  <c r="EB15" i="155" s="1"/>
  <c r="AB15" i="155"/>
  <c r="Y15" i="155"/>
  <c r="V15" i="155"/>
  <c r="S15" i="155"/>
  <c r="P15" i="155"/>
  <c r="M15" i="155"/>
  <c r="J15" i="155"/>
  <c r="G15" i="155"/>
  <c r="D15" i="155"/>
  <c r="EL14" i="155"/>
  <c r="EG14" i="155"/>
  <c r="EI14" i="155" s="1"/>
  <c r="DW14" i="155"/>
  <c r="DT14" i="155"/>
  <c r="DQ14" i="155"/>
  <c r="DN14" i="155"/>
  <c r="DK14" i="155"/>
  <c r="DK41" i="155" s="1"/>
  <c r="DH14" i="155"/>
  <c r="DE14" i="155"/>
  <c r="DB14" i="155"/>
  <c r="CY14" i="155"/>
  <c r="CV14" i="155"/>
  <c r="CS14" i="155"/>
  <c r="CP14" i="155"/>
  <c r="CM14" i="155"/>
  <c r="CJ14" i="155"/>
  <c r="CG14" i="155"/>
  <c r="CD14" i="155"/>
  <c r="CA14" i="155"/>
  <c r="CA41" i="155" s="1"/>
  <c r="BX14" i="155"/>
  <c r="BU14" i="155"/>
  <c r="BR14" i="155"/>
  <c r="BO14" i="155"/>
  <c r="BL14" i="155"/>
  <c r="BI14" i="155"/>
  <c r="BF14" i="155"/>
  <c r="BC14" i="155"/>
  <c r="AZ14" i="155"/>
  <c r="AW14" i="155"/>
  <c r="AT14" i="155"/>
  <c r="AQ14" i="155"/>
  <c r="AQ41" i="155" s="1"/>
  <c r="AN14" i="155"/>
  <c r="AI14" i="155"/>
  <c r="EK14" i="155" s="1"/>
  <c r="AB14" i="155"/>
  <c r="Y14" i="155"/>
  <c r="V14" i="155"/>
  <c r="S14" i="155"/>
  <c r="EH14" i="155" s="1"/>
  <c r="P14" i="155"/>
  <c r="M14" i="155"/>
  <c r="J14" i="155"/>
  <c r="G14" i="155"/>
  <c r="D14" i="155"/>
  <c r="EL13" i="155"/>
  <c r="EG13" i="155"/>
  <c r="EI13" i="155" s="1"/>
  <c r="DW13" i="155"/>
  <c r="DT13" i="155"/>
  <c r="DQ13" i="155"/>
  <c r="DN13" i="155"/>
  <c r="DK13" i="155"/>
  <c r="DH13" i="155"/>
  <c r="DE13" i="155"/>
  <c r="DB13" i="155"/>
  <c r="CY13" i="155"/>
  <c r="CV13" i="155"/>
  <c r="CV41" i="155" s="1"/>
  <c r="CS13" i="155"/>
  <c r="CP13" i="155"/>
  <c r="CM13" i="155"/>
  <c r="CJ13" i="155"/>
  <c r="CG13" i="155"/>
  <c r="CD13" i="155"/>
  <c r="CA13" i="155"/>
  <c r="BX13" i="155"/>
  <c r="BU13" i="155"/>
  <c r="BR13" i="155"/>
  <c r="BO13" i="155"/>
  <c r="BL13" i="155"/>
  <c r="BL41" i="155" s="1"/>
  <c r="BI13" i="155"/>
  <c r="BF13" i="155"/>
  <c r="BC13" i="155"/>
  <c r="AZ13" i="155"/>
  <c r="AW13" i="155"/>
  <c r="AT13" i="155"/>
  <c r="AQ13" i="155"/>
  <c r="AN13" i="155"/>
  <c r="AI13" i="155"/>
  <c r="EB13" i="155" s="1"/>
  <c r="AB13" i="155"/>
  <c r="Y13" i="155"/>
  <c r="V13" i="155"/>
  <c r="S13" i="155"/>
  <c r="EH13" i="155" s="1"/>
  <c r="P13" i="155"/>
  <c r="M13" i="155"/>
  <c r="J13" i="155"/>
  <c r="G13" i="155"/>
  <c r="D13" i="155"/>
  <c r="A13" i="155"/>
  <c r="A14" i="155" s="1"/>
  <c r="A15" i="155" s="1"/>
  <c r="A16" i="155" s="1"/>
  <c r="A17" i="155" s="1"/>
  <c r="A18" i="155" s="1"/>
  <c r="A19" i="155" s="1"/>
  <c r="A20" i="155" s="1"/>
  <c r="A21" i="155" s="1"/>
  <c r="A22" i="155" s="1"/>
  <c r="A23" i="155" s="1"/>
  <c r="A24" i="155" s="1"/>
  <c r="A25" i="155" s="1"/>
  <c r="A26" i="155" s="1"/>
  <c r="A27" i="155" s="1"/>
  <c r="A28" i="155" s="1"/>
  <c r="A29" i="155" s="1"/>
  <c r="A30" i="155" s="1"/>
  <c r="A31" i="155" s="1"/>
  <c r="A32" i="155" s="1"/>
  <c r="A33" i="155" s="1"/>
  <c r="A34" i="155" s="1"/>
  <c r="A35" i="155" s="1"/>
  <c r="A36" i="155" s="1"/>
  <c r="A37" i="155" s="1"/>
  <c r="A38" i="155" s="1"/>
  <c r="A39" i="155" s="1"/>
  <c r="A40" i="155" s="1"/>
  <c r="EL12" i="155"/>
  <c r="EG12" i="155"/>
  <c r="EI12" i="155" s="1"/>
  <c r="DW12" i="155"/>
  <c r="DT12" i="155"/>
  <c r="DQ12" i="155"/>
  <c r="DN12" i="155"/>
  <c r="DK12" i="155"/>
  <c r="DH12" i="155"/>
  <c r="DE12" i="155"/>
  <c r="DB12" i="155"/>
  <c r="CY12" i="155"/>
  <c r="CV12" i="155"/>
  <c r="CS12" i="155"/>
  <c r="CP12" i="155"/>
  <c r="CM12" i="155"/>
  <c r="CJ12" i="155"/>
  <c r="CG12" i="155"/>
  <c r="CD12" i="155"/>
  <c r="CA12" i="155"/>
  <c r="BX12" i="155"/>
  <c r="BU12" i="155"/>
  <c r="BR12" i="155"/>
  <c r="BO12" i="155"/>
  <c r="BL12" i="155"/>
  <c r="BI12" i="155"/>
  <c r="BF12" i="155"/>
  <c r="BC12" i="155"/>
  <c r="AZ12" i="155"/>
  <c r="AW12" i="155"/>
  <c r="AT12" i="155"/>
  <c r="AQ12" i="155"/>
  <c r="AN12" i="155"/>
  <c r="AI12" i="155"/>
  <c r="EK12" i="155" s="1"/>
  <c r="AH41" i="155"/>
  <c r="AB12" i="155"/>
  <c r="Y12" i="155"/>
  <c r="V12" i="155"/>
  <c r="S12" i="155"/>
  <c r="P12" i="155"/>
  <c r="M12" i="155"/>
  <c r="J12" i="155"/>
  <c r="G12" i="155"/>
  <c r="D12" i="155"/>
  <c r="A12" i="155"/>
  <c r="EL11" i="155"/>
  <c r="EI11" i="155"/>
  <c r="EG11" i="155"/>
  <c r="EI3" i="155" s="1"/>
  <c r="EI4" i="155" s="1"/>
  <c r="DW11" i="155"/>
  <c r="DW41" i="155" s="1"/>
  <c r="DT11" i="155"/>
  <c r="DT41" i="155" s="1"/>
  <c r="DQ11" i="155"/>
  <c r="DQ41" i="155" s="1"/>
  <c r="DN11" i="155"/>
  <c r="DN41" i="155" s="1"/>
  <c r="DK11" i="155"/>
  <c r="DH11" i="155"/>
  <c r="DH41" i="155" s="1"/>
  <c r="DE11" i="155"/>
  <c r="DE41" i="155" s="1"/>
  <c r="DB11" i="155"/>
  <c r="DB41" i="155" s="1"/>
  <c r="CY11" i="155"/>
  <c r="CY41" i="155" s="1"/>
  <c r="CV11" i="155"/>
  <c r="CS11" i="155"/>
  <c r="CS41" i="155" s="1"/>
  <c r="CP11" i="155"/>
  <c r="CP41" i="155" s="1"/>
  <c r="CM11" i="155"/>
  <c r="CM41" i="155" s="1"/>
  <c r="CJ11" i="155"/>
  <c r="CJ41" i="155" s="1"/>
  <c r="CG11" i="155"/>
  <c r="CG41" i="155" s="1"/>
  <c r="CD11" i="155"/>
  <c r="CD41" i="155" s="1"/>
  <c r="CA11" i="155"/>
  <c r="BX11" i="155"/>
  <c r="BX41" i="155" s="1"/>
  <c r="BU11" i="155"/>
  <c r="BU41" i="155" s="1"/>
  <c r="BR11" i="155"/>
  <c r="BR41" i="155" s="1"/>
  <c r="BO11" i="155"/>
  <c r="BO41" i="155" s="1"/>
  <c r="BL11" i="155"/>
  <c r="BI11" i="155"/>
  <c r="BI41" i="155" s="1"/>
  <c r="BF11" i="155"/>
  <c r="BF41" i="155" s="1"/>
  <c r="BC11" i="155"/>
  <c r="BC41" i="155" s="1"/>
  <c r="AZ11" i="155"/>
  <c r="AZ41" i="155" s="1"/>
  <c r="AW11" i="155"/>
  <c r="AW41" i="155" s="1"/>
  <c r="AT11" i="155"/>
  <c r="AT41" i="155" s="1"/>
  <c r="AQ11" i="155"/>
  <c r="AN11" i="155"/>
  <c r="AN41" i="155" s="1"/>
  <c r="AI11" i="155"/>
  <c r="AK11" i="155" s="1"/>
  <c r="AB11" i="155"/>
  <c r="AB41" i="155" s="1"/>
  <c r="Y11" i="155"/>
  <c r="Y41" i="155" s="1"/>
  <c r="V11" i="155"/>
  <c r="V41" i="155" s="1"/>
  <c r="S11" i="155"/>
  <c r="P11" i="155"/>
  <c r="P41" i="155" s="1"/>
  <c r="M11" i="155"/>
  <c r="M41" i="155" s="1"/>
  <c r="J11" i="155"/>
  <c r="J41" i="155" s="1"/>
  <c r="G11" i="155"/>
  <c r="G41" i="155" s="1"/>
  <c r="D11" i="155"/>
  <c r="EN2" i="155"/>
  <c r="EP2" i="155" s="1"/>
  <c r="EI2" i="155"/>
  <c r="EE2" i="155"/>
  <c r="EQ2" i="155" s="1"/>
  <c r="G4" i="155" s="1"/>
  <c r="ED22" i="155" l="1"/>
  <c r="EE22" i="155" s="1"/>
  <c r="ED35" i="155"/>
  <c r="EE35" i="155" s="1"/>
  <c r="AE41" i="155"/>
  <c r="EH20" i="155"/>
  <c r="ED23" i="155"/>
  <c r="EE23" i="155" s="1"/>
  <c r="EH32" i="155"/>
  <c r="ED34" i="155"/>
  <c r="EE34" i="155" s="1"/>
  <c r="EH12" i="155"/>
  <c r="ED20" i="155"/>
  <c r="EE20" i="155" s="1"/>
  <c r="ED32" i="155"/>
  <c r="EE32" i="155" s="1"/>
  <c r="EH36" i="155"/>
  <c r="EH15" i="155"/>
  <c r="EH24" i="155"/>
  <c r="EH27" i="155"/>
  <c r="ED18" i="155"/>
  <c r="ED19" i="155"/>
  <c r="EE19" i="155" s="1"/>
  <c r="EH35" i="155"/>
  <c r="EH39" i="155"/>
  <c r="EH11" i="155"/>
  <c r="EH21" i="155"/>
  <c r="EH23" i="155"/>
  <c r="ED30" i="155"/>
  <c r="EE30" i="155" s="1"/>
  <c r="EH33" i="155"/>
  <c r="ED13" i="155"/>
  <c r="EE13" i="155" s="1"/>
  <c r="ED15" i="155"/>
  <c r="EE15" i="155" s="1"/>
  <c r="ED25" i="155"/>
  <c r="EE25" i="155" s="1"/>
  <c r="EC39" i="155"/>
  <c r="ED24" i="155"/>
  <c r="EN32" i="155"/>
  <c r="ED11" i="155"/>
  <c r="EE18" i="155"/>
  <c r="EC23" i="155"/>
  <c r="EN34" i="155"/>
  <c r="EC34" i="155"/>
  <c r="EE16" i="155"/>
  <c r="EC20" i="155"/>
  <c r="ED21" i="155"/>
  <c r="EE21" i="155" s="1"/>
  <c r="EE28" i="155"/>
  <c r="EC32" i="155"/>
  <c r="ED33" i="155"/>
  <c r="EE33" i="155" s="1"/>
  <c r="EM36" i="155"/>
  <c r="EN36" i="155" s="1"/>
  <c r="EE40" i="155"/>
  <c r="EN18" i="155"/>
  <c r="EM24" i="155"/>
  <c r="EN24" i="155" s="1"/>
  <c r="EN19" i="155"/>
  <c r="EN29" i="155"/>
  <c r="EN31" i="155"/>
  <c r="EM26" i="155"/>
  <c r="EN26" i="155" s="1"/>
  <c r="ED37" i="155"/>
  <c r="EE37" i="155" s="1"/>
  <c r="EK11" i="155"/>
  <c r="EB12" i="155"/>
  <c r="AK13" i="155"/>
  <c r="EM13" i="155" s="1"/>
  <c r="EC17" i="155"/>
  <c r="EK23" i="155"/>
  <c r="EN23" i="155" s="1"/>
  <c r="EB24" i="155"/>
  <c r="AK25" i="155"/>
  <c r="EM25" i="155" s="1"/>
  <c r="EC29" i="155"/>
  <c r="EK35" i="155"/>
  <c r="EN35" i="155" s="1"/>
  <c r="EB36" i="155"/>
  <c r="AK37" i="155"/>
  <c r="EM37" i="155" s="1"/>
  <c r="ED17" i="155"/>
  <c r="EE17" i="155" s="1"/>
  <c r="EM11" i="155"/>
  <c r="EK13" i="155"/>
  <c r="EB14" i="155"/>
  <c r="AK15" i="155"/>
  <c r="EM15" i="155" s="1"/>
  <c r="EC19" i="155"/>
  <c r="EK25" i="155"/>
  <c r="EC25" i="155" s="1"/>
  <c r="EB26" i="155"/>
  <c r="AK27" i="155"/>
  <c r="EM27" i="155" s="1"/>
  <c r="EK37" i="155"/>
  <c r="EB38" i="155"/>
  <c r="AK39" i="155"/>
  <c r="ED39" i="155" s="1"/>
  <c r="EE39" i="155" s="1"/>
  <c r="ED29" i="155"/>
  <c r="EE29" i="155" s="1"/>
  <c r="ED31" i="155"/>
  <c r="EE31" i="155" s="1"/>
  <c r="D41" i="155"/>
  <c r="EK15" i="155"/>
  <c r="EB11" i="155"/>
  <c r="AK12" i="155"/>
  <c r="AK41" i="155" s="1"/>
  <c r="EC16" i="155"/>
  <c r="AK24" i="155"/>
  <c r="EC28" i="155"/>
  <c r="AK36" i="155"/>
  <c r="ED36" i="155" s="1"/>
  <c r="EC40" i="155"/>
  <c r="EK27" i="155"/>
  <c r="EI5" i="155"/>
  <c r="AK14" i="155"/>
  <c r="EM14" i="155" s="1"/>
  <c r="EN14" i="155" s="1"/>
  <c r="EC18" i="155"/>
  <c r="AK26" i="155"/>
  <c r="ED26" i="155" s="1"/>
  <c r="EC30" i="155"/>
  <c r="AK38" i="155"/>
  <c r="ED38" i="155" s="1"/>
  <c r="S41" i="155"/>
  <c r="EH41" i="155" l="1"/>
  <c r="EN15" i="155"/>
  <c r="EC14" i="155"/>
  <c r="EC35" i="155"/>
  <c r="ED27" i="155"/>
  <c r="EE27" i="155" s="1"/>
  <c r="EN13" i="155"/>
  <c r="EC12" i="155"/>
  <c r="EN27" i="155"/>
  <c r="EN3" i="155"/>
  <c r="EN5" i="155"/>
  <c r="EN11" i="155"/>
  <c r="EE38" i="155"/>
  <c r="EC38" i="155"/>
  <c r="EE36" i="155"/>
  <c r="EC36" i="155"/>
  <c r="EC27" i="155"/>
  <c r="EN37" i="155"/>
  <c r="EM38" i="155"/>
  <c r="EN38" i="155" s="1"/>
  <c r="ED12" i="155"/>
  <c r="EE12" i="155" s="1"/>
  <c r="ED14" i="155"/>
  <c r="EE14" i="155" s="1"/>
  <c r="EC37" i="155"/>
  <c r="EM39" i="155"/>
  <c r="EN39" i="155" s="1"/>
  <c r="EE26" i="155"/>
  <c r="EC26" i="155"/>
  <c r="EM12" i="155"/>
  <c r="EN12" i="155" s="1"/>
  <c r="EN25" i="155"/>
  <c r="EE24" i="155"/>
  <c r="EC24" i="155"/>
  <c r="EC15" i="155"/>
  <c r="EC13" i="155"/>
  <c r="EE3" i="155"/>
  <c r="EE11" i="155"/>
  <c r="EC11" i="155"/>
  <c r="EE5" i="155"/>
  <c r="G7" i="155" s="1"/>
  <c r="ED41" i="155" l="1"/>
  <c r="EE4" i="155"/>
  <c r="G6" i="155" s="1"/>
  <c r="G5" i="155"/>
  <c r="EN4" i="155"/>
  <c r="EM41" i="155"/>
  <c r="M42" i="5" l="1"/>
  <c r="K42" i="5" l="1"/>
  <c r="E42" i="5"/>
  <c r="S15" i="69" l="1"/>
  <c r="N15" i="69"/>
  <c r="I15" i="69"/>
  <c r="U11" i="69" l="1"/>
  <c r="U15" i="69" l="1"/>
  <c r="EL39" i="154" l="1"/>
  <c r="EG39" i="154"/>
  <c r="EI39" i="154" s="1"/>
  <c r="DW39" i="154"/>
  <c r="DT39" i="154"/>
  <c r="DQ39" i="154"/>
  <c r="DN39" i="154"/>
  <c r="DK39" i="154"/>
  <c r="DH39" i="154"/>
  <c r="DE39" i="154"/>
  <c r="DB39" i="154"/>
  <c r="CY39" i="154"/>
  <c r="CV39" i="154"/>
  <c r="CS39" i="154"/>
  <c r="CP39" i="154"/>
  <c r="CM39" i="154"/>
  <c r="CJ39" i="154"/>
  <c r="CG39" i="154"/>
  <c r="CD39" i="154"/>
  <c r="CA39" i="154"/>
  <c r="BX39" i="154"/>
  <c r="BU39" i="154"/>
  <c r="BR39" i="154"/>
  <c r="BO39" i="154"/>
  <c r="BL39" i="154"/>
  <c r="BI39" i="154"/>
  <c r="BF39" i="154"/>
  <c r="BC39" i="154"/>
  <c r="AX39" i="154"/>
  <c r="EK39" i="154" s="1"/>
  <c r="AU39" i="154"/>
  <c r="AW39" i="154" s="1"/>
  <c r="AT39" i="154"/>
  <c r="AR39" i="154"/>
  <c r="EB39" i="154" s="1"/>
  <c r="AQ39" i="154"/>
  <c r="AN39" i="154"/>
  <c r="AI39" i="154"/>
  <c r="AK39" i="154" s="1"/>
  <c r="AB39" i="154"/>
  <c r="Y39" i="154"/>
  <c r="V39" i="154"/>
  <c r="S39" i="154"/>
  <c r="P39" i="154"/>
  <c r="M39" i="154"/>
  <c r="J39" i="154"/>
  <c r="G39" i="154"/>
  <c r="D39" i="154"/>
  <c r="EL38" i="154"/>
  <c r="EG38" i="154"/>
  <c r="EI38" i="154" s="1"/>
  <c r="DW38" i="154"/>
  <c r="DT38" i="154"/>
  <c r="DQ38" i="154"/>
  <c r="DN38" i="154"/>
  <c r="DK38" i="154"/>
  <c r="DH38" i="154"/>
  <c r="DE38" i="154"/>
  <c r="DB38" i="154"/>
  <c r="CY38" i="154"/>
  <c r="CV38" i="154"/>
  <c r="CS38" i="154"/>
  <c r="CP38" i="154"/>
  <c r="CM38" i="154"/>
  <c r="CJ38" i="154"/>
  <c r="CG38" i="154"/>
  <c r="CD38" i="154"/>
  <c r="CA38" i="154"/>
  <c r="BX38" i="154"/>
  <c r="BU38" i="154"/>
  <c r="BR38" i="154"/>
  <c r="BO38" i="154"/>
  <c r="BL38" i="154"/>
  <c r="BI38" i="154"/>
  <c r="BF38" i="154"/>
  <c r="BC38" i="154"/>
  <c r="AZ38" i="154"/>
  <c r="AX38" i="154"/>
  <c r="AU38" i="154"/>
  <c r="AW38" i="154" s="1"/>
  <c r="AR38" i="154"/>
  <c r="EB38" i="154" s="1"/>
  <c r="AQ38" i="154"/>
  <c r="AN38" i="154"/>
  <c r="AK38" i="154"/>
  <c r="AI38" i="154"/>
  <c r="AB38" i="154"/>
  <c r="Y38" i="154"/>
  <c r="V38" i="154"/>
  <c r="S38" i="154"/>
  <c r="P38" i="154"/>
  <c r="M38" i="154"/>
  <c r="J38" i="154"/>
  <c r="G38" i="154"/>
  <c r="D38" i="154"/>
  <c r="EL37" i="154"/>
  <c r="EI37" i="154"/>
  <c r="EG37" i="154"/>
  <c r="DW37" i="154"/>
  <c r="DT37" i="154"/>
  <c r="DQ37" i="154"/>
  <c r="DN37" i="154"/>
  <c r="DK37" i="154"/>
  <c r="DH37" i="154"/>
  <c r="DE37" i="154"/>
  <c r="DB37" i="154"/>
  <c r="CY37" i="154"/>
  <c r="CV37" i="154"/>
  <c r="CS37" i="154"/>
  <c r="CP37" i="154"/>
  <c r="CM37" i="154"/>
  <c r="CJ37" i="154"/>
  <c r="CG37" i="154"/>
  <c r="CD37" i="154"/>
  <c r="CA37" i="154"/>
  <c r="BX37" i="154"/>
  <c r="BU37" i="154"/>
  <c r="BR37" i="154"/>
  <c r="BO37" i="154"/>
  <c r="BL37" i="154"/>
  <c r="BI37" i="154"/>
  <c r="BF37" i="154"/>
  <c r="BC37" i="154"/>
  <c r="AX37" i="154"/>
  <c r="AZ37" i="154" s="1"/>
  <c r="AW37" i="154"/>
  <c r="AU37" i="154"/>
  <c r="AR37" i="154"/>
  <c r="EB37" i="154" s="1"/>
  <c r="AQ37" i="154"/>
  <c r="AN37" i="154"/>
  <c r="AK37" i="154"/>
  <c r="AI37" i="154"/>
  <c r="EH37" i="154"/>
  <c r="AB37" i="154"/>
  <c r="Y37" i="154"/>
  <c r="V37" i="154"/>
  <c r="S37" i="154"/>
  <c r="P37" i="154"/>
  <c r="M37" i="154"/>
  <c r="J37" i="154"/>
  <c r="G37" i="154"/>
  <c r="D37" i="154"/>
  <c r="EL36" i="154"/>
  <c r="EI36" i="154"/>
  <c r="EG36" i="154"/>
  <c r="EB36" i="154"/>
  <c r="DW36" i="154"/>
  <c r="DT36" i="154"/>
  <c r="DQ36" i="154"/>
  <c r="DN36" i="154"/>
  <c r="DK36" i="154"/>
  <c r="DH36" i="154"/>
  <c r="DE36" i="154"/>
  <c r="DB36" i="154"/>
  <c r="CY36" i="154"/>
  <c r="CV36" i="154"/>
  <c r="CS36" i="154"/>
  <c r="CP36" i="154"/>
  <c r="CM36" i="154"/>
  <c r="CJ36" i="154"/>
  <c r="CG36" i="154"/>
  <c r="CD36" i="154"/>
  <c r="CA36" i="154"/>
  <c r="BX36" i="154"/>
  <c r="BU36" i="154"/>
  <c r="BR36" i="154"/>
  <c r="BO36" i="154"/>
  <c r="BL36" i="154"/>
  <c r="BI36" i="154"/>
  <c r="BF36" i="154"/>
  <c r="BC36" i="154"/>
  <c r="AZ36" i="154"/>
  <c r="AX36" i="154"/>
  <c r="EK36" i="154" s="1"/>
  <c r="AU36" i="154"/>
  <c r="AW36" i="154" s="1"/>
  <c r="AT36" i="154"/>
  <c r="AR36" i="154"/>
  <c r="AQ36" i="154"/>
  <c r="AN36" i="154"/>
  <c r="AI36" i="154"/>
  <c r="AK36" i="154" s="1"/>
  <c r="AB36" i="154"/>
  <c r="Y36" i="154"/>
  <c r="V36" i="154"/>
  <c r="S36" i="154"/>
  <c r="P36" i="154"/>
  <c r="M36" i="154"/>
  <c r="J36" i="154"/>
  <c r="G36" i="154"/>
  <c r="D36" i="154"/>
  <c r="EL35" i="154"/>
  <c r="EG35" i="154"/>
  <c r="EI35" i="154" s="1"/>
  <c r="DW35" i="154"/>
  <c r="DT35" i="154"/>
  <c r="DQ35" i="154"/>
  <c r="DN35" i="154"/>
  <c r="DK35" i="154"/>
  <c r="DH35" i="154"/>
  <c r="DE35" i="154"/>
  <c r="DB35" i="154"/>
  <c r="CY35" i="154"/>
  <c r="CV35" i="154"/>
  <c r="CS35" i="154"/>
  <c r="CP35" i="154"/>
  <c r="CM35" i="154"/>
  <c r="CJ35" i="154"/>
  <c r="CG35" i="154"/>
  <c r="CD35" i="154"/>
  <c r="CA35" i="154"/>
  <c r="BX35" i="154"/>
  <c r="BU35" i="154"/>
  <c r="BR35" i="154"/>
  <c r="BO35" i="154"/>
  <c r="BL35" i="154"/>
  <c r="BI35" i="154"/>
  <c r="BF35" i="154"/>
  <c r="BC35" i="154"/>
  <c r="AZ35" i="154"/>
  <c r="AX35" i="154"/>
  <c r="AU35" i="154"/>
  <c r="AW35" i="154" s="1"/>
  <c r="AR35" i="154"/>
  <c r="AT35" i="154" s="1"/>
  <c r="AQ35" i="154"/>
  <c r="AN35" i="154"/>
  <c r="AI35" i="154"/>
  <c r="AK35" i="154" s="1"/>
  <c r="AB35" i="154"/>
  <c r="Y35" i="154"/>
  <c r="V35" i="154"/>
  <c r="S35" i="154"/>
  <c r="P35" i="154"/>
  <c r="M35" i="154"/>
  <c r="J35" i="154"/>
  <c r="G35" i="154"/>
  <c r="D35" i="154"/>
  <c r="EL34" i="154"/>
  <c r="EI34" i="154"/>
  <c r="EG34" i="154"/>
  <c r="DW34" i="154"/>
  <c r="DT34" i="154"/>
  <c r="DQ34" i="154"/>
  <c r="EM34" i="154" s="1"/>
  <c r="DN34" i="154"/>
  <c r="DK34" i="154"/>
  <c r="DH34" i="154"/>
  <c r="DE34" i="154"/>
  <c r="DB34" i="154"/>
  <c r="CY34" i="154"/>
  <c r="CV34" i="154"/>
  <c r="CS34" i="154"/>
  <c r="CP34" i="154"/>
  <c r="CM34" i="154"/>
  <c r="CJ34" i="154"/>
  <c r="CG34" i="154"/>
  <c r="CD34" i="154"/>
  <c r="CA34" i="154"/>
  <c r="BX34" i="154"/>
  <c r="BU34" i="154"/>
  <c r="BR34" i="154"/>
  <c r="BO34" i="154"/>
  <c r="BL34" i="154"/>
  <c r="BI34" i="154"/>
  <c r="BF34" i="154"/>
  <c r="BC34" i="154"/>
  <c r="AX34" i="154"/>
  <c r="AZ34" i="154" s="1"/>
  <c r="AW34" i="154"/>
  <c r="AU34" i="154"/>
  <c r="EK34" i="154" s="1"/>
  <c r="AT34" i="154"/>
  <c r="AR34" i="154"/>
  <c r="EB34" i="154" s="1"/>
  <c r="AQ34" i="154"/>
  <c r="AN34" i="154"/>
  <c r="AK34" i="154"/>
  <c r="AI34" i="154"/>
  <c r="AB34" i="154"/>
  <c r="Y34" i="154"/>
  <c r="V34" i="154"/>
  <c r="S34" i="154"/>
  <c r="P34" i="154"/>
  <c r="M34" i="154"/>
  <c r="J34" i="154"/>
  <c r="G34" i="154"/>
  <c r="D34" i="154"/>
  <c r="EL33" i="154"/>
  <c r="EI33" i="154"/>
  <c r="EG33" i="154"/>
  <c r="DW33" i="154"/>
  <c r="DT33" i="154"/>
  <c r="DQ33" i="154"/>
  <c r="DN33" i="154"/>
  <c r="DK33" i="154"/>
  <c r="DH33" i="154"/>
  <c r="DE33" i="154"/>
  <c r="DB33" i="154"/>
  <c r="CY33" i="154"/>
  <c r="CV33" i="154"/>
  <c r="CS33" i="154"/>
  <c r="CP33" i="154"/>
  <c r="CM33" i="154"/>
  <c r="CJ33" i="154"/>
  <c r="CG33" i="154"/>
  <c r="CD33" i="154"/>
  <c r="CA33" i="154"/>
  <c r="BX33" i="154"/>
  <c r="BU33" i="154"/>
  <c r="BR33" i="154"/>
  <c r="BO33" i="154"/>
  <c r="BL33" i="154"/>
  <c r="BI33" i="154"/>
  <c r="BF33" i="154"/>
  <c r="BC33" i="154"/>
  <c r="AX33" i="154"/>
  <c r="EK33" i="154" s="1"/>
  <c r="AU33" i="154"/>
  <c r="AW33" i="154" s="1"/>
  <c r="AT33" i="154"/>
  <c r="AR33" i="154"/>
  <c r="AQ33" i="154"/>
  <c r="AN33" i="154"/>
  <c r="AI33" i="154"/>
  <c r="AK33" i="154" s="1"/>
  <c r="AB33" i="154"/>
  <c r="Y33" i="154"/>
  <c r="V33" i="154"/>
  <c r="S33" i="154"/>
  <c r="P33" i="154"/>
  <c r="M33" i="154"/>
  <c r="J33" i="154"/>
  <c r="G33" i="154"/>
  <c r="D33" i="154"/>
  <c r="EL32" i="154"/>
  <c r="EK32" i="154"/>
  <c r="EG32" i="154"/>
  <c r="EI32" i="154" s="1"/>
  <c r="DW32" i="154"/>
  <c r="DT32" i="154"/>
  <c r="DQ32" i="154"/>
  <c r="DN32" i="154"/>
  <c r="DK32" i="154"/>
  <c r="DH32" i="154"/>
  <c r="DE32" i="154"/>
  <c r="DB32" i="154"/>
  <c r="CY32" i="154"/>
  <c r="CV32" i="154"/>
  <c r="CS32" i="154"/>
  <c r="CP32" i="154"/>
  <c r="CM32" i="154"/>
  <c r="CJ32" i="154"/>
  <c r="CG32" i="154"/>
  <c r="CD32" i="154"/>
  <c r="CA32" i="154"/>
  <c r="BX32" i="154"/>
  <c r="BU32" i="154"/>
  <c r="BR32" i="154"/>
  <c r="BO32" i="154"/>
  <c r="BL32" i="154"/>
  <c r="BI32" i="154"/>
  <c r="BF32" i="154"/>
  <c r="BC32" i="154"/>
  <c r="AZ32" i="154"/>
  <c r="AX32" i="154"/>
  <c r="AU32" i="154"/>
  <c r="AW32" i="154" s="1"/>
  <c r="AR32" i="154"/>
  <c r="EB32" i="154" s="1"/>
  <c r="AQ32" i="154"/>
  <c r="AN32" i="154"/>
  <c r="AK32" i="154"/>
  <c r="AI32" i="154"/>
  <c r="AB32" i="154"/>
  <c r="Y32" i="154"/>
  <c r="V32" i="154"/>
  <c r="S32" i="154"/>
  <c r="P32" i="154"/>
  <c r="M32" i="154"/>
  <c r="J32" i="154"/>
  <c r="G32" i="154"/>
  <c r="D32" i="154"/>
  <c r="EL31" i="154"/>
  <c r="EI31" i="154"/>
  <c r="EG31" i="154"/>
  <c r="DW31" i="154"/>
  <c r="DT31" i="154"/>
  <c r="DQ31" i="154"/>
  <c r="DN31" i="154"/>
  <c r="DK31" i="154"/>
  <c r="DH31" i="154"/>
  <c r="DE31" i="154"/>
  <c r="DB31" i="154"/>
  <c r="CY31" i="154"/>
  <c r="CV31" i="154"/>
  <c r="CS31" i="154"/>
  <c r="CP31" i="154"/>
  <c r="CM31" i="154"/>
  <c r="CJ31" i="154"/>
  <c r="CG31" i="154"/>
  <c r="CD31" i="154"/>
  <c r="CA31" i="154"/>
  <c r="BX31" i="154"/>
  <c r="BU31" i="154"/>
  <c r="BR31" i="154"/>
  <c r="BO31" i="154"/>
  <c r="BL31" i="154"/>
  <c r="BI31" i="154"/>
  <c r="BF31" i="154"/>
  <c r="BC31" i="154"/>
  <c r="AX31" i="154"/>
  <c r="AZ31" i="154" s="1"/>
  <c r="AW31" i="154"/>
  <c r="AU31" i="154"/>
  <c r="AR31" i="154"/>
  <c r="EB31" i="154" s="1"/>
  <c r="AQ31" i="154"/>
  <c r="AN31" i="154"/>
  <c r="AK31" i="154"/>
  <c r="AI31" i="154"/>
  <c r="AB31" i="154"/>
  <c r="Y31" i="154"/>
  <c r="V31" i="154"/>
  <c r="S31" i="154"/>
  <c r="P31" i="154"/>
  <c r="M31" i="154"/>
  <c r="J31" i="154"/>
  <c r="G31" i="154"/>
  <c r="D31" i="154"/>
  <c r="EL30" i="154"/>
  <c r="EI30" i="154"/>
  <c r="EG30" i="154"/>
  <c r="EB30" i="154"/>
  <c r="DW30" i="154"/>
  <c r="DT30" i="154"/>
  <c r="DQ30" i="154"/>
  <c r="DN30" i="154"/>
  <c r="DK30" i="154"/>
  <c r="DH30" i="154"/>
  <c r="DE30" i="154"/>
  <c r="DB30" i="154"/>
  <c r="CY30" i="154"/>
  <c r="CV30" i="154"/>
  <c r="CS30" i="154"/>
  <c r="CP30" i="154"/>
  <c r="CM30" i="154"/>
  <c r="CJ30" i="154"/>
  <c r="CG30" i="154"/>
  <c r="CD30" i="154"/>
  <c r="CA30" i="154"/>
  <c r="BX30" i="154"/>
  <c r="BU30" i="154"/>
  <c r="BR30" i="154"/>
  <c r="BO30" i="154"/>
  <c r="BL30" i="154"/>
  <c r="BI30" i="154"/>
  <c r="BF30" i="154"/>
  <c r="BC30" i="154"/>
  <c r="AZ30" i="154"/>
  <c r="AX30" i="154"/>
  <c r="EK30" i="154" s="1"/>
  <c r="AU30" i="154"/>
  <c r="AW30" i="154" s="1"/>
  <c r="AT30" i="154"/>
  <c r="AR30" i="154"/>
  <c r="AQ30" i="154"/>
  <c r="AN30" i="154"/>
  <c r="AI30" i="154"/>
  <c r="AK30" i="154" s="1"/>
  <c r="AB30" i="154"/>
  <c r="Y30" i="154"/>
  <c r="V30" i="154"/>
  <c r="S30" i="154"/>
  <c r="P30" i="154"/>
  <c r="M30" i="154"/>
  <c r="J30" i="154"/>
  <c r="G30" i="154"/>
  <c r="D30" i="154"/>
  <c r="EL29" i="154"/>
  <c r="EG29" i="154"/>
  <c r="EI29" i="154" s="1"/>
  <c r="DW29" i="154"/>
  <c r="DT29" i="154"/>
  <c r="DQ29" i="154"/>
  <c r="DN29" i="154"/>
  <c r="DK29" i="154"/>
  <c r="DH29" i="154"/>
  <c r="DE29" i="154"/>
  <c r="DB29" i="154"/>
  <c r="CY29" i="154"/>
  <c r="CV29" i="154"/>
  <c r="CS29" i="154"/>
  <c r="CP29" i="154"/>
  <c r="CM29" i="154"/>
  <c r="CJ29" i="154"/>
  <c r="CG29" i="154"/>
  <c r="CD29" i="154"/>
  <c r="CA29" i="154"/>
  <c r="BX29" i="154"/>
  <c r="BU29" i="154"/>
  <c r="BR29" i="154"/>
  <c r="BO29" i="154"/>
  <c r="BL29" i="154"/>
  <c r="BI29" i="154"/>
  <c r="BF29" i="154"/>
  <c r="BC29" i="154"/>
  <c r="AZ29" i="154"/>
  <c r="AX29" i="154"/>
  <c r="AW29" i="154"/>
  <c r="AU29" i="154"/>
  <c r="EK29" i="154" s="1"/>
  <c r="AR29" i="154"/>
  <c r="AT29" i="154" s="1"/>
  <c r="AQ29" i="154"/>
  <c r="AN29" i="154"/>
  <c r="AI29" i="154"/>
  <c r="AK29" i="154" s="1"/>
  <c r="AB29" i="154"/>
  <c r="Y29" i="154"/>
  <c r="V29" i="154"/>
  <c r="S29" i="154"/>
  <c r="P29" i="154"/>
  <c r="M29" i="154"/>
  <c r="J29" i="154"/>
  <c r="G29" i="154"/>
  <c r="D29" i="154"/>
  <c r="EL28" i="154"/>
  <c r="EI28" i="154"/>
  <c r="EG28" i="154"/>
  <c r="DW28" i="154"/>
  <c r="DT28" i="154"/>
  <c r="DQ28" i="154"/>
  <c r="DN28" i="154"/>
  <c r="DK28" i="154"/>
  <c r="DH28" i="154"/>
  <c r="DE28" i="154"/>
  <c r="DB28" i="154"/>
  <c r="CY28" i="154"/>
  <c r="CV28" i="154"/>
  <c r="CS28" i="154"/>
  <c r="CP28" i="154"/>
  <c r="CM28" i="154"/>
  <c r="CJ28" i="154"/>
  <c r="CG28" i="154"/>
  <c r="CD28" i="154"/>
  <c r="CA28" i="154"/>
  <c r="BX28" i="154"/>
  <c r="BU28" i="154"/>
  <c r="BR28" i="154"/>
  <c r="BO28" i="154"/>
  <c r="BL28" i="154"/>
  <c r="BI28" i="154"/>
  <c r="BF28" i="154"/>
  <c r="BC28" i="154"/>
  <c r="AX28" i="154"/>
  <c r="AZ28" i="154" s="1"/>
  <c r="AW28" i="154"/>
  <c r="AU28" i="154"/>
  <c r="EK28" i="154" s="1"/>
  <c r="AT28" i="154"/>
  <c r="AR28" i="154"/>
  <c r="EB28" i="154" s="1"/>
  <c r="AQ28" i="154"/>
  <c r="AN28" i="154"/>
  <c r="AK28" i="154"/>
  <c r="AI28" i="154"/>
  <c r="AB28" i="154"/>
  <c r="Y28" i="154"/>
  <c r="V28" i="154"/>
  <c r="S28" i="154"/>
  <c r="P28" i="154"/>
  <c r="M28" i="154"/>
  <c r="J28" i="154"/>
  <c r="G28" i="154"/>
  <c r="D28" i="154"/>
  <c r="EL27" i="154"/>
  <c r="EI27" i="154"/>
  <c r="EG27" i="154"/>
  <c r="DW27" i="154"/>
  <c r="DT27" i="154"/>
  <c r="DQ27" i="154"/>
  <c r="DN27" i="154"/>
  <c r="DK27" i="154"/>
  <c r="DH27" i="154"/>
  <c r="DE27" i="154"/>
  <c r="DB27" i="154"/>
  <c r="CY27" i="154"/>
  <c r="CV27" i="154"/>
  <c r="CS27" i="154"/>
  <c r="CP27" i="154"/>
  <c r="CM27" i="154"/>
  <c r="CJ27" i="154"/>
  <c r="CG27" i="154"/>
  <c r="CD27" i="154"/>
  <c r="CA27" i="154"/>
  <c r="BX27" i="154"/>
  <c r="BU27" i="154"/>
  <c r="BR27" i="154"/>
  <c r="BO27" i="154"/>
  <c r="BL27" i="154"/>
  <c r="BI27" i="154"/>
  <c r="BF27" i="154"/>
  <c r="BC27" i="154"/>
  <c r="AX27" i="154"/>
  <c r="EK27" i="154" s="1"/>
  <c r="AU27" i="154"/>
  <c r="AW27" i="154" s="1"/>
  <c r="AT27" i="154"/>
  <c r="AR27" i="154"/>
  <c r="AQ27" i="154"/>
  <c r="AN27" i="154"/>
  <c r="AI27" i="154"/>
  <c r="AK27" i="154" s="1"/>
  <c r="AB27" i="154"/>
  <c r="Y27" i="154"/>
  <c r="V27" i="154"/>
  <c r="S27" i="154"/>
  <c r="P27" i="154"/>
  <c r="M27" i="154"/>
  <c r="J27" i="154"/>
  <c r="G27" i="154"/>
  <c r="D27" i="154"/>
  <c r="EL26" i="154"/>
  <c r="EK26" i="154"/>
  <c r="EG26" i="154"/>
  <c r="EI26" i="154" s="1"/>
  <c r="DW26" i="154"/>
  <c r="DT26" i="154"/>
  <c r="DQ26" i="154"/>
  <c r="DN26" i="154"/>
  <c r="DK26" i="154"/>
  <c r="DH26" i="154"/>
  <c r="DE26" i="154"/>
  <c r="DB26" i="154"/>
  <c r="CY26" i="154"/>
  <c r="CV26" i="154"/>
  <c r="CS26" i="154"/>
  <c r="CP26" i="154"/>
  <c r="CM26" i="154"/>
  <c r="CJ26" i="154"/>
  <c r="CG26" i="154"/>
  <c r="CD26" i="154"/>
  <c r="CA26" i="154"/>
  <c r="BX26" i="154"/>
  <c r="BU26" i="154"/>
  <c r="BR26" i="154"/>
  <c r="BO26" i="154"/>
  <c r="BL26" i="154"/>
  <c r="BI26" i="154"/>
  <c r="BF26" i="154"/>
  <c r="BC26" i="154"/>
  <c r="AZ26" i="154"/>
  <c r="AX26" i="154"/>
  <c r="AU26" i="154"/>
  <c r="AW26" i="154" s="1"/>
  <c r="AR26" i="154"/>
  <c r="EB26" i="154" s="1"/>
  <c r="AQ26" i="154"/>
  <c r="AN26" i="154"/>
  <c r="AK26" i="154"/>
  <c r="AI26" i="154"/>
  <c r="AB26" i="154"/>
  <c r="Y26" i="154"/>
  <c r="V26" i="154"/>
  <c r="S26" i="154"/>
  <c r="P26" i="154"/>
  <c r="M26" i="154"/>
  <c r="J26" i="154"/>
  <c r="G26" i="154"/>
  <c r="D26" i="154"/>
  <c r="EL25" i="154"/>
  <c r="EI25" i="154"/>
  <c r="EG25" i="154"/>
  <c r="DW25" i="154"/>
  <c r="DT25" i="154"/>
  <c r="DQ25" i="154"/>
  <c r="DN25" i="154"/>
  <c r="DK25" i="154"/>
  <c r="DH25" i="154"/>
  <c r="DE25" i="154"/>
  <c r="DB25" i="154"/>
  <c r="CY25" i="154"/>
  <c r="CV25" i="154"/>
  <c r="CS25" i="154"/>
  <c r="CP25" i="154"/>
  <c r="CM25" i="154"/>
  <c r="CJ25" i="154"/>
  <c r="CG25" i="154"/>
  <c r="CD25" i="154"/>
  <c r="CA25" i="154"/>
  <c r="BX25" i="154"/>
  <c r="BU25" i="154"/>
  <c r="BR25" i="154"/>
  <c r="BO25" i="154"/>
  <c r="BL25" i="154"/>
  <c r="BI25" i="154"/>
  <c r="BF25" i="154"/>
  <c r="BC25" i="154"/>
  <c r="AX25" i="154"/>
  <c r="AZ25" i="154" s="1"/>
  <c r="AW25" i="154"/>
  <c r="AU25" i="154"/>
  <c r="AR25" i="154"/>
  <c r="AT25" i="154" s="1"/>
  <c r="AQ25" i="154"/>
  <c r="AL25" i="154"/>
  <c r="AN25" i="154" s="1"/>
  <c r="AI25" i="154"/>
  <c r="AK25" i="154" s="1"/>
  <c r="AB25" i="154"/>
  <c r="Y25" i="154"/>
  <c r="V25" i="154"/>
  <c r="S25" i="154"/>
  <c r="P25" i="154"/>
  <c r="M25" i="154"/>
  <c r="J25" i="154"/>
  <c r="G25" i="154"/>
  <c r="D25" i="154"/>
  <c r="EL24" i="154"/>
  <c r="EG24" i="154"/>
  <c r="EI24" i="154" s="1"/>
  <c r="DW24" i="154"/>
  <c r="DT24" i="154"/>
  <c r="DQ24" i="154"/>
  <c r="DN24" i="154"/>
  <c r="DK24" i="154"/>
  <c r="DH24" i="154"/>
  <c r="DE24" i="154"/>
  <c r="DB24" i="154"/>
  <c r="CY24" i="154"/>
  <c r="CV24" i="154"/>
  <c r="CS24" i="154"/>
  <c r="CP24" i="154"/>
  <c r="CM24" i="154"/>
  <c r="CJ24" i="154"/>
  <c r="CG24" i="154"/>
  <c r="CD24" i="154"/>
  <c r="CA24" i="154"/>
  <c r="BX24" i="154"/>
  <c r="BU24" i="154"/>
  <c r="BR24" i="154"/>
  <c r="BO24" i="154"/>
  <c r="BL24" i="154"/>
  <c r="BI24" i="154"/>
  <c r="BF24" i="154"/>
  <c r="BC24" i="154"/>
  <c r="AZ24" i="154"/>
  <c r="AU24" i="154"/>
  <c r="AW24" i="154" s="1"/>
  <c r="AT24" i="154"/>
  <c r="AR24" i="154"/>
  <c r="AO24" i="154"/>
  <c r="EB24" i="154" s="1"/>
  <c r="AL24" i="154"/>
  <c r="AN24" i="154" s="1"/>
  <c r="AK24" i="154"/>
  <c r="AI24" i="154"/>
  <c r="AB24" i="154"/>
  <c r="Y24" i="154"/>
  <c r="V24" i="154"/>
  <c r="S24" i="154"/>
  <c r="P24" i="154"/>
  <c r="M24" i="154"/>
  <c r="J24" i="154"/>
  <c r="G24" i="154"/>
  <c r="D24" i="154"/>
  <c r="EL23" i="154"/>
  <c r="EI23" i="154"/>
  <c r="EG23" i="154"/>
  <c r="EB23" i="154"/>
  <c r="DW23" i="154"/>
  <c r="DT23" i="154"/>
  <c r="DQ23" i="154"/>
  <c r="DN23" i="154"/>
  <c r="DK23" i="154"/>
  <c r="DH23" i="154"/>
  <c r="DE23" i="154"/>
  <c r="DB23" i="154"/>
  <c r="CY23" i="154"/>
  <c r="CV23" i="154"/>
  <c r="CS23" i="154"/>
  <c r="CP23" i="154"/>
  <c r="CM23" i="154"/>
  <c r="CJ23" i="154"/>
  <c r="CG23" i="154"/>
  <c r="CD23" i="154"/>
  <c r="CA23" i="154"/>
  <c r="BX23" i="154"/>
  <c r="BU23" i="154"/>
  <c r="BR23" i="154"/>
  <c r="BO23" i="154"/>
  <c r="BL23" i="154"/>
  <c r="BI23" i="154"/>
  <c r="BF23" i="154"/>
  <c r="BC23" i="154"/>
  <c r="AZ23" i="154"/>
  <c r="AW23" i="154"/>
  <c r="AU23" i="154"/>
  <c r="AR23" i="154"/>
  <c r="EK23" i="154" s="1"/>
  <c r="AO23" i="154"/>
  <c r="AQ23" i="154" s="1"/>
  <c r="AN23" i="154"/>
  <c r="AL23" i="154"/>
  <c r="AI23" i="154"/>
  <c r="AK23" i="154" s="1"/>
  <c r="AB23" i="154"/>
  <c r="Y23" i="154"/>
  <c r="V23" i="154"/>
  <c r="S23" i="154"/>
  <c r="P23" i="154"/>
  <c r="M23" i="154"/>
  <c r="J23" i="154"/>
  <c r="G23" i="154"/>
  <c r="D23" i="154"/>
  <c r="EL22" i="154"/>
  <c r="EI22" i="154"/>
  <c r="EG22" i="154"/>
  <c r="DW22" i="154"/>
  <c r="DT22" i="154"/>
  <c r="DQ22" i="154"/>
  <c r="DN22" i="154"/>
  <c r="DK22" i="154"/>
  <c r="DH22" i="154"/>
  <c r="DE22" i="154"/>
  <c r="DB22" i="154"/>
  <c r="CY22" i="154"/>
  <c r="CV22" i="154"/>
  <c r="CS22" i="154"/>
  <c r="CP22" i="154"/>
  <c r="CM22" i="154"/>
  <c r="CJ22" i="154"/>
  <c r="CG22" i="154"/>
  <c r="CD22" i="154"/>
  <c r="CA22" i="154"/>
  <c r="BX22" i="154"/>
  <c r="BU22" i="154"/>
  <c r="BR22" i="154"/>
  <c r="BO22" i="154"/>
  <c r="BL22" i="154"/>
  <c r="BI22" i="154"/>
  <c r="BF22" i="154"/>
  <c r="BC22" i="154"/>
  <c r="AZ22" i="154"/>
  <c r="AW22" i="154"/>
  <c r="AU22" i="154"/>
  <c r="EK22" i="154" s="1"/>
  <c r="AR22" i="154"/>
  <c r="AT22" i="154" s="1"/>
  <c r="AQ22" i="154"/>
  <c r="AO22" i="154"/>
  <c r="AL22" i="154"/>
  <c r="EB22" i="154" s="1"/>
  <c r="AI22" i="154"/>
  <c r="AK22" i="154" s="1"/>
  <c r="AB22" i="154"/>
  <c r="Y22" i="154"/>
  <c r="V22" i="154"/>
  <c r="S22" i="154"/>
  <c r="P22" i="154"/>
  <c r="M22" i="154"/>
  <c r="J22" i="154"/>
  <c r="G22" i="154"/>
  <c r="D22" i="154"/>
  <c r="EL21" i="154"/>
  <c r="EG21" i="154"/>
  <c r="EI21" i="154" s="1"/>
  <c r="DW21" i="154"/>
  <c r="DT21" i="154"/>
  <c r="EM21" i="154" s="1"/>
  <c r="DQ21" i="154"/>
  <c r="DN21" i="154"/>
  <c r="DK21" i="154"/>
  <c r="DH21" i="154"/>
  <c r="DE21" i="154"/>
  <c r="DB21" i="154"/>
  <c r="CY21" i="154"/>
  <c r="CV21" i="154"/>
  <c r="CS21" i="154"/>
  <c r="CP21" i="154"/>
  <c r="CM21" i="154"/>
  <c r="CJ21" i="154"/>
  <c r="CG21" i="154"/>
  <c r="CD21" i="154"/>
  <c r="CA21" i="154"/>
  <c r="BX21" i="154"/>
  <c r="BU21" i="154"/>
  <c r="BR21" i="154"/>
  <c r="BO21" i="154"/>
  <c r="BL21" i="154"/>
  <c r="BI21" i="154"/>
  <c r="BF21" i="154"/>
  <c r="BC21" i="154"/>
  <c r="AZ21" i="154"/>
  <c r="AU21" i="154"/>
  <c r="AW21" i="154" s="1"/>
  <c r="AT21" i="154"/>
  <c r="AR21" i="154"/>
  <c r="AO21" i="154"/>
  <c r="AQ21" i="154" s="1"/>
  <c r="AL21" i="154"/>
  <c r="AN21" i="154" s="1"/>
  <c r="AK21" i="154"/>
  <c r="AI21" i="154"/>
  <c r="AB21" i="154"/>
  <c r="Y21" i="154"/>
  <c r="V21" i="154"/>
  <c r="S21" i="154"/>
  <c r="P21" i="154"/>
  <c r="M21" i="154"/>
  <c r="J21" i="154"/>
  <c r="G21" i="154"/>
  <c r="D21" i="154"/>
  <c r="EL20" i="154"/>
  <c r="EI20" i="154"/>
  <c r="EG20" i="154"/>
  <c r="DW20" i="154"/>
  <c r="DT20" i="154"/>
  <c r="DQ20" i="154"/>
  <c r="DN20" i="154"/>
  <c r="DK20" i="154"/>
  <c r="DH20" i="154"/>
  <c r="DE20" i="154"/>
  <c r="DB20" i="154"/>
  <c r="CY20" i="154"/>
  <c r="CV20" i="154"/>
  <c r="CS20" i="154"/>
  <c r="CP20" i="154"/>
  <c r="CM20" i="154"/>
  <c r="CJ20" i="154"/>
  <c r="CG20" i="154"/>
  <c r="CD20" i="154"/>
  <c r="CA20" i="154"/>
  <c r="BX20" i="154"/>
  <c r="BU20" i="154"/>
  <c r="BR20" i="154"/>
  <c r="BO20" i="154"/>
  <c r="BL20" i="154"/>
  <c r="BI20" i="154"/>
  <c r="BF20" i="154"/>
  <c r="BC20" i="154"/>
  <c r="AZ20" i="154"/>
  <c r="AW20" i="154"/>
  <c r="AU20" i="154"/>
  <c r="AT20" i="154"/>
  <c r="AR20" i="154"/>
  <c r="EK20" i="154" s="1"/>
  <c r="AO20" i="154"/>
  <c r="AQ20" i="154" s="1"/>
  <c r="AN20" i="154"/>
  <c r="AL20" i="154"/>
  <c r="AI20" i="154"/>
  <c r="AK20" i="154" s="1"/>
  <c r="AB20" i="154"/>
  <c r="Y20" i="154"/>
  <c r="V20" i="154"/>
  <c r="S20" i="154"/>
  <c r="P20" i="154"/>
  <c r="M20" i="154"/>
  <c r="J20" i="154"/>
  <c r="G20" i="154"/>
  <c r="D20" i="154"/>
  <c r="EL19" i="154"/>
  <c r="EI19" i="154"/>
  <c r="EG19" i="154"/>
  <c r="DW19" i="154"/>
  <c r="DT19" i="154"/>
  <c r="DQ19" i="154"/>
  <c r="EM19" i="154" s="1"/>
  <c r="DN19" i="154"/>
  <c r="DK19" i="154"/>
  <c r="DH19" i="154"/>
  <c r="DE19" i="154"/>
  <c r="DB19" i="154"/>
  <c r="CY19" i="154"/>
  <c r="CV19" i="154"/>
  <c r="CS19" i="154"/>
  <c r="CP19" i="154"/>
  <c r="CM19" i="154"/>
  <c r="CJ19" i="154"/>
  <c r="CG19" i="154"/>
  <c r="CD19" i="154"/>
  <c r="CA19" i="154"/>
  <c r="BX19" i="154"/>
  <c r="BU19" i="154"/>
  <c r="BR19" i="154"/>
  <c r="BO19" i="154"/>
  <c r="BL19" i="154"/>
  <c r="BI19" i="154"/>
  <c r="BF19" i="154"/>
  <c r="BC19" i="154"/>
  <c r="AZ19" i="154"/>
  <c r="AU19" i="154"/>
  <c r="AW19" i="154" s="1"/>
  <c r="AR19" i="154"/>
  <c r="AT19" i="154" s="1"/>
  <c r="AQ19" i="154"/>
  <c r="AO19" i="154"/>
  <c r="AL19" i="154"/>
  <c r="AN19" i="154" s="1"/>
  <c r="AI19" i="154"/>
  <c r="AK19" i="154" s="1"/>
  <c r="AB19" i="154"/>
  <c r="Y19" i="154"/>
  <c r="V19" i="154"/>
  <c r="S19" i="154"/>
  <c r="P19" i="154"/>
  <c r="M19" i="154"/>
  <c r="J19" i="154"/>
  <c r="G19" i="154"/>
  <c r="D19" i="154"/>
  <c r="EL18" i="154"/>
  <c r="EG18" i="154"/>
  <c r="EI18" i="154" s="1"/>
  <c r="DW18" i="154"/>
  <c r="DT18" i="154"/>
  <c r="EM18" i="154" s="1"/>
  <c r="DQ18" i="154"/>
  <c r="DN18" i="154"/>
  <c r="DK18" i="154"/>
  <c r="DH18" i="154"/>
  <c r="DE18" i="154"/>
  <c r="DB18" i="154"/>
  <c r="CY18" i="154"/>
  <c r="CV18" i="154"/>
  <c r="CS18" i="154"/>
  <c r="CP18" i="154"/>
  <c r="CM18" i="154"/>
  <c r="CJ18" i="154"/>
  <c r="CG18" i="154"/>
  <c r="CD18" i="154"/>
  <c r="CA18" i="154"/>
  <c r="BX18" i="154"/>
  <c r="BU18" i="154"/>
  <c r="BR18" i="154"/>
  <c r="BO18" i="154"/>
  <c r="BL18" i="154"/>
  <c r="BI18" i="154"/>
  <c r="BF18" i="154"/>
  <c r="BC18" i="154"/>
  <c r="AZ18" i="154"/>
  <c r="AU18" i="154"/>
  <c r="AW18" i="154" s="1"/>
  <c r="AT18" i="154"/>
  <c r="AR18" i="154"/>
  <c r="AO18" i="154"/>
  <c r="AQ18" i="154" s="1"/>
  <c r="AL18" i="154"/>
  <c r="AN18" i="154" s="1"/>
  <c r="AK18" i="154"/>
  <c r="AB18" i="154"/>
  <c r="Y18" i="154"/>
  <c r="V18" i="154"/>
  <c r="S18" i="154"/>
  <c r="P18" i="154"/>
  <c r="M18" i="154"/>
  <c r="J18" i="154"/>
  <c r="G18" i="154"/>
  <c r="D18" i="154"/>
  <c r="EL17" i="154"/>
  <c r="EG17" i="154"/>
  <c r="EI17" i="154" s="1"/>
  <c r="DW17" i="154"/>
  <c r="DT17" i="154"/>
  <c r="DQ17" i="154"/>
  <c r="DN17" i="154"/>
  <c r="DK17" i="154"/>
  <c r="DH17" i="154"/>
  <c r="DE17" i="154"/>
  <c r="DB17" i="154"/>
  <c r="CY17" i="154"/>
  <c r="CV17" i="154"/>
  <c r="CS17" i="154"/>
  <c r="CP17" i="154"/>
  <c r="CM17" i="154"/>
  <c r="CJ17" i="154"/>
  <c r="CG17" i="154"/>
  <c r="CD17" i="154"/>
  <c r="CA17" i="154"/>
  <c r="BX17" i="154"/>
  <c r="BU17" i="154"/>
  <c r="BR17" i="154"/>
  <c r="BO17" i="154"/>
  <c r="BL17" i="154"/>
  <c r="BI17" i="154"/>
  <c r="BF17" i="154"/>
  <c r="BC17" i="154"/>
  <c r="AZ17" i="154"/>
  <c r="AU17" i="154"/>
  <c r="AW17" i="154" s="1"/>
  <c r="AR17" i="154"/>
  <c r="AT17" i="154" s="1"/>
  <c r="AQ17" i="154"/>
  <c r="AO17" i="154"/>
  <c r="AL17" i="154"/>
  <c r="AN17" i="154" s="1"/>
  <c r="AI17" i="154"/>
  <c r="AK17" i="154" s="1"/>
  <c r="AB17" i="154"/>
  <c r="Y17" i="154"/>
  <c r="V17" i="154"/>
  <c r="S17" i="154"/>
  <c r="P17" i="154"/>
  <c r="M17" i="154"/>
  <c r="J17" i="154"/>
  <c r="G17" i="154"/>
  <c r="D17" i="154"/>
  <c r="EL16" i="154"/>
  <c r="EK16" i="154"/>
  <c r="EG16" i="154"/>
  <c r="EI16" i="154" s="1"/>
  <c r="DW16" i="154"/>
  <c r="DT16" i="154"/>
  <c r="DQ16" i="154"/>
  <c r="DN16" i="154"/>
  <c r="DK16" i="154"/>
  <c r="DH16" i="154"/>
  <c r="DE16" i="154"/>
  <c r="DB16" i="154"/>
  <c r="CY16" i="154"/>
  <c r="CV16" i="154"/>
  <c r="CS16" i="154"/>
  <c r="CP16" i="154"/>
  <c r="CM16" i="154"/>
  <c r="CJ16" i="154"/>
  <c r="CG16" i="154"/>
  <c r="CD16" i="154"/>
  <c r="CA16" i="154"/>
  <c r="BX16" i="154"/>
  <c r="BU16" i="154"/>
  <c r="BR16" i="154"/>
  <c r="BO16" i="154"/>
  <c r="BL16" i="154"/>
  <c r="BI16" i="154"/>
  <c r="BF16" i="154"/>
  <c r="BC16" i="154"/>
  <c r="AZ16" i="154"/>
  <c r="AU16" i="154"/>
  <c r="AW16" i="154" s="1"/>
  <c r="AT16" i="154"/>
  <c r="AR16" i="154"/>
  <c r="AO16" i="154"/>
  <c r="AQ16" i="154" s="1"/>
  <c r="AL16" i="154"/>
  <c r="AN16" i="154" s="1"/>
  <c r="AK16" i="154"/>
  <c r="AI16" i="154"/>
  <c r="AB16" i="154"/>
  <c r="Y16" i="154"/>
  <c r="V16" i="154"/>
  <c r="S16" i="154"/>
  <c r="P16" i="154"/>
  <c r="M16" i="154"/>
  <c r="J16" i="154"/>
  <c r="G16" i="154"/>
  <c r="D16" i="154"/>
  <c r="EL15" i="154"/>
  <c r="EI15" i="154"/>
  <c r="EG15" i="154"/>
  <c r="DW15" i="154"/>
  <c r="DT15" i="154"/>
  <c r="DQ15" i="154"/>
  <c r="DN15" i="154"/>
  <c r="DK15" i="154"/>
  <c r="DH15" i="154"/>
  <c r="DE15" i="154"/>
  <c r="DB15" i="154"/>
  <c r="CY15" i="154"/>
  <c r="CV15" i="154"/>
  <c r="CS15" i="154"/>
  <c r="CP15" i="154"/>
  <c r="CM15" i="154"/>
  <c r="CJ15" i="154"/>
  <c r="CG15" i="154"/>
  <c r="CD15" i="154"/>
  <c r="CA15" i="154"/>
  <c r="BX15" i="154"/>
  <c r="BU15" i="154"/>
  <c r="BR15" i="154"/>
  <c r="BO15" i="154"/>
  <c r="BL15" i="154"/>
  <c r="BI15" i="154"/>
  <c r="BF15" i="154"/>
  <c r="BC15" i="154"/>
  <c r="AZ15" i="154"/>
  <c r="AW15" i="154"/>
  <c r="AU15" i="154"/>
  <c r="AT15" i="154"/>
  <c r="AQ15" i="154"/>
  <c r="AO15" i="154"/>
  <c r="AL15" i="154"/>
  <c r="AN15" i="154" s="1"/>
  <c r="AI15" i="154"/>
  <c r="AK15" i="154" s="1"/>
  <c r="AB15" i="154"/>
  <c r="Y15" i="154"/>
  <c r="V15" i="154"/>
  <c r="S15" i="154"/>
  <c r="P15" i="154"/>
  <c r="M15" i="154"/>
  <c r="J15" i="154"/>
  <c r="G15" i="154"/>
  <c r="D15" i="154"/>
  <c r="EL14" i="154"/>
  <c r="EG14" i="154"/>
  <c r="EI14" i="154" s="1"/>
  <c r="DW14" i="154"/>
  <c r="DT14" i="154"/>
  <c r="DQ14" i="154"/>
  <c r="DN14" i="154"/>
  <c r="DK14" i="154"/>
  <c r="DH14" i="154"/>
  <c r="DE14" i="154"/>
  <c r="DB14" i="154"/>
  <c r="DB40" i="154" s="1"/>
  <c r="CY14" i="154"/>
  <c r="CV14" i="154"/>
  <c r="CS14" i="154"/>
  <c r="CP14" i="154"/>
  <c r="CM14" i="154"/>
  <c r="CJ14" i="154"/>
  <c r="CG14" i="154"/>
  <c r="CD14" i="154"/>
  <c r="CA14" i="154"/>
  <c r="BX14" i="154"/>
  <c r="BU14" i="154"/>
  <c r="BR14" i="154"/>
  <c r="BR40" i="154" s="1"/>
  <c r="BO14" i="154"/>
  <c r="BL14" i="154"/>
  <c r="BI14" i="154"/>
  <c r="BF14" i="154"/>
  <c r="BC14" i="154"/>
  <c r="AZ14" i="154"/>
  <c r="AU14" i="154"/>
  <c r="AW14" i="154" s="1"/>
  <c r="AT14" i="154"/>
  <c r="AR14" i="154"/>
  <c r="AO14" i="154"/>
  <c r="EB14" i="154" s="1"/>
  <c r="AL14" i="154"/>
  <c r="AN14" i="154" s="1"/>
  <c r="AK14" i="154"/>
  <c r="AI14" i="154"/>
  <c r="AB14" i="154"/>
  <c r="Y14" i="154"/>
  <c r="V14" i="154"/>
  <c r="S14" i="154"/>
  <c r="P14" i="154"/>
  <c r="M14" i="154"/>
  <c r="J14" i="154"/>
  <c r="G14" i="154"/>
  <c r="D14" i="154"/>
  <c r="EL13" i="154"/>
  <c r="EI13" i="154"/>
  <c r="EG13" i="154"/>
  <c r="EI4" i="154" s="1"/>
  <c r="EI5" i="154" s="1"/>
  <c r="EB13" i="154"/>
  <c r="EC13" i="154" s="1"/>
  <c r="DW13" i="154"/>
  <c r="DT13" i="154"/>
  <c r="DQ13" i="154"/>
  <c r="DN13" i="154"/>
  <c r="DK13" i="154"/>
  <c r="DH13" i="154"/>
  <c r="DE13" i="154"/>
  <c r="DB13" i="154"/>
  <c r="CY13" i="154"/>
  <c r="CV13" i="154"/>
  <c r="CS13" i="154"/>
  <c r="CP13" i="154"/>
  <c r="CM13" i="154"/>
  <c r="CJ13" i="154"/>
  <c r="CG13" i="154"/>
  <c r="CD13" i="154"/>
  <c r="CA13" i="154"/>
  <c r="BX13" i="154"/>
  <c r="BU13" i="154"/>
  <c r="BR13" i="154"/>
  <c r="BO13" i="154"/>
  <c r="BL13" i="154"/>
  <c r="BI13" i="154"/>
  <c r="BF13" i="154"/>
  <c r="BC13" i="154"/>
  <c r="AZ13" i="154"/>
  <c r="AW13" i="154"/>
  <c r="AU13" i="154"/>
  <c r="AR13" i="154"/>
  <c r="EK13" i="154" s="1"/>
  <c r="AO13" i="154"/>
  <c r="AQ13" i="154" s="1"/>
  <c r="AN13" i="154"/>
  <c r="AL13" i="154"/>
  <c r="AI13" i="154"/>
  <c r="AK13" i="154" s="1"/>
  <c r="AB13" i="154"/>
  <c r="Y13" i="154"/>
  <c r="V13" i="154"/>
  <c r="S13" i="154"/>
  <c r="P13" i="154"/>
  <c r="M13" i="154"/>
  <c r="J13" i="154"/>
  <c r="G13" i="154"/>
  <c r="D13" i="154"/>
  <c r="A13" i="154"/>
  <c r="A14" i="154" s="1"/>
  <c r="A15" i="154" s="1"/>
  <c r="A16" i="154" s="1"/>
  <c r="A17" i="154" s="1"/>
  <c r="A18" i="154" s="1"/>
  <c r="A19" i="154" s="1"/>
  <c r="A20" i="154" s="1"/>
  <c r="A21" i="154" s="1"/>
  <c r="A22" i="154" s="1"/>
  <c r="A23" i="154" s="1"/>
  <c r="A24" i="154" s="1"/>
  <c r="A25" i="154" s="1"/>
  <c r="A26" i="154" s="1"/>
  <c r="A27" i="154" s="1"/>
  <c r="A28" i="154" s="1"/>
  <c r="A29" i="154" s="1"/>
  <c r="A30" i="154" s="1"/>
  <c r="A31" i="154" s="1"/>
  <c r="A32" i="154" s="1"/>
  <c r="A33" i="154" s="1"/>
  <c r="A34" i="154" s="1"/>
  <c r="A35" i="154" s="1"/>
  <c r="A36" i="154" s="1"/>
  <c r="A37" i="154" s="1"/>
  <c r="A38" i="154" s="1"/>
  <c r="A39" i="154" s="1"/>
  <c r="EL12" i="154"/>
  <c r="EI12" i="154"/>
  <c r="EG12" i="154"/>
  <c r="DW12" i="154"/>
  <c r="DW40" i="154" s="1"/>
  <c r="DT12" i="154"/>
  <c r="DT40" i="154" s="1"/>
  <c r="DQ12" i="154"/>
  <c r="DN12" i="154"/>
  <c r="DN40" i="154" s="1"/>
  <c r="DK12" i="154"/>
  <c r="DK40" i="154" s="1"/>
  <c r="DH12" i="154"/>
  <c r="DH40" i="154" s="1"/>
  <c r="DE12" i="154"/>
  <c r="DE40" i="154" s="1"/>
  <c r="DB12" i="154"/>
  <c r="CY12" i="154"/>
  <c r="CY40" i="154" s="1"/>
  <c r="CV12" i="154"/>
  <c r="CV40" i="154" s="1"/>
  <c r="CS12" i="154"/>
  <c r="CS40" i="154" s="1"/>
  <c r="CP12" i="154"/>
  <c r="CP40" i="154" s="1"/>
  <c r="CM12" i="154"/>
  <c r="CM40" i="154" s="1"/>
  <c r="CJ12" i="154"/>
  <c r="CJ40" i="154" s="1"/>
  <c r="CG12" i="154"/>
  <c r="CG40" i="154" s="1"/>
  <c r="CD12" i="154"/>
  <c r="CD40" i="154" s="1"/>
  <c r="CA12" i="154"/>
  <c r="CA40" i="154" s="1"/>
  <c r="BX12" i="154"/>
  <c r="BX40" i="154" s="1"/>
  <c r="BU12" i="154"/>
  <c r="BU40" i="154" s="1"/>
  <c r="BR12" i="154"/>
  <c r="BO12" i="154"/>
  <c r="BO40" i="154" s="1"/>
  <c r="BL12" i="154"/>
  <c r="BL40" i="154" s="1"/>
  <c r="BI12" i="154"/>
  <c r="BI40" i="154" s="1"/>
  <c r="BF12" i="154"/>
  <c r="BF40" i="154" s="1"/>
  <c r="BC12" i="154"/>
  <c r="BC40" i="154" s="1"/>
  <c r="AZ12" i="154"/>
  <c r="AU12" i="154"/>
  <c r="AW12" i="154" s="1"/>
  <c r="AR12" i="154"/>
  <c r="AT12" i="154" s="1"/>
  <c r="AQ12" i="154"/>
  <c r="AO12" i="154"/>
  <c r="AL12" i="154"/>
  <c r="EB12" i="154" s="1"/>
  <c r="AI12" i="154"/>
  <c r="AK12" i="154" s="1"/>
  <c r="AK40" i="154" s="1"/>
  <c r="AB12" i="154"/>
  <c r="AB40" i="154" s="1"/>
  <c r="Y12" i="154"/>
  <c r="Y40" i="154" s="1"/>
  <c r="V12" i="154"/>
  <c r="V40" i="154" s="1"/>
  <c r="S12" i="154"/>
  <c r="S40" i="154" s="1"/>
  <c r="P12" i="154"/>
  <c r="P40" i="154" s="1"/>
  <c r="M12" i="154"/>
  <c r="M40" i="154" s="1"/>
  <c r="J12" i="154"/>
  <c r="J40" i="154" s="1"/>
  <c r="G12" i="154"/>
  <c r="G40" i="154" s="1"/>
  <c r="D12" i="154"/>
  <c r="D40" i="154" s="1"/>
  <c r="EI2" i="154"/>
  <c r="EH31" i="154" l="1"/>
  <c r="EH35" i="154"/>
  <c r="EH16" i="154"/>
  <c r="EH23" i="154"/>
  <c r="EH34" i="154"/>
  <c r="EH24" i="154"/>
  <c r="EH25" i="154"/>
  <c r="EH15" i="154"/>
  <c r="EH17" i="154"/>
  <c r="EH22" i="154"/>
  <c r="EH19" i="154"/>
  <c r="EH29" i="154"/>
  <c r="EH28" i="154"/>
  <c r="AE40" i="154"/>
  <c r="ED15" i="154"/>
  <c r="EH20" i="154"/>
  <c r="EH13" i="154"/>
  <c r="EH14" i="154"/>
  <c r="EH21" i="154"/>
  <c r="EH30" i="154"/>
  <c r="EH32" i="154"/>
  <c r="EH33" i="154"/>
  <c r="EH18" i="154"/>
  <c r="ED34" i="154"/>
  <c r="EE34" i="154" s="1"/>
  <c r="ED35" i="154"/>
  <c r="EH26" i="154"/>
  <c r="AH40" i="154"/>
  <c r="ED20" i="154"/>
  <c r="ED21" i="154"/>
  <c r="EH27" i="154"/>
  <c r="EH36" i="154"/>
  <c r="EH38" i="154"/>
  <c r="EH39" i="154"/>
  <c r="EM15" i="154"/>
  <c r="EM16" i="154"/>
  <c r="ED19" i="154"/>
  <c r="EN20" i="154"/>
  <c r="EM22" i="154"/>
  <c r="EN22" i="154" s="1"/>
  <c r="ED28" i="154"/>
  <c r="EE28" i="154" s="1"/>
  <c r="ED29" i="154"/>
  <c r="EN34" i="154"/>
  <c r="EM35" i="154"/>
  <c r="EC36" i="154"/>
  <c r="EM17" i="154"/>
  <c r="EC32" i="154"/>
  <c r="AW40" i="154"/>
  <c r="ED18" i="154"/>
  <c r="EC23" i="154"/>
  <c r="ED39" i="154"/>
  <c r="EE39" i="154" s="1"/>
  <c r="EC22" i="154"/>
  <c r="EN29" i="154"/>
  <c r="EM20" i="154"/>
  <c r="EC28" i="154"/>
  <c r="EM30" i="154"/>
  <c r="ED36" i="154"/>
  <c r="EE36" i="154" s="1"/>
  <c r="ED38" i="154"/>
  <c r="EE38" i="154" s="1"/>
  <c r="EE2" i="154"/>
  <c r="EQ2" i="154" s="1"/>
  <c r="G5" i="154" s="1"/>
  <c r="EC39" i="154"/>
  <c r="EN16" i="154"/>
  <c r="EN30" i="154"/>
  <c r="ED25" i="154"/>
  <c r="ED16" i="154"/>
  <c r="ED17" i="154"/>
  <c r="EC26" i="154"/>
  <c r="EM27" i="154"/>
  <c r="EN27" i="154" s="1"/>
  <c r="EM28" i="154"/>
  <c r="EN28" i="154" s="1"/>
  <c r="EM29" i="154"/>
  <c r="EC30" i="154"/>
  <c r="EM39" i="154"/>
  <c r="EN39" i="154" s="1"/>
  <c r="EC38" i="154"/>
  <c r="EN2" i="154"/>
  <c r="EM25" i="154"/>
  <c r="EM26" i="154"/>
  <c r="EN26" i="154" s="1"/>
  <c r="EM37" i="154"/>
  <c r="EC12" i="154"/>
  <c r="ED30" i="154"/>
  <c r="EE30" i="154" s="1"/>
  <c r="ED32" i="154"/>
  <c r="EE32" i="154" s="1"/>
  <c r="EC34" i="154"/>
  <c r="EM36" i="154"/>
  <c r="EN36" i="154" s="1"/>
  <c r="EI6" i="154"/>
  <c r="EK18" i="154"/>
  <c r="EN18" i="154" s="1"/>
  <c r="EK17" i="154"/>
  <c r="EB21" i="154"/>
  <c r="AT26" i="154"/>
  <c r="ED26" i="154" s="1"/>
  <c r="EE26" i="154" s="1"/>
  <c r="EB29" i="154"/>
  <c r="AT32" i="154"/>
  <c r="EM32" i="154" s="1"/>
  <c r="EN32" i="154" s="1"/>
  <c r="EB35" i="154"/>
  <c r="AT38" i="154"/>
  <c r="EM38" i="154" s="1"/>
  <c r="EB20" i="154"/>
  <c r="EK38" i="154"/>
  <c r="AQ14" i="154"/>
  <c r="AQ40" i="154" s="1"/>
  <c r="EK15" i="154"/>
  <c r="EN15" i="154" s="1"/>
  <c r="EB19" i="154"/>
  <c r="AN22" i="154"/>
  <c r="ED22" i="154" s="1"/>
  <c r="EE22" i="154" s="1"/>
  <c r="AQ24" i="154"/>
  <c r="EM24" i="154" s="1"/>
  <c r="AZ27" i="154"/>
  <c r="ED27" i="154" s="1"/>
  <c r="AT31" i="154"/>
  <c r="EM31" i="154" s="1"/>
  <c r="AZ33" i="154"/>
  <c r="EM33" i="154" s="1"/>
  <c r="EN33" i="154" s="1"/>
  <c r="AT37" i="154"/>
  <c r="ED37" i="154" s="1"/>
  <c r="EE37" i="154" s="1"/>
  <c r="AZ39" i="154"/>
  <c r="AN12" i="154"/>
  <c r="AN40" i="154" s="1"/>
  <c r="EB18" i="154"/>
  <c r="EK25" i="154"/>
  <c r="EN25" i="154" s="1"/>
  <c r="EK31" i="154"/>
  <c r="EC31" i="154" s="1"/>
  <c r="EK37" i="154"/>
  <c r="EC37" i="154" s="1"/>
  <c r="EK24" i="154"/>
  <c r="EC24" i="154" s="1"/>
  <c r="EB27" i="154"/>
  <c r="EB33" i="154"/>
  <c r="EH12" i="154"/>
  <c r="EK14" i="154"/>
  <c r="AT13" i="154"/>
  <c r="EM13" i="154" s="1"/>
  <c r="EN13" i="154" s="1"/>
  <c r="EB17" i="154"/>
  <c r="AT23" i="154"/>
  <c r="EM23" i="154" s="1"/>
  <c r="EN23" i="154" s="1"/>
  <c r="EK12" i="154"/>
  <c r="EB16" i="154"/>
  <c r="EE4" i="154" s="1"/>
  <c r="DQ40" i="154"/>
  <c r="EB15" i="154"/>
  <c r="EK21" i="154"/>
  <c r="EN21" i="154" s="1"/>
  <c r="EK35" i="154"/>
  <c r="EN35" i="154" s="1"/>
  <c r="EB25" i="154"/>
  <c r="EK19" i="154"/>
  <c r="EN19" i="154" s="1"/>
  <c r="EL42" i="153"/>
  <c r="EG42" i="153"/>
  <c r="EI42" i="153" s="1"/>
  <c r="EB42" i="153"/>
  <c r="DW42" i="153"/>
  <c r="DT42" i="153"/>
  <c r="DQ42" i="153"/>
  <c r="DN42" i="153"/>
  <c r="DK42" i="153"/>
  <c r="DH42" i="153"/>
  <c r="DE42" i="153"/>
  <c r="DB42" i="153"/>
  <c r="CY42" i="153"/>
  <c r="CV42" i="153"/>
  <c r="CS42" i="153"/>
  <c r="CP42" i="153"/>
  <c r="CM42" i="153"/>
  <c r="CJ42" i="153"/>
  <c r="CG42" i="153"/>
  <c r="CD42" i="153"/>
  <c r="CA42" i="153"/>
  <c r="BX42" i="153"/>
  <c r="BU42" i="153"/>
  <c r="BR42" i="153"/>
  <c r="BO42" i="153"/>
  <c r="BL42" i="153"/>
  <c r="BI42" i="153"/>
  <c r="BF42" i="153"/>
  <c r="BC42" i="153"/>
  <c r="AZ42" i="153"/>
  <c r="AW42" i="153"/>
  <c r="AT42" i="153"/>
  <c r="AR42" i="153"/>
  <c r="EK42" i="153" s="1"/>
  <c r="AQ42" i="153"/>
  <c r="AO42" i="153"/>
  <c r="AN42" i="153"/>
  <c r="AL42" i="153"/>
  <c r="AK42" i="153"/>
  <c r="AI42" i="153"/>
  <c r="AB42" i="153"/>
  <c r="Y42" i="153"/>
  <c r="V42" i="153"/>
  <c r="S42" i="153"/>
  <c r="P42" i="153"/>
  <c r="M42" i="153"/>
  <c r="J42" i="153"/>
  <c r="G42" i="153"/>
  <c r="D42" i="153"/>
  <c r="EL41" i="153"/>
  <c r="EI41" i="153"/>
  <c r="EG41" i="153"/>
  <c r="DW41" i="153"/>
  <c r="DT41" i="153"/>
  <c r="DQ41" i="153"/>
  <c r="DN41" i="153"/>
  <c r="DK41" i="153"/>
  <c r="DH41" i="153"/>
  <c r="DE41" i="153"/>
  <c r="DB41" i="153"/>
  <c r="CY41" i="153"/>
  <c r="CV41" i="153"/>
  <c r="CS41" i="153"/>
  <c r="CP41" i="153"/>
  <c r="CM41" i="153"/>
  <c r="CJ41" i="153"/>
  <c r="CG41" i="153"/>
  <c r="CD41" i="153"/>
  <c r="CA41" i="153"/>
  <c r="BX41" i="153"/>
  <c r="BU41" i="153"/>
  <c r="BR41" i="153"/>
  <c r="BO41" i="153"/>
  <c r="BL41" i="153"/>
  <c r="BI41" i="153"/>
  <c r="BF41" i="153"/>
  <c r="BC41" i="153"/>
  <c r="AZ41" i="153"/>
  <c r="AW41" i="153"/>
  <c r="AT41" i="153"/>
  <c r="AR41" i="153"/>
  <c r="EK41" i="153" s="1"/>
  <c r="AQ41" i="153"/>
  <c r="AO41" i="153"/>
  <c r="AN41" i="153"/>
  <c r="AL41" i="153"/>
  <c r="EB41" i="153" s="1"/>
  <c r="AK41" i="153"/>
  <c r="AI41" i="153"/>
  <c r="AB41" i="153"/>
  <c r="Y41" i="153"/>
  <c r="V41" i="153"/>
  <c r="S41" i="153"/>
  <c r="P41" i="153"/>
  <c r="M41" i="153"/>
  <c r="J41" i="153"/>
  <c r="G41" i="153"/>
  <c r="D41" i="153"/>
  <c r="EL40" i="153"/>
  <c r="EG40" i="153"/>
  <c r="EI40" i="153" s="1"/>
  <c r="EB40" i="153"/>
  <c r="DW40" i="153"/>
  <c r="DT40" i="153"/>
  <c r="DQ40" i="153"/>
  <c r="DN40" i="153"/>
  <c r="DK40" i="153"/>
  <c r="DH40" i="153"/>
  <c r="DE40" i="153"/>
  <c r="DB40" i="153"/>
  <c r="CY40" i="153"/>
  <c r="CV40" i="153"/>
  <c r="CS40" i="153"/>
  <c r="CP40" i="153"/>
  <c r="CM40" i="153"/>
  <c r="CJ40" i="153"/>
  <c r="CG40" i="153"/>
  <c r="CD40" i="153"/>
  <c r="CA40" i="153"/>
  <c r="BX40" i="153"/>
  <c r="BU40" i="153"/>
  <c r="BR40" i="153"/>
  <c r="BO40" i="153"/>
  <c r="BL40" i="153"/>
  <c r="BI40" i="153"/>
  <c r="BF40" i="153"/>
  <c r="BC40" i="153"/>
  <c r="AZ40" i="153"/>
  <c r="AW40" i="153"/>
  <c r="AT40" i="153"/>
  <c r="AR40" i="153"/>
  <c r="EK40" i="153" s="1"/>
  <c r="AQ40" i="153"/>
  <c r="AO40" i="153"/>
  <c r="AN40" i="153"/>
  <c r="AL40" i="153"/>
  <c r="AK40" i="153"/>
  <c r="AI40" i="153"/>
  <c r="AB40" i="153"/>
  <c r="Y40" i="153"/>
  <c r="V40" i="153"/>
  <c r="S40" i="153"/>
  <c r="P40" i="153"/>
  <c r="M40" i="153"/>
  <c r="J40" i="153"/>
  <c r="G40" i="153"/>
  <c r="D40" i="153"/>
  <c r="EL39" i="153"/>
  <c r="EI39" i="153"/>
  <c r="EG39" i="153"/>
  <c r="DW39" i="153"/>
  <c r="DT39" i="153"/>
  <c r="DQ39" i="153"/>
  <c r="DN39" i="153"/>
  <c r="DK39" i="153"/>
  <c r="DH39" i="153"/>
  <c r="DE39" i="153"/>
  <c r="DB39" i="153"/>
  <c r="CY39" i="153"/>
  <c r="CV39" i="153"/>
  <c r="CS39" i="153"/>
  <c r="CP39" i="153"/>
  <c r="CM39" i="153"/>
  <c r="CJ39" i="153"/>
  <c r="CG39" i="153"/>
  <c r="CD39" i="153"/>
  <c r="CA39" i="153"/>
  <c r="BX39" i="153"/>
  <c r="BU39" i="153"/>
  <c r="BR39" i="153"/>
  <c r="BO39" i="153"/>
  <c r="BL39" i="153"/>
  <c r="BI39" i="153"/>
  <c r="BF39" i="153"/>
  <c r="BC39" i="153"/>
  <c r="AZ39" i="153"/>
  <c r="AW39" i="153"/>
  <c r="AT39" i="153"/>
  <c r="AR39" i="153"/>
  <c r="EK39" i="153" s="1"/>
  <c r="AQ39" i="153"/>
  <c r="AO39" i="153"/>
  <c r="AN39" i="153"/>
  <c r="AL39" i="153"/>
  <c r="EB39" i="153" s="1"/>
  <c r="AK39" i="153"/>
  <c r="AI39" i="153"/>
  <c r="AB39" i="153"/>
  <c r="Y39" i="153"/>
  <c r="V39" i="153"/>
  <c r="S39" i="153"/>
  <c r="P39" i="153"/>
  <c r="M39" i="153"/>
  <c r="J39" i="153"/>
  <c r="G39" i="153"/>
  <c r="D39" i="153"/>
  <c r="EL38" i="153"/>
  <c r="EG38" i="153"/>
  <c r="EI38" i="153" s="1"/>
  <c r="EB38" i="153"/>
  <c r="DW38" i="153"/>
  <c r="DT38" i="153"/>
  <c r="DQ38" i="153"/>
  <c r="DN38" i="153"/>
  <c r="DK38" i="153"/>
  <c r="DH38" i="153"/>
  <c r="DE38" i="153"/>
  <c r="DB38" i="153"/>
  <c r="CY38" i="153"/>
  <c r="CV38" i="153"/>
  <c r="CS38" i="153"/>
  <c r="CP38" i="153"/>
  <c r="CM38" i="153"/>
  <c r="CJ38" i="153"/>
  <c r="CG38" i="153"/>
  <c r="CD38" i="153"/>
  <c r="CA38" i="153"/>
  <c r="BX38" i="153"/>
  <c r="BU38" i="153"/>
  <c r="BR38" i="153"/>
  <c r="BO38" i="153"/>
  <c r="BL38" i="153"/>
  <c r="BI38" i="153"/>
  <c r="BF38" i="153"/>
  <c r="BC38" i="153"/>
  <c r="AZ38" i="153"/>
  <c r="AW38" i="153"/>
  <c r="AT38" i="153"/>
  <c r="AR38" i="153"/>
  <c r="EK38" i="153" s="1"/>
  <c r="AQ38" i="153"/>
  <c r="AO38" i="153"/>
  <c r="AN38" i="153"/>
  <c r="AL38" i="153"/>
  <c r="AK38" i="153"/>
  <c r="AI38" i="153"/>
  <c r="AB38" i="153"/>
  <c r="Y38" i="153"/>
  <c r="V38" i="153"/>
  <c r="S38" i="153"/>
  <c r="P38" i="153"/>
  <c r="M38" i="153"/>
  <c r="J38" i="153"/>
  <c r="G38" i="153"/>
  <c r="D38" i="153"/>
  <c r="EL37" i="153"/>
  <c r="EI37" i="153"/>
  <c r="EG37" i="153"/>
  <c r="DW37" i="153"/>
  <c r="DT37" i="153"/>
  <c r="DQ37" i="153"/>
  <c r="DN37" i="153"/>
  <c r="DK37" i="153"/>
  <c r="DH37" i="153"/>
  <c r="DE37" i="153"/>
  <c r="DB37" i="153"/>
  <c r="CY37" i="153"/>
  <c r="CV37" i="153"/>
  <c r="CS37" i="153"/>
  <c r="CP37" i="153"/>
  <c r="CM37" i="153"/>
  <c r="CJ37" i="153"/>
  <c r="CG37" i="153"/>
  <c r="CD37" i="153"/>
  <c r="CA37" i="153"/>
  <c r="BX37" i="153"/>
  <c r="BU37" i="153"/>
  <c r="BR37" i="153"/>
  <c r="BO37" i="153"/>
  <c r="BL37" i="153"/>
  <c r="BI37" i="153"/>
  <c r="BF37" i="153"/>
  <c r="BC37" i="153"/>
  <c r="AZ37" i="153"/>
  <c r="AW37" i="153"/>
  <c r="AT37" i="153"/>
  <c r="AR37" i="153"/>
  <c r="EK37" i="153" s="1"/>
  <c r="AQ37" i="153"/>
  <c r="AO37" i="153"/>
  <c r="EB37" i="153" s="1"/>
  <c r="AN37" i="153"/>
  <c r="AL37" i="153"/>
  <c r="AK37" i="153"/>
  <c r="AI37" i="153"/>
  <c r="AB37" i="153"/>
  <c r="Y37" i="153"/>
  <c r="V37" i="153"/>
  <c r="S37" i="153"/>
  <c r="P37" i="153"/>
  <c r="M37" i="153"/>
  <c r="J37" i="153"/>
  <c r="G37" i="153"/>
  <c r="D37" i="153"/>
  <c r="EL36" i="153"/>
  <c r="EG36" i="153"/>
  <c r="EI36" i="153" s="1"/>
  <c r="EB36" i="153"/>
  <c r="DW36" i="153"/>
  <c r="DT36" i="153"/>
  <c r="DQ36" i="153"/>
  <c r="DN36" i="153"/>
  <c r="DK36" i="153"/>
  <c r="DH36" i="153"/>
  <c r="DE36" i="153"/>
  <c r="DB36" i="153"/>
  <c r="CY36" i="153"/>
  <c r="CV36" i="153"/>
  <c r="CS36" i="153"/>
  <c r="CP36" i="153"/>
  <c r="CM36" i="153"/>
  <c r="CJ36" i="153"/>
  <c r="CG36" i="153"/>
  <c r="CD36" i="153"/>
  <c r="CA36" i="153"/>
  <c r="BX36" i="153"/>
  <c r="BU36" i="153"/>
  <c r="BR36" i="153"/>
  <c r="BO36" i="153"/>
  <c r="BL36" i="153"/>
  <c r="BI36" i="153"/>
  <c r="BF36" i="153"/>
  <c r="BC36" i="153"/>
  <c r="AZ36" i="153"/>
  <c r="AW36" i="153"/>
  <c r="AT36" i="153"/>
  <c r="AR36" i="153"/>
  <c r="EK36" i="153" s="1"/>
  <c r="AQ36" i="153"/>
  <c r="AO36" i="153"/>
  <c r="AN36" i="153"/>
  <c r="AL36" i="153"/>
  <c r="AK36" i="153"/>
  <c r="AI36" i="153"/>
  <c r="AB36" i="153"/>
  <c r="Y36" i="153"/>
  <c r="V36" i="153"/>
  <c r="S36" i="153"/>
  <c r="P36" i="153"/>
  <c r="M36" i="153"/>
  <c r="J36" i="153"/>
  <c r="G36" i="153"/>
  <c r="D36" i="153"/>
  <c r="EL35" i="153"/>
  <c r="EI35" i="153"/>
  <c r="EG35" i="153"/>
  <c r="DW35" i="153"/>
  <c r="DT35" i="153"/>
  <c r="DQ35" i="153"/>
  <c r="DN35" i="153"/>
  <c r="DK35" i="153"/>
  <c r="DH35" i="153"/>
  <c r="DE35" i="153"/>
  <c r="DB35" i="153"/>
  <c r="CY35" i="153"/>
  <c r="CV35" i="153"/>
  <c r="CS35" i="153"/>
  <c r="CP35" i="153"/>
  <c r="CM35" i="153"/>
  <c r="CJ35" i="153"/>
  <c r="CG35" i="153"/>
  <c r="CD35" i="153"/>
  <c r="CA35" i="153"/>
  <c r="BX35" i="153"/>
  <c r="BU35" i="153"/>
  <c r="BR35" i="153"/>
  <c r="BO35" i="153"/>
  <c r="BL35" i="153"/>
  <c r="BI35" i="153"/>
  <c r="BF35" i="153"/>
  <c r="BC35" i="153"/>
  <c r="AZ35" i="153"/>
  <c r="AW35" i="153"/>
  <c r="AT35" i="153"/>
  <c r="AR35" i="153"/>
  <c r="EK35" i="153" s="1"/>
  <c r="AQ35" i="153"/>
  <c r="AO35" i="153"/>
  <c r="EB35" i="153" s="1"/>
  <c r="AN35" i="153"/>
  <c r="AL35" i="153"/>
  <c r="AK35" i="153"/>
  <c r="AI35" i="153"/>
  <c r="AB35" i="153"/>
  <c r="Y35" i="153"/>
  <c r="V35" i="153"/>
  <c r="S35" i="153"/>
  <c r="P35" i="153"/>
  <c r="M35" i="153"/>
  <c r="J35" i="153"/>
  <c r="G35" i="153"/>
  <c r="D35" i="153"/>
  <c r="EL34" i="153"/>
  <c r="EG34" i="153"/>
  <c r="EI34" i="153" s="1"/>
  <c r="EB34" i="153"/>
  <c r="DW34" i="153"/>
  <c r="DT34" i="153"/>
  <c r="DQ34" i="153"/>
  <c r="DN34" i="153"/>
  <c r="DK34" i="153"/>
  <c r="DH34" i="153"/>
  <c r="DE34" i="153"/>
  <c r="DB34" i="153"/>
  <c r="CY34" i="153"/>
  <c r="CV34" i="153"/>
  <c r="CS34" i="153"/>
  <c r="CP34" i="153"/>
  <c r="CM34" i="153"/>
  <c r="CJ34" i="153"/>
  <c r="CG34" i="153"/>
  <c r="CD34" i="153"/>
  <c r="CA34" i="153"/>
  <c r="BX34" i="153"/>
  <c r="BU34" i="153"/>
  <c r="BR34" i="153"/>
  <c r="BO34" i="153"/>
  <c r="BL34" i="153"/>
  <c r="BI34" i="153"/>
  <c r="BF34" i="153"/>
  <c r="BC34" i="153"/>
  <c r="AZ34" i="153"/>
  <c r="AW34" i="153"/>
  <c r="AT34" i="153"/>
  <c r="AR34" i="153"/>
  <c r="EK34" i="153" s="1"/>
  <c r="AQ34" i="153"/>
  <c r="AO34" i="153"/>
  <c r="AN34" i="153"/>
  <c r="AL34" i="153"/>
  <c r="AK34" i="153"/>
  <c r="AI34" i="153"/>
  <c r="AB34" i="153"/>
  <c r="Y34" i="153"/>
  <c r="V34" i="153"/>
  <c r="S34" i="153"/>
  <c r="P34" i="153"/>
  <c r="M34" i="153"/>
  <c r="J34" i="153"/>
  <c r="G34" i="153"/>
  <c r="D34" i="153"/>
  <c r="EL33" i="153"/>
  <c r="EI33" i="153"/>
  <c r="EG33" i="153"/>
  <c r="DW33" i="153"/>
  <c r="DT33" i="153"/>
  <c r="DQ33" i="153"/>
  <c r="DN33" i="153"/>
  <c r="DK33" i="153"/>
  <c r="DH33" i="153"/>
  <c r="DE33" i="153"/>
  <c r="DB33" i="153"/>
  <c r="CY33" i="153"/>
  <c r="CV33" i="153"/>
  <c r="CS33" i="153"/>
  <c r="CP33" i="153"/>
  <c r="CM33" i="153"/>
  <c r="CJ33" i="153"/>
  <c r="CG33" i="153"/>
  <c r="CD33" i="153"/>
  <c r="CA33" i="153"/>
  <c r="BX33" i="153"/>
  <c r="BU33" i="153"/>
  <c r="BR33" i="153"/>
  <c r="BO33" i="153"/>
  <c r="BL33" i="153"/>
  <c r="BI33" i="153"/>
  <c r="BF33" i="153"/>
  <c r="BC33" i="153"/>
  <c r="AZ33" i="153"/>
  <c r="AW33" i="153"/>
  <c r="AT33" i="153"/>
  <c r="AR33" i="153"/>
  <c r="EK33" i="153" s="1"/>
  <c r="AQ33" i="153"/>
  <c r="AO33" i="153"/>
  <c r="EB33" i="153" s="1"/>
  <c r="AN33" i="153"/>
  <c r="AL33" i="153"/>
  <c r="AK33" i="153"/>
  <c r="AI33" i="153"/>
  <c r="AB33" i="153"/>
  <c r="Y33" i="153"/>
  <c r="V33" i="153"/>
  <c r="S33" i="153"/>
  <c r="P33" i="153"/>
  <c r="M33" i="153"/>
  <c r="J33" i="153"/>
  <c r="G33" i="153"/>
  <c r="D33" i="153"/>
  <c r="EL32" i="153"/>
  <c r="EG32" i="153"/>
  <c r="EI32" i="153" s="1"/>
  <c r="EB32" i="153"/>
  <c r="DW32" i="153"/>
  <c r="DT32" i="153"/>
  <c r="DQ32" i="153"/>
  <c r="DN32" i="153"/>
  <c r="DK32" i="153"/>
  <c r="DH32" i="153"/>
  <c r="DE32" i="153"/>
  <c r="DB32" i="153"/>
  <c r="CY32" i="153"/>
  <c r="CV32" i="153"/>
  <c r="CS32" i="153"/>
  <c r="CP32" i="153"/>
  <c r="CM32" i="153"/>
  <c r="CJ32" i="153"/>
  <c r="CG32" i="153"/>
  <c r="CD32" i="153"/>
  <c r="CA32" i="153"/>
  <c r="BX32" i="153"/>
  <c r="BU32" i="153"/>
  <c r="BR32" i="153"/>
  <c r="BO32" i="153"/>
  <c r="BL32" i="153"/>
  <c r="BI32" i="153"/>
  <c r="BF32" i="153"/>
  <c r="BC32" i="153"/>
  <c r="AZ32" i="153"/>
  <c r="AW32" i="153"/>
  <c r="AT32" i="153"/>
  <c r="AR32" i="153"/>
  <c r="EK32" i="153" s="1"/>
  <c r="AQ32" i="153"/>
  <c r="AO32" i="153"/>
  <c r="AN32" i="153"/>
  <c r="AL32" i="153"/>
  <c r="AK32" i="153"/>
  <c r="AI32" i="153"/>
  <c r="AB32" i="153"/>
  <c r="Y32" i="153"/>
  <c r="V32" i="153"/>
  <c r="S32" i="153"/>
  <c r="P32" i="153"/>
  <c r="M32" i="153"/>
  <c r="J32" i="153"/>
  <c r="G32" i="153"/>
  <c r="D32" i="153"/>
  <c r="EL31" i="153"/>
  <c r="EI31" i="153"/>
  <c r="EG31" i="153"/>
  <c r="DW31" i="153"/>
  <c r="DT31" i="153"/>
  <c r="DQ31" i="153"/>
  <c r="DN31" i="153"/>
  <c r="DK31" i="153"/>
  <c r="DH31" i="153"/>
  <c r="DE31" i="153"/>
  <c r="DB31" i="153"/>
  <c r="CY31" i="153"/>
  <c r="CV31" i="153"/>
  <c r="CS31" i="153"/>
  <c r="CP31" i="153"/>
  <c r="CM31" i="153"/>
  <c r="CJ31" i="153"/>
  <c r="CG31" i="153"/>
  <c r="CD31" i="153"/>
  <c r="CA31" i="153"/>
  <c r="BX31" i="153"/>
  <c r="BU31" i="153"/>
  <c r="BR31" i="153"/>
  <c r="BO31" i="153"/>
  <c r="BL31" i="153"/>
  <c r="BI31" i="153"/>
  <c r="BF31" i="153"/>
  <c r="BC31" i="153"/>
  <c r="AZ31" i="153"/>
  <c r="AW31" i="153"/>
  <c r="AT31" i="153"/>
  <c r="AR31" i="153"/>
  <c r="EK31" i="153" s="1"/>
  <c r="AQ31" i="153"/>
  <c r="AO31" i="153"/>
  <c r="EB31" i="153" s="1"/>
  <c r="AN31" i="153"/>
  <c r="AL31" i="153"/>
  <c r="AK31" i="153"/>
  <c r="AI31" i="153"/>
  <c r="AB31" i="153"/>
  <c r="Y31" i="153"/>
  <c r="V31" i="153"/>
  <c r="S31" i="153"/>
  <c r="P31" i="153"/>
  <c r="M31" i="153"/>
  <c r="J31" i="153"/>
  <c r="G31" i="153"/>
  <c r="D31" i="153"/>
  <c r="EL30" i="153"/>
  <c r="EG30" i="153"/>
  <c r="EI30" i="153" s="1"/>
  <c r="EB30" i="153"/>
  <c r="DW30" i="153"/>
  <c r="DT30" i="153"/>
  <c r="DQ30" i="153"/>
  <c r="DN30" i="153"/>
  <c r="DK30" i="153"/>
  <c r="DH30" i="153"/>
  <c r="DE30" i="153"/>
  <c r="DB30" i="153"/>
  <c r="CY30" i="153"/>
  <c r="CV30" i="153"/>
  <c r="CS30" i="153"/>
  <c r="CP30" i="153"/>
  <c r="CM30" i="153"/>
  <c r="CJ30" i="153"/>
  <c r="CG30" i="153"/>
  <c r="CD30" i="153"/>
  <c r="CA30" i="153"/>
  <c r="BX30" i="153"/>
  <c r="BU30" i="153"/>
  <c r="BR30" i="153"/>
  <c r="BO30" i="153"/>
  <c r="BL30" i="153"/>
  <c r="BI30" i="153"/>
  <c r="BF30" i="153"/>
  <c r="BC30" i="153"/>
  <c r="AZ30" i="153"/>
  <c r="AW30" i="153"/>
  <c r="AT30" i="153"/>
  <c r="AR30" i="153"/>
  <c r="EK30" i="153" s="1"/>
  <c r="AQ30" i="153"/>
  <c r="AO30" i="153"/>
  <c r="AN30" i="153"/>
  <c r="AL30" i="153"/>
  <c r="AK30" i="153"/>
  <c r="AI30" i="153"/>
  <c r="AB30" i="153"/>
  <c r="Y30" i="153"/>
  <c r="V30" i="153"/>
  <c r="S30" i="153"/>
  <c r="P30" i="153"/>
  <c r="M30" i="153"/>
  <c r="J30" i="153"/>
  <c r="G30" i="153"/>
  <c r="D30" i="153"/>
  <c r="EL29" i="153"/>
  <c r="EI29" i="153"/>
  <c r="EG29" i="153"/>
  <c r="DW29" i="153"/>
  <c r="DT29" i="153"/>
  <c r="DQ29" i="153"/>
  <c r="DN29" i="153"/>
  <c r="DK29" i="153"/>
  <c r="DH29" i="153"/>
  <c r="DE29" i="153"/>
  <c r="DB29" i="153"/>
  <c r="CY29" i="153"/>
  <c r="CV29" i="153"/>
  <c r="CS29" i="153"/>
  <c r="CP29" i="153"/>
  <c r="CM29" i="153"/>
  <c r="CJ29" i="153"/>
  <c r="CG29" i="153"/>
  <c r="CD29" i="153"/>
  <c r="CA29" i="153"/>
  <c r="BX29" i="153"/>
  <c r="BU29" i="153"/>
  <c r="BR29" i="153"/>
  <c r="BO29" i="153"/>
  <c r="BL29" i="153"/>
  <c r="BI29" i="153"/>
  <c r="BF29" i="153"/>
  <c r="BC29" i="153"/>
  <c r="AZ29" i="153"/>
  <c r="AW29" i="153"/>
  <c r="AT29" i="153"/>
  <c r="AR29" i="153"/>
  <c r="EK29" i="153" s="1"/>
  <c r="AQ29" i="153"/>
  <c r="AO29" i="153"/>
  <c r="EB29" i="153" s="1"/>
  <c r="AN29" i="153"/>
  <c r="AL29" i="153"/>
  <c r="AK29" i="153"/>
  <c r="AI29" i="153"/>
  <c r="AB29" i="153"/>
  <c r="Y29" i="153"/>
  <c r="V29" i="153"/>
  <c r="S29" i="153"/>
  <c r="P29" i="153"/>
  <c r="M29" i="153"/>
  <c r="J29" i="153"/>
  <c r="G29" i="153"/>
  <c r="D29" i="153"/>
  <c r="EL28" i="153"/>
  <c r="EG28" i="153"/>
  <c r="EI28" i="153" s="1"/>
  <c r="EB28" i="153"/>
  <c r="DW28" i="153"/>
  <c r="DT28" i="153"/>
  <c r="DQ28" i="153"/>
  <c r="DN28" i="153"/>
  <c r="DK28" i="153"/>
  <c r="DH28" i="153"/>
  <c r="DE28" i="153"/>
  <c r="DB28" i="153"/>
  <c r="CY28" i="153"/>
  <c r="CV28" i="153"/>
  <c r="CS28" i="153"/>
  <c r="CP28" i="153"/>
  <c r="CM28" i="153"/>
  <c r="CJ28" i="153"/>
  <c r="CG28" i="153"/>
  <c r="CD28" i="153"/>
  <c r="CA28" i="153"/>
  <c r="BX28" i="153"/>
  <c r="BU28" i="153"/>
  <c r="BR28" i="153"/>
  <c r="BO28" i="153"/>
  <c r="BL28" i="153"/>
  <c r="BI28" i="153"/>
  <c r="BF28" i="153"/>
  <c r="BC28" i="153"/>
  <c r="AZ28" i="153"/>
  <c r="AW28" i="153"/>
  <c r="AT28" i="153"/>
  <c r="AR28" i="153"/>
  <c r="EK28" i="153" s="1"/>
  <c r="AQ28" i="153"/>
  <c r="AO28" i="153"/>
  <c r="AN28" i="153"/>
  <c r="AI28" i="153"/>
  <c r="AK28" i="153" s="1"/>
  <c r="AB28" i="153"/>
  <c r="Y28" i="153"/>
  <c r="V28" i="153"/>
  <c r="S28" i="153"/>
  <c r="P28" i="153"/>
  <c r="M28" i="153"/>
  <c r="J28" i="153"/>
  <c r="G28" i="153"/>
  <c r="D28" i="153"/>
  <c r="EL27" i="153"/>
  <c r="EG27" i="153"/>
  <c r="EI27" i="153" s="1"/>
  <c r="DW27" i="153"/>
  <c r="DT27" i="153"/>
  <c r="DQ27" i="153"/>
  <c r="DN27" i="153"/>
  <c r="DK27" i="153"/>
  <c r="DH27" i="153"/>
  <c r="DE27" i="153"/>
  <c r="DB27" i="153"/>
  <c r="CY27" i="153"/>
  <c r="CV27" i="153"/>
  <c r="CS27" i="153"/>
  <c r="CP27" i="153"/>
  <c r="CM27" i="153"/>
  <c r="CJ27" i="153"/>
  <c r="CG27" i="153"/>
  <c r="CD27" i="153"/>
  <c r="CA27" i="153"/>
  <c r="BX27" i="153"/>
  <c r="BU27" i="153"/>
  <c r="BR27" i="153"/>
  <c r="BO27" i="153"/>
  <c r="BL27" i="153"/>
  <c r="BI27" i="153"/>
  <c r="BF27" i="153"/>
  <c r="BC27" i="153"/>
  <c r="AZ27" i="153"/>
  <c r="AW27" i="153"/>
  <c r="AT27" i="153"/>
  <c r="AR27" i="153"/>
  <c r="EK27" i="153" s="1"/>
  <c r="AO27" i="153"/>
  <c r="AN27" i="153"/>
  <c r="AK27" i="153"/>
  <c r="AI27" i="153"/>
  <c r="AB27" i="153"/>
  <c r="Y27" i="153"/>
  <c r="V27" i="153"/>
  <c r="S27" i="153"/>
  <c r="P27" i="153"/>
  <c r="M27" i="153"/>
  <c r="J27" i="153"/>
  <c r="G27" i="153"/>
  <c r="D27" i="153"/>
  <c r="EL26" i="153"/>
  <c r="EI26" i="153"/>
  <c r="EG26" i="153"/>
  <c r="DW26" i="153"/>
  <c r="DT26" i="153"/>
  <c r="DQ26" i="153"/>
  <c r="DN26" i="153"/>
  <c r="DK26" i="153"/>
  <c r="DH26" i="153"/>
  <c r="DE26" i="153"/>
  <c r="DB26" i="153"/>
  <c r="CY26" i="153"/>
  <c r="CV26" i="153"/>
  <c r="CS26" i="153"/>
  <c r="CP26" i="153"/>
  <c r="CM26" i="153"/>
  <c r="CJ26" i="153"/>
  <c r="CG26" i="153"/>
  <c r="CD26" i="153"/>
  <c r="CA26" i="153"/>
  <c r="BX26" i="153"/>
  <c r="BU26" i="153"/>
  <c r="BR26" i="153"/>
  <c r="BO26" i="153"/>
  <c r="BL26" i="153"/>
  <c r="BI26" i="153"/>
  <c r="BF26" i="153"/>
  <c r="BC26" i="153"/>
  <c r="AZ26" i="153"/>
  <c r="AW26" i="153"/>
  <c r="AT26" i="153"/>
  <c r="AR26" i="153"/>
  <c r="AQ26" i="153"/>
  <c r="AO26" i="153"/>
  <c r="EB26" i="153" s="1"/>
  <c r="AN26" i="153"/>
  <c r="AI26" i="153"/>
  <c r="AK26" i="153" s="1"/>
  <c r="AB26" i="153"/>
  <c r="Y26" i="153"/>
  <c r="V26" i="153"/>
  <c r="S26" i="153"/>
  <c r="P26" i="153"/>
  <c r="M26" i="153"/>
  <c r="J26" i="153"/>
  <c r="G26" i="153"/>
  <c r="D26" i="153"/>
  <c r="EL25" i="153"/>
  <c r="EK25" i="153"/>
  <c r="EI25" i="153"/>
  <c r="EG25" i="153"/>
  <c r="DW25" i="153"/>
  <c r="DT25" i="153"/>
  <c r="DQ25" i="153"/>
  <c r="DN25" i="153"/>
  <c r="DK25" i="153"/>
  <c r="DH25" i="153"/>
  <c r="DE25" i="153"/>
  <c r="DB25" i="153"/>
  <c r="CY25" i="153"/>
  <c r="CV25" i="153"/>
  <c r="CS25" i="153"/>
  <c r="CP25" i="153"/>
  <c r="CM25" i="153"/>
  <c r="CJ25" i="153"/>
  <c r="CG25" i="153"/>
  <c r="CD25" i="153"/>
  <c r="CA25" i="153"/>
  <c r="BX25" i="153"/>
  <c r="BU25" i="153"/>
  <c r="BR25" i="153"/>
  <c r="BO25" i="153"/>
  <c r="BL25" i="153"/>
  <c r="BI25" i="153"/>
  <c r="BF25" i="153"/>
  <c r="BC25" i="153"/>
  <c r="AZ25" i="153"/>
  <c r="AW25" i="153"/>
  <c r="AR25" i="153"/>
  <c r="AT25" i="153" s="1"/>
  <c r="AQ25" i="153"/>
  <c r="AO25" i="153"/>
  <c r="AL25" i="153"/>
  <c r="AK25" i="153"/>
  <c r="AI25" i="153"/>
  <c r="AB25" i="153"/>
  <c r="Y25" i="153"/>
  <c r="V25" i="153"/>
  <c r="S25" i="153"/>
  <c r="P25" i="153"/>
  <c r="M25" i="153"/>
  <c r="J25" i="153"/>
  <c r="G25" i="153"/>
  <c r="D25" i="153"/>
  <c r="EM24" i="153"/>
  <c r="EL24" i="153"/>
  <c r="EG24" i="153"/>
  <c r="EI24" i="153" s="1"/>
  <c r="DW24" i="153"/>
  <c r="DT24" i="153"/>
  <c r="DQ24" i="153"/>
  <c r="DN24" i="153"/>
  <c r="DK24" i="153"/>
  <c r="DH24" i="153"/>
  <c r="DE24" i="153"/>
  <c r="DB24" i="153"/>
  <c r="CY24" i="153"/>
  <c r="CV24" i="153"/>
  <c r="CS24" i="153"/>
  <c r="CP24" i="153"/>
  <c r="CM24" i="153"/>
  <c r="CJ24" i="153"/>
  <c r="CG24" i="153"/>
  <c r="CD24" i="153"/>
  <c r="CA24" i="153"/>
  <c r="BX24" i="153"/>
  <c r="BU24" i="153"/>
  <c r="BR24" i="153"/>
  <c r="BO24" i="153"/>
  <c r="BL24" i="153"/>
  <c r="BI24" i="153"/>
  <c r="BF24" i="153"/>
  <c r="BC24" i="153"/>
  <c r="AZ24" i="153"/>
  <c r="AW24" i="153"/>
  <c r="AT24" i="153"/>
  <c r="AQ24" i="153"/>
  <c r="AO24" i="153"/>
  <c r="AN24" i="153"/>
  <c r="AL24" i="153"/>
  <c r="EB24" i="153" s="1"/>
  <c r="AK24" i="153"/>
  <c r="AI24" i="153"/>
  <c r="AB24" i="153"/>
  <c r="Y24" i="153"/>
  <c r="V24" i="153"/>
  <c r="S24" i="153"/>
  <c r="P24" i="153"/>
  <c r="M24" i="153"/>
  <c r="J24" i="153"/>
  <c r="G24" i="153"/>
  <c r="D24" i="153"/>
  <c r="EL23" i="153"/>
  <c r="EI23" i="153"/>
  <c r="EG23" i="153"/>
  <c r="DW23" i="153"/>
  <c r="DT23" i="153"/>
  <c r="DQ23" i="153"/>
  <c r="DN23" i="153"/>
  <c r="DK23" i="153"/>
  <c r="DH23" i="153"/>
  <c r="DE23" i="153"/>
  <c r="DB23" i="153"/>
  <c r="CY23" i="153"/>
  <c r="CV23" i="153"/>
  <c r="CS23" i="153"/>
  <c r="CP23" i="153"/>
  <c r="CM23" i="153"/>
  <c r="CJ23" i="153"/>
  <c r="CG23" i="153"/>
  <c r="CD23" i="153"/>
  <c r="CA23" i="153"/>
  <c r="BX23" i="153"/>
  <c r="BU23" i="153"/>
  <c r="BR23" i="153"/>
  <c r="BO23" i="153"/>
  <c r="BL23" i="153"/>
  <c r="BI23" i="153"/>
  <c r="BF23" i="153"/>
  <c r="BC23" i="153"/>
  <c r="AZ23" i="153"/>
  <c r="AW23" i="153"/>
  <c r="AT23" i="153"/>
  <c r="AO23" i="153"/>
  <c r="AN23" i="153"/>
  <c r="AL23" i="153"/>
  <c r="AI23" i="153"/>
  <c r="AK23" i="153" s="1"/>
  <c r="AB23" i="153"/>
  <c r="Y23" i="153"/>
  <c r="V23" i="153"/>
  <c r="S23" i="153"/>
  <c r="P23" i="153"/>
  <c r="M23" i="153"/>
  <c r="J23" i="153"/>
  <c r="G23" i="153"/>
  <c r="D23" i="153"/>
  <c r="EL22" i="153"/>
  <c r="EK22" i="153"/>
  <c r="EI22" i="153"/>
  <c r="EG22" i="153"/>
  <c r="DW22" i="153"/>
  <c r="DT22" i="153"/>
  <c r="DQ22" i="153"/>
  <c r="DN22" i="153"/>
  <c r="DK22" i="153"/>
  <c r="DH22" i="153"/>
  <c r="DE22" i="153"/>
  <c r="DB22" i="153"/>
  <c r="CY22" i="153"/>
  <c r="CV22" i="153"/>
  <c r="CS22" i="153"/>
  <c r="CP22" i="153"/>
  <c r="CM22" i="153"/>
  <c r="CJ22" i="153"/>
  <c r="CG22" i="153"/>
  <c r="CD22" i="153"/>
  <c r="CA22" i="153"/>
  <c r="BX22" i="153"/>
  <c r="BU22" i="153"/>
  <c r="BR22" i="153"/>
  <c r="BO22" i="153"/>
  <c r="BL22" i="153"/>
  <c r="BI22" i="153"/>
  <c r="BF22" i="153"/>
  <c r="BC22" i="153"/>
  <c r="AZ22" i="153"/>
  <c r="AW22" i="153"/>
  <c r="AT22" i="153"/>
  <c r="AQ22" i="153"/>
  <c r="AO22" i="153"/>
  <c r="AN22" i="153"/>
  <c r="AL22" i="153"/>
  <c r="EB22" i="153" s="1"/>
  <c r="AK22" i="153"/>
  <c r="AI22" i="153"/>
  <c r="AB22" i="153"/>
  <c r="Y22" i="153"/>
  <c r="V22" i="153"/>
  <c r="S22" i="153"/>
  <c r="P22" i="153"/>
  <c r="M22" i="153"/>
  <c r="J22" i="153"/>
  <c r="G22" i="153"/>
  <c r="D22" i="153"/>
  <c r="EL21" i="153"/>
  <c r="EK21" i="153"/>
  <c r="EI21" i="153"/>
  <c r="EG21" i="153"/>
  <c r="DW21" i="153"/>
  <c r="DT21" i="153"/>
  <c r="DQ21" i="153"/>
  <c r="DN21" i="153"/>
  <c r="DK21" i="153"/>
  <c r="DH21" i="153"/>
  <c r="DE21" i="153"/>
  <c r="DB21" i="153"/>
  <c r="CY21" i="153"/>
  <c r="CV21" i="153"/>
  <c r="CS21" i="153"/>
  <c r="CP21" i="153"/>
  <c r="CM21" i="153"/>
  <c r="CJ21" i="153"/>
  <c r="CG21" i="153"/>
  <c r="CD21" i="153"/>
  <c r="CA21" i="153"/>
  <c r="BX21" i="153"/>
  <c r="BU21" i="153"/>
  <c r="BR21" i="153"/>
  <c r="BO21" i="153"/>
  <c r="BL21" i="153"/>
  <c r="BI21" i="153"/>
  <c r="BF21" i="153"/>
  <c r="BC21" i="153"/>
  <c r="AZ21" i="153"/>
  <c r="AW21" i="153"/>
  <c r="AT21" i="153"/>
  <c r="AO21" i="153"/>
  <c r="AQ21" i="153" s="1"/>
  <c r="AL21" i="153"/>
  <c r="AN21" i="153" s="1"/>
  <c r="AK21" i="153"/>
  <c r="AI21" i="153"/>
  <c r="AB21" i="153"/>
  <c r="Y21" i="153"/>
  <c r="V21" i="153"/>
  <c r="S21" i="153"/>
  <c r="P21" i="153"/>
  <c r="M21" i="153"/>
  <c r="J21" i="153"/>
  <c r="G21" i="153"/>
  <c r="D21" i="153"/>
  <c r="EL20" i="153"/>
  <c r="EK20" i="153"/>
  <c r="EG20" i="153"/>
  <c r="EI20" i="153" s="1"/>
  <c r="DW20" i="153"/>
  <c r="DT20" i="153"/>
  <c r="DQ20" i="153"/>
  <c r="DN20" i="153"/>
  <c r="DK20" i="153"/>
  <c r="EM20" i="153" s="1"/>
  <c r="DH20" i="153"/>
  <c r="DE20" i="153"/>
  <c r="DB20" i="153"/>
  <c r="CY20" i="153"/>
  <c r="CV20" i="153"/>
  <c r="CS20" i="153"/>
  <c r="CP20" i="153"/>
  <c r="CM20" i="153"/>
  <c r="CJ20" i="153"/>
  <c r="CG20" i="153"/>
  <c r="CD20" i="153"/>
  <c r="CA20" i="153"/>
  <c r="BX20" i="153"/>
  <c r="BU20" i="153"/>
  <c r="BR20" i="153"/>
  <c r="BO20" i="153"/>
  <c r="BL20" i="153"/>
  <c r="BI20" i="153"/>
  <c r="BF20" i="153"/>
  <c r="BC20" i="153"/>
  <c r="AZ20" i="153"/>
  <c r="AW20" i="153"/>
  <c r="AT20" i="153"/>
  <c r="AQ20" i="153"/>
  <c r="AO20" i="153"/>
  <c r="AN20" i="153"/>
  <c r="AL20" i="153"/>
  <c r="EB20" i="153" s="1"/>
  <c r="AK20" i="153"/>
  <c r="AI20" i="153"/>
  <c r="AB20" i="153"/>
  <c r="Y20" i="153"/>
  <c r="V20" i="153"/>
  <c r="S20" i="153"/>
  <c r="P20" i="153"/>
  <c r="M20" i="153"/>
  <c r="J20" i="153"/>
  <c r="G20" i="153"/>
  <c r="D20" i="153"/>
  <c r="EL19" i="153"/>
  <c r="EI19" i="153"/>
  <c r="EG19" i="153"/>
  <c r="DW19" i="153"/>
  <c r="DT19" i="153"/>
  <c r="DQ19" i="153"/>
  <c r="DN19" i="153"/>
  <c r="DK19" i="153"/>
  <c r="DH19" i="153"/>
  <c r="DE19" i="153"/>
  <c r="DB19" i="153"/>
  <c r="CY19" i="153"/>
  <c r="CV19" i="153"/>
  <c r="CS19" i="153"/>
  <c r="CP19" i="153"/>
  <c r="CM19" i="153"/>
  <c r="CJ19" i="153"/>
  <c r="CG19" i="153"/>
  <c r="CD19" i="153"/>
  <c r="CA19" i="153"/>
  <c r="BX19" i="153"/>
  <c r="BU19" i="153"/>
  <c r="BR19" i="153"/>
  <c r="BO19" i="153"/>
  <c r="BL19" i="153"/>
  <c r="BI19" i="153"/>
  <c r="BF19" i="153"/>
  <c r="BC19" i="153"/>
  <c r="AZ19" i="153"/>
  <c r="AW19" i="153"/>
  <c r="AT19" i="153"/>
  <c r="AO19" i="153"/>
  <c r="AN19" i="153"/>
  <c r="AL19" i="153"/>
  <c r="EB19" i="153" s="1"/>
  <c r="AI19" i="153"/>
  <c r="AK19" i="153" s="1"/>
  <c r="AB19" i="153"/>
  <c r="Y19" i="153"/>
  <c r="V19" i="153"/>
  <c r="S19" i="153"/>
  <c r="P19" i="153"/>
  <c r="M19" i="153"/>
  <c r="J19" i="153"/>
  <c r="G19" i="153"/>
  <c r="D19" i="153"/>
  <c r="EL18" i="153"/>
  <c r="EI18" i="153"/>
  <c r="EG18" i="153"/>
  <c r="DW18" i="153"/>
  <c r="DT18" i="153"/>
  <c r="DQ18" i="153"/>
  <c r="DN18" i="153"/>
  <c r="DK18" i="153"/>
  <c r="DH18" i="153"/>
  <c r="DE18" i="153"/>
  <c r="DB18" i="153"/>
  <c r="CY18" i="153"/>
  <c r="CV18" i="153"/>
  <c r="CS18" i="153"/>
  <c r="CP18" i="153"/>
  <c r="CM18" i="153"/>
  <c r="CJ18" i="153"/>
  <c r="CG18" i="153"/>
  <c r="CD18" i="153"/>
  <c r="CA18" i="153"/>
  <c r="BX18" i="153"/>
  <c r="BU18" i="153"/>
  <c r="BR18" i="153"/>
  <c r="BO18" i="153"/>
  <c r="BL18" i="153"/>
  <c r="BI18" i="153"/>
  <c r="BF18" i="153"/>
  <c r="BC18" i="153"/>
  <c r="AZ18" i="153"/>
  <c r="AW18" i="153"/>
  <c r="AT18" i="153"/>
  <c r="AO18" i="153"/>
  <c r="EK18" i="153" s="1"/>
  <c r="AN18" i="153"/>
  <c r="AL18" i="153"/>
  <c r="EB18" i="153" s="1"/>
  <c r="AI18" i="153"/>
  <c r="AK18" i="153" s="1"/>
  <c r="AB18" i="153"/>
  <c r="Y18" i="153"/>
  <c r="V18" i="153"/>
  <c r="S18" i="153"/>
  <c r="P18" i="153"/>
  <c r="M18" i="153"/>
  <c r="J18" i="153"/>
  <c r="G18" i="153"/>
  <c r="D18" i="153"/>
  <c r="EL17" i="153"/>
  <c r="EK17" i="153"/>
  <c r="EG17" i="153"/>
  <c r="EI17" i="153" s="1"/>
  <c r="DW17" i="153"/>
  <c r="DT17" i="153"/>
  <c r="DQ17" i="153"/>
  <c r="DN17" i="153"/>
  <c r="DK17" i="153"/>
  <c r="DH17" i="153"/>
  <c r="DE17" i="153"/>
  <c r="DB17" i="153"/>
  <c r="CY17" i="153"/>
  <c r="CY43" i="153" s="1"/>
  <c r="CV17" i="153"/>
  <c r="CS17" i="153"/>
  <c r="CP17" i="153"/>
  <c r="CM17" i="153"/>
  <c r="CJ17" i="153"/>
  <c r="CG17" i="153"/>
  <c r="CD17" i="153"/>
  <c r="CA17" i="153"/>
  <c r="BX17" i="153"/>
  <c r="BU17" i="153"/>
  <c r="BR17" i="153"/>
  <c r="BO17" i="153"/>
  <c r="BL17" i="153"/>
  <c r="BI17" i="153"/>
  <c r="BF17" i="153"/>
  <c r="BC17" i="153"/>
  <c r="BC43" i="153" s="1"/>
  <c r="AZ17" i="153"/>
  <c r="AW17" i="153"/>
  <c r="AT17" i="153"/>
  <c r="AQ17" i="153"/>
  <c r="AO17" i="153"/>
  <c r="AL17" i="153"/>
  <c r="AN17" i="153" s="1"/>
  <c r="AK17" i="153"/>
  <c r="AI17" i="153"/>
  <c r="AB17" i="153"/>
  <c r="Y17" i="153"/>
  <c r="V17" i="153"/>
  <c r="S17" i="153"/>
  <c r="P17" i="153"/>
  <c r="M17" i="153"/>
  <c r="J17" i="153"/>
  <c r="G17" i="153"/>
  <c r="D17" i="153"/>
  <c r="EL16" i="153"/>
  <c r="EG16" i="153"/>
  <c r="EI16" i="153" s="1"/>
  <c r="DW16" i="153"/>
  <c r="DT16" i="153"/>
  <c r="DQ16" i="153"/>
  <c r="DN16" i="153"/>
  <c r="DK16" i="153"/>
  <c r="DH16" i="153"/>
  <c r="DE16" i="153"/>
  <c r="DB16" i="153"/>
  <c r="CY16" i="153"/>
  <c r="CV16" i="153"/>
  <c r="CS16" i="153"/>
  <c r="CP16" i="153"/>
  <c r="CM16" i="153"/>
  <c r="CJ16" i="153"/>
  <c r="CG16" i="153"/>
  <c r="CD16" i="153"/>
  <c r="CA16" i="153"/>
  <c r="BX16" i="153"/>
  <c r="BU16" i="153"/>
  <c r="BR16" i="153"/>
  <c r="BO16" i="153"/>
  <c r="BL16" i="153"/>
  <c r="BI16" i="153"/>
  <c r="BF16" i="153"/>
  <c r="BC16" i="153"/>
  <c r="AZ16" i="153"/>
  <c r="AW16" i="153"/>
  <c r="AT16" i="153"/>
  <c r="AQ16" i="153"/>
  <c r="AO16" i="153"/>
  <c r="AL16" i="153"/>
  <c r="AK16" i="153"/>
  <c r="AI16" i="153"/>
  <c r="AB16" i="153"/>
  <c r="Y16" i="153"/>
  <c r="V16" i="153"/>
  <c r="S16" i="153"/>
  <c r="P16" i="153"/>
  <c r="M16" i="153"/>
  <c r="J16" i="153"/>
  <c r="G16" i="153"/>
  <c r="G43" i="153" s="1"/>
  <c r="D16" i="153"/>
  <c r="EL15" i="153"/>
  <c r="EI15" i="153"/>
  <c r="EG15" i="153"/>
  <c r="DW15" i="153"/>
  <c r="DT15" i="153"/>
  <c r="DQ15" i="153"/>
  <c r="DN15" i="153"/>
  <c r="DK15" i="153"/>
  <c r="DH15" i="153"/>
  <c r="DE15" i="153"/>
  <c r="DB15" i="153"/>
  <c r="CY15" i="153"/>
  <c r="CV15" i="153"/>
  <c r="CS15" i="153"/>
  <c r="CP15" i="153"/>
  <c r="CM15" i="153"/>
  <c r="CJ15" i="153"/>
  <c r="CG15" i="153"/>
  <c r="CD15" i="153"/>
  <c r="CA15" i="153"/>
  <c r="BX15" i="153"/>
  <c r="BU15" i="153"/>
  <c r="BR15" i="153"/>
  <c r="BO15" i="153"/>
  <c r="BL15" i="153"/>
  <c r="BI15" i="153"/>
  <c r="BF15" i="153"/>
  <c r="BC15" i="153"/>
  <c r="AZ15" i="153"/>
  <c r="AW15" i="153"/>
  <c r="AT15" i="153"/>
  <c r="AO15" i="153"/>
  <c r="EK15" i="153" s="1"/>
  <c r="AN15" i="153"/>
  <c r="AL15" i="153"/>
  <c r="EB15" i="153" s="1"/>
  <c r="EC15" i="153" s="1"/>
  <c r="AI15" i="153"/>
  <c r="AK15" i="153" s="1"/>
  <c r="AB15" i="153"/>
  <c r="Y15" i="153"/>
  <c r="V15" i="153"/>
  <c r="S15" i="153"/>
  <c r="P15" i="153"/>
  <c r="M15" i="153"/>
  <c r="J15" i="153"/>
  <c r="G15" i="153"/>
  <c r="D15" i="153"/>
  <c r="EL14" i="153"/>
  <c r="EI14" i="153"/>
  <c r="EG14" i="153"/>
  <c r="DW14" i="153"/>
  <c r="DT14" i="153"/>
  <c r="DQ14" i="153"/>
  <c r="DN14" i="153"/>
  <c r="DK14" i="153"/>
  <c r="DH14" i="153"/>
  <c r="DE14" i="153"/>
  <c r="DB14" i="153"/>
  <c r="CY14" i="153"/>
  <c r="CV14" i="153"/>
  <c r="CS14" i="153"/>
  <c r="CP14" i="153"/>
  <c r="CM14" i="153"/>
  <c r="CJ14" i="153"/>
  <c r="CG14" i="153"/>
  <c r="CD14" i="153"/>
  <c r="CA14" i="153"/>
  <c r="BX14" i="153"/>
  <c r="BU14" i="153"/>
  <c r="BR14" i="153"/>
  <c r="BO14" i="153"/>
  <c r="BL14" i="153"/>
  <c r="BI14" i="153"/>
  <c r="BF14" i="153"/>
  <c r="BC14" i="153"/>
  <c r="AZ14" i="153"/>
  <c r="AW14" i="153"/>
  <c r="AT14" i="153"/>
  <c r="AQ14" i="153"/>
  <c r="AN14" i="153"/>
  <c r="AL14" i="153"/>
  <c r="EB14" i="153" s="1"/>
  <c r="AI14" i="153"/>
  <c r="AK14" i="153" s="1"/>
  <c r="AB14" i="153"/>
  <c r="Y14" i="153"/>
  <c r="V14" i="153"/>
  <c r="S14" i="153"/>
  <c r="P14" i="153"/>
  <c r="M14" i="153"/>
  <c r="J14" i="153"/>
  <c r="G14" i="153"/>
  <c r="D14" i="153"/>
  <c r="EL13" i="153"/>
  <c r="EI13" i="153"/>
  <c r="EG13" i="153"/>
  <c r="DW13" i="153"/>
  <c r="DT13" i="153"/>
  <c r="DQ13" i="153"/>
  <c r="DN13" i="153"/>
  <c r="DK13" i="153"/>
  <c r="DH13" i="153"/>
  <c r="DE13" i="153"/>
  <c r="DB13" i="153"/>
  <c r="CY13" i="153"/>
  <c r="CV13" i="153"/>
  <c r="CS13" i="153"/>
  <c r="CP13" i="153"/>
  <c r="CM13" i="153"/>
  <c r="CJ13" i="153"/>
  <c r="CG13" i="153"/>
  <c r="CD13" i="153"/>
  <c r="CA13" i="153"/>
  <c r="BX13" i="153"/>
  <c r="BU13" i="153"/>
  <c r="BR13" i="153"/>
  <c r="BO13" i="153"/>
  <c r="BL13" i="153"/>
  <c r="BI13" i="153"/>
  <c r="BF13" i="153"/>
  <c r="BC13" i="153"/>
  <c r="AZ13" i="153"/>
  <c r="AW13" i="153"/>
  <c r="AT13" i="153"/>
  <c r="AQ13" i="153"/>
  <c r="AN13" i="153"/>
  <c r="AL13" i="153"/>
  <c r="EB13" i="153" s="1"/>
  <c r="AI13" i="153"/>
  <c r="AK13" i="153" s="1"/>
  <c r="AB13" i="153"/>
  <c r="Y13" i="153"/>
  <c r="V13" i="153"/>
  <c r="S13" i="153"/>
  <c r="P13" i="153"/>
  <c r="M13" i="153"/>
  <c r="J13" i="153"/>
  <c r="G13" i="153"/>
  <c r="D13" i="153"/>
  <c r="A13" i="153"/>
  <c r="A14" i="153" s="1"/>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36" i="153" s="1"/>
  <c r="A37" i="153" s="1"/>
  <c r="A38" i="153" s="1"/>
  <c r="A39" i="153" s="1"/>
  <c r="A40" i="153" s="1"/>
  <c r="A41" i="153" s="1"/>
  <c r="A42" i="153" s="1"/>
  <c r="EL12" i="153"/>
  <c r="EI12" i="153"/>
  <c r="EG12" i="153"/>
  <c r="DW12" i="153"/>
  <c r="DW43" i="153" s="1"/>
  <c r="DT12" i="153"/>
  <c r="DQ12" i="153"/>
  <c r="DN12" i="153"/>
  <c r="DK12" i="153"/>
  <c r="DK43" i="153" s="1"/>
  <c r="DH12" i="153"/>
  <c r="DH43" i="153" s="1"/>
  <c r="DE12" i="153"/>
  <c r="DB12" i="153"/>
  <c r="CY12" i="153"/>
  <c r="CV12" i="153"/>
  <c r="CV43" i="153" s="1"/>
  <c r="CS12" i="153"/>
  <c r="CP12" i="153"/>
  <c r="CM12" i="153"/>
  <c r="CM43" i="153" s="1"/>
  <c r="CJ12" i="153"/>
  <c r="CJ43" i="153" s="1"/>
  <c r="CG12" i="153"/>
  <c r="CD12" i="153"/>
  <c r="CA12" i="153"/>
  <c r="CA43" i="153" s="1"/>
  <c r="BX12" i="153"/>
  <c r="BX43" i="153" s="1"/>
  <c r="BU12" i="153"/>
  <c r="BR12" i="153"/>
  <c r="BO12" i="153"/>
  <c r="BO43" i="153" s="1"/>
  <c r="BL12" i="153"/>
  <c r="BL43" i="153" s="1"/>
  <c r="BI12" i="153"/>
  <c r="BF12" i="153"/>
  <c r="BC12" i="153"/>
  <c r="AZ12" i="153"/>
  <c r="AZ43" i="153" s="1"/>
  <c r="AW12" i="153"/>
  <c r="AT12" i="153"/>
  <c r="AQ12" i="153"/>
  <c r="AN12" i="153"/>
  <c r="AL12" i="153"/>
  <c r="EB12" i="153" s="1"/>
  <c r="AI12" i="153"/>
  <c r="AK12" i="153" s="1"/>
  <c r="AK43" i="153" s="1"/>
  <c r="AB12" i="153"/>
  <c r="Y12" i="153"/>
  <c r="V12" i="153"/>
  <c r="S12" i="153"/>
  <c r="P12" i="153"/>
  <c r="M12" i="153"/>
  <c r="J12" i="153"/>
  <c r="G12" i="153"/>
  <c r="D12" i="153"/>
  <c r="EI2" i="153"/>
  <c r="EE2" i="153"/>
  <c r="EQ2" i="153" s="1"/>
  <c r="G5" i="153" s="1"/>
  <c r="DN43" i="152"/>
  <c r="DB43" i="152"/>
  <c r="CP43" i="152"/>
  <c r="CD43" i="152"/>
  <c r="BR43" i="152"/>
  <c r="BF43" i="152"/>
  <c r="AT43" i="152"/>
  <c r="V43" i="152"/>
  <c r="J43" i="152"/>
  <c r="EL42" i="152"/>
  <c r="EG42" i="152"/>
  <c r="EI42" i="152" s="1"/>
  <c r="DW42" i="152"/>
  <c r="DT42" i="152"/>
  <c r="DQ42" i="152"/>
  <c r="DN42" i="152"/>
  <c r="DK42" i="152"/>
  <c r="DH42" i="152"/>
  <c r="DE42" i="152"/>
  <c r="DB42" i="152"/>
  <c r="CY42" i="152"/>
  <c r="CV42" i="152"/>
  <c r="CS42" i="152"/>
  <c r="CP42" i="152"/>
  <c r="CM42" i="152"/>
  <c r="CJ42" i="152"/>
  <c r="CG42" i="152"/>
  <c r="CD42" i="152"/>
  <c r="CA42" i="152"/>
  <c r="BX42" i="152"/>
  <c r="BU42" i="152"/>
  <c r="BR42" i="152"/>
  <c r="BO42" i="152"/>
  <c r="BL42" i="152"/>
  <c r="BI42" i="152"/>
  <c r="BF42" i="152"/>
  <c r="BC42" i="152"/>
  <c r="AZ42" i="152"/>
  <c r="AW42" i="152"/>
  <c r="AT42" i="152"/>
  <c r="AQ42" i="152"/>
  <c r="AL42" i="152"/>
  <c r="EK42" i="152" s="1"/>
  <c r="AI42" i="152"/>
  <c r="AK42" i="152" s="1"/>
  <c r="AB42" i="152"/>
  <c r="Y42" i="152"/>
  <c r="V42" i="152"/>
  <c r="S42" i="152"/>
  <c r="P42" i="152"/>
  <c r="M42" i="152"/>
  <c r="J42" i="152"/>
  <c r="G42" i="152"/>
  <c r="D42" i="152"/>
  <c r="EL41" i="152"/>
  <c r="EK41" i="152"/>
  <c r="EN41" i="152" s="1"/>
  <c r="EI41" i="152"/>
  <c r="EG41" i="152"/>
  <c r="EC41" i="152"/>
  <c r="EB41" i="152"/>
  <c r="EE41" i="152" s="1"/>
  <c r="DW41" i="152"/>
  <c r="DT41" i="152"/>
  <c r="DQ41" i="152"/>
  <c r="EM41" i="152" s="1"/>
  <c r="DN41" i="152"/>
  <c r="DK41" i="152"/>
  <c r="DH41" i="152"/>
  <c r="DE41" i="152"/>
  <c r="DB41" i="152"/>
  <c r="CY41" i="152"/>
  <c r="CV41" i="152"/>
  <c r="CS41" i="152"/>
  <c r="CP41" i="152"/>
  <c r="CM41" i="152"/>
  <c r="CJ41" i="152"/>
  <c r="CG41" i="152"/>
  <c r="CD41" i="152"/>
  <c r="CA41" i="152"/>
  <c r="BX41" i="152"/>
  <c r="BU41" i="152"/>
  <c r="BR41" i="152"/>
  <c r="BO41" i="152"/>
  <c r="BL41" i="152"/>
  <c r="BI41" i="152"/>
  <c r="BF41" i="152"/>
  <c r="BC41" i="152"/>
  <c r="AZ41" i="152"/>
  <c r="AW41" i="152"/>
  <c r="AT41" i="152"/>
  <c r="AQ41" i="152"/>
  <c r="AN41" i="152"/>
  <c r="AK41" i="152"/>
  <c r="AB41" i="152"/>
  <c r="Y41" i="152"/>
  <c r="V41" i="152"/>
  <c r="S41" i="152"/>
  <c r="P41" i="152"/>
  <c r="M41" i="152"/>
  <c r="J41" i="152"/>
  <c r="G41" i="152"/>
  <c r="D41" i="152"/>
  <c r="EL40" i="152"/>
  <c r="EK40" i="152"/>
  <c r="EN40" i="152" s="1"/>
  <c r="EG40" i="152"/>
  <c r="EI40" i="152" s="1"/>
  <c r="EE40" i="152"/>
  <c r="EB40" i="152"/>
  <c r="EC40" i="152" s="1"/>
  <c r="DW40" i="152"/>
  <c r="DT40" i="152"/>
  <c r="EM40" i="152" s="1"/>
  <c r="DQ40" i="152"/>
  <c r="DN40" i="152"/>
  <c r="DK40" i="152"/>
  <c r="DH40" i="152"/>
  <c r="DE40" i="152"/>
  <c r="DB40" i="152"/>
  <c r="CY40" i="152"/>
  <c r="CV40" i="152"/>
  <c r="CS40" i="152"/>
  <c r="CP40" i="152"/>
  <c r="CM40" i="152"/>
  <c r="CJ40" i="152"/>
  <c r="CG40" i="152"/>
  <c r="CD40" i="152"/>
  <c r="CA40" i="152"/>
  <c r="BX40" i="152"/>
  <c r="BU40" i="152"/>
  <c r="BR40" i="152"/>
  <c r="BO40" i="152"/>
  <c r="BL40" i="152"/>
  <c r="BI40" i="152"/>
  <c r="BF40" i="152"/>
  <c r="BC40" i="152"/>
  <c r="AZ40" i="152"/>
  <c r="AW40" i="152"/>
  <c r="AT40" i="152"/>
  <c r="AQ40" i="152"/>
  <c r="AN40" i="152"/>
  <c r="AK40" i="152"/>
  <c r="AB40" i="152"/>
  <c r="Y40" i="152"/>
  <c r="V40" i="152"/>
  <c r="S40" i="152"/>
  <c r="P40" i="152"/>
  <c r="M40" i="152"/>
  <c r="J40" i="152"/>
  <c r="G40" i="152"/>
  <c r="D40" i="152"/>
  <c r="EL39" i="152"/>
  <c r="EK39" i="152"/>
  <c r="EN39" i="152" s="1"/>
  <c r="EI39" i="152"/>
  <c r="EG39" i="152"/>
  <c r="EE39" i="152"/>
  <c r="EC39" i="152"/>
  <c r="EB39" i="152"/>
  <c r="DW39" i="152"/>
  <c r="DT39" i="152"/>
  <c r="DQ39" i="152"/>
  <c r="EM39" i="152" s="1"/>
  <c r="DN39" i="152"/>
  <c r="DK39" i="152"/>
  <c r="DH39" i="152"/>
  <c r="DE39" i="152"/>
  <c r="DB39" i="152"/>
  <c r="CY39" i="152"/>
  <c r="CV39" i="152"/>
  <c r="CS39" i="152"/>
  <c r="CP39" i="152"/>
  <c r="CM39" i="152"/>
  <c r="CJ39" i="152"/>
  <c r="CG39" i="152"/>
  <c r="CD39" i="152"/>
  <c r="CA39" i="152"/>
  <c r="BX39" i="152"/>
  <c r="BU39" i="152"/>
  <c r="BR39" i="152"/>
  <c r="BO39" i="152"/>
  <c r="BL39" i="152"/>
  <c r="BI39" i="152"/>
  <c r="BF39" i="152"/>
  <c r="BC39" i="152"/>
  <c r="AZ39" i="152"/>
  <c r="AW39" i="152"/>
  <c r="AT39" i="152"/>
  <c r="AQ39" i="152"/>
  <c r="AN39" i="152"/>
  <c r="AK39" i="152"/>
  <c r="AB39" i="152"/>
  <c r="Y39" i="152"/>
  <c r="V39" i="152"/>
  <c r="S39" i="152"/>
  <c r="P39" i="152"/>
  <c r="M39" i="152"/>
  <c r="J39" i="152"/>
  <c r="G39" i="152"/>
  <c r="D39" i="152"/>
  <c r="EL38" i="152"/>
  <c r="EK38" i="152"/>
  <c r="EN38" i="152" s="1"/>
  <c r="EG38" i="152"/>
  <c r="EI38" i="152" s="1"/>
  <c r="EE38" i="152"/>
  <c r="EB38" i="152"/>
  <c r="EC38" i="152" s="1"/>
  <c r="DW38" i="152"/>
  <c r="DT38" i="152"/>
  <c r="DQ38" i="152"/>
  <c r="EM38" i="152" s="1"/>
  <c r="DN38" i="152"/>
  <c r="DK38" i="152"/>
  <c r="DH38" i="152"/>
  <c r="DE38" i="152"/>
  <c r="DB38" i="152"/>
  <c r="CY38" i="152"/>
  <c r="CV38" i="152"/>
  <c r="CS38" i="152"/>
  <c r="CP38" i="152"/>
  <c r="CM38" i="152"/>
  <c r="CJ38" i="152"/>
  <c r="CG38" i="152"/>
  <c r="CD38" i="152"/>
  <c r="CA38" i="152"/>
  <c r="BX38" i="152"/>
  <c r="BU38" i="152"/>
  <c r="BR38" i="152"/>
  <c r="BO38" i="152"/>
  <c r="BL38" i="152"/>
  <c r="BI38" i="152"/>
  <c r="BF38" i="152"/>
  <c r="BC38" i="152"/>
  <c r="AZ38" i="152"/>
  <c r="AW38" i="152"/>
  <c r="AT38" i="152"/>
  <c r="AQ38" i="152"/>
  <c r="AN38" i="152"/>
  <c r="AK38" i="152"/>
  <c r="AB38" i="152"/>
  <c r="Y38" i="152"/>
  <c r="V38" i="152"/>
  <c r="S38" i="152"/>
  <c r="P38" i="152"/>
  <c r="M38" i="152"/>
  <c r="J38" i="152"/>
  <c r="G38" i="152"/>
  <c r="D38" i="152"/>
  <c r="EL37" i="152"/>
  <c r="EK37" i="152"/>
  <c r="EN37" i="152" s="1"/>
  <c r="EI37" i="152"/>
  <c r="EG37" i="152"/>
  <c r="EE37" i="152"/>
  <c r="EC37" i="152"/>
  <c r="EB37" i="152"/>
  <c r="DW37" i="152"/>
  <c r="DT37" i="152"/>
  <c r="DQ37" i="152"/>
  <c r="EM37" i="152" s="1"/>
  <c r="DN37" i="152"/>
  <c r="DK37" i="152"/>
  <c r="DH37" i="152"/>
  <c r="DE37" i="152"/>
  <c r="DB37" i="152"/>
  <c r="CY37" i="152"/>
  <c r="CV37" i="152"/>
  <c r="CS37" i="152"/>
  <c r="CP37" i="152"/>
  <c r="CM37" i="152"/>
  <c r="CJ37" i="152"/>
  <c r="CG37" i="152"/>
  <c r="CD37" i="152"/>
  <c r="CA37" i="152"/>
  <c r="BX37" i="152"/>
  <c r="BU37" i="152"/>
  <c r="BR37" i="152"/>
  <c r="BO37" i="152"/>
  <c r="BL37" i="152"/>
  <c r="BI37" i="152"/>
  <c r="BF37" i="152"/>
  <c r="BC37" i="152"/>
  <c r="AZ37" i="152"/>
  <c r="AW37" i="152"/>
  <c r="AT37" i="152"/>
  <c r="AQ37" i="152"/>
  <c r="AN37" i="152"/>
  <c r="AK37" i="152"/>
  <c r="AB37" i="152"/>
  <c r="Y37" i="152"/>
  <c r="V37" i="152"/>
  <c r="S37" i="152"/>
  <c r="P37" i="152"/>
  <c r="M37" i="152"/>
  <c r="J37" i="152"/>
  <c r="G37" i="152"/>
  <c r="D37" i="152"/>
  <c r="EL36" i="152"/>
  <c r="EK36" i="152"/>
  <c r="EN36" i="152" s="1"/>
  <c r="EG36" i="152"/>
  <c r="EI36" i="152" s="1"/>
  <c r="EE36" i="152"/>
  <c r="EB36" i="152"/>
  <c r="EC36" i="152" s="1"/>
  <c r="DW36" i="152"/>
  <c r="DT36" i="152"/>
  <c r="DQ36" i="152"/>
  <c r="EM36" i="152" s="1"/>
  <c r="DN36" i="152"/>
  <c r="DK36" i="152"/>
  <c r="DH36" i="152"/>
  <c r="DE36" i="152"/>
  <c r="DB36" i="152"/>
  <c r="CY36" i="152"/>
  <c r="CV36" i="152"/>
  <c r="CS36" i="152"/>
  <c r="CP36" i="152"/>
  <c r="CM36" i="152"/>
  <c r="CJ36" i="152"/>
  <c r="CG36" i="152"/>
  <c r="CD36" i="152"/>
  <c r="CA36" i="152"/>
  <c r="BX36" i="152"/>
  <c r="BU36" i="152"/>
  <c r="BR36" i="152"/>
  <c r="BO36" i="152"/>
  <c r="BL36" i="152"/>
  <c r="BI36" i="152"/>
  <c r="BF36" i="152"/>
  <c r="BC36" i="152"/>
  <c r="AZ36" i="152"/>
  <c r="AW36" i="152"/>
  <c r="AT36" i="152"/>
  <c r="AQ36" i="152"/>
  <c r="AN36" i="152"/>
  <c r="AK36" i="152"/>
  <c r="AB36" i="152"/>
  <c r="Y36" i="152"/>
  <c r="V36" i="152"/>
  <c r="S36" i="152"/>
  <c r="P36" i="152"/>
  <c r="M36" i="152"/>
  <c r="J36" i="152"/>
  <c r="G36" i="152"/>
  <c r="D36" i="152"/>
  <c r="EL35" i="152"/>
  <c r="EK35" i="152"/>
  <c r="EN35" i="152" s="1"/>
  <c r="EI35" i="152"/>
  <c r="EG35" i="152"/>
  <c r="EE35" i="152"/>
  <c r="EC35" i="152"/>
  <c r="EB35" i="152"/>
  <c r="DW35" i="152"/>
  <c r="DT35" i="152"/>
  <c r="DQ35" i="152"/>
  <c r="DN35" i="152"/>
  <c r="DK35" i="152"/>
  <c r="DH35" i="152"/>
  <c r="DE35" i="152"/>
  <c r="DB35" i="152"/>
  <c r="CY35" i="152"/>
  <c r="CV35" i="152"/>
  <c r="CS35" i="152"/>
  <c r="CP35" i="152"/>
  <c r="CM35" i="152"/>
  <c r="CJ35" i="152"/>
  <c r="CG35" i="152"/>
  <c r="CD35" i="152"/>
  <c r="CA35" i="152"/>
  <c r="BX35" i="152"/>
  <c r="BU35" i="152"/>
  <c r="BR35" i="152"/>
  <c r="BO35" i="152"/>
  <c r="BL35" i="152"/>
  <c r="BI35" i="152"/>
  <c r="BF35" i="152"/>
  <c r="BC35" i="152"/>
  <c r="AZ35" i="152"/>
  <c r="AW35" i="152"/>
  <c r="AT35" i="152"/>
  <c r="AQ35" i="152"/>
  <c r="AN35" i="152"/>
  <c r="AK35" i="152"/>
  <c r="AB35" i="152"/>
  <c r="Y35" i="152"/>
  <c r="V35" i="152"/>
  <c r="S35" i="152"/>
  <c r="P35" i="152"/>
  <c r="M35" i="152"/>
  <c r="J35" i="152"/>
  <c r="G35" i="152"/>
  <c r="D35" i="152"/>
  <c r="EL34" i="152"/>
  <c r="EK34" i="152"/>
  <c r="EN34" i="152" s="1"/>
  <c r="EG34" i="152"/>
  <c r="EI34" i="152" s="1"/>
  <c r="EE34" i="152"/>
  <c r="EB34" i="152"/>
  <c r="EC34" i="152" s="1"/>
  <c r="DW34" i="152"/>
  <c r="DT34" i="152"/>
  <c r="DQ34" i="152"/>
  <c r="EM34" i="152" s="1"/>
  <c r="DN34" i="152"/>
  <c r="DK34" i="152"/>
  <c r="DH34" i="152"/>
  <c r="DE34" i="152"/>
  <c r="DB34" i="152"/>
  <c r="CY34" i="152"/>
  <c r="CV34" i="152"/>
  <c r="CS34" i="152"/>
  <c r="CP34" i="152"/>
  <c r="CM34" i="152"/>
  <c r="CJ34" i="152"/>
  <c r="CG34" i="152"/>
  <c r="CD34" i="152"/>
  <c r="CA34" i="152"/>
  <c r="BX34" i="152"/>
  <c r="BU34" i="152"/>
  <c r="BR34" i="152"/>
  <c r="BO34" i="152"/>
  <c r="BL34" i="152"/>
  <c r="BI34" i="152"/>
  <c r="BF34" i="152"/>
  <c r="BC34" i="152"/>
  <c r="AZ34" i="152"/>
  <c r="AW34" i="152"/>
  <c r="AT34" i="152"/>
  <c r="AQ34" i="152"/>
  <c r="AN34" i="152"/>
  <c r="AK34" i="152"/>
  <c r="AB34" i="152"/>
  <c r="Y34" i="152"/>
  <c r="V34" i="152"/>
  <c r="S34" i="152"/>
  <c r="P34" i="152"/>
  <c r="M34" i="152"/>
  <c r="J34" i="152"/>
  <c r="G34" i="152"/>
  <c r="D34" i="152"/>
  <c r="EN33" i="152"/>
  <c r="EM33" i="152"/>
  <c r="EL33" i="152"/>
  <c r="EK33" i="152"/>
  <c r="EI33" i="152"/>
  <c r="EG33" i="152"/>
  <c r="EE33" i="152"/>
  <c r="EC33" i="152"/>
  <c r="EB33" i="152"/>
  <c r="DW33" i="152"/>
  <c r="DT33" i="152"/>
  <c r="DQ33" i="152"/>
  <c r="DN33" i="152"/>
  <c r="DK33" i="152"/>
  <c r="DH33" i="152"/>
  <c r="DE33" i="152"/>
  <c r="DB33" i="152"/>
  <c r="CY33" i="152"/>
  <c r="CV33" i="152"/>
  <c r="CS33" i="152"/>
  <c r="CP33" i="152"/>
  <c r="CM33" i="152"/>
  <c r="CJ33" i="152"/>
  <c r="CG33" i="152"/>
  <c r="CD33" i="152"/>
  <c r="CA33" i="152"/>
  <c r="BX33" i="152"/>
  <c r="BU33" i="152"/>
  <c r="BR33" i="152"/>
  <c r="BO33" i="152"/>
  <c r="BL33" i="152"/>
  <c r="BI33" i="152"/>
  <c r="BF33" i="152"/>
  <c r="BC33" i="152"/>
  <c r="AZ33" i="152"/>
  <c r="AW33" i="152"/>
  <c r="AT33" i="152"/>
  <c r="AQ33" i="152"/>
  <c r="AN33" i="152"/>
  <c r="AK33" i="152"/>
  <c r="AB33" i="152"/>
  <c r="Y33" i="152"/>
  <c r="V33" i="152"/>
  <c r="S33" i="152"/>
  <c r="P33" i="152"/>
  <c r="M33" i="152"/>
  <c r="J33" i="152"/>
  <c r="G33" i="152"/>
  <c r="D33" i="152"/>
  <c r="EL32" i="152"/>
  <c r="EK32" i="152"/>
  <c r="EN32" i="152" s="1"/>
  <c r="EG32" i="152"/>
  <c r="EI32" i="152" s="1"/>
  <c r="EE32" i="152"/>
  <c r="EB32" i="152"/>
  <c r="EC32" i="152" s="1"/>
  <c r="DW32" i="152"/>
  <c r="DT32" i="152"/>
  <c r="DQ32" i="152"/>
  <c r="EM32" i="152" s="1"/>
  <c r="DN32" i="152"/>
  <c r="DK32" i="152"/>
  <c r="DH32" i="152"/>
  <c r="DE32" i="152"/>
  <c r="DB32" i="152"/>
  <c r="CY32" i="152"/>
  <c r="CV32" i="152"/>
  <c r="CS32" i="152"/>
  <c r="CP32" i="152"/>
  <c r="CM32" i="152"/>
  <c r="CJ32" i="152"/>
  <c r="CG32" i="152"/>
  <c r="CD32" i="152"/>
  <c r="CA32" i="152"/>
  <c r="BX32" i="152"/>
  <c r="BU32" i="152"/>
  <c r="BR32" i="152"/>
  <c r="BO32" i="152"/>
  <c r="BL32" i="152"/>
  <c r="BI32" i="152"/>
  <c r="BF32" i="152"/>
  <c r="BC32" i="152"/>
  <c r="AZ32" i="152"/>
  <c r="AW32" i="152"/>
  <c r="AT32" i="152"/>
  <c r="AQ32" i="152"/>
  <c r="AN32" i="152"/>
  <c r="AK32" i="152"/>
  <c r="AB32" i="152"/>
  <c r="Y32" i="152"/>
  <c r="V32" i="152"/>
  <c r="S32" i="152"/>
  <c r="P32" i="152"/>
  <c r="M32" i="152"/>
  <c r="J32" i="152"/>
  <c r="G32" i="152"/>
  <c r="D32" i="152"/>
  <c r="EN31" i="152"/>
  <c r="EM31" i="152"/>
  <c r="EL31" i="152"/>
  <c r="EK31" i="152"/>
  <c r="EI31" i="152"/>
  <c r="EG31" i="152"/>
  <c r="EE31" i="152"/>
  <c r="EC31" i="152"/>
  <c r="EB31" i="152"/>
  <c r="DW31" i="152"/>
  <c r="DT31" i="152"/>
  <c r="DQ31" i="152"/>
  <c r="DN31" i="152"/>
  <c r="DK31" i="152"/>
  <c r="DH31" i="152"/>
  <c r="DE31" i="152"/>
  <c r="DB31" i="152"/>
  <c r="CY31" i="152"/>
  <c r="CV31" i="152"/>
  <c r="CS31" i="152"/>
  <c r="CP31" i="152"/>
  <c r="CM31" i="152"/>
  <c r="CJ31" i="152"/>
  <c r="CG31" i="152"/>
  <c r="CD31" i="152"/>
  <c r="CA31" i="152"/>
  <c r="BX31" i="152"/>
  <c r="BU31" i="152"/>
  <c r="BR31" i="152"/>
  <c r="BO31" i="152"/>
  <c r="BL31" i="152"/>
  <c r="BI31" i="152"/>
  <c r="BF31" i="152"/>
  <c r="BC31" i="152"/>
  <c r="AZ31" i="152"/>
  <c r="AW31" i="152"/>
  <c r="AT31" i="152"/>
  <c r="AQ31" i="152"/>
  <c r="AN31" i="152"/>
  <c r="AK31" i="152"/>
  <c r="AB31" i="152"/>
  <c r="Y31" i="152"/>
  <c r="V31" i="152"/>
  <c r="S31" i="152"/>
  <c r="P31" i="152"/>
  <c r="M31" i="152"/>
  <c r="J31" i="152"/>
  <c r="G31" i="152"/>
  <c r="D31" i="152"/>
  <c r="EL30" i="152"/>
  <c r="EK30" i="152"/>
  <c r="EN30" i="152" s="1"/>
  <c r="EG30" i="152"/>
  <c r="EI30" i="152" s="1"/>
  <c r="EE30" i="152"/>
  <c r="EB30" i="152"/>
  <c r="EC30" i="152" s="1"/>
  <c r="DW30" i="152"/>
  <c r="DT30" i="152"/>
  <c r="DQ30" i="152"/>
  <c r="EM30" i="152" s="1"/>
  <c r="DN30" i="152"/>
  <c r="DK30" i="152"/>
  <c r="DH30" i="152"/>
  <c r="DE30" i="152"/>
  <c r="DB30" i="152"/>
  <c r="CY30" i="152"/>
  <c r="CV30" i="152"/>
  <c r="CS30" i="152"/>
  <c r="CP30" i="152"/>
  <c r="CM30" i="152"/>
  <c r="CJ30" i="152"/>
  <c r="CG30" i="152"/>
  <c r="CD30" i="152"/>
  <c r="CA30" i="152"/>
  <c r="BX30" i="152"/>
  <c r="BU30" i="152"/>
  <c r="BR30" i="152"/>
  <c r="BO30" i="152"/>
  <c r="BL30" i="152"/>
  <c r="BI30" i="152"/>
  <c r="BF30" i="152"/>
  <c r="BC30" i="152"/>
  <c r="AZ30" i="152"/>
  <c r="AW30" i="152"/>
  <c r="AT30" i="152"/>
  <c r="AQ30" i="152"/>
  <c r="AN30" i="152"/>
  <c r="AK30" i="152"/>
  <c r="AB30" i="152"/>
  <c r="Y30" i="152"/>
  <c r="V30" i="152"/>
  <c r="S30" i="152"/>
  <c r="P30" i="152"/>
  <c r="M30" i="152"/>
  <c r="J30" i="152"/>
  <c r="G30" i="152"/>
  <c r="D30" i="152"/>
  <c r="EN29" i="152"/>
  <c r="EM29" i="152"/>
  <c r="EL29" i="152"/>
  <c r="EK29" i="152"/>
  <c r="EI29" i="152"/>
  <c r="EG29" i="152"/>
  <c r="EE29" i="152"/>
  <c r="EC29" i="152"/>
  <c r="EB29" i="152"/>
  <c r="DW29" i="152"/>
  <c r="DT29" i="152"/>
  <c r="DQ29" i="152"/>
  <c r="DN29" i="152"/>
  <c r="DK29" i="152"/>
  <c r="DH29" i="152"/>
  <c r="DE29" i="152"/>
  <c r="DB29" i="152"/>
  <c r="CY29" i="152"/>
  <c r="CV29" i="152"/>
  <c r="CS29" i="152"/>
  <c r="CP29" i="152"/>
  <c r="CM29" i="152"/>
  <c r="CJ29" i="152"/>
  <c r="CG29" i="152"/>
  <c r="CD29" i="152"/>
  <c r="CA29" i="152"/>
  <c r="BX29" i="152"/>
  <c r="BU29" i="152"/>
  <c r="BR29" i="152"/>
  <c r="BO29" i="152"/>
  <c r="BL29" i="152"/>
  <c r="BI29" i="152"/>
  <c r="BF29" i="152"/>
  <c r="BC29" i="152"/>
  <c r="AZ29" i="152"/>
  <c r="AW29" i="152"/>
  <c r="AT29" i="152"/>
  <c r="AQ29" i="152"/>
  <c r="AN29" i="152"/>
  <c r="AK29" i="152"/>
  <c r="AB29" i="152"/>
  <c r="Y29" i="152"/>
  <c r="V29" i="152"/>
  <c r="S29" i="152"/>
  <c r="P29" i="152"/>
  <c r="M29" i="152"/>
  <c r="J29" i="152"/>
  <c r="G29" i="152"/>
  <c r="D29" i="152"/>
  <c r="EL28" i="152"/>
  <c r="EK28" i="152"/>
  <c r="EN28" i="152" s="1"/>
  <c r="EG28" i="152"/>
  <c r="EI28" i="152" s="1"/>
  <c r="EE28" i="152"/>
  <c r="EB28" i="152"/>
  <c r="EC28" i="152" s="1"/>
  <c r="DW28" i="152"/>
  <c r="DT28" i="152"/>
  <c r="DQ28" i="152"/>
  <c r="EM28" i="152" s="1"/>
  <c r="DN28" i="152"/>
  <c r="DK28" i="152"/>
  <c r="DH28" i="152"/>
  <c r="DE28" i="152"/>
  <c r="DB28" i="152"/>
  <c r="CY28" i="152"/>
  <c r="CV28" i="152"/>
  <c r="CS28" i="152"/>
  <c r="CP28" i="152"/>
  <c r="CM28" i="152"/>
  <c r="CJ28" i="152"/>
  <c r="CG28" i="152"/>
  <c r="CD28" i="152"/>
  <c r="CA28" i="152"/>
  <c r="BX28" i="152"/>
  <c r="BU28" i="152"/>
  <c r="BR28" i="152"/>
  <c r="BO28" i="152"/>
  <c r="BL28" i="152"/>
  <c r="BI28" i="152"/>
  <c r="BF28" i="152"/>
  <c r="BC28" i="152"/>
  <c r="AZ28" i="152"/>
  <c r="AW28" i="152"/>
  <c r="AT28" i="152"/>
  <c r="AQ28" i="152"/>
  <c r="AN28" i="152"/>
  <c r="AK28" i="152"/>
  <c r="AB28" i="152"/>
  <c r="Y28" i="152"/>
  <c r="V28" i="152"/>
  <c r="S28" i="152"/>
  <c r="P28" i="152"/>
  <c r="M28" i="152"/>
  <c r="J28" i="152"/>
  <c r="G28" i="152"/>
  <c r="D28" i="152"/>
  <c r="EN27" i="152"/>
  <c r="EM27" i="152"/>
  <c r="EL27" i="152"/>
  <c r="EK27" i="152"/>
  <c r="EI27" i="152"/>
  <c r="EG27" i="152"/>
  <c r="EE27" i="152"/>
  <c r="EC27" i="152"/>
  <c r="EB27" i="152"/>
  <c r="DW27" i="152"/>
  <c r="DT27" i="152"/>
  <c r="DQ27" i="152"/>
  <c r="DN27" i="152"/>
  <c r="DK27" i="152"/>
  <c r="DH27" i="152"/>
  <c r="DE27" i="152"/>
  <c r="DB27" i="152"/>
  <c r="CY27" i="152"/>
  <c r="CV27" i="152"/>
  <c r="CS27" i="152"/>
  <c r="CP27" i="152"/>
  <c r="CM27" i="152"/>
  <c r="CJ27" i="152"/>
  <c r="CG27" i="152"/>
  <c r="CD27" i="152"/>
  <c r="CA27" i="152"/>
  <c r="BX27" i="152"/>
  <c r="BU27" i="152"/>
  <c r="BR27" i="152"/>
  <c r="BO27" i="152"/>
  <c r="BL27" i="152"/>
  <c r="BI27" i="152"/>
  <c r="BF27" i="152"/>
  <c r="BC27" i="152"/>
  <c r="AZ27" i="152"/>
  <c r="AW27" i="152"/>
  <c r="AT27" i="152"/>
  <c r="AQ27" i="152"/>
  <c r="AN27" i="152"/>
  <c r="AK27" i="152"/>
  <c r="AB27" i="152"/>
  <c r="Y27" i="152"/>
  <c r="V27" i="152"/>
  <c r="S27" i="152"/>
  <c r="P27" i="152"/>
  <c r="M27" i="152"/>
  <c r="J27" i="152"/>
  <c r="G27" i="152"/>
  <c r="D27" i="152"/>
  <c r="EL26" i="152"/>
  <c r="EK26" i="152"/>
  <c r="EN26" i="152" s="1"/>
  <c r="EG26" i="152"/>
  <c r="EI26" i="152" s="1"/>
  <c r="EE26" i="152"/>
  <c r="EB26" i="152"/>
  <c r="EC26" i="152" s="1"/>
  <c r="DW26" i="152"/>
  <c r="DT26" i="152"/>
  <c r="DQ26" i="152"/>
  <c r="EM26" i="152" s="1"/>
  <c r="DN26" i="152"/>
  <c r="DK26" i="152"/>
  <c r="DH26" i="152"/>
  <c r="DE26" i="152"/>
  <c r="DB26" i="152"/>
  <c r="CY26" i="152"/>
  <c r="CV26" i="152"/>
  <c r="CS26" i="152"/>
  <c r="CP26" i="152"/>
  <c r="CM26" i="152"/>
  <c r="CJ26" i="152"/>
  <c r="CG26" i="152"/>
  <c r="CD26" i="152"/>
  <c r="CA26" i="152"/>
  <c r="BX26" i="152"/>
  <c r="BU26" i="152"/>
  <c r="BR26" i="152"/>
  <c r="BO26" i="152"/>
  <c r="BL26" i="152"/>
  <c r="BI26" i="152"/>
  <c r="BF26" i="152"/>
  <c r="BC26" i="152"/>
  <c r="AZ26" i="152"/>
  <c r="AW26" i="152"/>
  <c r="AT26" i="152"/>
  <c r="AQ26" i="152"/>
  <c r="AN26" i="152"/>
  <c r="AK26" i="152"/>
  <c r="AB26" i="152"/>
  <c r="Y26" i="152"/>
  <c r="V26" i="152"/>
  <c r="S26" i="152"/>
  <c r="P26" i="152"/>
  <c r="M26" i="152"/>
  <c r="J26" i="152"/>
  <c r="G26" i="152"/>
  <c r="D26" i="152"/>
  <c r="EN25" i="152"/>
  <c r="EM25" i="152"/>
  <c r="EL25" i="152"/>
  <c r="EK25" i="152"/>
  <c r="EI25" i="152"/>
  <c r="EG25" i="152"/>
  <c r="EE25" i="152"/>
  <c r="EC25" i="152"/>
  <c r="EB25" i="152"/>
  <c r="DW25" i="152"/>
  <c r="DT25" i="152"/>
  <c r="DQ25" i="152"/>
  <c r="DN25" i="152"/>
  <c r="DK25" i="152"/>
  <c r="DH25" i="152"/>
  <c r="DE25" i="152"/>
  <c r="DB25" i="152"/>
  <c r="CY25" i="152"/>
  <c r="CV25" i="152"/>
  <c r="CS25" i="152"/>
  <c r="CP25" i="152"/>
  <c r="CM25" i="152"/>
  <c r="CJ25" i="152"/>
  <c r="CG25" i="152"/>
  <c r="CD25" i="152"/>
  <c r="CA25" i="152"/>
  <c r="BX25" i="152"/>
  <c r="BU25" i="152"/>
  <c r="BR25" i="152"/>
  <c r="BO25" i="152"/>
  <c r="BL25" i="152"/>
  <c r="BI25" i="152"/>
  <c r="BF25" i="152"/>
  <c r="BC25" i="152"/>
  <c r="AZ25" i="152"/>
  <c r="AW25" i="152"/>
  <c r="AT25" i="152"/>
  <c r="AQ25" i="152"/>
  <c r="AN25" i="152"/>
  <c r="AK25" i="152"/>
  <c r="AB25" i="152"/>
  <c r="Y25" i="152"/>
  <c r="V25" i="152"/>
  <c r="S25" i="152"/>
  <c r="P25" i="152"/>
  <c r="M25" i="152"/>
  <c r="J25" i="152"/>
  <c r="G25" i="152"/>
  <c r="D25" i="152"/>
  <c r="EL24" i="152"/>
  <c r="EK24" i="152"/>
  <c r="EN24" i="152" s="1"/>
  <c r="EG24" i="152"/>
  <c r="EI24" i="152" s="1"/>
  <c r="EE24" i="152"/>
  <c r="EB24" i="152"/>
  <c r="EC24" i="152" s="1"/>
  <c r="DW24" i="152"/>
  <c r="DT24" i="152"/>
  <c r="DQ24" i="152"/>
  <c r="EM24" i="152" s="1"/>
  <c r="DN24" i="152"/>
  <c r="DK24" i="152"/>
  <c r="DH24" i="152"/>
  <c r="DE24" i="152"/>
  <c r="DB24" i="152"/>
  <c r="CY24" i="152"/>
  <c r="CV24" i="152"/>
  <c r="CS24" i="152"/>
  <c r="CP24" i="152"/>
  <c r="CM24" i="152"/>
  <c r="CJ24" i="152"/>
  <c r="CG24" i="152"/>
  <c r="CD24" i="152"/>
  <c r="CA24" i="152"/>
  <c r="BX24" i="152"/>
  <c r="BU24" i="152"/>
  <c r="BR24" i="152"/>
  <c r="BO24" i="152"/>
  <c r="BL24" i="152"/>
  <c r="BI24" i="152"/>
  <c r="BF24" i="152"/>
  <c r="BC24" i="152"/>
  <c r="AZ24" i="152"/>
  <c r="AW24" i="152"/>
  <c r="AT24" i="152"/>
  <c r="AQ24" i="152"/>
  <c r="AN24" i="152"/>
  <c r="AK24" i="152"/>
  <c r="AB24" i="152"/>
  <c r="Y24" i="152"/>
  <c r="V24" i="152"/>
  <c r="S24" i="152"/>
  <c r="P24" i="152"/>
  <c r="M24" i="152"/>
  <c r="J24" i="152"/>
  <c r="G24" i="152"/>
  <c r="D24" i="152"/>
  <c r="EN23" i="152"/>
  <c r="EM23" i="152"/>
  <c r="EL23" i="152"/>
  <c r="EK23" i="152"/>
  <c r="EI23" i="152"/>
  <c r="EG23" i="152"/>
  <c r="EE23" i="152"/>
  <c r="EC23" i="152"/>
  <c r="EB23" i="152"/>
  <c r="DW23" i="152"/>
  <c r="DT23" i="152"/>
  <c r="DQ23" i="152"/>
  <c r="DN23" i="152"/>
  <c r="DK23" i="152"/>
  <c r="DH23" i="152"/>
  <c r="DE23" i="152"/>
  <c r="DB23" i="152"/>
  <c r="CY23" i="152"/>
  <c r="CV23" i="152"/>
  <c r="CS23" i="152"/>
  <c r="CP23" i="152"/>
  <c r="CM23" i="152"/>
  <c r="CJ23" i="152"/>
  <c r="CG23" i="152"/>
  <c r="CD23" i="152"/>
  <c r="CA23" i="152"/>
  <c r="BX23" i="152"/>
  <c r="BU23" i="152"/>
  <c r="BR23" i="152"/>
  <c r="BO23" i="152"/>
  <c r="BL23" i="152"/>
  <c r="BI23" i="152"/>
  <c r="BF23" i="152"/>
  <c r="BC23" i="152"/>
  <c r="AZ23" i="152"/>
  <c r="AW23" i="152"/>
  <c r="AT23" i="152"/>
  <c r="AQ23" i="152"/>
  <c r="AN23" i="152"/>
  <c r="AK23" i="152"/>
  <c r="AB23" i="152"/>
  <c r="Y23" i="152"/>
  <c r="V23" i="152"/>
  <c r="S23" i="152"/>
  <c r="P23" i="152"/>
  <c r="M23" i="152"/>
  <c r="J23" i="152"/>
  <c r="G23" i="152"/>
  <c r="D23" i="152"/>
  <c r="EL22" i="152"/>
  <c r="EK22" i="152"/>
  <c r="EN22" i="152" s="1"/>
  <c r="EG22" i="152"/>
  <c r="EI22" i="152" s="1"/>
  <c r="EE22" i="152"/>
  <c r="EB22" i="152"/>
  <c r="EC22" i="152" s="1"/>
  <c r="DW22" i="152"/>
  <c r="DT22" i="152"/>
  <c r="DQ22" i="152"/>
  <c r="DN22" i="152"/>
  <c r="DK22" i="152"/>
  <c r="DH22" i="152"/>
  <c r="DE22" i="152"/>
  <c r="DB22" i="152"/>
  <c r="CY22" i="152"/>
  <c r="CV22" i="152"/>
  <c r="CS22" i="152"/>
  <c r="CP22" i="152"/>
  <c r="CM22" i="152"/>
  <c r="CJ22" i="152"/>
  <c r="CG22" i="152"/>
  <c r="CD22" i="152"/>
  <c r="CA22" i="152"/>
  <c r="BX22" i="152"/>
  <c r="BU22" i="152"/>
  <c r="BR22" i="152"/>
  <c r="BO22" i="152"/>
  <c r="BL22" i="152"/>
  <c r="BI22" i="152"/>
  <c r="BF22" i="152"/>
  <c r="BC22" i="152"/>
  <c r="AZ22" i="152"/>
  <c r="AW22" i="152"/>
  <c r="AT22" i="152"/>
  <c r="AQ22" i="152"/>
  <c r="AN22" i="152"/>
  <c r="AK22" i="152"/>
  <c r="AB22" i="152"/>
  <c r="Y22" i="152"/>
  <c r="V22" i="152"/>
  <c r="S22" i="152"/>
  <c r="P22" i="152"/>
  <c r="M22" i="152"/>
  <c r="J22" i="152"/>
  <c r="G22" i="152"/>
  <c r="D22" i="152"/>
  <c r="EN21" i="152"/>
  <c r="EM21" i="152"/>
  <c r="EL21" i="152"/>
  <c r="EK21" i="152"/>
  <c r="EI21" i="152"/>
  <c r="EG21" i="152"/>
  <c r="EE21" i="152"/>
  <c r="EC21" i="152"/>
  <c r="EB21" i="152"/>
  <c r="DW21" i="152"/>
  <c r="DT21" i="152"/>
  <c r="DQ21" i="152"/>
  <c r="DN21" i="152"/>
  <c r="DK21" i="152"/>
  <c r="DH21" i="152"/>
  <c r="DE21" i="152"/>
  <c r="DB21" i="152"/>
  <c r="CY21" i="152"/>
  <c r="CV21" i="152"/>
  <c r="CS21" i="152"/>
  <c r="CP21" i="152"/>
  <c r="CM21" i="152"/>
  <c r="CJ21" i="152"/>
  <c r="CG21" i="152"/>
  <c r="CD21" i="152"/>
  <c r="CA21" i="152"/>
  <c r="BX21" i="152"/>
  <c r="BU21" i="152"/>
  <c r="BR21" i="152"/>
  <c r="BO21" i="152"/>
  <c r="BL21" i="152"/>
  <c r="BI21" i="152"/>
  <c r="BF21" i="152"/>
  <c r="BC21" i="152"/>
  <c r="AZ21" i="152"/>
  <c r="AW21" i="152"/>
  <c r="AT21" i="152"/>
  <c r="AQ21" i="152"/>
  <c r="AN21" i="152"/>
  <c r="AK21" i="152"/>
  <c r="AB21" i="152"/>
  <c r="Y21" i="152"/>
  <c r="V21" i="152"/>
  <c r="S21" i="152"/>
  <c r="P21" i="152"/>
  <c r="M21" i="152"/>
  <c r="J21" i="152"/>
  <c r="G21" i="152"/>
  <c r="D21" i="152"/>
  <c r="EL20" i="152"/>
  <c r="EK20" i="152"/>
  <c r="EN20" i="152" s="1"/>
  <c r="EG20" i="152"/>
  <c r="EI20" i="152" s="1"/>
  <c r="EE20" i="152"/>
  <c r="EB20" i="152"/>
  <c r="EC20" i="152" s="1"/>
  <c r="DW20" i="152"/>
  <c r="DT20" i="152"/>
  <c r="DQ20" i="152"/>
  <c r="DN20" i="152"/>
  <c r="DK20" i="152"/>
  <c r="DH20" i="152"/>
  <c r="DE20" i="152"/>
  <c r="DB20" i="152"/>
  <c r="CY20" i="152"/>
  <c r="CV20" i="152"/>
  <c r="CS20" i="152"/>
  <c r="CP20" i="152"/>
  <c r="CM20" i="152"/>
  <c r="CJ20" i="152"/>
  <c r="CG20" i="152"/>
  <c r="CD20" i="152"/>
  <c r="CA20" i="152"/>
  <c r="BX20" i="152"/>
  <c r="BU20" i="152"/>
  <c r="BR20" i="152"/>
  <c r="BO20" i="152"/>
  <c r="BL20" i="152"/>
  <c r="BI20" i="152"/>
  <c r="BF20" i="152"/>
  <c r="BC20" i="152"/>
  <c r="AZ20" i="152"/>
  <c r="AW20" i="152"/>
  <c r="AT20" i="152"/>
  <c r="AQ20" i="152"/>
  <c r="AN20" i="152"/>
  <c r="AK20" i="152"/>
  <c r="AB20" i="152"/>
  <c r="Y20" i="152"/>
  <c r="V20" i="152"/>
  <c r="S20" i="152"/>
  <c r="P20" i="152"/>
  <c r="M20" i="152"/>
  <c r="J20" i="152"/>
  <c r="G20" i="152"/>
  <c r="D20" i="152"/>
  <c r="EN19" i="152"/>
  <c r="EM19" i="152"/>
  <c r="EL19" i="152"/>
  <c r="EK19" i="152"/>
  <c r="EI19" i="152"/>
  <c r="EG19" i="152"/>
  <c r="EE19" i="152"/>
  <c r="EC19" i="152"/>
  <c r="EB19" i="152"/>
  <c r="DW19" i="152"/>
  <c r="DT19" i="152"/>
  <c r="DQ19" i="152"/>
  <c r="DN19" i="152"/>
  <c r="DK19" i="152"/>
  <c r="DH19" i="152"/>
  <c r="DE19" i="152"/>
  <c r="DB19" i="152"/>
  <c r="CY19" i="152"/>
  <c r="CV19" i="152"/>
  <c r="CS19" i="152"/>
  <c r="CP19" i="152"/>
  <c r="CM19" i="152"/>
  <c r="CJ19" i="152"/>
  <c r="CG19" i="152"/>
  <c r="CD19" i="152"/>
  <c r="CA19" i="152"/>
  <c r="BX19" i="152"/>
  <c r="BU19" i="152"/>
  <c r="BR19" i="152"/>
  <c r="BO19" i="152"/>
  <c r="BL19" i="152"/>
  <c r="BI19" i="152"/>
  <c r="BF19" i="152"/>
  <c r="BC19" i="152"/>
  <c r="AZ19" i="152"/>
  <c r="AW19" i="152"/>
  <c r="AT19" i="152"/>
  <c r="AQ19" i="152"/>
  <c r="AN19" i="152"/>
  <c r="AK19" i="152"/>
  <c r="AB19" i="152"/>
  <c r="Y19" i="152"/>
  <c r="V19" i="152"/>
  <c r="S19" i="152"/>
  <c r="P19" i="152"/>
  <c r="M19" i="152"/>
  <c r="J19" i="152"/>
  <c r="G19" i="152"/>
  <c r="D19" i="152"/>
  <c r="EL18" i="152"/>
  <c r="EK18" i="152"/>
  <c r="EN18" i="152" s="1"/>
  <c r="EG18" i="152"/>
  <c r="EI18" i="152" s="1"/>
  <c r="EE18" i="152"/>
  <c r="EB18" i="152"/>
  <c r="EC18" i="152" s="1"/>
  <c r="DW18" i="152"/>
  <c r="DT18" i="152"/>
  <c r="DQ18" i="152"/>
  <c r="DN18" i="152"/>
  <c r="DK18" i="152"/>
  <c r="DH18" i="152"/>
  <c r="DE18" i="152"/>
  <c r="DB18" i="152"/>
  <c r="CY18" i="152"/>
  <c r="CV18" i="152"/>
  <c r="CS18" i="152"/>
  <c r="CP18" i="152"/>
  <c r="CM18" i="152"/>
  <c r="CJ18" i="152"/>
  <c r="CG18" i="152"/>
  <c r="CD18" i="152"/>
  <c r="CA18" i="152"/>
  <c r="BX18" i="152"/>
  <c r="BU18" i="152"/>
  <c r="BR18" i="152"/>
  <c r="BO18" i="152"/>
  <c r="BL18" i="152"/>
  <c r="BI18" i="152"/>
  <c r="BF18" i="152"/>
  <c r="BC18" i="152"/>
  <c r="AZ18" i="152"/>
  <c r="AW18" i="152"/>
  <c r="AT18" i="152"/>
  <c r="AQ18" i="152"/>
  <c r="AN18" i="152"/>
  <c r="AK18" i="152"/>
  <c r="AB18" i="152"/>
  <c r="Y18" i="152"/>
  <c r="V18" i="152"/>
  <c r="S18" i="152"/>
  <c r="P18" i="152"/>
  <c r="M18" i="152"/>
  <c r="J18" i="152"/>
  <c r="G18" i="152"/>
  <c r="D18" i="152"/>
  <c r="EN17" i="152"/>
  <c r="EM17" i="152"/>
  <c r="EL17" i="152"/>
  <c r="EK17" i="152"/>
  <c r="EI17" i="152"/>
  <c r="EG17" i="152"/>
  <c r="EE17" i="152"/>
  <c r="EC17" i="152"/>
  <c r="EB17" i="152"/>
  <c r="DW17" i="152"/>
  <c r="DT17" i="152"/>
  <c r="DQ17" i="152"/>
  <c r="DN17" i="152"/>
  <c r="DK17" i="152"/>
  <c r="DH17" i="152"/>
  <c r="DE17" i="152"/>
  <c r="DB17" i="152"/>
  <c r="CY17" i="152"/>
  <c r="CV17" i="152"/>
  <c r="CS17" i="152"/>
  <c r="CP17" i="152"/>
  <c r="CM17" i="152"/>
  <c r="CJ17" i="152"/>
  <c r="CG17" i="152"/>
  <c r="CD17" i="152"/>
  <c r="CA17" i="152"/>
  <c r="BX17" i="152"/>
  <c r="BU17" i="152"/>
  <c r="BR17" i="152"/>
  <c r="BO17" i="152"/>
  <c r="BL17" i="152"/>
  <c r="BI17" i="152"/>
  <c r="BF17" i="152"/>
  <c r="BC17" i="152"/>
  <c r="AZ17" i="152"/>
  <c r="AW17" i="152"/>
  <c r="AT17" i="152"/>
  <c r="AQ17" i="152"/>
  <c r="AN17" i="152"/>
  <c r="AK17" i="152"/>
  <c r="AB17" i="152"/>
  <c r="Y17" i="152"/>
  <c r="V17" i="152"/>
  <c r="S17" i="152"/>
  <c r="P17" i="152"/>
  <c r="M17" i="152"/>
  <c r="J17" i="152"/>
  <c r="G17" i="152"/>
  <c r="D17" i="152"/>
  <c r="EL16" i="152"/>
  <c r="EK16" i="152"/>
  <c r="EN16" i="152" s="1"/>
  <c r="EG16" i="152"/>
  <c r="EI16" i="152" s="1"/>
  <c r="EE16" i="152"/>
  <c r="EB16" i="152"/>
  <c r="EC16" i="152" s="1"/>
  <c r="DW16" i="152"/>
  <c r="DT16" i="152"/>
  <c r="DQ16" i="152"/>
  <c r="DN16" i="152"/>
  <c r="DK16" i="152"/>
  <c r="DH16" i="152"/>
  <c r="DE16" i="152"/>
  <c r="DB16" i="152"/>
  <c r="CY16" i="152"/>
  <c r="CV16" i="152"/>
  <c r="CS16" i="152"/>
  <c r="CP16" i="152"/>
  <c r="CM16" i="152"/>
  <c r="CJ16" i="152"/>
  <c r="CG16" i="152"/>
  <c r="CD16" i="152"/>
  <c r="CA16" i="152"/>
  <c r="BX16" i="152"/>
  <c r="BU16" i="152"/>
  <c r="BR16" i="152"/>
  <c r="BO16" i="152"/>
  <c r="BL16" i="152"/>
  <c r="BI16" i="152"/>
  <c r="BF16" i="152"/>
  <c r="BC16" i="152"/>
  <c r="AZ16" i="152"/>
  <c r="AW16" i="152"/>
  <c r="AT16" i="152"/>
  <c r="AQ16" i="152"/>
  <c r="AN16" i="152"/>
  <c r="AK16" i="152"/>
  <c r="AB16" i="152"/>
  <c r="Y16" i="152"/>
  <c r="V16" i="152"/>
  <c r="S16" i="152"/>
  <c r="P16" i="152"/>
  <c r="M16" i="152"/>
  <c r="J16" i="152"/>
  <c r="G16" i="152"/>
  <c r="D16" i="152"/>
  <c r="EN15" i="152"/>
  <c r="EM15" i="152"/>
  <c r="EL15" i="152"/>
  <c r="EK15" i="152"/>
  <c r="EI15" i="152"/>
  <c r="EG15" i="152"/>
  <c r="EE15" i="152"/>
  <c r="EC15" i="152"/>
  <c r="EB15" i="152"/>
  <c r="DW15" i="152"/>
  <c r="DT15" i="152"/>
  <c r="DQ15" i="152"/>
  <c r="DN15" i="152"/>
  <c r="DK15" i="152"/>
  <c r="DH15" i="152"/>
  <c r="DE15" i="152"/>
  <c r="DB15" i="152"/>
  <c r="CY15" i="152"/>
  <c r="CV15" i="152"/>
  <c r="CS15" i="152"/>
  <c r="CP15" i="152"/>
  <c r="CM15" i="152"/>
  <c r="CJ15" i="152"/>
  <c r="CG15" i="152"/>
  <c r="CD15" i="152"/>
  <c r="CA15" i="152"/>
  <c r="BX15" i="152"/>
  <c r="BU15" i="152"/>
  <c r="BR15" i="152"/>
  <c r="BO15" i="152"/>
  <c r="BL15" i="152"/>
  <c r="BI15" i="152"/>
  <c r="BF15" i="152"/>
  <c r="BC15" i="152"/>
  <c r="AZ15" i="152"/>
  <c r="AW15" i="152"/>
  <c r="AT15" i="152"/>
  <c r="AQ15" i="152"/>
  <c r="AN15" i="152"/>
  <c r="AK15" i="152"/>
  <c r="AB15" i="152"/>
  <c r="Y15" i="152"/>
  <c r="V15" i="152"/>
  <c r="S15" i="152"/>
  <c r="P15" i="152"/>
  <c r="M15" i="152"/>
  <c r="J15" i="152"/>
  <c r="G15" i="152"/>
  <c r="D15" i="152"/>
  <c r="EL14" i="152"/>
  <c r="EK14" i="152"/>
  <c r="EN14" i="152" s="1"/>
  <c r="EG14" i="152"/>
  <c r="EI14" i="152" s="1"/>
  <c r="EE14" i="152"/>
  <c r="EB14" i="152"/>
  <c r="EC14" i="152" s="1"/>
  <c r="DW14" i="152"/>
  <c r="DT14" i="152"/>
  <c r="DQ14" i="152"/>
  <c r="DN14" i="152"/>
  <c r="DK14" i="152"/>
  <c r="DH14" i="152"/>
  <c r="DE14" i="152"/>
  <c r="DB14" i="152"/>
  <c r="CY14" i="152"/>
  <c r="CV14" i="152"/>
  <c r="CS14" i="152"/>
  <c r="CP14" i="152"/>
  <c r="CM14" i="152"/>
  <c r="CJ14" i="152"/>
  <c r="CG14" i="152"/>
  <c r="CD14" i="152"/>
  <c r="CA14" i="152"/>
  <c r="BX14" i="152"/>
  <c r="BU14" i="152"/>
  <c r="BR14" i="152"/>
  <c r="BO14" i="152"/>
  <c r="BL14" i="152"/>
  <c r="BI14" i="152"/>
  <c r="BF14" i="152"/>
  <c r="BC14" i="152"/>
  <c r="AZ14" i="152"/>
  <c r="AW14" i="152"/>
  <c r="AT14" i="152"/>
  <c r="AQ14" i="152"/>
  <c r="AN14" i="152"/>
  <c r="AK14" i="152"/>
  <c r="AB14" i="152"/>
  <c r="Y14" i="152"/>
  <c r="V14" i="152"/>
  <c r="S14" i="152"/>
  <c r="P14" i="152"/>
  <c r="M14" i="152"/>
  <c r="J14" i="152"/>
  <c r="G14" i="152"/>
  <c r="D14" i="152"/>
  <c r="EN13" i="152"/>
  <c r="EM13" i="152"/>
  <c r="EL13" i="152"/>
  <c r="EK13" i="152"/>
  <c r="EI13" i="152"/>
  <c r="EG13" i="152"/>
  <c r="EE13" i="152"/>
  <c r="EC13" i="152"/>
  <c r="EB13" i="152"/>
  <c r="DW13" i="152"/>
  <c r="DT13" i="152"/>
  <c r="DQ13" i="152"/>
  <c r="DN13" i="152"/>
  <c r="DK13" i="152"/>
  <c r="DH13" i="152"/>
  <c r="DE13" i="152"/>
  <c r="DB13" i="152"/>
  <c r="CY13" i="152"/>
  <c r="CV13" i="152"/>
  <c r="CS13" i="152"/>
  <c r="CP13" i="152"/>
  <c r="CM13" i="152"/>
  <c r="CJ13" i="152"/>
  <c r="CG13" i="152"/>
  <c r="CD13" i="152"/>
  <c r="CA13" i="152"/>
  <c r="BX13" i="152"/>
  <c r="BU13" i="152"/>
  <c r="BR13" i="152"/>
  <c r="BO13" i="152"/>
  <c r="BL13" i="152"/>
  <c r="BI13" i="152"/>
  <c r="BF13" i="152"/>
  <c r="BC13" i="152"/>
  <c r="AZ13" i="152"/>
  <c r="AW13" i="152"/>
  <c r="AT13" i="152"/>
  <c r="AQ13" i="152"/>
  <c r="AN13" i="152"/>
  <c r="AK13" i="152"/>
  <c r="AB13" i="152"/>
  <c r="Y13" i="152"/>
  <c r="V13" i="152"/>
  <c r="S13" i="152"/>
  <c r="P13" i="152"/>
  <c r="M13" i="152"/>
  <c r="J13" i="152"/>
  <c r="G13" i="152"/>
  <c r="D13" i="152"/>
  <c r="A13" i="152"/>
  <c r="A14" i="152" s="1"/>
  <c r="A15" i="152" s="1"/>
  <c r="A16" i="152" s="1"/>
  <c r="A17" i="152" s="1"/>
  <c r="A18" i="152" s="1"/>
  <c r="A19" i="152" s="1"/>
  <c r="A20" i="152" s="1"/>
  <c r="A21" i="152" s="1"/>
  <c r="A22" i="152" s="1"/>
  <c r="A23" i="152" s="1"/>
  <c r="A24" i="152" s="1"/>
  <c r="A25" i="152" s="1"/>
  <c r="A26" i="152" s="1"/>
  <c r="A27" i="152" s="1"/>
  <c r="A28" i="152" s="1"/>
  <c r="A29" i="152" s="1"/>
  <c r="A30" i="152" s="1"/>
  <c r="A31" i="152" s="1"/>
  <c r="A32" i="152" s="1"/>
  <c r="A33" i="152" s="1"/>
  <c r="A34" i="152" s="1"/>
  <c r="A35" i="152" s="1"/>
  <c r="A36" i="152" s="1"/>
  <c r="A37" i="152" s="1"/>
  <c r="A38" i="152" s="1"/>
  <c r="A39" i="152" s="1"/>
  <c r="A40" i="152" s="1"/>
  <c r="A41" i="152" s="1"/>
  <c r="A42" i="152" s="1"/>
  <c r="EL12" i="152"/>
  <c r="EK12" i="152"/>
  <c r="EN12" i="152" s="1"/>
  <c r="EG12" i="152"/>
  <c r="EI12" i="152" s="1"/>
  <c r="EE12" i="152"/>
  <c r="EB12" i="152"/>
  <c r="EC12" i="152" s="1"/>
  <c r="DW12" i="152"/>
  <c r="DW43" i="152" s="1"/>
  <c r="DT12" i="152"/>
  <c r="DT43" i="152" s="1"/>
  <c r="DQ12" i="152"/>
  <c r="DN12" i="152"/>
  <c r="DK12" i="152"/>
  <c r="DK43" i="152" s="1"/>
  <c r="DH12" i="152"/>
  <c r="DH43" i="152" s="1"/>
  <c r="DE12" i="152"/>
  <c r="DE43" i="152" s="1"/>
  <c r="DB12" i="152"/>
  <c r="CY12" i="152"/>
  <c r="CY43" i="152" s="1"/>
  <c r="CV12" i="152"/>
  <c r="CV43" i="152" s="1"/>
  <c r="CS12" i="152"/>
  <c r="CS43" i="152" s="1"/>
  <c r="CP12" i="152"/>
  <c r="CM12" i="152"/>
  <c r="CM43" i="152" s="1"/>
  <c r="CJ12" i="152"/>
  <c r="CJ43" i="152" s="1"/>
  <c r="CG12" i="152"/>
  <c r="CG43" i="152" s="1"/>
  <c r="CD12" i="152"/>
  <c r="CA12" i="152"/>
  <c r="CA43" i="152" s="1"/>
  <c r="BX12" i="152"/>
  <c r="BX43" i="152" s="1"/>
  <c r="BU12" i="152"/>
  <c r="BU43" i="152" s="1"/>
  <c r="BR12" i="152"/>
  <c r="BO12" i="152"/>
  <c r="BO43" i="152" s="1"/>
  <c r="BL12" i="152"/>
  <c r="BL43" i="152" s="1"/>
  <c r="BI12" i="152"/>
  <c r="BI43" i="152" s="1"/>
  <c r="BF12" i="152"/>
  <c r="BC12" i="152"/>
  <c r="BC43" i="152" s="1"/>
  <c r="AZ12" i="152"/>
  <c r="AZ43" i="152" s="1"/>
  <c r="AW12" i="152"/>
  <c r="AW43" i="152" s="1"/>
  <c r="AT12" i="152"/>
  <c r="AQ12" i="152"/>
  <c r="AQ43" i="152" s="1"/>
  <c r="AN12" i="152"/>
  <c r="AK12" i="152"/>
  <c r="AK43" i="152" s="1"/>
  <c r="AB12" i="152"/>
  <c r="AB43" i="152" s="1"/>
  <c r="Y12" i="152"/>
  <c r="Y43" i="152" s="1"/>
  <c r="V12" i="152"/>
  <c r="S12" i="152"/>
  <c r="P12" i="152"/>
  <c r="P43" i="152" s="1"/>
  <c r="M12" i="152"/>
  <c r="M43" i="152" s="1"/>
  <c r="J12" i="152"/>
  <c r="G12" i="152"/>
  <c r="G43" i="152" s="1"/>
  <c r="D12" i="152"/>
  <c r="D43" i="152" s="1"/>
  <c r="EN4" i="152"/>
  <c r="EI4" i="152"/>
  <c r="EI5" i="152" s="1"/>
  <c r="EI2" i="152"/>
  <c r="EL41" i="151"/>
  <c r="EI41" i="151"/>
  <c r="EG41" i="151"/>
  <c r="DW41" i="151"/>
  <c r="DT41" i="151"/>
  <c r="DQ41" i="151"/>
  <c r="DN41" i="151"/>
  <c r="DK41" i="151"/>
  <c r="DH41" i="151"/>
  <c r="DE41" i="151"/>
  <c r="DB41" i="151"/>
  <c r="CY41" i="151"/>
  <c r="CV41" i="151"/>
  <c r="CS41" i="151"/>
  <c r="CP41" i="151"/>
  <c r="CM41" i="151"/>
  <c r="CJ41" i="151"/>
  <c r="CG41" i="151"/>
  <c r="CD41" i="151"/>
  <c r="CA41" i="151"/>
  <c r="BX41" i="151"/>
  <c r="BU41" i="151"/>
  <c r="BR41" i="151"/>
  <c r="BO41" i="151"/>
  <c r="BL41" i="151"/>
  <c r="BI41" i="151"/>
  <c r="BF41" i="151"/>
  <c r="BA41" i="151"/>
  <c r="AZ41" i="151"/>
  <c r="AX41" i="151"/>
  <c r="AW41" i="151"/>
  <c r="AT41" i="151"/>
  <c r="AR41" i="151"/>
  <c r="AQ41" i="151"/>
  <c r="AO41" i="151"/>
  <c r="AN41" i="151"/>
  <c r="AL41" i="151"/>
  <c r="AK41" i="151"/>
  <c r="AB41" i="151"/>
  <c r="Y41" i="151"/>
  <c r="V41" i="151"/>
  <c r="S41" i="151"/>
  <c r="P41" i="151"/>
  <c r="M41" i="151"/>
  <c r="J41" i="151"/>
  <c r="G41" i="151"/>
  <c r="D41" i="151"/>
  <c r="EL40" i="151"/>
  <c r="EG40" i="151"/>
  <c r="EI40" i="151" s="1"/>
  <c r="DW40" i="151"/>
  <c r="DT40" i="151"/>
  <c r="DQ40" i="151"/>
  <c r="DN40" i="151"/>
  <c r="DK40" i="151"/>
  <c r="DH40" i="151"/>
  <c r="DE40" i="151"/>
  <c r="DB40" i="151"/>
  <c r="CY40" i="151"/>
  <c r="CV40" i="151"/>
  <c r="CS40" i="151"/>
  <c r="CP40" i="151"/>
  <c r="CM40" i="151"/>
  <c r="CJ40" i="151"/>
  <c r="CG40" i="151"/>
  <c r="CD40" i="151"/>
  <c r="CA40" i="151"/>
  <c r="BX40" i="151"/>
  <c r="BU40" i="151"/>
  <c r="BR40" i="151"/>
  <c r="BO40" i="151"/>
  <c r="BL40" i="151"/>
  <c r="BI40" i="151"/>
  <c r="BF40" i="151"/>
  <c r="BA40" i="151"/>
  <c r="AZ40" i="151"/>
  <c r="AX40" i="151"/>
  <c r="AW40" i="151"/>
  <c r="AR40" i="151"/>
  <c r="AT40" i="151" s="1"/>
  <c r="AQ40" i="151"/>
  <c r="AO40" i="151"/>
  <c r="AL40" i="151"/>
  <c r="AN40" i="151" s="1"/>
  <c r="AK40" i="151"/>
  <c r="AI40" i="151"/>
  <c r="AB40" i="151"/>
  <c r="Y40" i="151"/>
  <c r="V40" i="151"/>
  <c r="S40" i="151"/>
  <c r="P40" i="151"/>
  <c r="M40" i="151"/>
  <c r="J40" i="151"/>
  <c r="G40" i="151"/>
  <c r="D40" i="151"/>
  <c r="EL39" i="151"/>
  <c r="EG39" i="151"/>
  <c r="EI39" i="151" s="1"/>
  <c r="DW39" i="151"/>
  <c r="DT39" i="151"/>
  <c r="DQ39" i="151"/>
  <c r="DN39" i="151"/>
  <c r="DK39" i="151"/>
  <c r="DH39" i="151"/>
  <c r="DE39" i="151"/>
  <c r="DB39" i="151"/>
  <c r="CY39" i="151"/>
  <c r="CV39" i="151"/>
  <c r="CS39" i="151"/>
  <c r="CP39" i="151"/>
  <c r="CM39" i="151"/>
  <c r="CJ39" i="151"/>
  <c r="CG39" i="151"/>
  <c r="CD39" i="151"/>
  <c r="CA39" i="151"/>
  <c r="BX39" i="151"/>
  <c r="BU39" i="151"/>
  <c r="BR39" i="151"/>
  <c r="BO39" i="151"/>
  <c r="BL39" i="151"/>
  <c r="BI39" i="151"/>
  <c r="BF39" i="151"/>
  <c r="BA39" i="151"/>
  <c r="AZ39" i="151"/>
  <c r="AX39" i="151"/>
  <c r="AW39" i="151"/>
  <c r="AR39" i="151"/>
  <c r="AT39" i="151" s="1"/>
  <c r="AQ39" i="151"/>
  <c r="AL39" i="151"/>
  <c r="AN39" i="151" s="1"/>
  <c r="AI39" i="151"/>
  <c r="AK39" i="151" s="1"/>
  <c r="AB39" i="151"/>
  <c r="Y39" i="151"/>
  <c r="V39" i="151"/>
  <c r="S39" i="151"/>
  <c r="P39" i="151"/>
  <c r="M39" i="151"/>
  <c r="J39" i="151"/>
  <c r="G39" i="151"/>
  <c r="D39" i="151"/>
  <c r="EL38" i="151"/>
  <c r="EG38" i="151"/>
  <c r="EI38" i="151" s="1"/>
  <c r="EB38" i="151"/>
  <c r="DW38" i="151"/>
  <c r="DT38" i="151"/>
  <c r="DQ38" i="151"/>
  <c r="DN38" i="151"/>
  <c r="DK38" i="151"/>
  <c r="DH38" i="151"/>
  <c r="DE38" i="151"/>
  <c r="DB38" i="151"/>
  <c r="CY38" i="151"/>
  <c r="CV38" i="151"/>
  <c r="CS38" i="151"/>
  <c r="CP38" i="151"/>
  <c r="CM38" i="151"/>
  <c r="CJ38" i="151"/>
  <c r="CG38" i="151"/>
  <c r="CD38" i="151"/>
  <c r="CA38" i="151"/>
  <c r="BX38" i="151"/>
  <c r="BU38" i="151"/>
  <c r="BR38" i="151"/>
  <c r="BO38" i="151"/>
  <c r="BL38" i="151"/>
  <c r="BI38" i="151"/>
  <c r="BF38" i="151"/>
  <c r="BC38" i="151"/>
  <c r="BA38" i="151"/>
  <c r="AX38" i="151"/>
  <c r="AZ38" i="151" s="1"/>
  <c r="AW38" i="151"/>
  <c r="AR38" i="151"/>
  <c r="AT38" i="151" s="1"/>
  <c r="AQ38" i="151"/>
  <c r="AN38" i="151"/>
  <c r="AL38" i="151"/>
  <c r="AI38" i="151"/>
  <c r="AK38" i="151" s="1"/>
  <c r="AB38" i="151"/>
  <c r="Y38" i="151"/>
  <c r="V38" i="151"/>
  <c r="S38" i="151"/>
  <c r="P38" i="151"/>
  <c r="M38" i="151"/>
  <c r="J38" i="151"/>
  <c r="G38" i="151"/>
  <c r="D38" i="151"/>
  <c r="EL37" i="151"/>
  <c r="EK37" i="151"/>
  <c r="EI37" i="151"/>
  <c r="EG37" i="151"/>
  <c r="DW37" i="151"/>
  <c r="DT37" i="151"/>
  <c r="DQ37" i="151"/>
  <c r="DN37" i="151"/>
  <c r="DK37" i="151"/>
  <c r="DH37" i="151"/>
  <c r="DE37" i="151"/>
  <c r="DB37" i="151"/>
  <c r="CY37" i="151"/>
  <c r="CV37" i="151"/>
  <c r="CS37" i="151"/>
  <c r="CP37" i="151"/>
  <c r="CM37" i="151"/>
  <c r="CJ37" i="151"/>
  <c r="CG37" i="151"/>
  <c r="CD37" i="151"/>
  <c r="CA37" i="151"/>
  <c r="BX37" i="151"/>
  <c r="BU37" i="151"/>
  <c r="BR37" i="151"/>
  <c r="BO37" i="151"/>
  <c r="BL37" i="151"/>
  <c r="BI37" i="151"/>
  <c r="BF37" i="151"/>
  <c r="BC37" i="151"/>
  <c r="BA37" i="151"/>
  <c r="AX37" i="151"/>
  <c r="AZ37" i="151" s="1"/>
  <c r="AW37" i="151"/>
  <c r="AT37" i="151"/>
  <c r="AR37" i="151"/>
  <c r="AQ37" i="151"/>
  <c r="AN37" i="151"/>
  <c r="AL37" i="151"/>
  <c r="EB37" i="151" s="1"/>
  <c r="AI37" i="151"/>
  <c r="AK37" i="151" s="1"/>
  <c r="AB37" i="151"/>
  <c r="Y37" i="151"/>
  <c r="V37" i="151"/>
  <c r="S37" i="151"/>
  <c r="P37" i="151"/>
  <c r="M37" i="151"/>
  <c r="J37" i="151"/>
  <c r="G37" i="151"/>
  <c r="D37" i="151"/>
  <c r="EL36" i="151"/>
  <c r="EI36" i="151"/>
  <c r="EG36" i="151"/>
  <c r="DW36" i="151"/>
  <c r="DT36" i="151"/>
  <c r="DQ36" i="151"/>
  <c r="DN36" i="151"/>
  <c r="DK36" i="151"/>
  <c r="DH36" i="151"/>
  <c r="DE36" i="151"/>
  <c r="DB36" i="151"/>
  <c r="CY36" i="151"/>
  <c r="CV36" i="151"/>
  <c r="CS36" i="151"/>
  <c r="CP36" i="151"/>
  <c r="CM36" i="151"/>
  <c r="CJ36" i="151"/>
  <c r="CG36" i="151"/>
  <c r="CD36" i="151"/>
  <c r="CA36" i="151"/>
  <c r="BX36" i="151"/>
  <c r="BU36" i="151"/>
  <c r="BR36" i="151"/>
  <c r="BO36" i="151"/>
  <c r="BL36" i="151"/>
  <c r="BI36" i="151"/>
  <c r="BF36" i="151"/>
  <c r="BA36" i="151"/>
  <c r="AZ36" i="151"/>
  <c r="AX36" i="151"/>
  <c r="AU36" i="151"/>
  <c r="AW36" i="151" s="1"/>
  <c r="AT36" i="151"/>
  <c r="AR36" i="151"/>
  <c r="AQ36" i="151"/>
  <c r="AN36" i="151"/>
  <c r="AL36" i="151"/>
  <c r="AI36" i="151"/>
  <c r="AK36" i="151" s="1"/>
  <c r="AB36" i="151"/>
  <c r="Y36" i="151"/>
  <c r="V36" i="151"/>
  <c r="S36" i="151"/>
  <c r="P36" i="151"/>
  <c r="M36" i="151"/>
  <c r="J36" i="151"/>
  <c r="G36" i="151"/>
  <c r="D36" i="151"/>
  <c r="EL35" i="151"/>
  <c r="EI35" i="151"/>
  <c r="EG35" i="151"/>
  <c r="DW35" i="151"/>
  <c r="DT35" i="151"/>
  <c r="DQ35" i="151"/>
  <c r="DN35" i="151"/>
  <c r="DK35" i="151"/>
  <c r="DH35" i="151"/>
  <c r="DE35" i="151"/>
  <c r="DB35" i="151"/>
  <c r="CY35" i="151"/>
  <c r="CV35" i="151"/>
  <c r="CS35" i="151"/>
  <c r="CP35" i="151"/>
  <c r="CM35" i="151"/>
  <c r="CJ35" i="151"/>
  <c r="CG35" i="151"/>
  <c r="CD35" i="151"/>
  <c r="CA35" i="151"/>
  <c r="BX35" i="151"/>
  <c r="BU35" i="151"/>
  <c r="BR35" i="151"/>
  <c r="BO35" i="151"/>
  <c r="BL35" i="151"/>
  <c r="BI35" i="151"/>
  <c r="BF35" i="151"/>
  <c r="BA35" i="151"/>
  <c r="AZ35" i="151"/>
  <c r="AX35" i="151"/>
  <c r="AU35" i="151"/>
  <c r="AW35" i="151" s="1"/>
  <c r="AT35" i="151"/>
  <c r="AR35" i="151"/>
  <c r="AQ35" i="151"/>
  <c r="AL35" i="151"/>
  <c r="EB35" i="151" s="1"/>
  <c r="AI35" i="151"/>
  <c r="AK35" i="151" s="1"/>
  <c r="AB35" i="151"/>
  <c r="Y35" i="151"/>
  <c r="V35" i="151"/>
  <c r="S35" i="151"/>
  <c r="P35" i="151"/>
  <c r="M35" i="151"/>
  <c r="J35" i="151"/>
  <c r="G35" i="151"/>
  <c r="D35" i="151"/>
  <c r="EL34" i="151"/>
  <c r="EI34" i="151"/>
  <c r="EG34" i="151"/>
  <c r="DW34" i="151"/>
  <c r="DT34" i="151"/>
  <c r="DQ34" i="151"/>
  <c r="DN34" i="151"/>
  <c r="DK34" i="151"/>
  <c r="DH34" i="151"/>
  <c r="DE34" i="151"/>
  <c r="DB34" i="151"/>
  <c r="CY34" i="151"/>
  <c r="CV34" i="151"/>
  <c r="CS34" i="151"/>
  <c r="CP34" i="151"/>
  <c r="CM34" i="151"/>
  <c r="CJ34" i="151"/>
  <c r="CG34" i="151"/>
  <c r="CD34" i="151"/>
  <c r="CA34" i="151"/>
  <c r="BX34" i="151"/>
  <c r="BU34" i="151"/>
  <c r="BR34" i="151"/>
  <c r="BO34" i="151"/>
  <c r="BL34" i="151"/>
  <c r="BI34" i="151"/>
  <c r="BF34" i="151"/>
  <c r="BA34" i="151"/>
  <c r="AZ34" i="151"/>
  <c r="AX34" i="151"/>
  <c r="AU34" i="151"/>
  <c r="AW34" i="151" s="1"/>
  <c r="AT34" i="151"/>
  <c r="AR34" i="151"/>
  <c r="AQ34" i="151"/>
  <c r="AL34" i="151"/>
  <c r="AI34" i="151"/>
  <c r="AK34" i="151" s="1"/>
  <c r="AB34" i="151"/>
  <c r="Y34" i="151"/>
  <c r="V34" i="151"/>
  <c r="S34" i="151"/>
  <c r="P34" i="151"/>
  <c r="M34" i="151"/>
  <c r="J34" i="151"/>
  <c r="G34" i="151"/>
  <c r="D34" i="151"/>
  <c r="EL33" i="151"/>
  <c r="EI33" i="151"/>
  <c r="EG33" i="151"/>
  <c r="DW33" i="151"/>
  <c r="DT33" i="151"/>
  <c r="DQ33" i="151"/>
  <c r="DN33" i="151"/>
  <c r="DK33" i="151"/>
  <c r="DH33" i="151"/>
  <c r="DE33" i="151"/>
  <c r="DB33" i="151"/>
  <c r="CY33" i="151"/>
  <c r="CV33" i="151"/>
  <c r="CS33" i="151"/>
  <c r="CP33" i="151"/>
  <c r="CM33" i="151"/>
  <c r="CJ33" i="151"/>
  <c r="CG33" i="151"/>
  <c r="CD33" i="151"/>
  <c r="CA33" i="151"/>
  <c r="BX33" i="151"/>
  <c r="BU33" i="151"/>
  <c r="BR33" i="151"/>
  <c r="BO33" i="151"/>
  <c r="BL33" i="151"/>
  <c r="BI33" i="151"/>
  <c r="BF33" i="151"/>
  <c r="BA33" i="151"/>
  <c r="AZ33" i="151"/>
  <c r="AX33" i="151"/>
  <c r="AU33" i="151"/>
  <c r="AW33" i="151" s="1"/>
  <c r="AT33" i="151"/>
  <c r="AR33" i="151"/>
  <c r="AQ33" i="151"/>
  <c r="AN33" i="151"/>
  <c r="AL33" i="151"/>
  <c r="AK33" i="151"/>
  <c r="AB33" i="151"/>
  <c r="Y33" i="151"/>
  <c r="V33" i="151"/>
  <c r="S33" i="151"/>
  <c r="P33" i="151"/>
  <c r="M33" i="151"/>
  <c r="J33" i="151"/>
  <c r="G33" i="151"/>
  <c r="D33" i="151"/>
  <c r="EL32" i="151"/>
  <c r="EG32" i="151"/>
  <c r="EI32" i="151" s="1"/>
  <c r="DW32" i="151"/>
  <c r="DT32" i="151"/>
  <c r="DQ32" i="151"/>
  <c r="DN32" i="151"/>
  <c r="DK32" i="151"/>
  <c r="DH32" i="151"/>
  <c r="DE32" i="151"/>
  <c r="DB32" i="151"/>
  <c r="CY32" i="151"/>
  <c r="CV32" i="151"/>
  <c r="CS32" i="151"/>
  <c r="CP32" i="151"/>
  <c r="CM32" i="151"/>
  <c r="CJ32" i="151"/>
  <c r="CG32" i="151"/>
  <c r="CD32" i="151"/>
  <c r="CA32" i="151"/>
  <c r="BX32" i="151"/>
  <c r="BU32" i="151"/>
  <c r="BR32" i="151"/>
  <c r="BO32" i="151"/>
  <c r="BL32" i="151"/>
  <c r="BI32" i="151"/>
  <c r="BF32" i="151"/>
  <c r="BC32" i="151"/>
  <c r="BA32" i="151"/>
  <c r="AX32" i="151"/>
  <c r="AZ32" i="151" s="1"/>
  <c r="AW32" i="151"/>
  <c r="AU32" i="151"/>
  <c r="AR32" i="151"/>
  <c r="AT32" i="151" s="1"/>
  <c r="AQ32" i="151"/>
  <c r="AL32" i="151"/>
  <c r="AN32" i="151" s="1"/>
  <c r="AK32" i="151"/>
  <c r="AB32" i="151"/>
  <c r="Y32" i="151"/>
  <c r="V32" i="151"/>
  <c r="S32" i="151"/>
  <c r="P32" i="151"/>
  <c r="M32" i="151"/>
  <c r="J32" i="151"/>
  <c r="G32" i="151"/>
  <c r="D32" i="151"/>
  <c r="EL31" i="151"/>
  <c r="EK31" i="151"/>
  <c r="EG31" i="151"/>
  <c r="EI31" i="151" s="1"/>
  <c r="DW31" i="151"/>
  <c r="DT31" i="151"/>
  <c r="DQ31" i="151"/>
  <c r="DN31" i="151"/>
  <c r="DK31" i="151"/>
  <c r="DH31" i="151"/>
  <c r="DE31" i="151"/>
  <c r="DB31" i="151"/>
  <c r="CY31" i="151"/>
  <c r="CV31" i="151"/>
  <c r="CS31" i="151"/>
  <c r="CP31" i="151"/>
  <c r="CM31" i="151"/>
  <c r="CJ31" i="151"/>
  <c r="CG31" i="151"/>
  <c r="CD31" i="151"/>
  <c r="CA31" i="151"/>
  <c r="BX31" i="151"/>
  <c r="BU31" i="151"/>
  <c r="BR31" i="151"/>
  <c r="BO31" i="151"/>
  <c r="BL31" i="151"/>
  <c r="BI31" i="151"/>
  <c r="BF31" i="151"/>
  <c r="BC31" i="151"/>
  <c r="BA31" i="151"/>
  <c r="AX31" i="151"/>
  <c r="AZ31" i="151" s="1"/>
  <c r="AW31" i="151"/>
  <c r="AR31" i="151"/>
  <c r="AT31" i="151" s="1"/>
  <c r="AQ31" i="151"/>
  <c r="AN31" i="151"/>
  <c r="AL31" i="151"/>
  <c r="AI31" i="151"/>
  <c r="AB31" i="151"/>
  <c r="Y31" i="151"/>
  <c r="V31" i="151"/>
  <c r="S31" i="151"/>
  <c r="P31" i="151"/>
  <c r="M31" i="151"/>
  <c r="J31" i="151"/>
  <c r="G31" i="151"/>
  <c r="D31" i="151"/>
  <c r="EL30" i="151"/>
  <c r="EI30" i="151"/>
  <c r="EG30" i="151"/>
  <c r="DW30" i="151"/>
  <c r="DT30" i="151"/>
  <c r="DQ30" i="151"/>
  <c r="DN30" i="151"/>
  <c r="DK30" i="151"/>
  <c r="DH30" i="151"/>
  <c r="DE30" i="151"/>
  <c r="DB30" i="151"/>
  <c r="CY30" i="151"/>
  <c r="CV30" i="151"/>
  <c r="CS30" i="151"/>
  <c r="CP30" i="151"/>
  <c r="CM30" i="151"/>
  <c r="CJ30" i="151"/>
  <c r="CG30" i="151"/>
  <c r="CD30" i="151"/>
  <c r="CA30" i="151"/>
  <c r="BX30" i="151"/>
  <c r="BU30" i="151"/>
  <c r="BR30" i="151"/>
  <c r="BO30" i="151"/>
  <c r="BL30" i="151"/>
  <c r="BI30" i="151"/>
  <c r="BF30" i="151"/>
  <c r="BC30" i="151"/>
  <c r="BA30" i="151"/>
  <c r="AX30" i="151"/>
  <c r="AZ30" i="151" s="1"/>
  <c r="AW30" i="151"/>
  <c r="AT30" i="151"/>
  <c r="AR30" i="151"/>
  <c r="AQ30" i="151"/>
  <c r="AL30" i="151"/>
  <c r="AI30" i="151"/>
  <c r="AK30" i="151" s="1"/>
  <c r="AB30" i="151"/>
  <c r="Y30" i="151"/>
  <c r="V30" i="151"/>
  <c r="S30" i="151"/>
  <c r="P30" i="151"/>
  <c r="M30" i="151"/>
  <c r="J30" i="151"/>
  <c r="G30" i="151"/>
  <c r="D30" i="151"/>
  <c r="EL29" i="151"/>
  <c r="EI29" i="151"/>
  <c r="EG29" i="151"/>
  <c r="DW29" i="151"/>
  <c r="DT29" i="151"/>
  <c r="DQ29" i="151"/>
  <c r="DN29" i="151"/>
  <c r="DK29" i="151"/>
  <c r="DH29" i="151"/>
  <c r="DE29" i="151"/>
  <c r="DB29" i="151"/>
  <c r="CY29" i="151"/>
  <c r="CV29" i="151"/>
  <c r="CS29" i="151"/>
  <c r="CP29" i="151"/>
  <c r="CM29" i="151"/>
  <c r="CJ29" i="151"/>
  <c r="CG29" i="151"/>
  <c r="CD29" i="151"/>
  <c r="CA29" i="151"/>
  <c r="BX29" i="151"/>
  <c r="BU29" i="151"/>
  <c r="BR29" i="151"/>
  <c r="BO29" i="151"/>
  <c r="BL29" i="151"/>
  <c r="BI29" i="151"/>
  <c r="BF29" i="151"/>
  <c r="BA29" i="151"/>
  <c r="AZ29" i="151"/>
  <c r="AX29" i="151"/>
  <c r="AW29" i="151"/>
  <c r="AT29" i="151"/>
  <c r="AR29" i="151"/>
  <c r="AQ29" i="151"/>
  <c r="AL29" i="151"/>
  <c r="AK29" i="151"/>
  <c r="AI29" i="151"/>
  <c r="AB29" i="151"/>
  <c r="Y29" i="151"/>
  <c r="V29" i="151"/>
  <c r="S29" i="151"/>
  <c r="P29" i="151"/>
  <c r="M29" i="151"/>
  <c r="J29" i="151"/>
  <c r="G29" i="151"/>
  <c r="D29" i="151"/>
  <c r="EL28" i="151"/>
  <c r="EG28" i="151"/>
  <c r="EI28" i="151" s="1"/>
  <c r="DW28" i="151"/>
  <c r="DT28" i="151"/>
  <c r="DQ28" i="151"/>
  <c r="EM28" i="151" s="1"/>
  <c r="DN28" i="151"/>
  <c r="DK28" i="151"/>
  <c r="DH28" i="151"/>
  <c r="DE28" i="151"/>
  <c r="DB28" i="151"/>
  <c r="CY28" i="151"/>
  <c r="CV28" i="151"/>
  <c r="CS28" i="151"/>
  <c r="CP28" i="151"/>
  <c r="CM28" i="151"/>
  <c r="CJ28" i="151"/>
  <c r="CG28" i="151"/>
  <c r="CD28" i="151"/>
  <c r="CA28" i="151"/>
  <c r="BX28" i="151"/>
  <c r="BU28" i="151"/>
  <c r="BR28" i="151"/>
  <c r="BO28" i="151"/>
  <c r="BL28" i="151"/>
  <c r="BI28" i="151"/>
  <c r="BF28" i="151"/>
  <c r="BC28" i="151"/>
  <c r="BA28" i="151"/>
  <c r="AX28" i="151"/>
  <c r="AZ28" i="151" s="1"/>
  <c r="AW28" i="151"/>
  <c r="AR28" i="151"/>
  <c r="AT28" i="151" s="1"/>
  <c r="AQ28" i="151"/>
  <c r="AN28" i="151"/>
  <c r="AL28" i="151"/>
  <c r="AK28" i="151"/>
  <c r="AI28" i="151"/>
  <c r="AB28" i="151"/>
  <c r="Y28" i="151"/>
  <c r="V28" i="151"/>
  <c r="S28" i="151"/>
  <c r="P28" i="151"/>
  <c r="M28" i="151"/>
  <c r="J28" i="151"/>
  <c r="G28" i="151"/>
  <c r="D28" i="151"/>
  <c r="EL27" i="151"/>
  <c r="EK27" i="151"/>
  <c r="EG27" i="151"/>
  <c r="EI27" i="151" s="1"/>
  <c r="EB27" i="151"/>
  <c r="DW27" i="151"/>
  <c r="DT27" i="151"/>
  <c r="DQ27" i="151"/>
  <c r="DN27" i="151"/>
  <c r="DK27" i="151"/>
  <c r="DH27" i="151"/>
  <c r="DE27" i="151"/>
  <c r="DB27" i="151"/>
  <c r="CY27" i="151"/>
  <c r="CV27" i="151"/>
  <c r="CS27" i="151"/>
  <c r="CP27" i="151"/>
  <c r="CM27" i="151"/>
  <c r="CJ27" i="151"/>
  <c r="CG27" i="151"/>
  <c r="CD27" i="151"/>
  <c r="CA27" i="151"/>
  <c r="BX27" i="151"/>
  <c r="BU27" i="151"/>
  <c r="BR27" i="151"/>
  <c r="BO27" i="151"/>
  <c r="BL27" i="151"/>
  <c r="BI27" i="151"/>
  <c r="BF27" i="151"/>
  <c r="BC27" i="151"/>
  <c r="BA27" i="151"/>
  <c r="AX27" i="151"/>
  <c r="AZ27" i="151" s="1"/>
  <c r="AW27" i="151"/>
  <c r="AT27" i="151"/>
  <c r="AR27" i="151"/>
  <c r="AQ27" i="151"/>
  <c r="AN27" i="151"/>
  <c r="AL27" i="151"/>
  <c r="AI27" i="151"/>
  <c r="AK27" i="151" s="1"/>
  <c r="AB27" i="151"/>
  <c r="Y27" i="151"/>
  <c r="V27" i="151"/>
  <c r="S27" i="151"/>
  <c r="P27" i="151"/>
  <c r="M27" i="151"/>
  <c r="J27" i="151"/>
  <c r="G27" i="151"/>
  <c r="D27" i="151"/>
  <c r="EL26" i="151"/>
  <c r="EI26" i="151"/>
  <c r="EG26" i="151"/>
  <c r="DW26" i="151"/>
  <c r="DT26" i="151"/>
  <c r="DQ26" i="151"/>
  <c r="DN26" i="151"/>
  <c r="DK26" i="151"/>
  <c r="DH26" i="151"/>
  <c r="DE26" i="151"/>
  <c r="DB26" i="151"/>
  <c r="CY26" i="151"/>
  <c r="CV26" i="151"/>
  <c r="CS26" i="151"/>
  <c r="CP26" i="151"/>
  <c r="CM26" i="151"/>
  <c r="CJ26" i="151"/>
  <c r="CG26" i="151"/>
  <c r="CD26" i="151"/>
  <c r="CA26" i="151"/>
  <c r="BX26" i="151"/>
  <c r="BU26" i="151"/>
  <c r="BR26" i="151"/>
  <c r="BO26" i="151"/>
  <c r="BL26" i="151"/>
  <c r="BI26" i="151"/>
  <c r="BF26" i="151"/>
  <c r="BC26" i="151"/>
  <c r="BA26" i="151"/>
  <c r="AZ26" i="151"/>
  <c r="AX26" i="151"/>
  <c r="AW26" i="151"/>
  <c r="AU26" i="151"/>
  <c r="AT26" i="151"/>
  <c r="AR26" i="151"/>
  <c r="AQ26" i="151"/>
  <c r="AN26" i="151"/>
  <c r="AL26" i="151"/>
  <c r="AI26" i="151"/>
  <c r="AK26" i="151" s="1"/>
  <c r="AB26" i="151"/>
  <c r="Y26" i="151"/>
  <c r="V26" i="151"/>
  <c r="S26" i="151"/>
  <c r="P26" i="151"/>
  <c r="M26" i="151"/>
  <c r="J26" i="151"/>
  <c r="G26" i="151"/>
  <c r="D26" i="151"/>
  <c r="EL25" i="151"/>
  <c r="EK25" i="151"/>
  <c r="EI25" i="151"/>
  <c r="EG25" i="151"/>
  <c r="DW25" i="151"/>
  <c r="DT25" i="151"/>
  <c r="DQ25" i="151"/>
  <c r="DN25" i="151"/>
  <c r="DK25" i="151"/>
  <c r="DH25" i="151"/>
  <c r="DE25" i="151"/>
  <c r="DB25" i="151"/>
  <c r="CY25" i="151"/>
  <c r="CV25" i="151"/>
  <c r="CS25" i="151"/>
  <c r="CP25" i="151"/>
  <c r="CM25" i="151"/>
  <c r="CJ25" i="151"/>
  <c r="CG25" i="151"/>
  <c r="CD25" i="151"/>
  <c r="CA25" i="151"/>
  <c r="BX25" i="151"/>
  <c r="BU25" i="151"/>
  <c r="BR25" i="151"/>
  <c r="BO25" i="151"/>
  <c r="BL25" i="151"/>
  <c r="BI25" i="151"/>
  <c r="BF25" i="151"/>
  <c r="BC25" i="151"/>
  <c r="BA25" i="151"/>
  <c r="AZ25" i="151"/>
  <c r="AX25" i="151"/>
  <c r="AW25" i="151"/>
  <c r="AU25" i="151"/>
  <c r="AT25" i="151"/>
  <c r="AR25" i="151"/>
  <c r="AQ25" i="151"/>
  <c r="AN25" i="151"/>
  <c r="AL25" i="151"/>
  <c r="AK25" i="151"/>
  <c r="AB25" i="151"/>
  <c r="Y25" i="151"/>
  <c r="V25" i="151"/>
  <c r="S25" i="151"/>
  <c r="P25" i="151"/>
  <c r="M25" i="151"/>
  <c r="J25" i="151"/>
  <c r="G25" i="151"/>
  <c r="D25" i="151"/>
  <c r="EL24" i="151"/>
  <c r="EI24" i="151"/>
  <c r="EG24" i="151"/>
  <c r="DW24" i="151"/>
  <c r="DT24" i="151"/>
  <c r="DQ24" i="151"/>
  <c r="DN24" i="151"/>
  <c r="DK24" i="151"/>
  <c r="DH24" i="151"/>
  <c r="DE24" i="151"/>
  <c r="DB24" i="151"/>
  <c r="CY24" i="151"/>
  <c r="CV24" i="151"/>
  <c r="CS24" i="151"/>
  <c r="CP24" i="151"/>
  <c r="CM24" i="151"/>
  <c r="CJ24" i="151"/>
  <c r="CG24" i="151"/>
  <c r="CD24" i="151"/>
  <c r="CA24" i="151"/>
  <c r="BX24" i="151"/>
  <c r="BU24" i="151"/>
  <c r="BR24" i="151"/>
  <c r="BO24" i="151"/>
  <c r="BL24" i="151"/>
  <c r="BI24" i="151"/>
  <c r="BF24" i="151"/>
  <c r="BA24" i="151"/>
  <c r="AZ24" i="151"/>
  <c r="AX24" i="151"/>
  <c r="AU24" i="151"/>
  <c r="AW24" i="151" s="1"/>
  <c r="AT24" i="151"/>
  <c r="AR24" i="151"/>
  <c r="AQ24" i="151"/>
  <c r="AN24" i="151"/>
  <c r="AK24" i="151"/>
  <c r="AI24" i="151"/>
  <c r="AB24" i="151"/>
  <c r="Y24" i="151"/>
  <c r="V24" i="151"/>
  <c r="S24" i="151"/>
  <c r="P24" i="151"/>
  <c r="M24" i="151"/>
  <c r="J24" i="151"/>
  <c r="G24" i="151"/>
  <c r="D24" i="151"/>
  <c r="EL23" i="151"/>
  <c r="EG23" i="151"/>
  <c r="EI23" i="151" s="1"/>
  <c r="DW23" i="151"/>
  <c r="DT23" i="151"/>
  <c r="DQ23" i="151"/>
  <c r="DN23" i="151"/>
  <c r="EM23" i="151" s="1"/>
  <c r="DK23" i="151"/>
  <c r="DH23" i="151"/>
  <c r="DE23" i="151"/>
  <c r="DB23" i="151"/>
  <c r="CY23" i="151"/>
  <c r="CV23" i="151"/>
  <c r="CS23" i="151"/>
  <c r="CP23" i="151"/>
  <c r="CM23" i="151"/>
  <c r="CJ23" i="151"/>
  <c r="CG23" i="151"/>
  <c r="CD23" i="151"/>
  <c r="CA23" i="151"/>
  <c r="BX23" i="151"/>
  <c r="BU23" i="151"/>
  <c r="BR23" i="151"/>
  <c r="BO23" i="151"/>
  <c r="BL23" i="151"/>
  <c r="BI23" i="151"/>
  <c r="BF23" i="151"/>
  <c r="BC23" i="151"/>
  <c r="BA23" i="151"/>
  <c r="AX23" i="151"/>
  <c r="AZ23" i="151" s="1"/>
  <c r="AW23" i="151"/>
  <c r="AU23" i="151"/>
  <c r="AR23" i="151"/>
  <c r="AT23" i="151" s="1"/>
  <c r="AQ23" i="151"/>
  <c r="AN23" i="151"/>
  <c r="AI23" i="151"/>
  <c r="AK23" i="151" s="1"/>
  <c r="AB23" i="151"/>
  <c r="Y23" i="151"/>
  <c r="V23" i="151"/>
  <c r="S23" i="151"/>
  <c r="P23" i="151"/>
  <c r="M23" i="151"/>
  <c r="J23" i="151"/>
  <c r="G23" i="151"/>
  <c r="D23" i="151"/>
  <c r="EL22" i="151"/>
  <c r="EI22" i="151"/>
  <c r="EG22" i="151"/>
  <c r="DW22" i="151"/>
  <c r="DT22" i="151"/>
  <c r="DQ22" i="151"/>
  <c r="DN22" i="151"/>
  <c r="DK22" i="151"/>
  <c r="DH22" i="151"/>
  <c r="DE22" i="151"/>
  <c r="DB22" i="151"/>
  <c r="CY22" i="151"/>
  <c r="CV22" i="151"/>
  <c r="CS22" i="151"/>
  <c r="CP22" i="151"/>
  <c r="CM22" i="151"/>
  <c r="CJ22" i="151"/>
  <c r="CG22" i="151"/>
  <c r="CD22" i="151"/>
  <c r="CA22" i="151"/>
  <c r="BX22" i="151"/>
  <c r="BU22" i="151"/>
  <c r="BR22" i="151"/>
  <c r="BO22" i="151"/>
  <c r="BL22" i="151"/>
  <c r="BI22" i="151"/>
  <c r="BF22" i="151"/>
  <c r="BA22" i="151"/>
  <c r="BC22" i="151" s="1"/>
  <c r="AZ22" i="151"/>
  <c r="AX22" i="151"/>
  <c r="AU22" i="151"/>
  <c r="AW22" i="151" s="1"/>
  <c r="AT22" i="151"/>
  <c r="AR22" i="151"/>
  <c r="AQ22" i="151"/>
  <c r="AN22" i="151"/>
  <c r="AK22" i="151"/>
  <c r="AI22" i="151"/>
  <c r="AB22" i="151"/>
  <c r="Y22" i="151"/>
  <c r="V22" i="151"/>
  <c r="S22" i="151"/>
  <c r="P22" i="151"/>
  <c r="M22" i="151"/>
  <c r="J22" i="151"/>
  <c r="G22" i="151"/>
  <c r="D22" i="151"/>
  <c r="EL21" i="151"/>
  <c r="EI21" i="151"/>
  <c r="EG21" i="151"/>
  <c r="DW21" i="151"/>
  <c r="DT21" i="151"/>
  <c r="DQ21" i="151"/>
  <c r="DN21" i="151"/>
  <c r="DK21" i="151"/>
  <c r="DH21" i="151"/>
  <c r="DE21" i="151"/>
  <c r="DB21" i="151"/>
  <c r="CY21" i="151"/>
  <c r="CV21" i="151"/>
  <c r="CS21" i="151"/>
  <c r="CP21" i="151"/>
  <c r="CM21" i="151"/>
  <c r="CJ21" i="151"/>
  <c r="CG21" i="151"/>
  <c r="CD21" i="151"/>
  <c r="CA21" i="151"/>
  <c r="BX21" i="151"/>
  <c r="BU21" i="151"/>
  <c r="BR21" i="151"/>
  <c r="BO21" i="151"/>
  <c r="BL21" i="151"/>
  <c r="BI21" i="151"/>
  <c r="BF21" i="151"/>
  <c r="BA21" i="151"/>
  <c r="AZ21" i="151"/>
  <c r="AX21" i="151"/>
  <c r="AU21" i="151"/>
  <c r="AW21" i="151" s="1"/>
  <c r="AT21" i="151"/>
  <c r="AR21" i="151"/>
  <c r="AQ21" i="151"/>
  <c r="AN21" i="151"/>
  <c r="AK21" i="151"/>
  <c r="AI21" i="151"/>
  <c r="AB21" i="151"/>
  <c r="Y21" i="151"/>
  <c r="V21" i="151"/>
  <c r="S21" i="151"/>
  <c r="P21" i="151"/>
  <c r="M21" i="151"/>
  <c r="J21" i="151"/>
  <c r="G21" i="151"/>
  <c r="D21" i="151"/>
  <c r="EL20" i="151"/>
  <c r="EG20" i="151"/>
  <c r="EI20" i="151" s="1"/>
  <c r="DW20" i="151"/>
  <c r="DT20" i="151"/>
  <c r="DQ20" i="151"/>
  <c r="DN20" i="151"/>
  <c r="DK20" i="151"/>
  <c r="DH20" i="151"/>
  <c r="DE20" i="151"/>
  <c r="DB20" i="151"/>
  <c r="CY20" i="151"/>
  <c r="CV20" i="151"/>
  <c r="CS20" i="151"/>
  <c r="CP20" i="151"/>
  <c r="CM20" i="151"/>
  <c r="CJ20" i="151"/>
  <c r="CG20" i="151"/>
  <c r="CD20" i="151"/>
  <c r="CA20" i="151"/>
  <c r="BX20" i="151"/>
  <c r="BU20" i="151"/>
  <c r="BR20" i="151"/>
  <c r="BO20" i="151"/>
  <c r="BL20" i="151"/>
  <c r="BI20" i="151"/>
  <c r="BF20" i="151"/>
  <c r="BC20" i="151"/>
  <c r="BA20" i="151"/>
  <c r="AX20" i="151"/>
  <c r="EK20" i="151" s="1"/>
  <c r="AW20" i="151"/>
  <c r="AU20" i="151"/>
  <c r="AR20" i="151"/>
  <c r="AT20" i="151" s="1"/>
  <c r="AQ20" i="151"/>
  <c r="AN20" i="151"/>
  <c r="AI20" i="151"/>
  <c r="AK20" i="151" s="1"/>
  <c r="AB20" i="151"/>
  <c r="Y20" i="151"/>
  <c r="V20" i="151"/>
  <c r="S20" i="151"/>
  <c r="P20" i="151"/>
  <c r="M20" i="151"/>
  <c r="J20" i="151"/>
  <c r="G20" i="151"/>
  <c r="D20" i="151"/>
  <c r="EL19" i="151"/>
  <c r="EG19" i="151"/>
  <c r="EI19" i="151" s="1"/>
  <c r="EB19" i="151"/>
  <c r="DW19" i="151"/>
  <c r="DT19" i="151"/>
  <c r="DQ19" i="151"/>
  <c r="DN19" i="151"/>
  <c r="DK19" i="151"/>
  <c r="DH19" i="151"/>
  <c r="DE19" i="151"/>
  <c r="DB19" i="151"/>
  <c r="CY19" i="151"/>
  <c r="CV19" i="151"/>
  <c r="CS19" i="151"/>
  <c r="CP19" i="151"/>
  <c r="CM19" i="151"/>
  <c r="CJ19" i="151"/>
  <c r="CG19" i="151"/>
  <c r="CD19" i="151"/>
  <c r="CA19" i="151"/>
  <c r="BX19" i="151"/>
  <c r="BU19" i="151"/>
  <c r="BR19" i="151"/>
  <c r="BO19" i="151"/>
  <c r="BL19" i="151"/>
  <c r="BI19" i="151"/>
  <c r="BF19" i="151"/>
  <c r="BC19" i="151"/>
  <c r="AZ19" i="151"/>
  <c r="AX19" i="151"/>
  <c r="AW19" i="151"/>
  <c r="AU19" i="151"/>
  <c r="EK19" i="151" s="1"/>
  <c r="AT19" i="151"/>
  <c r="AR19" i="151"/>
  <c r="AQ19" i="151"/>
  <c r="AN19" i="151"/>
  <c r="AL19" i="151"/>
  <c r="AI19" i="151"/>
  <c r="AK19" i="151" s="1"/>
  <c r="AB19" i="151"/>
  <c r="Y19" i="151"/>
  <c r="V19" i="151"/>
  <c r="S19" i="151"/>
  <c r="P19" i="151"/>
  <c r="M19" i="151"/>
  <c r="J19" i="151"/>
  <c r="G19" i="151"/>
  <c r="D19" i="151"/>
  <c r="EL18" i="151"/>
  <c r="EI18" i="151"/>
  <c r="EG18" i="151"/>
  <c r="DW18" i="151"/>
  <c r="DT18" i="151"/>
  <c r="DQ18" i="151"/>
  <c r="DN18" i="151"/>
  <c r="DK18" i="151"/>
  <c r="DH18" i="151"/>
  <c r="DE18" i="151"/>
  <c r="DB18" i="151"/>
  <c r="CY18" i="151"/>
  <c r="CV18" i="151"/>
  <c r="CS18" i="151"/>
  <c r="CP18" i="151"/>
  <c r="CM18" i="151"/>
  <c r="CJ18" i="151"/>
  <c r="CG18" i="151"/>
  <c r="CD18" i="151"/>
  <c r="CA18" i="151"/>
  <c r="BX18" i="151"/>
  <c r="BU18" i="151"/>
  <c r="BR18" i="151"/>
  <c r="BO18" i="151"/>
  <c r="BL18" i="151"/>
  <c r="BI18" i="151"/>
  <c r="BF18" i="151"/>
  <c r="BC18" i="151"/>
  <c r="AZ18" i="151"/>
  <c r="AX18" i="151"/>
  <c r="AU18" i="151"/>
  <c r="AW18" i="151" s="1"/>
  <c r="AT18" i="151"/>
  <c r="AR18" i="151"/>
  <c r="AQ18" i="151"/>
  <c r="AL18" i="151"/>
  <c r="EB18" i="151" s="1"/>
  <c r="AK18" i="151"/>
  <c r="AI18" i="151"/>
  <c r="AB18" i="151"/>
  <c r="Y18" i="151"/>
  <c r="V18" i="151"/>
  <c r="S18" i="151"/>
  <c r="P18" i="151"/>
  <c r="M18" i="151"/>
  <c r="J18" i="151"/>
  <c r="G18" i="151"/>
  <c r="D18" i="151"/>
  <c r="EL17" i="151"/>
  <c r="EI17" i="151"/>
  <c r="EG17" i="151"/>
  <c r="DW17" i="151"/>
  <c r="DT17" i="151"/>
  <c r="DQ17" i="151"/>
  <c r="DN17" i="151"/>
  <c r="DK17" i="151"/>
  <c r="DH17" i="151"/>
  <c r="DE17" i="151"/>
  <c r="DB17" i="151"/>
  <c r="CY17" i="151"/>
  <c r="CV17" i="151"/>
  <c r="CS17" i="151"/>
  <c r="CP17" i="151"/>
  <c r="CM17" i="151"/>
  <c r="CJ17" i="151"/>
  <c r="CG17" i="151"/>
  <c r="CD17" i="151"/>
  <c r="CA17" i="151"/>
  <c r="BX17" i="151"/>
  <c r="BU17" i="151"/>
  <c r="BR17" i="151"/>
  <c r="BO17" i="151"/>
  <c r="BL17" i="151"/>
  <c r="BI17" i="151"/>
  <c r="BF17" i="151"/>
  <c r="BC17" i="151"/>
  <c r="AZ17" i="151"/>
  <c r="AW17" i="151"/>
  <c r="AU17" i="151"/>
  <c r="EK17" i="151" s="1"/>
  <c r="AR17" i="151"/>
  <c r="AQ17" i="151"/>
  <c r="AN17" i="151"/>
  <c r="AL17" i="151"/>
  <c r="AK17" i="151"/>
  <c r="AI17" i="151"/>
  <c r="AB17" i="151"/>
  <c r="Y17" i="151"/>
  <c r="V17" i="151"/>
  <c r="S17" i="151"/>
  <c r="P17" i="151"/>
  <c r="M17" i="151"/>
  <c r="J17" i="151"/>
  <c r="G17" i="151"/>
  <c r="D17" i="151"/>
  <c r="EL16" i="151"/>
  <c r="EG16" i="151"/>
  <c r="EI16" i="151" s="1"/>
  <c r="DW16" i="151"/>
  <c r="DT16" i="151"/>
  <c r="DQ16" i="151"/>
  <c r="DN16" i="151"/>
  <c r="DK16" i="151"/>
  <c r="DH16" i="151"/>
  <c r="DE16" i="151"/>
  <c r="DB16" i="151"/>
  <c r="CY16" i="151"/>
  <c r="CV16" i="151"/>
  <c r="CS16" i="151"/>
  <c r="CP16" i="151"/>
  <c r="CM16" i="151"/>
  <c r="CJ16" i="151"/>
  <c r="CG16" i="151"/>
  <c r="CD16" i="151"/>
  <c r="CA16" i="151"/>
  <c r="BX16" i="151"/>
  <c r="BU16" i="151"/>
  <c r="BR16" i="151"/>
  <c r="BO16" i="151"/>
  <c r="BL16" i="151"/>
  <c r="BI16" i="151"/>
  <c r="BF16" i="151"/>
  <c r="BC16" i="151"/>
  <c r="AZ16" i="151"/>
  <c r="AU16" i="151"/>
  <c r="AW16" i="151" s="1"/>
  <c r="AT16" i="151"/>
  <c r="AR16" i="151"/>
  <c r="AO16" i="151"/>
  <c r="AQ16" i="151" s="1"/>
  <c r="AN16" i="151"/>
  <c r="AL16" i="151"/>
  <c r="AI16" i="151"/>
  <c r="AK16" i="151" s="1"/>
  <c r="AB16" i="151"/>
  <c r="Y16" i="151"/>
  <c r="V16" i="151"/>
  <c r="S16" i="151"/>
  <c r="P16" i="151"/>
  <c r="M16" i="151"/>
  <c r="J16" i="151"/>
  <c r="G16" i="151"/>
  <c r="D16" i="15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A36" i="151" s="1"/>
  <c r="A37" i="151" s="1"/>
  <c r="A38" i="151" s="1"/>
  <c r="A39" i="151" s="1"/>
  <c r="A40" i="151" s="1"/>
  <c r="A41" i="151" s="1"/>
  <c r="EL15" i="151"/>
  <c r="EK15" i="151"/>
  <c r="EI15" i="151"/>
  <c r="EG15" i="151"/>
  <c r="DW15" i="151"/>
  <c r="DT15" i="151"/>
  <c r="DQ15" i="151"/>
  <c r="DN15" i="151"/>
  <c r="DK15" i="151"/>
  <c r="DH15" i="151"/>
  <c r="DE15" i="151"/>
  <c r="DB15" i="151"/>
  <c r="CY15" i="151"/>
  <c r="CV15" i="151"/>
  <c r="CS15" i="151"/>
  <c r="CP15" i="151"/>
  <c r="CM15" i="151"/>
  <c r="CJ15" i="151"/>
  <c r="CG15" i="151"/>
  <c r="CD15" i="151"/>
  <c r="CA15" i="151"/>
  <c r="BX15" i="151"/>
  <c r="BU15" i="151"/>
  <c r="BR15" i="151"/>
  <c r="BO15" i="151"/>
  <c r="BL15" i="151"/>
  <c r="BI15" i="151"/>
  <c r="BF15" i="151"/>
  <c r="BC15" i="151"/>
  <c r="AZ15" i="151"/>
  <c r="AW15" i="151"/>
  <c r="AT15" i="151"/>
  <c r="AQ15" i="151"/>
  <c r="AO15" i="151"/>
  <c r="AN15" i="151"/>
  <c r="AL15" i="151"/>
  <c r="EB15" i="151" s="1"/>
  <c r="EC15" i="151" s="1"/>
  <c r="AK15" i="151"/>
  <c r="AI15" i="151"/>
  <c r="AB15" i="151"/>
  <c r="Y15" i="151"/>
  <c r="V15" i="151"/>
  <c r="S15" i="151"/>
  <c r="P15" i="151"/>
  <c r="M15" i="151"/>
  <c r="J15" i="151"/>
  <c r="G15" i="151"/>
  <c r="D15" i="151"/>
  <c r="A15" i="151"/>
  <c r="EL14" i="151"/>
  <c r="EK14" i="151"/>
  <c r="EG14" i="151"/>
  <c r="EI14" i="151" s="1"/>
  <c r="DW14" i="151"/>
  <c r="DT14" i="151"/>
  <c r="EM14" i="151" s="1"/>
  <c r="DQ14" i="151"/>
  <c r="DN14" i="151"/>
  <c r="DK14" i="151"/>
  <c r="DH14" i="151"/>
  <c r="DE14" i="151"/>
  <c r="DB14" i="151"/>
  <c r="CY14" i="151"/>
  <c r="CV14" i="151"/>
  <c r="CS14" i="151"/>
  <c r="CP14" i="151"/>
  <c r="CM14" i="151"/>
  <c r="CJ14" i="151"/>
  <c r="CG14" i="151"/>
  <c r="CD14" i="151"/>
  <c r="CA14" i="151"/>
  <c r="BX14" i="151"/>
  <c r="BU14" i="151"/>
  <c r="BR14" i="151"/>
  <c r="BO14" i="151"/>
  <c r="BL14" i="151"/>
  <c r="BI14" i="151"/>
  <c r="BF14" i="151"/>
  <c r="BC14" i="151"/>
  <c r="AZ14" i="151"/>
  <c r="AW14" i="151"/>
  <c r="AT14" i="151"/>
  <c r="AQ14" i="151"/>
  <c r="AO14" i="151"/>
  <c r="AL14" i="151"/>
  <c r="AN14" i="151" s="1"/>
  <c r="AK14" i="151"/>
  <c r="AI14" i="151"/>
  <c r="AB14" i="151"/>
  <c r="Y14" i="151"/>
  <c r="V14" i="151"/>
  <c r="S14" i="151"/>
  <c r="P14" i="151"/>
  <c r="M14" i="151"/>
  <c r="J14" i="151"/>
  <c r="G14" i="151"/>
  <c r="D14" i="151"/>
  <c r="A14" i="151"/>
  <c r="EL13" i="151"/>
  <c r="EG13" i="151"/>
  <c r="EI13" i="151" s="1"/>
  <c r="DW13" i="151"/>
  <c r="DT13" i="151"/>
  <c r="DQ13" i="151"/>
  <c r="EM13" i="151" s="1"/>
  <c r="DN13" i="151"/>
  <c r="DK13" i="151"/>
  <c r="DH13" i="151"/>
  <c r="DE13" i="151"/>
  <c r="DB13" i="151"/>
  <c r="CY13" i="151"/>
  <c r="CV13" i="151"/>
  <c r="CS13" i="151"/>
  <c r="CS42" i="151" s="1"/>
  <c r="CP13" i="151"/>
  <c r="CM13" i="151"/>
  <c r="CJ13" i="151"/>
  <c r="CG13" i="151"/>
  <c r="CD13" i="151"/>
  <c r="CA13" i="151"/>
  <c r="BX13" i="151"/>
  <c r="BU13" i="151"/>
  <c r="BU42" i="151" s="1"/>
  <c r="BR13" i="151"/>
  <c r="BO13" i="151"/>
  <c r="BL13" i="151"/>
  <c r="BI13" i="151"/>
  <c r="BF13" i="151"/>
  <c r="BC13" i="151"/>
  <c r="AZ13" i="151"/>
  <c r="AW13" i="151"/>
  <c r="AT13" i="151"/>
  <c r="AQ13" i="151"/>
  <c r="AO13" i="151"/>
  <c r="AN13" i="151"/>
  <c r="AL13" i="151"/>
  <c r="EK13" i="151" s="1"/>
  <c r="AK13" i="151"/>
  <c r="AI13" i="151"/>
  <c r="AB13" i="151"/>
  <c r="Y13" i="151"/>
  <c r="V13" i="151"/>
  <c r="S13" i="151"/>
  <c r="P13" i="151"/>
  <c r="M13" i="151"/>
  <c r="J13" i="151"/>
  <c r="G13" i="151"/>
  <c r="D13" i="151"/>
  <c r="A13" i="151"/>
  <c r="EL12" i="151"/>
  <c r="EI12" i="151"/>
  <c r="EG12" i="151"/>
  <c r="DW12" i="151"/>
  <c r="DT12" i="151"/>
  <c r="DQ12" i="151"/>
  <c r="DQ42" i="151" s="1"/>
  <c r="DN12" i="151"/>
  <c r="DK12" i="151"/>
  <c r="DH12" i="151"/>
  <c r="DE12" i="151"/>
  <c r="DB12" i="151"/>
  <c r="CY12" i="151"/>
  <c r="CV12" i="151"/>
  <c r="CS12" i="151"/>
  <c r="CP12" i="151"/>
  <c r="CM12" i="151"/>
  <c r="CJ12" i="151"/>
  <c r="CG12" i="151"/>
  <c r="CD12" i="151"/>
  <c r="CA12" i="151"/>
  <c r="BX12" i="151"/>
  <c r="BU12" i="151"/>
  <c r="BR12" i="151"/>
  <c r="BO12" i="151"/>
  <c r="BL12" i="151"/>
  <c r="BI12" i="151"/>
  <c r="BF12" i="151"/>
  <c r="BC12" i="151"/>
  <c r="AZ12" i="151"/>
  <c r="AW12" i="151"/>
  <c r="AW42" i="151" s="1"/>
  <c r="AT12" i="151"/>
  <c r="AO12" i="151"/>
  <c r="AN12" i="151"/>
  <c r="AL12" i="151"/>
  <c r="AI12" i="151"/>
  <c r="AK12" i="151" s="1"/>
  <c r="AB12" i="151"/>
  <c r="Y12" i="151"/>
  <c r="Y42" i="151" s="1"/>
  <c r="V12" i="151"/>
  <c r="V42" i="151" s="1"/>
  <c r="S12" i="151"/>
  <c r="P12" i="151"/>
  <c r="M12" i="151"/>
  <c r="J12" i="151"/>
  <c r="J42" i="151" s="1"/>
  <c r="G12" i="151"/>
  <c r="D12" i="151"/>
  <c r="EI2" i="151"/>
  <c r="EH39" i="151" l="1"/>
  <c r="EH35" i="151"/>
  <c r="EH27" i="152"/>
  <c r="EH31" i="152"/>
  <c r="ED31" i="152"/>
  <c r="EH25" i="153"/>
  <c r="EH26" i="153"/>
  <c r="EH24" i="153"/>
  <c r="EH13" i="152"/>
  <c r="EH25" i="152"/>
  <c r="EH28" i="151"/>
  <c r="ED30" i="152"/>
  <c r="ED33" i="152"/>
  <c r="ED25" i="152"/>
  <c r="EH30" i="152"/>
  <c r="EH32" i="151"/>
  <c r="EH17" i="152"/>
  <c r="ED24" i="152"/>
  <c r="EH20" i="151"/>
  <c r="EH20" i="152"/>
  <c r="EH29" i="152"/>
  <c r="ED15" i="152"/>
  <c r="ED14" i="152"/>
  <c r="ED17" i="152"/>
  <c r="EH19" i="152"/>
  <c r="EH22" i="152"/>
  <c r="ED16" i="152"/>
  <c r="EH21" i="152"/>
  <c r="EH33" i="152"/>
  <c r="ED37" i="153"/>
  <c r="ED13" i="153"/>
  <c r="EH15" i="153"/>
  <c r="EH27" i="153"/>
  <c r="EH40" i="151"/>
  <c r="EH23" i="152"/>
  <c r="EH34" i="153"/>
  <c r="ED39" i="153"/>
  <c r="EH14" i="152"/>
  <c r="EH20" i="153"/>
  <c r="EH21" i="153"/>
  <c r="EH23" i="153"/>
  <c r="ED32" i="152"/>
  <c r="EH36" i="153"/>
  <c r="AH43" i="152"/>
  <c r="ED23" i="152"/>
  <c r="EH28" i="152"/>
  <c r="EH27" i="151"/>
  <c r="EH29" i="151"/>
  <c r="EH30" i="151"/>
  <c r="EH34" i="151"/>
  <c r="EH15" i="152"/>
  <c r="ED22" i="152"/>
  <c r="EH19" i="153"/>
  <c r="EH38" i="153"/>
  <c r="EH40" i="154"/>
  <c r="EH17" i="151"/>
  <c r="AE43" i="152"/>
  <c r="ED19" i="152"/>
  <c r="ED27" i="152"/>
  <c r="ED35" i="152"/>
  <c r="ED37" i="152"/>
  <c r="ED39" i="152"/>
  <c r="ED41" i="152"/>
  <c r="ED29" i="153"/>
  <c r="ED41" i="153"/>
  <c r="ED15" i="151"/>
  <c r="EE15" i="151" s="1"/>
  <c r="ED25" i="151"/>
  <c r="ED18" i="152"/>
  <c r="ED26" i="152"/>
  <c r="ED34" i="152"/>
  <c r="ED36" i="152"/>
  <c r="ED38" i="152"/>
  <c r="ED40" i="152"/>
  <c r="ED31" i="153"/>
  <c r="AH42" i="151"/>
  <c r="ED37" i="151"/>
  <c r="EE37" i="151" s="1"/>
  <c r="ED38" i="151"/>
  <c r="ED13" i="152"/>
  <c r="EH16" i="152"/>
  <c r="ED21" i="152"/>
  <c r="EH24" i="152"/>
  <c r="ED29" i="152"/>
  <c r="EH32" i="152"/>
  <c r="ED27" i="151"/>
  <c r="EE27" i="151" s="1"/>
  <c r="EH41" i="151"/>
  <c r="ED20" i="152"/>
  <c r="ED28" i="152"/>
  <c r="EH17" i="153"/>
  <c r="EH18" i="153"/>
  <c r="ED33" i="153"/>
  <c r="EE33" i="153" s="1"/>
  <c r="EH40" i="153"/>
  <c r="ED26" i="151"/>
  <c r="EH42" i="152"/>
  <c r="ED22" i="153"/>
  <c r="EE22" i="153" s="1"/>
  <c r="EH13" i="151"/>
  <c r="EH14" i="151"/>
  <c r="EH18" i="151"/>
  <c r="EH21" i="151"/>
  <c r="EH22" i="151"/>
  <c r="EH18" i="152"/>
  <c r="EH26" i="152"/>
  <c r="EH34" i="152"/>
  <c r="EH36" i="152"/>
  <c r="EH38" i="152"/>
  <c r="EH40" i="152"/>
  <c r="EH16" i="153"/>
  <c r="ED20" i="153"/>
  <c r="EE20" i="153" s="1"/>
  <c r="ED26" i="153"/>
  <c r="EE26" i="153" s="1"/>
  <c r="EH28" i="153"/>
  <c r="EH30" i="153"/>
  <c r="ED35" i="153"/>
  <c r="EE35" i="153" s="1"/>
  <c r="EH42" i="153"/>
  <c r="EH23" i="151"/>
  <c r="EH24" i="151"/>
  <c r="EH33" i="151"/>
  <c r="EH36" i="151"/>
  <c r="EH37" i="151"/>
  <c r="EH35" i="152"/>
  <c r="EH37" i="152"/>
  <c r="EH39" i="152"/>
  <c r="EH41" i="152"/>
  <c r="ED14" i="153"/>
  <c r="EE14" i="153" s="1"/>
  <c r="EH38" i="151"/>
  <c r="EH32" i="153"/>
  <c r="G6" i="154"/>
  <c r="EN12" i="154"/>
  <c r="EN6" i="154"/>
  <c r="EN4" i="154"/>
  <c r="EN5" i="154" s="1"/>
  <c r="EE18" i="154"/>
  <c r="EC18" i="154"/>
  <c r="EN38" i="154"/>
  <c r="ED33" i="154"/>
  <c r="EE33" i="154" s="1"/>
  <c r="ED23" i="154"/>
  <c r="EE23" i="154" s="1"/>
  <c r="EE20" i="154"/>
  <c r="EC20" i="154"/>
  <c r="EE17" i="154"/>
  <c r="EC17" i="154"/>
  <c r="ED12" i="154"/>
  <c r="ED14" i="154"/>
  <c r="EE14" i="154" s="1"/>
  <c r="ED13" i="154"/>
  <c r="EE13" i="154" s="1"/>
  <c r="AT40" i="154"/>
  <c r="EE35" i="154"/>
  <c r="EC35" i="154"/>
  <c r="ED31" i="154"/>
  <c r="EE31" i="154" s="1"/>
  <c r="EE25" i="154"/>
  <c r="EC25" i="154"/>
  <c r="EC33" i="154"/>
  <c r="EC29" i="154"/>
  <c r="EE29" i="154"/>
  <c r="EE27" i="154"/>
  <c r="EC27" i="154"/>
  <c r="EM14" i="154"/>
  <c r="EN14" i="154" s="1"/>
  <c r="EM12" i="154"/>
  <c r="EM40" i="154" s="1"/>
  <c r="EN24" i="154"/>
  <c r="EC21" i="154"/>
  <c r="EE21" i="154"/>
  <c r="AZ40" i="154"/>
  <c r="EC15" i="154"/>
  <c r="EE15" i="154"/>
  <c r="EN37" i="154"/>
  <c r="EE19" i="154"/>
  <c r="EC19" i="154"/>
  <c r="EN17" i="154"/>
  <c r="EE6" i="154"/>
  <c r="G8" i="154" s="1"/>
  <c r="EN31" i="154"/>
  <c r="EC14" i="154"/>
  <c r="EE16" i="154"/>
  <c r="EC16" i="154"/>
  <c r="ED24" i="154"/>
  <c r="EE24" i="154" s="1"/>
  <c r="ED12" i="153"/>
  <c r="EC18" i="153"/>
  <c r="ED17" i="153"/>
  <c r="EC20" i="153"/>
  <c r="ED21" i="153"/>
  <c r="EB16" i="153"/>
  <c r="AN16" i="153"/>
  <c r="AN43" i="153" s="1"/>
  <c r="EK16" i="153"/>
  <c r="S43" i="153"/>
  <c r="AE43" i="153"/>
  <c r="DT43" i="153"/>
  <c r="EM12" i="153"/>
  <c r="EE13" i="153"/>
  <c r="EC19" i="153"/>
  <c r="J43" i="153"/>
  <c r="V43" i="153"/>
  <c r="AH43" i="153"/>
  <c r="EH13" i="153"/>
  <c r="EM13" i="153"/>
  <c r="EH14" i="153"/>
  <c r="EM14" i="153"/>
  <c r="EM17" i="153"/>
  <c r="EN17" i="153" s="1"/>
  <c r="EN29" i="153"/>
  <c r="EN22" i="153"/>
  <c r="EM33" i="153"/>
  <c r="EN33" i="153" s="1"/>
  <c r="EN36" i="153"/>
  <c r="AW43" i="153"/>
  <c r="BI43" i="153"/>
  <c r="BU43" i="153"/>
  <c r="CG43" i="153"/>
  <c r="CS43" i="153"/>
  <c r="DE43" i="153"/>
  <c r="DQ43" i="153"/>
  <c r="EH12" i="153"/>
  <c r="EN20" i="153"/>
  <c r="EB21" i="153"/>
  <c r="EM22" i="153"/>
  <c r="EB23" i="153"/>
  <c r="ED24" i="153"/>
  <c r="EE24" i="153" s="1"/>
  <c r="EM25" i="153"/>
  <c r="EM28" i="153"/>
  <c r="EN28" i="153" s="1"/>
  <c r="EC29" i="153"/>
  <c r="EE29" i="153"/>
  <c r="ED30" i="153"/>
  <c r="EE30" i="153" s="1"/>
  <c r="EM30" i="153"/>
  <c r="EN30" i="153" s="1"/>
  <c r="EC31" i="153"/>
  <c r="EE31" i="153"/>
  <c r="ED32" i="153"/>
  <c r="EE32" i="153" s="1"/>
  <c r="EM32" i="153"/>
  <c r="EC33" i="153"/>
  <c r="ED34" i="153"/>
  <c r="EE34" i="153" s="1"/>
  <c r="EM34" i="153"/>
  <c r="EN34" i="153" s="1"/>
  <c r="EC35" i="153"/>
  <c r="ED36" i="153"/>
  <c r="EE36" i="153" s="1"/>
  <c r="EM36" i="153"/>
  <c r="EC37" i="153"/>
  <c r="EE37" i="153"/>
  <c r="ED38" i="153"/>
  <c r="EE38" i="153" s="1"/>
  <c r="EM38" i="153"/>
  <c r="EN38" i="153" s="1"/>
  <c r="ED40" i="153"/>
  <c r="EE40" i="153" s="1"/>
  <c r="EM40" i="153"/>
  <c r="EN40" i="153" s="1"/>
  <c r="ED42" i="153"/>
  <c r="EE42" i="153" s="1"/>
  <c r="EM42" i="153"/>
  <c r="EN25" i="153"/>
  <c r="EN32" i="153"/>
  <c r="EM35" i="153"/>
  <c r="EN35" i="153" s="1"/>
  <c r="EN42" i="153"/>
  <c r="M43" i="153"/>
  <c r="Y43" i="153"/>
  <c r="EK12" i="153"/>
  <c r="EC12" i="153" s="1"/>
  <c r="EK13" i="153"/>
  <c r="EK14" i="153"/>
  <c r="EN14" i="153" s="1"/>
  <c r="EB17" i="153"/>
  <c r="AQ18" i="153"/>
  <c r="ED18" i="153" s="1"/>
  <c r="EE18" i="153" s="1"/>
  <c r="EK19" i="153"/>
  <c r="EM21" i="153"/>
  <c r="EN21" i="153" s="1"/>
  <c r="EC22" i="153"/>
  <c r="EK23" i="153"/>
  <c r="AQ23" i="153"/>
  <c r="ED23" i="153" s="1"/>
  <c r="EM26" i="153"/>
  <c r="ED28" i="153"/>
  <c r="EE28" i="153" s="1"/>
  <c r="EC28" i="153"/>
  <c r="EC30" i="153"/>
  <c r="EC32" i="153"/>
  <c r="EC34" i="153"/>
  <c r="EC36" i="153"/>
  <c r="EH37" i="153"/>
  <c r="EC38" i="153"/>
  <c r="EH39" i="153"/>
  <c r="EC39" i="153"/>
  <c r="EE39" i="153"/>
  <c r="EC40" i="153"/>
  <c r="EH41" i="153"/>
  <c r="EC41" i="153"/>
  <c r="EE41" i="153"/>
  <c r="EC42" i="153"/>
  <c r="EM23" i="153"/>
  <c r="EM29" i="153"/>
  <c r="EM31" i="153"/>
  <c r="EN31" i="153" s="1"/>
  <c r="EM37" i="153"/>
  <c r="EN37" i="153" s="1"/>
  <c r="EM39" i="153"/>
  <c r="EN39" i="153" s="1"/>
  <c r="EM41" i="153"/>
  <c r="EN41" i="153" s="1"/>
  <c r="EN2" i="153"/>
  <c r="EP2" i="153" s="1"/>
  <c r="EI4" i="153"/>
  <c r="EI5" i="153" s="1"/>
  <c r="EI6" i="153"/>
  <c r="D43" i="153"/>
  <c r="P43" i="153"/>
  <c r="AB43" i="153"/>
  <c r="AT43" i="153"/>
  <c r="BF43" i="153"/>
  <c r="BR43" i="153"/>
  <c r="CD43" i="153"/>
  <c r="CP43" i="153"/>
  <c r="DB43" i="153"/>
  <c r="DN43" i="153"/>
  <c r="AQ15" i="153"/>
  <c r="EM15" i="153" s="1"/>
  <c r="EN15" i="153" s="1"/>
  <c r="AQ19" i="153"/>
  <c r="ED19" i="153" s="1"/>
  <c r="EE19" i="153" s="1"/>
  <c r="EH22" i="153"/>
  <c r="EB25" i="153"/>
  <c r="AN25" i="153"/>
  <c r="ED25" i="153" s="1"/>
  <c r="EK26" i="153"/>
  <c r="EN26" i="153" s="1"/>
  <c r="EB27" i="153"/>
  <c r="AQ27" i="153"/>
  <c r="EM27" i="153" s="1"/>
  <c r="EN27" i="153" s="1"/>
  <c r="EH29" i="153"/>
  <c r="EH31" i="153"/>
  <c r="EH33" i="153"/>
  <c r="EH35" i="153"/>
  <c r="EK24" i="153"/>
  <c r="EN24" i="153" s="1"/>
  <c r="EN6" i="152"/>
  <c r="EM12" i="152"/>
  <c r="EM14" i="152"/>
  <c r="EM16" i="152"/>
  <c r="EM18" i="152"/>
  <c r="EM20" i="152"/>
  <c r="EM22" i="152"/>
  <c r="EM35" i="152"/>
  <c r="EN2" i="152"/>
  <c r="EP2" i="152" s="1"/>
  <c r="EH12" i="152"/>
  <c r="S43" i="152"/>
  <c r="EI6" i="152"/>
  <c r="ED12" i="152"/>
  <c r="EB42" i="152"/>
  <c r="AN42" i="152"/>
  <c r="EM42" i="152" s="1"/>
  <c r="EN42" i="152" s="1"/>
  <c r="DQ43" i="152"/>
  <c r="EE4" i="152"/>
  <c r="EE6" i="152"/>
  <c r="G8" i="152" s="1"/>
  <c r="EM17" i="151"/>
  <c r="EN17" i="151" s="1"/>
  <c r="ED22" i="151"/>
  <c r="EH12" i="151"/>
  <c r="EK24" i="151"/>
  <c r="BC24" i="151"/>
  <c r="EM24" i="151" s="1"/>
  <c r="EK41" i="151"/>
  <c r="BC41" i="151"/>
  <c r="ED41" i="151" s="1"/>
  <c r="M42" i="151"/>
  <c r="CP42" i="151"/>
  <c r="EN14" i="151"/>
  <c r="EB20" i="151"/>
  <c r="BL42" i="151"/>
  <c r="BX42" i="151"/>
  <c r="CJ42" i="151"/>
  <c r="CV42" i="151"/>
  <c r="DH42" i="151"/>
  <c r="DT42" i="151"/>
  <c r="EI6" i="151"/>
  <c r="EN13" i="151"/>
  <c r="BF42" i="151"/>
  <c r="CD42" i="151"/>
  <c r="DB42" i="151"/>
  <c r="EB13" i="151"/>
  <c r="EM15" i="151"/>
  <c r="EN15" i="151" s="1"/>
  <c r="EM16" i="151"/>
  <c r="AT17" i="151"/>
  <c r="ED17" i="151" s="1"/>
  <c r="EB17" i="151"/>
  <c r="ED19" i="151"/>
  <c r="EE19" i="151" s="1"/>
  <c r="EH19" i="151"/>
  <c r="EK21" i="151"/>
  <c r="BC21" i="151"/>
  <c r="EM21" i="151" s="1"/>
  <c r="EB22" i="151"/>
  <c r="EK22" i="151"/>
  <c r="EB23" i="151"/>
  <c r="EB24" i="151"/>
  <c r="EK26" i="151"/>
  <c r="EN26" i="151" s="1"/>
  <c r="AN29" i="151"/>
  <c r="ED29" i="151" s="1"/>
  <c r="EB29" i="151"/>
  <c r="EB30" i="151"/>
  <c r="EK30" i="151"/>
  <c r="AN30" i="151"/>
  <c r="EM32" i="151"/>
  <c r="EE38" i="151"/>
  <c r="ED40" i="151"/>
  <c r="EK40" i="151"/>
  <c r="EK12" i="151"/>
  <c r="AQ12" i="151"/>
  <c r="AQ42" i="151" s="1"/>
  <c r="EK16" i="151"/>
  <c r="EC19" i="151"/>
  <c r="EN27" i="151"/>
  <c r="ED30" i="151"/>
  <c r="BR42" i="151"/>
  <c r="DN42" i="151"/>
  <c r="EB16" i="151"/>
  <c r="EM22" i="151"/>
  <c r="EK23" i="151"/>
  <c r="EN23" i="151" s="1"/>
  <c r="EK34" i="151"/>
  <c r="BC34" i="151"/>
  <c r="EM34" i="151" s="1"/>
  <c r="EM40" i="151"/>
  <c r="EB12" i="151"/>
  <c r="BI42" i="151"/>
  <c r="CG42" i="151"/>
  <c r="DE42" i="151"/>
  <c r="ED12" i="151"/>
  <c r="ED13" i="151"/>
  <c r="ED14" i="151"/>
  <c r="EB14" i="151"/>
  <c r="EH15" i="151"/>
  <c r="ED16" i="151"/>
  <c r="EH16" i="151"/>
  <c r="AN18" i="151"/>
  <c r="ED18" i="151" s="1"/>
  <c r="EE18" i="151" s="1"/>
  <c r="EK18" i="151"/>
  <c r="EM19" i="151"/>
  <c r="EN19" i="151" s="1"/>
  <c r="AZ20" i="151"/>
  <c r="EM20" i="151" s="1"/>
  <c r="EN20" i="151" s="1"/>
  <c r="EB21" i="151"/>
  <c r="AK31" i="151"/>
  <c r="AK42" i="151" s="1"/>
  <c r="EB31" i="151"/>
  <c r="EB34" i="151"/>
  <c r="AN34" i="151"/>
  <c r="EM39" i="151"/>
  <c r="EB26" i="151"/>
  <c r="EB28" i="151"/>
  <c r="EB32" i="151"/>
  <c r="EK35" i="151"/>
  <c r="EC35" i="151" s="1"/>
  <c r="BC35" i="151"/>
  <c r="EM35" i="151" s="1"/>
  <c r="G42" i="151"/>
  <c r="S42" i="151"/>
  <c r="AE42" i="151"/>
  <c r="EH25" i="151"/>
  <c r="EM25" i="151"/>
  <c r="EN25" i="151" s="1"/>
  <c r="EM27" i="151"/>
  <c r="ED28" i="151"/>
  <c r="EK28" i="151"/>
  <c r="EN28" i="151" s="1"/>
  <c r="EK29" i="151"/>
  <c r="BC29" i="151"/>
  <c r="EM29" i="151" s="1"/>
  <c r="EM30" i="151"/>
  <c r="ED32" i="151"/>
  <c r="EK32" i="151"/>
  <c r="EN32" i="151" s="1"/>
  <c r="EB33" i="151"/>
  <c r="EK33" i="151"/>
  <c r="BC33" i="151"/>
  <c r="EM33" i="151" s="1"/>
  <c r="EC37" i="151"/>
  <c r="EK38" i="151"/>
  <c r="EN38" i="151" s="1"/>
  <c r="EB41" i="151"/>
  <c r="EC27" i="151"/>
  <c r="ED31" i="151"/>
  <c r="EK39" i="151"/>
  <c r="EB40" i="151"/>
  <c r="EI4" i="151"/>
  <c r="EI5" i="151" s="1"/>
  <c r="D42" i="151"/>
  <c r="P42" i="151"/>
  <c r="AB42" i="151"/>
  <c r="BO42" i="151"/>
  <c r="CA42" i="151"/>
  <c r="CM42" i="151"/>
  <c r="CY42" i="151"/>
  <c r="DK42" i="151"/>
  <c r="DW42" i="151"/>
  <c r="ED23" i="151"/>
  <c r="EB25" i="151"/>
  <c r="EH26" i="151"/>
  <c r="EM26" i="151"/>
  <c r="EH31" i="151"/>
  <c r="AN35" i="151"/>
  <c r="ED35" i="151" s="1"/>
  <c r="EE35" i="151" s="1"/>
  <c r="EB36" i="151"/>
  <c r="EK36" i="151"/>
  <c r="BC36" i="151"/>
  <c r="ED36" i="151" s="1"/>
  <c r="EM37" i="151"/>
  <c r="EN37" i="151" s="1"/>
  <c r="EM38" i="151"/>
  <c r="ED39" i="151"/>
  <c r="EB39" i="151"/>
  <c r="BC39" i="151"/>
  <c r="BC40" i="151"/>
  <c r="EH43" i="152" l="1"/>
  <c r="ED40" i="154"/>
  <c r="EE12" i="154"/>
  <c r="EE5" i="154"/>
  <c r="G7" i="154" s="1"/>
  <c r="EC26" i="153"/>
  <c r="EC17" i="153"/>
  <c r="EE17" i="153"/>
  <c r="ED16" i="153"/>
  <c r="EE16" i="153" s="1"/>
  <c r="EC14" i="153"/>
  <c r="EC16" i="153"/>
  <c r="EE4" i="153"/>
  <c r="EN6" i="153"/>
  <c r="EN4" i="153"/>
  <c r="EN12" i="153"/>
  <c r="EC21" i="153"/>
  <c r="EE21" i="153"/>
  <c r="EC25" i="153"/>
  <c r="EE25" i="153"/>
  <c r="EC24" i="153"/>
  <c r="EC23" i="153"/>
  <c r="EE23" i="153"/>
  <c r="EH43" i="153"/>
  <c r="EM19" i="153"/>
  <c r="AQ43" i="153"/>
  <c r="EM16" i="153"/>
  <c r="EN16" i="153" s="1"/>
  <c r="EM18" i="153"/>
  <c r="EN18" i="153" s="1"/>
  <c r="EE6" i="153"/>
  <c r="G8" i="153" s="1"/>
  <c r="EC27" i="153"/>
  <c r="EN23" i="153"/>
  <c r="EN19" i="153"/>
  <c r="EN13" i="153"/>
  <c r="ED27" i="153"/>
  <c r="EE27" i="153" s="1"/>
  <c r="ED15" i="153"/>
  <c r="EE15" i="153" s="1"/>
  <c r="EC13" i="153"/>
  <c r="EE12" i="153"/>
  <c r="ED42" i="152"/>
  <c r="EE42" i="152" s="1"/>
  <c r="EE2" i="152"/>
  <c r="EQ2" i="152" s="1"/>
  <c r="G5" i="152" s="1"/>
  <c r="EC42" i="152"/>
  <c r="AN43" i="152"/>
  <c r="EM43" i="152"/>
  <c r="EN5" i="152"/>
  <c r="G6" i="152"/>
  <c r="EC33" i="151"/>
  <c r="EC31" i="151"/>
  <c r="EE31" i="151"/>
  <c r="EE12" i="151"/>
  <c r="EE6" i="151"/>
  <c r="G8" i="151" s="1"/>
  <c r="EE4" i="151"/>
  <c r="EC12" i="151"/>
  <c r="EN6" i="151"/>
  <c r="EN4" i="151"/>
  <c r="EN12" i="151"/>
  <c r="EC30" i="151"/>
  <c r="EE30" i="151"/>
  <c r="EC22" i="151"/>
  <c r="EE22" i="151"/>
  <c r="AN42" i="151"/>
  <c r="EH42" i="151"/>
  <c r="EN36" i="151"/>
  <c r="EE32" i="151"/>
  <c r="EC32" i="151"/>
  <c r="ED20" i="151"/>
  <c r="EE20" i="151" s="1"/>
  <c r="EC24" i="151"/>
  <c r="EC20" i="151"/>
  <c r="EN2" i="151"/>
  <c r="EP2" i="151" s="1"/>
  <c r="EN41" i="151"/>
  <c r="EN39" i="151"/>
  <c r="EE41" i="151"/>
  <c r="EC41" i="151"/>
  <c r="EE2" i="151"/>
  <c r="EQ2" i="151" s="1"/>
  <c r="G5" i="151" s="1"/>
  <c r="EN33" i="151"/>
  <c r="EM31" i="151"/>
  <c r="EN31" i="151" s="1"/>
  <c r="EC26" i="151"/>
  <c r="EE26" i="151"/>
  <c r="ED33" i="151"/>
  <c r="EE33" i="151" s="1"/>
  <c r="EC21" i="151"/>
  <c r="EN40" i="151"/>
  <c r="EM36" i="151"/>
  <c r="EN30" i="151"/>
  <c r="EN22" i="151"/>
  <c r="EM12" i="151"/>
  <c r="AZ42" i="151"/>
  <c r="EC18" i="151"/>
  <c r="EM18" i="151"/>
  <c r="EN18" i="151" s="1"/>
  <c r="ED21" i="151"/>
  <c r="EE21" i="151" s="1"/>
  <c r="EE39" i="151"/>
  <c r="EC39" i="151"/>
  <c r="EN35" i="151"/>
  <c r="ED34" i="151"/>
  <c r="EE34" i="151" s="1"/>
  <c r="EC25" i="151"/>
  <c r="EE25" i="151"/>
  <c r="BC42" i="151"/>
  <c r="EC14" i="151"/>
  <c r="EE14" i="151"/>
  <c r="EN34" i="151"/>
  <c r="EM41" i="151"/>
  <c r="EE29" i="151"/>
  <c r="EC29" i="151"/>
  <c r="EN24" i="151"/>
  <c r="EE36" i="151"/>
  <c r="EC36" i="151"/>
  <c r="EE40" i="151"/>
  <c r="EC40" i="151"/>
  <c r="EN29" i="151"/>
  <c r="EE28" i="151"/>
  <c r="EC28" i="151"/>
  <c r="EC34" i="151"/>
  <c r="EC16" i="151"/>
  <c r="EE16" i="151"/>
  <c r="EN16" i="151"/>
  <c r="EC38" i="151"/>
  <c r="EC23" i="151"/>
  <c r="EE23" i="151"/>
  <c r="EN21" i="151"/>
  <c r="EE17" i="151"/>
  <c r="EC17" i="151"/>
  <c r="EE13" i="151"/>
  <c r="EC13" i="151"/>
  <c r="AT42" i="151"/>
  <c r="ED24" i="151"/>
  <c r="EE24" i="151" s="1"/>
  <c r="EE5" i="152" l="1"/>
  <c r="G7" i="152" s="1"/>
  <c r="ED43" i="152"/>
  <c r="ED42" i="151"/>
  <c r="EN5" i="153"/>
  <c r="ED43" i="153"/>
  <c r="EM43" i="153"/>
  <c r="EE5" i="153"/>
  <c r="G7" i="153" s="1"/>
  <c r="G6" i="153"/>
  <c r="EM42" i="151"/>
  <c r="G6" i="151"/>
  <c r="EE5" i="151"/>
  <c r="G7" i="151" s="1"/>
  <c r="EN5" i="151"/>
  <c r="F7" i="129" l="1"/>
  <c r="E7" i="129"/>
  <c r="D7" i="129"/>
  <c r="C7" i="129"/>
  <c r="EL42" i="150" l="1"/>
  <c r="EG42" i="150"/>
  <c r="EI42" i="150" s="1"/>
  <c r="DW42" i="150"/>
  <c r="DT42" i="150"/>
  <c r="DQ42" i="150"/>
  <c r="DN42" i="150"/>
  <c r="DK42" i="150"/>
  <c r="DH42" i="150"/>
  <c r="DE42" i="150"/>
  <c r="DB42" i="150"/>
  <c r="CY42" i="150"/>
  <c r="CV42" i="150"/>
  <c r="CS42" i="150"/>
  <c r="CP42" i="150"/>
  <c r="CM42" i="150"/>
  <c r="CJ42" i="150"/>
  <c r="CG42" i="150"/>
  <c r="CD42" i="150"/>
  <c r="CA42" i="150"/>
  <c r="BX42" i="150"/>
  <c r="BU42" i="150"/>
  <c r="BR42" i="150"/>
  <c r="BO42" i="150"/>
  <c r="BL42" i="150"/>
  <c r="BI42" i="150"/>
  <c r="BF42" i="150"/>
  <c r="BC42" i="150"/>
  <c r="AX42" i="150"/>
  <c r="AW42" i="150"/>
  <c r="AU42" i="150"/>
  <c r="EB42" i="150" s="1"/>
  <c r="AT42" i="150"/>
  <c r="AQ42" i="150"/>
  <c r="AN42" i="150"/>
  <c r="AK42" i="150"/>
  <c r="AI42" i="150"/>
  <c r="AB42" i="150"/>
  <c r="Y42" i="150"/>
  <c r="V42" i="150"/>
  <c r="S42" i="150"/>
  <c r="P42" i="150"/>
  <c r="M42" i="150"/>
  <c r="J42" i="150"/>
  <c r="G42" i="150"/>
  <c r="D42" i="150"/>
  <c r="EL41" i="150"/>
  <c r="EI41" i="150"/>
  <c r="EG41" i="150"/>
  <c r="DW41" i="150"/>
  <c r="DT41" i="150"/>
  <c r="DQ41" i="150"/>
  <c r="DN41" i="150"/>
  <c r="DK41" i="150"/>
  <c r="DH41" i="150"/>
  <c r="DE41" i="150"/>
  <c r="DB41" i="150"/>
  <c r="CY41" i="150"/>
  <c r="CV41" i="150"/>
  <c r="CS41" i="150"/>
  <c r="CP41" i="150"/>
  <c r="CM41" i="150"/>
  <c r="CJ41" i="150"/>
  <c r="CG41" i="150"/>
  <c r="CD41" i="150"/>
  <c r="CA41" i="150"/>
  <c r="BX41" i="150"/>
  <c r="BU41" i="150"/>
  <c r="BR41" i="150"/>
  <c r="BO41" i="150"/>
  <c r="BL41" i="150"/>
  <c r="BI41" i="150"/>
  <c r="BF41" i="150"/>
  <c r="BC41" i="150"/>
  <c r="AZ41" i="150"/>
  <c r="AX41" i="150"/>
  <c r="EK41" i="150" s="1"/>
  <c r="AW41" i="150"/>
  <c r="AU41" i="150"/>
  <c r="AT41" i="150"/>
  <c r="AQ41" i="150"/>
  <c r="AN41" i="150"/>
  <c r="AI41" i="150"/>
  <c r="AK41" i="150" s="1"/>
  <c r="AB41" i="150"/>
  <c r="Y41" i="150"/>
  <c r="V41" i="150"/>
  <c r="S41" i="150"/>
  <c r="P41" i="150"/>
  <c r="M41" i="150"/>
  <c r="J41" i="150"/>
  <c r="G41" i="150"/>
  <c r="D41" i="150"/>
  <c r="EL40" i="150"/>
  <c r="EI40" i="150"/>
  <c r="EG40" i="150"/>
  <c r="DW40" i="150"/>
  <c r="DT40" i="150"/>
  <c r="DQ40" i="150"/>
  <c r="DN40" i="150"/>
  <c r="DK40" i="150"/>
  <c r="DH40" i="150"/>
  <c r="DE40" i="150"/>
  <c r="DB40" i="150"/>
  <c r="CY40" i="150"/>
  <c r="CV40" i="150"/>
  <c r="CS40" i="150"/>
  <c r="CP40" i="150"/>
  <c r="CM40" i="150"/>
  <c r="CJ40" i="150"/>
  <c r="CG40" i="150"/>
  <c r="CD40" i="150"/>
  <c r="CA40" i="150"/>
  <c r="BX40" i="150"/>
  <c r="BU40" i="150"/>
  <c r="BR40" i="150"/>
  <c r="BO40" i="150"/>
  <c r="BL40" i="150"/>
  <c r="BI40" i="150"/>
  <c r="BF40" i="150"/>
  <c r="BC40" i="150"/>
  <c r="AZ40" i="150"/>
  <c r="AX40" i="150"/>
  <c r="AU40" i="150"/>
  <c r="EK40" i="150" s="1"/>
  <c r="AT40" i="150"/>
  <c r="AQ40" i="150"/>
  <c r="AN40" i="150"/>
  <c r="AK40" i="150"/>
  <c r="AI40" i="150"/>
  <c r="AB40" i="150"/>
  <c r="Y40" i="150"/>
  <c r="V40" i="150"/>
  <c r="S40" i="150"/>
  <c r="P40" i="150"/>
  <c r="M40" i="150"/>
  <c r="J40" i="150"/>
  <c r="G40" i="150"/>
  <c r="D40" i="150"/>
  <c r="EL39" i="150"/>
  <c r="EG39" i="150"/>
  <c r="EI39" i="150" s="1"/>
  <c r="EB39" i="150"/>
  <c r="DW39" i="150"/>
  <c r="DT39" i="150"/>
  <c r="DQ39" i="150"/>
  <c r="DN39" i="150"/>
  <c r="DK39" i="150"/>
  <c r="DH39" i="150"/>
  <c r="DE39" i="150"/>
  <c r="DB39" i="150"/>
  <c r="CY39" i="150"/>
  <c r="CV39" i="150"/>
  <c r="CS39" i="150"/>
  <c r="CP39" i="150"/>
  <c r="CM39" i="150"/>
  <c r="CJ39" i="150"/>
  <c r="CG39" i="150"/>
  <c r="CD39" i="150"/>
  <c r="CA39" i="150"/>
  <c r="BX39" i="150"/>
  <c r="BU39" i="150"/>
  <c r="BR39" i="150"/>
  <c r="BO39" i="150"/>
  <c r="BL39" i="150"/>
  <c r="BI39" i="150"/>
  <c r="BF39" i="150"/>
  <c r="BC39" i="150"/>
  <c r="AX39" i="150"/>
  <c r="AZ39" i="150" s="1"/>
  <c r="AW39" i="150"/>
  <c r="AU39" i="150"/>
  <c r="AT39" i="150"/>
  <c r="AQ39" i="150"/>
  <c r="AN39" i="150"/>
  <c r="AK39" i="150"/>
  <c r="AI39" i="150"/>
  <c r="AB39" i="150"/>
  <c r="Y39" i="150"/>
  <c r="V39" i="150"/>
  <c r="S39" i="150"/>
  <c r="P39" i="150"/>
  <c r="M39" i="150"/>
  <c r="J39" i="150"/>
  <c r="G39" i="150"/>
  <c r="D39" i="150"/>
  <c r="EL38" i="150"/>
  <c r="EG38" i="150"/>
  <c r="EI38" i="150" s="1"/>
  <c r="DW38" i="150"/>
  <c r="DT38" i="150"/>
  <c r="DQ38" i="150"/>
  <c r="DN38" i="150"/>
  <c r="DK38" i="150"/>
  <c r="DH38" i="150"/>
  <c r="DE38" i="150"/>
  <c r="DB38" i="150"/>
  <c r="CY38" i="150"/>
  <c r="CV38" i="150"/>
  <c r="CS38" i="150"/>
  <c r="CP38" i="150"/>
  <c r="CM38" i="150"/>
  <c r="CJ38" i="150"/>
  <c r="CG38" i="150"/>
  <c r="CD38" i="150"/>
  <c r="CA38" i="150"/>
  <c r="BX38" i="150"/>
  <c r="BU38" i="150"/>
  <c r="BR38" i="150"/>
  <c r="BO38" i="150"/>
  <c r="BL38" i="150"/>
  <c r="BI38" i="150"/>
  <c r="BF38" i="150"/>
  <c r="BC38" i="150"/>
  <c r="AX38" i="150"/>
  <c r="AW38" i="150"/>
  <c r="AU38" i="150"/>
  <c r="EB38" i="150" s="1"/>
  <c r="AT38" i="150"/>
  <c r="AQ38" i="150"/>
  <c r="AN38" i="150"/>
  <c r="AK38" i="150"/>
  <c r="AI38" i="150"/>
  <c r="AB38" i="150"/>
  <c r="Y38" i="150"/>
  <c r="V38" i="150"/>
  <c r="S38" i="150"/>
  <c r="P38" i="150"/>
  <c r="M38" i="150"/>
  <c r="J38" i="150"/>
  <c r="G38" i="150"/>
  <c r="D38" i="150"/>
  <c r="EL37" i="150"/>
  <c r="EI37" i="150"/>
  <c r="EG37" i="150"/>
  <c r="DW37" i="150"/>
  <c r="DT37" i="150"/>
  <c r="DQ37" i="150"/>
  <c r="DN37" i="150"/>
  <c r="DK37" i="150"/>
  <c r="DH37" i="150"/>
  <c r="DE37" i="150"/>
  <c r="DB37" i="150"/>
  <c r="CY37" i="150"/>
  <c r="CV37" i="150"/>
  <c r="CS37" i="150"/>
  <c r="CP37" i="150"/>
  <c r="CM37" i="150"/>
  <c r="CJ37" i="150"/>
  <c r="CG37" i="150"/>
  <c r="CD37" i="150"/>
  <c r="CA37" i="150"/>
  <c r="BX37" i="150"/>
  <c r="BU37" i="150"/>
  <c r="BR37" i="150"/>
  <c r="BO37" i="150"/>
  <c r="BL37" i="150"/>
  <c r="BI37" i="150"/>
  <c r="BF37" i="150"/>
  <c r="BC37" i="150"/>
  <c r="AZ37" i="150"/>
  <c r="AX37" i="150"/>
  <c r="EK37" i="150" s="1"/>
  <c r="AW37" i="150"/>
  <c r="AU37" i="150"/>
  <c r="AT37" i="150"/>
  <c r="AQ37" i="150"/>
  <c r="AN37" i="150"/>
  <c r="AI37" i="150"/>
  <c r="AK37" i="150" s="1"/>
  <c r="AB37" i="150"/>
  <c r="Y37" i="150"/>
  <c r="V37" i="150"/>
  <c r="S37" i="150"/>
  <c r="P37" i="150"/>
  <c r="M37" i="150"/>
  <c r="J37" i="150"/>
  <c r="G37" i="150"/>
  <c r="D37" i="150"/>
  <c r="EL36" i="150"/>
  <c r="EK36" i="150"/>
  <c r="EI36" i="150"/>
  <c r="EG36" i="150"/>
  <c r="DW36" i="150"/>
  <c r="DT36" i="150"/>
  <c r="DQ36" i="150"/>
  <c r="DN36" i="150"/>
  <c r="DK36" i="150"/>
  <c r="DH36" i="150"/>
  <c r="DE36" i="150"/>
  <c r="DB36" i="150"/>
  <c r="CY36" i="150"/>
  <c r="CV36" i="150"/>
  <c r="CS36" i="150"/>
  <c r="CP36" i="150"/>
  <c r="CM36" i="150"/>
  <c r="CJ36" i="150"/>
  <c r="CG36" i="150"/>
  <c r="CD36" i="150"/>
  <c r="CA36" i="150"/>
  <c r="BX36" i="150"/>
  <c r="BU36" i="150"/>
  <c r="BR36" i="150"/>
  <c r="BO36" i="150"/>
  <c r="BL36" i="150"/>
  <c r="BI36" i="150"/>
  <c r="BF36" i="150"/>
  <c r="BC36" i="150"/>
  <c r="AX36" i="150"/>
  <c r="AZ36" i="150" s="1"/>
  <c r="AU36" i="150"/>
  <c r="AT36" i="150"/>
  <c r="AQ36" i="150"/>
  <c r="AN36" i="150"/>
  <c r="AK36" i="150"/>
  <c r="AI36" i="150"/>
  <c r="AB36" i="150"/>
  <c r="Y36" i="150"/>
  <c r="V36" i="150"/>
  <c r="S36" i="150"/>
  <c r="P36" i="150"/>
  <c r="M36" i="150"/>
  <c r="J36" i="150"/>
  <c r="G36" i="150"/>
  <c r="D36" i="150"/>
  <c r="EL35" i="150"/>
  <c r="EG35" i="150"/>
  <c r="EI35" i="150" s="1"/>
  <c r="EB35" i="150"/>
  <c r="DW35" i="150"/>
  <c r="DT35" i="150"/>
  <c r="DQ35" i="150"/>
  <c r="DN35" i="150"/>
  <c r="DK35" i="150"/>
  <c r="DH35" i="150"/>
  <c r="DE35" i="150"/>
  <c r="DB35" i="150"/>
  <c r="CY35" i="150"/>
  <c r="CV35" i="150"/>
  <c r="CS35" i="150"/>
  <c r="CP35" i="150"/>
  <c r="CM35" i="150"/>
  <c r="CJ35" i="150"/>
  <c r="CG35" i="150"/>
  <c r="CD35" i="150"/>
  <c r="CA35" i="150"/>
  <c r="BX35" i="150"/>
  <c r="BU35" i="150"/>
  <c r="BR35" i="150"/>
  <c r="BO35" i="150"/>
  <c r="BL35" i="150"/>
  <c r="BI35" i="150"/>
  <c r="BF35" i="150"/>
  <c r="BC35" i="150"/>
  <c r="AZ35" i="150"/>
  <c r="AX35" i="150"/>
  <c r="EK35" i="150" s="1"/>
  <c r="AW35" i="150"/>
  <c r="AU35" i="150"/>
  <c r="AT35" i="150"/>
  <c r="AQ35" i="150"/>
  <c r="AN35" i="150"/>
  <c r="AI35" i="150"/>
  <c r="AK35" i="150" s="1"/>
  <c r="AB35" i="150"/>
  <c r="Y35" i="150"/>
  <c r="V35" i="150"/>
  <c r="S35" i="150"/>
  <c r="P35" i="150"/>
  <c r="M35" i="150"/>
  <c r="J35" i="150"/>
  <c r="G35" i="150"/>
  <c r="D35" i="150"/>
  <c r="EL34" i="150"/>
  <c r="EG34" i="150"/>
  <c r="EI34" i="150" s="1"/>
  <c r="DW34" i="150"/>
  <c r="DT34" i="150"/>
  <c r="DQ34" i="150"/>
  <c r="DN34" i="150"/>
  <c r="DK34" i="150"/>
  <c r="DH34" i="150"/>
  <c r="DE34" i="150"/>
  <c r="DB34" i="150"/>
  <c r="CY34" i="150"/>
  <c r="CV34" i="150"/>
  <c r="CS34" i="150"/>
  <c r="CP34" i="150"/>
  <c r="CM34" i="150"/>
  <c r="CJ34" i="150"/>
  <c r="CG34" i="150"/>
  <c r="CD34" i="150"/>
  <c r="CA34" i="150"/>
  <c r="BX34" i="150"/>
  <c r="BU34" i="150"/>
  <c r="BR34" i="150"/>
  <c r="BO34" i="150"/>
  <c r="BL34" i="150"/>
  <c r="BI34" i="150"/>
  <c r="BF34" i="150"/>
  <c r="BC34" i="150"/>
  <c r="AX34" i="150"/>
  <c r="AU34" i="150"/>
  <c r="AT34" i="150"/>
  <c r="AQ34" i="150"/>
  <c r="AN34" i="150"/>
  <c r="AK34" i="150"/>
  <c r="AI34" i="150"/>
  <c r="AB34" i="150"/>
  <c r="Y34" i="150"/>
  <c r="V34" i="150"/>
  <c r="S34" i="150"/>
  <c r="P34" i="150"/>
  <c r="M34" i="150"/>
  <c r="J34" i="150"/>
  <c r="G34" i="150"/>
  <c r="D34" i="150"/>
  <c r="EL33" i="150"/>
  <c r="EI33" i="150"/>
  <c r="EG33" i="150"/>
  <c r="DW33" i="150"/>
  <c r="DT33" i="150"/>
  <c r="DQ33" i="150"/>
  <c r="DN33" i="150"/>
  <c r="DK33" i="150"/>
  <c r="DH33" i="150"/>
  <c r="DE33" i="150"/>
  <c r="DB33" i="150"/>
  <c r="CY33" i="150"/>
  <c r="CV33" i="150"/>
  <c r="CS33" i="150"/>
  <c r="CP33" i="150"/>
  <c r="CM33" i="150"/>
  <c r="CJ33" i="150"/>
  <c r="CG33" i="150"/>
  <c r="CD33" i="150"/>
  <c r="CA33" i="150"/>
  <c r="BX33" i="150"/>
  <c r="BU33" i="150"/>
  <c r="BR33" i="150"/>
  <c r="BO33" i="150"/>
  <c r="BL33" i="150"/>
  <c r="BI33" i="150"/>
  <c r="BF33" i="150"/>
  <c r="BC33" i="150"/>
  <c r="AZ33" i="150"/>
  <c r="AX33" i="150"/>
  <c r="EK33" i="150" s="1"/>
  <c r="AW33" i="150"/>
  <c r="AU33" i="150"/>
  <c r="AT33" i="150"/>
  <c r="AQ33" i="150"/>
  <c r="AN33" i="150"/>
  <c r="AI33" i="150"/>
  <c r="AK33" i="150" s="1"/>
  <c r="AB33" i="150"/>
  <c r="Y33" i="150"/>
  <c r="V33" i="150"/>
  <c r="S33" i="150"/>
  <c r="P33" i="150"/>
  <c r="M33" i="150"/>
  <c r="J33" i="150"/>
  <c r="G33" i="150"/>
  <c r="D33" i="150"/>
  <c r="EL32" i="150"/>
  <c r="EK32" i="150"/>
  <c r="EG32" i="150"/>
  <c r="EI32" i="150" s="1"/>
  <c r="DW32" i="150"/>
  <c r="DT32" i="150"/>
  <c r="DQ32" i="150"/>
  <c r="DN32" i="150"/>
  <c r="DK32" i="150"/>
  <c r="DH32" i="150"/>
  <c r="DE32" i="150"/>
  <c r="DB32" i="150"/>
  <c r="CY32" i="150"/>
  <c r="CV32" i="150"/>
  <c r="CS32" i="150"/>
  <c r="CP32" i="150"/>
  <c r="CM32" i="150"/>
  <c r="CJ32" i="150"/>
  <c r="CG32" i="150"/>
  <c r="CD32" i="150"/>
  <c r="CA32" i="150"/>
  <c r="BX32" i="150"/>
  <c r="BU32" i="150"/>
  <c r="BR32" i="150"/>
  <c r="BO32" i="150"/>
  <c r="BL32" i="150"/>
  <c r="BI32" i="150"/>
  <c r="BF32" i="150"/>
  <c r="BC32" i="150"/>
  <c r="AX32" i="150"/>
  <c r="AZ32" i="150" s="1"/>
  <c r="AU32" i="150"/>
  <c r="AT32" i="150"/>
  <c r="AQ32" i="150"/>
  <c r="AN32" i="150"/>
  <c r="AK32" i="150"/>
  <c r="AI32" i="150"/>
  <c r="AB32" i="150"/>
  <c r="Y32" i="150"/>
  <c r="V32" i="150"/>
  <c r="S32" i="150"/>
  <c r="P32" i="150"/>
  <c r="M32" i="150"/>
  <c r="J32" i="150"/>
  <c r="G32" i="150"/>
  <c r="D32" i="150"/>
  <c r="EL31" i="150"/>
  <c r="EG31" i="150"/>
  <c r="EI31" i="150" s="1"/>
  <c r="EB31" i="150"/>
  <c r="DW31" i="150"/>
  <c r="DT31" i="150"/>
  <c r="DQ31" i="150"/>
  <c r="DN31" i="150"/>
  <c r="DK31" i="150"/>
  <c r="DH31" i="150"/>
  <c r="DE31" i="150"/>
  <c r="DB31" i="150"/>
  <c r="CY31" i="150"/>
  <c r="CV31" i="150"/>
  <c r="CS31" i="150"/>
  <c r="CP31" i="150"/>
  <c r="CM31" i="150"/>
  <c r="CJ31" i="150"/>
  <c r="CG31" i="150"/>
  <c r="CD31" i="150"/>
  <c r="CA31" i="150"/>
  <c r="BX31" i="150"/>
  <c r="BU31" i="150"/>
  <c r="BR31" i="150"/>
  <c r="BO31" i="150"/>
  <c r="BL31" i="150"/>
  <c r="BI31" i="150"/>
  <c r="BF31" i="150"/>
  <c r="BC31" i="150"/>
  <c r="AZ31" i="150"/>
  <c r="AX31" i="150"/>
  <c r="EK31" i="150" s="1"/>
  <c r="AW31" i="150"/>
  <c r="AU31" i="150"/>
  <c r="AT31" i="150"/>
  <c r="AQ31" i="150"/>
  <c r="AN31" i="150"/>
  <c r="AI31" i="150"/>
  <c r="AK31" i="150" s="1"/>
  <c r="AB31" i="150"/>
  <c r="Y31" i="150"/>
  <c r="V31" i="150"/>
  <c r="S31" i="150"/>
  <c r="P31" i="150"/>
  <c r="M31" i="150"/>
  <c r="J31" i="150"/>
  <c r="G31" i="150"/>
  <c r="D31" i="150"/>
  <c r="EL30" i="150"/>
  <c r="EI30" i="150"/>
  <c r="EG30" i="150"/>
  <c r="DW30" i="150"/>
  <c r="DT30" i="150"/>
  <c r="DQ30" i="150"/>
  <c r="DN30" i="150"/>
  <c r="DK30" i="150"/>
  <c r="DH30" i="150"/>
  <c r="DE30" i="150"/>
  <c r="DB30" i="150"/>
  <c r="CY30" i="150"/>
  <c r="CV30" i="150"/>
  <c r="CS30" i="150"/>
  <c r="CP30" i="150"/>
  <c r="CM30" i="150"/>
  <c r="CJ30" i="150"/>
  <c r="CG30" i="150"/>
  <c r="CD30" i="150"/>
  <c r="CA30" i="150"/>
  <c r="BX30" i="150"/>
  <c r="BU30" i="150"/>
  <c r="BR30" i="150"/>
  <c r="BO30" i="150"/>
  <c r="BL30" i="150"/>
  <c r="BI30" i="150"/>
  <c r="BF30" i="150"/>
  <c r="BC30" i="150"/>
  <c r="AX30" i="150"/>
  <c r="AU30" i="150"/>
  <c r="AT30" i="150"/>
  <c r="AQ30" i="150"/>
  <c r="AN30" i="150"/>
  <c r="AK30" i="150"/>
  <c r="AI30" i="150"/>
  <c r="AB30" i="150"/>
  <c r="Y30" i="150"/>
  <c r="V30" i="150"/>
  <c r="S30" i="150"/>
  <c r="P30" i="150"/>
  <c r="M30" i="150"/>
  <c r="J30" i="150"/>
  <c r="G30" i="150"/>
  <c r="D30" i="150"/>
  <c r="EL29" i="150"/>
  <c r="EI29" i="150"/>
  <c r="EG29" i="150"/>
  <c r="DW29" i="150"/>
  <c r="DT29" i="150"/>
  <c r="DQ29" i="150"/>
  <c r="DN29" i="150"/>
  <c r="DK29" i="150"/>
  <c r="DH29" i="150"/>
  <c r="DE29" i="150"/>
  <c r="DB29" i="150"/>
  <c r="CY29" i="150"/>
  <c r="CV29" i="150"/>
  <c r="CS29" i="150"/>
  <c r="CP29" i="150"/>
  <c r="CM29" i="150"/>
  <c r="CJ29" i="150"/>
  <c r="CG29" i="150"/>
  <c r="CD29" i="150"/>
  <c r="CA29" i="150"/>
  <c r="BX29" i="150"/>
  <c r="BU29" i="150"/>
  <c r="BR29" i="150"/>
  <c r="BO29" i="150"/>
  <c r="BL29" i="150"/>
  <c r="BI29" i="150"/>
  <c r="BF29" i="150"/>
  <c r="BC29" i="150"/>
  <c r="AZ29" i="150"/>
  <c r="AX29" i="150"/>
  <c r="AU29" i="150"/>
  <c r="AT29" i="150"/>
  <c r="AQ29" i="150"/>
  <c r="AN29" i="150"/>
  <c r="AI29" i="150"/>
  <c r="AK29" i="150" s="1"/>
  <c r="AB29" i="150"/>
  <c r="Y29" i="150"/>
  <c r="V29" i="150"/>
  <c r="S29" i="150"/>
  <c r="P29" i="150"/>
  <c r="M29" i="150"/>
  <c r="J29" i="150"/>
  <c r="G29" i="150"/>
  <c r="D29" i="150"/>
  <c r="EL28" i="150"/>
  <c r="EK28" i="150"/>
  <c r="EG28" i="150"/>
  <c r="EI28" i="150" s="1"/>
  <c r="DW28" i="150"/>
  <c r="DT28" i="150"/>
  <c r="DQ28" i="150"/>
  <c r="DN28" i="150"/>
  <c r="DK28" i="150"/>
  <c r="DH28" i="150"/>
  <c r="DE28" i="150"/>
  <c r="DB28" i="150"/>
  <c r="CY28" i="150"/>
  <c r="CV28" i="150"/>
  <c r="CS28" i="150"/>
  <c r="CP28" i="150"/>
  <c r="CM28" i="150"/>
  <c r="CJ28" i="150"/>
  <c r="CG28" i="150"/>
  <c r="CD28" i="150"/>
  <c r="CA28" i="150"/>
  <c r="BX28" i="150"/>
  <c r="BU28" i="150"/>
  <c r="BR28" i="150"/>
  <c r="BO28" i="150"/>
  <c r="BL28" i="150"/>
  <c r="BI28" i="150"/>
  <c r="BF28" i="150"/>
  <c r="BC28" i="150"/>
  <c r="AX28" i="150"/>
  <c r="AZ28" i="150" s="1"/>
  <c r="AU28" i="150"/>
  <c r="AT28" i="150"/>
  <c r="AQ28" i="150"/>
  <c r="AN28" i="150"/>
  <c r="AK28" i="150"/>
  <c r="AI28" i="150"/>
  <c r="AB28" i="150"/>
  <c r="Y28" i="150"/>
  <c r="V28" i="150"/>
  <c r="S28" i="150"/>
  <c r="P28" i="150"/>
  <c r="M28" i="150"/>
  <c r="J28" i="150"/>
  <c r="G28" i="150"/>
  <c r="D28" i="150"/>
  <c r="EL27" i="150"/>
  <c r="EG27" i="150"/>
  <c r="EI27" i="150" s="1"/>
  <c r="EB27" i="150"/>
  <c r="DW27" i="150"/>
  <c r="DT27" i="150"/>
  <c r="DQ27" i="150"/>
  <c r="DN27" i="150"/>
  <c r="DK27" i="150"/>
  <c r="DH27" i="150"/>
  <c r="DE27" i="150"/>
  <c r="DB27" i="150"/>
  <c r="CY27" i="150"/>
  <c r="CV27" i="150"/>
  <c r="CS27" i="150"/>
  <c r="CP27" i="150"/>
  <c r="CM27" i="150"/>
  <c r="CJ27" i="150"/>
  <c r="CG27" i="150"/>
  <c r="CD27" i="150"/>
  <c r="CA27" i="150"/>
  <c r="BX27" i="150"/>
  <c r="BU27" i="150"/>
  <c r="BR27" i="150"/>
  <c r="BO27" i="150"/>
  <c r="BL27" i="150"/>
  <c r="BI27" i="150"/>
  <c r="BF27" i="150"/>
  <c r="BC27" i="150"/>
  <c r="AX27" i="150"/>
  <c r="AZ27" i="150" s="1"/>
  <c r="AW27" i="150"/>
  <c r="AU27" i="150"/>
  <c r="AT27" i="150"/>
  <c r="AQ27" i="150"/>
  <c r="AN27" i="150"/>
  <c r="AI27" i="150"/>
  <c r="AK27" i="150" s="1"/>
  <c r="AB27" i="150"/>
  <c r="Y27" i="150"/>
  <c r="V27" i="150"/>
  <c r="S27" i="150"/>
  <c r="P27" i="150"/>
  <c r="M27" i="150"/>
  <c r="J27" i="150"/>
  <c r="G27" i="150"/>
  <c r="D27" i="150"/>
  <c r="EL26" i="150"/>
  <c r="EI26" i="150"/>
  <c r="EG26" i="150"/>
  <c r="DW26" i="150"/>
  <c r="DT26" i="150"/>
  <c r="DQ26" i="150"/>
  <c r="DN26" i="150"/>
  <c r="DK26" i="150"/>
  <c r="DH26" i="150"/>
  <c r="DE26" i="150"/>
  <c r="DB26" i="150"/>
  <c r="CY26" i="150"/>
  <c r="CV26" i="150"/>
  <c r="CS26" i="150"/>
  <c r="CP26" i="150"/>
  <c r="CM26" i="150"/>
  <c r="CJ26" i="150"/>
  <c r="CG26" i="150"/>
  <c r="CD26" i="150"/>
  <c r="CA26" i="150"/>
  <c r="BX26" i="150"/>
  <c r="BU26" i="150"/>
  <c r="BR26" i="150"/>
  <c r="BO26" i="150"/>
  <c r="BL26" i="150"/>
  <c r="BI26" i="150"/>
  <c r="BF26" i="150"/>
  <c r="BC26" i="150"/>
  <c r="AX26" i="150"/>
  <c r="AU26" i="150"/>
  <c r="AT26" i="150"/>
  <c r="AQ26" i="150"/>
  <c r="AN26" i="150"/>
  <c r="AI26" i="150"/>
  <c r="AK26" i="150" s="1"/>
  <c r="AB26" i="150"/>
  <c r="Y26" i="150"/>
  <c r="V26" i="150"/>
  <c r="S26" i="150"/>
  <c r="P26" i="150"/>
  <c r="M26" i="150"/>
  <c r="J26" i="150"/>
  <c r="G26" i="150"/>
  <c r="D26" i="150"/>
  <c r="EL25" i="150"/>
  <c r="EI25" i="150"/>
  <c r="EG25" i="150"/>
  <c r="DW25" i="150"/>
  <c r="DT25" i="150"/>
  <c r="DQ25" i="150"/>
  <c r="DN25" i="150"/>
  <c r="DK25" i="150"/>
  <c r="DH25" i="150"/>
  <c r="DE25" i="150"/>
  <c r="DB25" i="150"/>
  <c r="CY25" i="150"/>
  <c r="CV25" i="150"/>
  <c r="CS25" i="150"/>
  <c r="CP25" i="150"/>
  <c r="CM25" i="150"/>
  <c r="CJ25" i="150"/>
  <c r="CG25" i="150"/>
  <c r="CD25" i="150"/>
  <c r="CA25" i="150"/>
  <c r="BX25" i="150"/>
  <c r="BU25" i="150"/>
  <c r="BR25" i="150"/>
  <c r="BO25" i="150"/>
  <c r="BL25" i="150"/>
  <c r="BI25" i="150"/>
  <c r="BF25" i="150"/>
  <c r="BC25" i="150"/>
  <c r="AZ25" i="150"/>
  <c r="AX25" i="150"/>
  <c r="AU25" i="150"/>
  <c r="AT25" i="150"/>
  <c r="AQ25" i="150"/>
  <c r="AN25" i="150"/>
  <c r="AI25" i="150"/>
  <c r="AK25" i="150" s="1"/>
  <c r="AB25" i="150"/>
  <c r="Y25" i="150"/>
  <c r="V25" i="150"/>
  <c r="S25" i="150"/>
  <c r="P25" i="150"/>
  <c r="M25" i="150"/>
  <c r="J25" i="150"/>
  <c r="G25" i="150"/>
  <c r="D25" i="150"/>
  <c r="EL24" i="150"/>
  <c r="EG24" i="150"/>
  <c r="EI24" i="150" s="1"/>
  <c r="DW24" i="150"/>
  <c r="DT24" i="150"/>
  <c r="DQ24" i="150"/>
  <c r="DN24" i="150"/>
  <c r="DK24" i="150"/>
  <c r="DH24" i="150"/>
  <c r="DE24" i="150"/>
  <c r="DB24" i="150"/>
  <c r="CY24" i="150"/>
  <c r="CV24" i="150"/>
  <c r="CS24" i="150"/>
  <c r="CP24" i="150"/>
  <c r="CM24" i="150"/>
  <c r="CJ24" i="150"/>
  <c r="CG24" i="150"/>
  <c r="CD24" i="150"/>
  <c r="CA24" i="150"/>
  <c r="BX24" i="150"/>
  <c r="BU24" i="150"/>
  <c r="BR24" i="150"/>
  <c r="BO24" i="150"/>
  <c r="BL24" i="150"/>
  <c r="BI24" i="150"/>
  <c r="BF24" i="150"/>
  <c r="BC24" i="150"/>
  <c r="AX24" i="150"/>
  <c r="AZ24" i="150" s="1"/>
  <c r="AU24" i="150"/>
  <c r="AT24" i="150"/>
  <c r="AQ24" i="150"/>
  <c r="AN24" i="150"/>
  <c r="AK24" i="150"/>
  <c r="AI24" i="150"/>
  <c r="AB24" i="150"/>
  <c r="Y24" i="150"/>
  <c r="V24" i="150"/>
  <c r="S24" i="150"/>
  <c r="P24" i="150"/>
  <c r="M24" i="150"/>
  <c r="J24" i="150"/>
  <c r="G24" i="150"/>
  <c r="D24" i="150"/>
  <c r="EL23" i="150"/>
  <c r="EG23" i="150"/>
  <c r="EI23" i="150" s="1"/>
  <c r="EB23" i="150"/>
  <c r="DW23" i="150"/>
  <c r="DT23" i="150"/>
  <c r="DQ23" i="150"/>
  <c r="DN23" i="150"/>
  <c r="DK23" i="150"/>
  <c r="DH23" i="150"/>
  <c r="DE23" i="150"/>
  <c r="DB23" i="150"/>
  <c r="CY23" i="150"/>
  <c r="CV23" i="150"/>
  <c r="CS23" i="150"/>
  <c r="CP23" i="150"/>
  <c r="CM23" i="150"/>
  <c r="CJ23" i="150"/>
  <c r="CG23" i="150"/>
  <c r="CD23" i="150"/>
  <c r="CA23" i="150"/>
  <c r="BX23" i="150"/>
  <c r="BU23" i="150"/>
  <c r="BR23" i="150"/>
  <c r="BO23" i="150"/>
  <c r="BL23" i="150"/>
  <c r="BI23" i="150"/>
  <c r="BF23" i="150"/>
  <c r="BC23" i="150"/>
  <c r="AX23" i="150"/>
  <c r="AZ23" i="150" s="1"/>
  <c r="AW23" i="150"/>
  <c r="AU23" i="150"/>
  <c r="AT23" i="150"/>
  <c r="AQ23" i="150"/>
  <c r="AN23" i="150"/>
  <c r="AI23" i="150"/>
  <c r="AK23" i="150" s="1"/>
  <c r="AB23" i="150"/>
  <c r="Y23" i="150"/>
  <c r="V23" i="150"/>
  <c r="S23" i="150"/>
  <c r="P23" i="150"/>
  <c r="M23" i="150"/>
  <c r="J23" i="150"/>
  <c r="G23" i="150"/>
  <c r="ED23" i="150" s="1"/>
  <c r="D23" i="150"/>
  <c r="EL22" i="150"/>
  <c r="EI22" i="150"/>
  <c r="EG22" i="150"/>
  <c r="DW22" i="150"/>
  <c r="DT22" i="150"/>
  <c r="DQ22" i="150"/>
  <c r="DN22" i="150"/>
  <c r="DK22" i="150"/>
  <c r="DH22" i="150"/>
  <c r="DE22" i="150"/>
  <c r="DB22" i="150"/>
  <c r="CY22" i="150"/>
  <c r="CV22" i="150"/>
  <c r="CS22" i="150"/>
  <c r="CP22" i="150"/>
  <c r="CM22" i="150"/>
  <c r="CJ22" i="150"/>
  <c r="CG22" i="150"/>
  <c r="CD22" i="150"/>
  <c r="CA22" i="150"/>
  <c r="BX22" i="150"/>
  <c r="BU22" i="150"/>
  <c r="BR22" i="150"/>
  <c r="BO22" i="150"/>
  <c r="BL22" i="150"/>
  <c r="BI22" i="150"/>
  <c r="BF22" i="150"/>
  <c r="BC22" i="150"/>
  <c r="AX22" i="150"/>
  <c r="AU22" i="150"/>
  <c r="EB22" i="150" s="1"/>
  <c r="AT22" i="150"/>
  <c r="AQ22" i="150"/>
  <c r="AN22" i="150"/>
  <c r="AI22" i="150"/>
  <c r="AK22" i="150" s="1"/>
  <c r="AB22" i="150"/>
  <c r="Y22" i="150"/>
  <c r="V22" i="150"/>
  <c r="S22" i="150"/>
  <c r="P22" i="150"/>
  <c r="M22" i="150"/>
  <c r="J22" i="150"/>
  <c r="G22" i="150"/>
  <c r="D22" i="150"/>
  <c r="EL21" i="150"/>
  <c r="EI21" i="150"/>
  <c r="EG21" i="150"/>
  <c r="DW21" i="150"/>
  <c r="DT21" i="150"/>
  <c r="DQ21" i="150"/>
  <c r="DN21" i="150"/>
  <c r="DK21" i="150"/>
  <c r="DH21" i="150"/>
  <c r="DE21" i="150"/>
  <c r="DB21" i="150"/>
  <c r="CY21" i="150"/>
  <c r="CV21" i="150"/>
  <c r="CS21" i="150"/>
  <c r="CP21" i="150"/>
  <c r="CM21" i="150"/>
  <c r="CJ21" i="150"/>
  <c r="CG21" i="150"/>
  <c r="CD21" i="150"/>
  <c r="CA21" i="150"/>
  <c r="BX21" i="150"/>
  <c r="BU21" i="150"/>
  <c r="BR21" i="150"/>
  <c r="BO21" i="150"/>
  <c r="BL21" i="150"/>
  <c r="BI21" i="150"/>
  <c r="BF21" i="150"/>
  <c r="BC21" i="150"/>
  <c r="AZ21" i="150"/>
  <c r="AX21" i="150"/>
  <c r="AU21" i="150"/>
  <c r="AW21" i="150" s="1"/>
  <c r="AT21" i="150"/>
  <c r="AQ21" i="150"/>
  <c r="AL21" i="150"/>
  <c r="EB21" i="150" s="1"/>
  <c r="AK21" i="150"/>
  <c r="AB21" i="150"/>
  <c r="Y21" i="150"/>
  <c r="V21" i="150"/>
  <c r="S21" i="150"/>
  <c r="P21" i="150"/>
  <c r="M21" i="150"/>
  <c r="J21" i="150"/>
  <c r="G21" i="150"/>
  <c r="D21" i="150"/>
  <c r="EL20" i="150"/>
  <c r="EG20" i="150"/>
  <c r="EI20" i="150" s="1"/>
  <c r="DW20" i="150"/>
  <c r="DT20" i="150"/>
  <c r="DQ20" i="150"/>
  <c r="DN20" i="150"/>
  <c r="DK20" i="150"/>
  <c r="DH20" i="150"/>
  <c r="DE20" i="150"/>
  <c r="DB20" i="150"/>
  <c r="CY20" i="150"/>
  <c r="CV20" i="150"/>
  <c r="CS20" i="150"/>
  <c r="CP20" i="150"/>
  <c r="CM20" i="150"/>
  <c r="CJ20" i="150"/>
  <c r="CG20" i="150"/>
  <c r="CD20" i="150"/>
  <c r="CA20" i="150"/>
  <c r="BX20" i="150"/>
  <c r="BU20" i="150"/>
  <c r="BR20" i="150"/>
  <c r="BO20" i="150"/>
  <c r="BL20" i="150"/>
  <c r="BI20" i="150"/>
  <c r="BF20" i="150"/>
  <c r="BC20" i="150"/>
  <c r="AX20" i="150"/>
  <c r="AZ20" i="150" s="1"/>
  <c r="AU20" i="150"/>
  <c r="AW20" i="150" s="1"/>
  <c r="AT20" i="150"/>
  <c r="AQ20" i="150"/>
  <c r="AL20" i="150"/>
  <c r="AK20" i="150"/>
  <c r="AB20" i="150"/>
  <c r="Y20" i="150"/>
  <c r="V20" i="150"/>
  <c r="S20" i="150"/>
  <c r="P20" i="150"/>
  <c r="M20" i="150"/>
  <c r="J20" i="150"/>
  <c r="G20" i="150"/>
  <c r="D20" i="150"/>
  <c r="EL19" i="150"/>
  <c r="EG19" i="150"/>
  <c r="EI19" i="150" s="1"/>
  <c r="DW19" i="150"/>
  <c r="DT19" i="150"/>
  <c r="DQ19" i="150"/>
  <c r="DN19" i="150"/>
  <c r="DK19" i="150"/>
  <c r="DH19" i="150"/>
  <c r="DE19" i="150"/>
  <c r="DB19" i="150"/>
  <c r="CY19" i="150"/>
  <c r="CV19" i="150"/>
  <c r="CS19" i="150"/>
  <c r="CP19" i="150"/>
  <c r="CM19" i="150"/>
  <c r="CJ19" i="150"/>
  <c r="CG19" i="150"/>
  <c r="CD19" i="150"/>
  <c r="CA19" i="150"/>
  <c r="BX19" i="150"/>
  <c r="BU19" i="150"/>
  <c r="BR19" i="150"/>
  <c r="BO19" i="150"/>
  <c r="BL19" i="150"/>
  <c r="BI19" i="150"/>
  <c r="BF19" i="150"/>
  <c r="BC19" i="150"/>
  <c r="AZ19" i="150"/>
  <c r="AU19" i="150"/>
  <c r="AT19" i="150"/>
  <c r="AQ19" i="150"/>
  <c r="AL19" i="150"/>
  <c r="AN19" i="150" s="1"/>
  <c r="AI19" i="150"/>
  <c r="AK19" i="150" s="1"/>
  <c r="AB19" i="150"/>
  <c r="Y19" i="150"/>
  <c r="V19" i="150"/>
  <c r="S19" i="150"/>
  <c r="P19" i="150"/>
  <c r="M19" i="150"/>
  <c r="J19" i="150"/>
  <c r="G19" i="150"/>
  <c r="D19" i="150"/>
  <c r="EL18" i="150"/>
  <c r="EI18" i="150"/>
  <c r="EG18" i="150"/>
  <c r="DW18" i="150"/>
  <c r="DT18" i="150"/>
  <c r="DQ18" i="150"/>
  <c r="DN18" i="150"/>
  <c r="DK18" i="150"/>
  <c r="DH18" i="150"/>
  <c r="DE18" i="150"/>
  <c r="DB18" i="150"/>
  <c r="CY18" i="150"/>
  <c r="CV18" i="150"/>
  <c r="CS18" i="150"/>
  <c r="CP18" i="150"/>
  <c r="CM18" i="150"/>
  <c r="CJ18" i="150"/>
  <c r="CG18" i="150"/>
  <c r="CD18" i="150"/>
  <c r="CA18" i="150"/>
  <c r="BX18" i="150"/>
  <c r="BU18" i="150"/>
  <c r="BR18" i="150"/>
  <c r="BO18" i="150"/>
  <c r="BL18" i="150"/>
  <c r="BI18" i="150"/>
  <c r="BF18" i="150"/>
  <c r="BC18" i="150"/>
  <c r="AZ18" i="150"/>
  <c r="AW18" i="150"/>
  <c r="AU18" i="150"/>
  <c r="AT18" i="150"/>
  <c r="AQ18" i="150"/>
  <c r="AN18" i="150"/>
  <c r="AL18" i="150"/>
  <c r="EB18" i="150" s="1"/>
  <c r="AI18" i="150"/>
  <c r="AK18" i="150" s="1"/>
  <c r="AB18" i="150"/>
  <c r="Y18" i="150"/>
  <c r="V18" i="150"/>
  <c r="S18" i="150"/>
  <c r="P18" i="150"/>
  <c r="M18" i="150"/>
  <c r="J18" i="150"/>
  <c r="G18" i="150"/>
  <c r="D18" i="150"/>
  <c r="EL17" i="150"/>
  <c r="EG17" i="150"/>
  <c r="EI17" i="150" s="1"/>
  <c r="DW17" i="150"/>
  <c r="DT17" i="150"/>
  <c r="DQ17" i="150"/>
  <c r="DN17" i="150"/>
  <c r="DK17" i="150"/>
  <c r="DH17" i="150"/>
  <c r="DE17" i="150"/>
  <c r="DB17" i="150"/>
  <c r="CY17" i="150"/>
  <c r="CV17" i="150"/>
  <c r="CS17" i="150"/>
  <c r="CP17" i="150"/>
  <c r="CM17" i="150"/>
  <c r="CJ17" i="150"/>
  <c r="CG17" i="150"/>
  <c r="CD17" i="150"/>
  <c r="CA17" i="150"/>
  <c r="BX17" i="150"/>
  <c r="BU17" i="150"/>
  <c r="BR17" i="150"/>
  <c r="BO17" i="150"/>
  <c r="BL17" i="150"/>
  <c r="BI17" i="150"/>
  <c r="BF17" i="150"/>
  <c r="BC17" i="150"/>
  <c r="AZ17" i="150"/>
  <c r="AW17" i="150"/>
  <c r="AU17" i="150"/>
  <c r="EK17" i="150" s="1"/>
  <c r="AT17" i="150"/>
  <c r="AQ17" i="150"/>
  <c r="AN17" i="150"/>
  <c r="AL17" i="150"/>
  <c r="EB17" i="150" s="1"/>
  <c r="AI17" i="150"/>
  <c r="AK17" i="150" s="1"/>
  <c r="AB17" i="150"/>
  <c r="Y17" i="150"/>
  <c r="V17" i="150"/>
  <c r="S17" i="150"/>
  <c r="P17" i="150"/>
  <c r="M17" i="150"/>
  <c r="J17" i="150"/>
  <c r="J43" i="150" s="1"/>
  <c r="G17" i="150"/>
  <c r="D17" i="150"/>
  <c r="EL16" i="150"/>
  <c r="EI16" i="150"/>
  <c r="EG16" i="150"/>
  <c r="DW16" i="150"/>
  <c r="DT16" i="150"/>
  <c r="DQ16" i="150"/>
  <c r="DN16" i="150"/>
  <c r="DK16" i="150"/>
  <c r="DH16" i="150"/>
  <c r="DE16" i="150"/>
  <c r="DB16" i="150"/>
  <c r="CY16" i="150"/>
  <c r="CV16" i="150"/>
  <c r="CS16" i="150"/>
  <c r="CP16" i="150"/>
  <c r="CM16" i="150"/>
  <c r="CJ16" i="150"/>
  <c r="CG16" i="150"/>
  <c r="CD16" i="150"/>
  <c r="CA16" i="150"/>
  <c r="BX16" i="150"/>
  <c r="BU16" i="150"/>
  <c r="BR16" i="150"/>
  <c r="BO16" i="150"/>
  <c r="BL16" i="150"/>
  <c r="BI16" i="150"/>
  <c r="BF16" i="150"/>
  <c r="BC16" i="150"/>
  <c r="AZ16" i="150"/>
  <c r="AW16" i="150"/>
  <c r="AU16" i="150"/>
  <c r="AT16" i="150"/>
  <c r="AQ16" i="150"/>
  <c r="AN16" i="150"/>
  <c r="AL16" i="150"/>
  <c r="EB16" i="150" s="1"/>
  <c r="AI16" i="150"/>
  <c r="AB16" i="150"/>
  <c r="Y16" i="150"/>
  <c r="V16" i="150"/>
  <c r="S16" i="150"/>
  <c r="P16" i="150"/>
  <c r="M16" i="150"/>
  <c r="J16" i="150"/>
  <c r="G16" i="150"/>
  <c r="D16" i="150"/>
  <c r="A16" i="150"/>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EL15" i="150"/>
  <c r="EI15" i="150"/>
  <c r="EG15" i="150"/>
  <c r="DW15" i="150"/>
  <c r="DT15" i="150"/>
  <c r="DQ15" i="150"/>
  <c r="DN15" i="150"/>
  <c r="DK15" i="150"/>
  <c r="DH15" i="150"/>
  <c r="DE15" i="150"/>
  <c r="DB15" i="150"/>
  <c r="CY15" i="150"/>
  <c r="CV15" i="150"/>
  <c r="CS15" i="150"/>
  <c r="CP15" i="150"/>
  <c r="CM15" i="150"/>
  <c r="CJ15" i="150"/>
  <c r="CG15" i="150"/>
  <c r="CD15" i="150"/>
  <c r="CA15" i="150"/>
  <c r="BX15" i="150"/>
  <c r="BU15" i="150"/>
  <c r="BR15" i="150"/>
  <c r="BO15" i="150"/>
  <c r="BL15" i="150"/>
  <c r="BI15" i="150"/>
  <c r="BF15" i="150"/>
  <c r="BC15" i="150"/>
  <c r="AZ15" i="150"/>
  <c r="AU15" i="150"/>
  <c r="AW15" i="150" s="1"/>
  <c r="AT15" i="150"/>
  <c r="AR15" i="150"/>
  <c r="AQ15" i="150"/>
  <c r="AL15" i="150"/>
  <c r="AK15" i="150"/>
  <c r="AB15" i="150"/>
  <c r="Y15" i="150"/>
  <c r="V15" i="150"/>
  <c r="S15" i="150"/>
  <c r="P15" i="150"/>
  <c r="M15" i="150"/>
  <c r="J15" i="150"/>
  <c r="G15" i="150"/>
  <c r="D15" i="150"/>
  <c r="EL14" i="150"/>
  <c r="EG14" i="150"/>
  <c r="EI14" i="150" s="1"/>
  <c r="EB14" i="150"/>
  <c r="DW14" i="150"/>
  <c r="DT14" i="150"/>
  <c r="DQ14" i="150"/>
  <c r="DN14" i="150"/>
  <c r="DK14" i="150"/>
  <c r="DH14" i="150"/>
  <c r="DE14" i="150"/>
  <c r="DB14" i="150"/>
  <c r="DB43" i="150" s="1"/>
  <c r="CY14" i="150"/>
  <c r="CV14" i="150"/>
  <c r="CS14" i="150"/>
  <c r="CP14" i="150"/>
  <c r="CM14" i="150"/>
  <c r="CJ14" i="150"/>
  <c r="CG14" i="150"/>
  <c r="CD14" i="150"/>
  <c r="CA14" i="150"/>
  <c r="BX14" i="150"/>
  <c r="BU14" i="150"/>
  <c r="BR14" i="150"/>
  <c r="BO14" i="150"/>
  <c r="BL14" i="150"/>
  <c r="BI14" i="150"/>
  <c r="BF14" i="150"/>
  <c r="BF43" i="150" s="1"/>
  <c r="BC14" i="150"/>
  <c r="AZ14" i="150"/>
  <c r="AW14" i="150"/>
  <c r="AT14" i="150"/>
  <c r="AR14" i="150"/>
  <c r="EK14" i="150" s="1"/>
  <c r="AO14" i="150"/>
  <c r="AQ14" i="150" s="1"/>
  <c r="AN14" i="150"/>
  <c r="AL14" i="150"/>
  <c r="AK14" i="150"/>
  <c r="AB14" i="150"/>
  <c r="Y14" i="150"/>
  <c r="V14" i="150"/>
  <c r="S14" i="150"/>
  <c r="P14" i="150"/>
  <c r="M14" i="150"/>
  <c r="J14" i="150"/>
  <c r="G14" i="150"/>
  <c r="D14" i="150"/>
  <c r="EL13" i="150"/>
  <c r="EG13" i="150"/>
  <c r="EI13" i="150" s="1"/>
  <c r="DW13" i="150"/>
  <c r="DT13" i="150"/>
  <c r="DQ13" i="150"/>
  <c r="DN13" i="150"/>
  <c r="DK13" i="150"/>
  <c r="DH13" i="150"/>
  <c r="DE13" i="150"/>
  <c r="DB13" i="150"/>
  <c r="CY13" i="150"/>
  <c r="CV13" i="150"/>
  <c r="CS13" i="150"/>
  <c r="CP13" i="150"/>
  <c r="CM13" i="150"/>
  <c r="CJ13" i="150"/>
  <c r="CG13" i="150"/>
  <c r="CD13" i="150"/>
  <c r="CA13" i="150"/>
  <c r="BX13" i="150"/>
  <c r="BU13" i="150"/>
  <c r="BR13" i="150"/>
  <c r="BO13" i="150"/>
  <c r="BL13" i="150"/>
  <c r="BI13" i="150"/>
  <c r="BF13" i="150"/>
  <c r="BC13" i="150"/>
  <c r="AZ13" i="150"/>
  <c r="AW13" i="150"/>
  <c r="AT13" i="150"/>
  <c r="AR13" i="150"/>
  <c r="AO13" i="150"/>
  <c r="AN13" i="150"/>
  <c r="AL13" i="150"/>
  <c r="AI13" i="150"/>
  <c r="AK13" i="150" s="1"/>
  <c r="AB13" i="150"/>
  <c r="Y13" i="150"/>
  <c r="V13" i="150"/>
  <c r="S13" i="150"/>
  <c r="P13" i="150"/>
  <c r="M13" i="150"/>
  <c r="J13" i="150"/>
  <c r="G13" i="150"/>
  <c r="D13" i="150"/>
  <c r="A13" i="150"/>
  <c r="A14" i="150" s="1"/>
  <c r="A15" i="150" s="1"/>
  <c r="EL12" i="150"/>
  <c r="EK12" i="150"/>
  <c r="EI12" i="150"/>
  <c r="EG12" i="150"/>
  <c r="DW12" i="150"/>
  <c r="DW43" i="150" s="1"/>
  <c r="DT12" i="150"/>
  <c r="DQ12" i="150"/>
  <c r="DN12" i="150"/>
  <c r="DK12" i="150"/>
  <c r="DK43" i="150" s="1"/>
  <c r="DH12" i="150"/>
  <c r="DE12" i="150"/>
  <c r="DB12" i="150"/>
  <c r="CY12" i="150"/>
  <c r="CY43" i="150" s="1"/>
  <c r="CV12" i="150"/>
  <c r="CS12" i="150"/>
  <c r="CP12" i="150"/>
  <c r="CM12" i="150"/>
  <c r="CM43" i="150" s="1"/>
  <c r="CJ12" i="150"/>
  <c r="CG12" i="150"/>
  <c r="CD12" i="150"/>
  <c r="CA12" i="150"/>
  <c r="CA43" i="150" s="1"/>
  <c r="BX12" i="150"/>
  <c r="BU12" i="150"/>
  <c r="BR12" i="150"/>
  <c r="BO12" i="150"/>
  <c r="BO43" i="150" s="1"/>
  <c r="BL12" i="150"/>
  <c r="BI12" i="150"/>
  <c r="BF12" i="150"/>
  <c r="BC12" i="150"/>
  <c r="BC43" i="150" s="1"/>
  <c r="AZ12" i="150"/>
  <c r="AW12" i="150"/>
  <c r="AR12" i="150"/>
  <c r="AT12" i="150" s="1"/>
  <c r="AQ12" i="150"/>
  <c r="AO12" i="150"/>
  <c r="AL12" i="150"/>
  <c r="AK12" i="150"/>
  <c r="AB12" i="150"/>
  <c r="Y12" i="150"/>
  <c r="V12" i="150"/>
  <c r="V43" i="150" s="1"/>
  <c r="S12" i="150"/>
  <c r="P12" i="150"/>
  <c r="M12" i="150"/>
  <c r="J12" i="150"/>
  <c r="G12" i="150"/>
  <c r="D12" i="150"/>
  <c r="EI6" i="150"/>
  <c r="EI5" i="150"/>
  <c r="EI4" i="150"/>
  <c r="EI2" i="150"/>
  <c r="EE2" i="150"/>
  <c r="EQ2" i="150" s="1"/>
  <c r="G5" i="150" s="1"/>
  <c r="EH29" i="150" l="1"/>
  <c r="EH19" i="150"/>
  <c r="EH36" i="150"/>
  <c r="EH20" i="150"/>
  <c r="EH37" i="150"/>
  <c r="EH27" i="150"/>
  <c r="EH42" i="150"/>
  <c r="EH21" i="150"/>
  <c r="EH32" i="150"/>
  <c r="EH15" i="150"/>
  <c r="EH34" i="150"/>
  <c r="EH39" i="150"/>
  <c r="EH22" i="150"/>
  <c r="EH28" i="150"/>
  <c r="EH23" i="150"/>
  <c r="EH41" i="150"/>
  <c r="AH43" i="150"/>
  <c r="ED14" i="150"/>
  <c r="EE14" i="150" s="1"/>
  <c r="EH13" i="150"/>
  <c r="EH30" i="150"/>
  <c r="EH33" i="150"/>
  <c r="EH17" i="150"/>
  <c r="EH26" i="150"/>
  <c r="EH38" i="150"/>
  <c r="EH31" i="150"/>
  <c r="EH14" i="150"/>
  <c r="EH18" i="150"/>
  <c r="ED33" i="150"/>
  <c r="ED17" i="150"/>
  <c r="EE17" i="150" s="1"/>
  <c r="ED37" i="150"/>
  <c r="ED41" i="150"/>
  <c r="ED15" i="150"/>
  <c r="EB15" i="150"/>
  <c r="AN15" i="150"/>
  <c r="EK16" i="150"/>
  <c r="EN16" i="150" s="1"/>
  <c r="AK16" i="150"/>
  <c r="ED16" i="150" s="1"/>
  <c r="EE16" i="150" s="1"/>
  <c r="EC17" i="150"/>
  <c r="EN17" i="150"/>
  <c r="ED18" i="150"/>
  <c r="EE18" i="150" s="1"/>
  <c r="EC14" i="150"/>
  <c r="EM15" i="150"/>
  <c r="CD43" i="150"/>
  <c r="DN43" i="150"/>
  <c r="AQ13" i="150"/>
  <c r="EM13" i="150" s="1"/>
  <c r="EB13" i="150"/>
  <c r="EM14" i="150"/>
  <c r="EN14" i="150" s="1"/>
  <c r="EK15" i="150"/>
  <c r="EN15" i="150" s="1"/>
  <c r="EM30" i="150"/>
  <c r="AT43" i="150"/>
  <c r="BR43" i="150"/>
  <c r="CP43" i="150"/>
  <c r="D43" i="150"/>
  <c r="P43" i="150"/>
  <c r="AB43" i="150"/>
  <c r="EB12" i="150"/>
  <c r="AN12" i="150"/>
  <c r="EK13" i="150"/>
  <c r="EH16" i="150"/>
  <c r="EM16" i="150"/>
  <c r="EM18" i="150"/>
  <c r="EM24" i="150"/>
  <c r="EM33" i="150"/>
  <c r="EN33" i="150" s="1"/>
  <c r="M43" i="150"/>
  <c r="Y43" i="150"/>
  <c r="AK43" i="150"/>
  <c r="AQ43" i="150"/>
  <c r="BL43" i="150"/>
  <c r="BX43" i="150"/>
  <c r="CJ43" i="150"/>
  <c r="CV43" i="150"/>
  <c r="DH43" i="150"/>
  <c r="DT43" i="150"/>
  <c r="EB20" i="150"/>
  <c r="AN20" i="150"/>
  <c r="ED20" i="150" s="1"/>
  <c r="EK20" i="150"/>
  <c r="EB25" i="150"/>
  <c r="EB26" i="150"/>
  <c r="EM29" i="150"/>
  <c r="EK30" i="150"/>
  <c r="AZ30" i="150"/>
  <c r="ED31" i="150"/>
  <c r="EE31" i="150" s="1"/>
  <c r="EC31" i="150"/>
  <c r="EB34" i="150"/>
  <c r="ED35" i="150"/>
  <c r="EE35" i="150" s="1"/>
  <c r="EC35" i="150"/>
  <c r="EM36" i="150"/>
  <c r="EM39" i="150"/>
  <c r="EC42" i="150"/>
  <c r="ED24" i="150"/>
  <c r="EB24" i="150"/>
  <c r="AW24" i="150"/>
  <c r="EK26" i="150"/>
  <c r="AZ26" i="150"/>
  <c r="EM26" i="150" s="1"/>
  <c r="ED38" i="150"/>
  <c r="EE38" i="150" s="1"/>
  <c r="EM41" i="150"/>
  <c r="EN41" i="150" s="1"/>
  <c r="S43" i="150"/>
  <c r="EM17" i="150"/>
  <c r="EK18" i="150"/>
  <c r="EN18" i="150" s="1"/>
  <c r="EK19" i="150"/>
  <c r="EB19" i="150"/>
  <c r="EE23" i="150"/>
  <c r="EH24" i="150"/>
  <c r="EK24" i="150"/>
  <c r="EH25" i="150"/>
  <c r="ED27" i="150"/>
  <c r="EE27" i="150" s="1"/>
  <c r="EM27" i="150"/>
  <c r="EB29" i="150"/>
  <c r="EM31" i="150"/>
  <c r="EN31" i="150" s="1"/>
  <c r="EB33" i="150"/>
  <c r="EM35" i="150"/>
  <c r="EN35" i="150" s="1"/>
  <c r="EM37" i="150"/>
  <c r="EN37" i="150" s="1"/>
  <c r="ED39" i="150"/>
  <c r="EE39" i="150" s="1"/>
  <c r="EH40" i="150"/>
  <c r="EB41" i="150"/>
  <c r="EK42" i="150"/>
  <c r="AZ42" i="150"/>
  <c r="ED42" i="150" s="1"/>
  <c r="EE42" i="150" s="1"/>
  <c r="ED26" i="150"/>
  <c r="EK34" i="150"/>
  <c r="AZ34" i="150"/>
  <c r="EM34" i="150" s="1"/>
  <c r="EH35" i="150"/>
  <c r="EN36" i="150"/>
  <c r="EB40" i="150"/>
  <c r="AW40" i="150"/>
  <c r="EM40" i="150" s="1"/>
  <c r="EN40" i="150" s="1"/>
  <c r="G43" i="150"/>
  <c r="AE43" i="150"/>
  <c r="BI43" i="150"/>
  <c r="BU43" i="150"/>
  <c r="CG43" i="150"/>
  <c r="CS43" i="150"/>
  <c r="DE43" i="150"/>
  <c r="DQ43" i="150"/>
  <c r="EH12" i="150"/>
  <c r="EM12" i="150"/>
  <c r="ED19" i="150"/>
  <c r="AW19" i="150"/>
  <c r="EM19" i="150" s="1"/>
  <c r="EC21" i="150"/>
  <c r="EK22" i="150"/>
  <c r="AZ22" i="150"/>
  <c r="AZ43" i="150" s="1"/>
  <c r="EM23" i="150"/>
  <c r="EB28" i="150"/>
  <c r="AW28" i="150"/>
  <c r="ED28" i="150" s="1"/>
  <c r="EB30" i="150"/>
  <c r="ED32" i="150"/>
  <c r="EB32" i="150"/>
  <c r="AW32" i="150"/>
  <c r="EM32" i="150"/>
  <c r="EN32" i="150" s="1"/>
  <c r="ED36" i="150"/>
  <c r="EB36" i="150"/>
  <c r="AW36" i="150"/>
  <c r="EB37" i="150"/>
  <c r="EK38" i="150"/>
  <c r="EN38" i="150" s="1"/>
  <c r="AZ38" i="150"/>
  <c r="EM38" i="150" s="1"/>
  <c r="AW22" i="150"/>
  <c r="ED22" i="150" s="1"/>
  <c r="EE22" i="150" s="1"/>
  <c r="EK23" i="150"/>
  <c r="EN23" i="150" s="1"/>
  <c r="AW26" i="150"/>
  <c r="EK27" i="150"/>
  <c r="EN27" i="150" s="1"/>
  <c r="AW30" i="150"/>
  <c r="ED30" i="150" s="1"/>
  <c r="AW34" i="150"/>
  <c r="ED34" i="150" s="1"/>
  <c r="EK39" i="150"/>
  <c r="EN39" i="150" s="1"/>
  <c r="EK21" i="150"/>
  <c r="EK25" i="150"/>
  <c r="EK29" i="150"/>
  <c r="EN29" i="150" s="1"/>
  <c r="AN21" i="150"/>
  <c r="EM21" i="150" s="1"/>
  <c r="AW25" i="150"/>
  <c r="ED25" i="150" s="1"/>
  <c r="AW29" i="150"/>
  <c r="ED29" i="150" s="1"/>
  <c r="AW43" i="150" l="1"/>
  <c r="EE29" i="150"/>
  <c r="EC29" i="150"/>
  <c r="EM22" i="150"/>
  <c r="EC36" i="150"/>
  <c r="EE36" i="150"/>
  <c r="EC32" i="150"/>
  <c r="EE32" i="150"/>
  <c r="EM28" i="150"/>
  <c r="EN28" i="150" s="1"/>
  <c r="EN34" i="150"/>
  <c r="EE41" i="150"/>
  <c r="EC41" i="150"/>
  <c r="EM25" i="150"/>
  <c r="EN19" i="150"/>
  <c r="EN30" i="150"/>
  <c r="EC27" i="150"/>
  <c r="EN20" i="150"/>
  <c r="EC18" i="150"/>
  <c r="EC15" i="150"/>
  <c r="EE15" i="150"/>
  <c r="ED21" i="150"/>
  <c r="EE21" i="150" s="1"/>
  <c r="EE26" i="150"/>
  <c r="EC26" i="150"/>
  <c r="EN13" i="150"/>
  <c r="EN25" i="150"/>
  <c r="EE37" i="150"/>
  <c r="EC37" i="150"/>
  <c r="EE30" i="150"/>
  <c r="EC30" i="150"/>
  <c r="EC28" i="150"/>
  <c r="EE28" i="150"/>
  <c r="EN22" i="150"/>
  <c r="EC22" i="150"/>
  <c r="EM20" i="150"/>
  <c r="EM43" i="150" s="1"/>
  <c r="EH43" i="150"/>
  <c r="ED40" i="150"/>
  <c r="EE40" i="150" s="1"/>
  <c r="EN24" i="150"/>
  <c r="EE25" i="150"/>
  <c r="EC25" i="150"/>
  <c r="EC20" i="150"/>
  <c r="EE20" i="150"/>
  <c r="EM42" i="150"/>
  <c r="AN43" i="150"/>
  <c r="ED12" i="150"/>
  <c r="EE12" i="150" s="1"/>
  <c r="EN6" i="150"/>
  <c r="EC40" i="150"/>
  <c r="EC23" i="150"/>
  <c r="EN26" i="150"/>
  <c r="EE34" i="150"/>
  <c r="EC34" i="150"/>
  <c r="EC13" i="150"/>
  <c r="EN12" i="150"/>
  <c r="EC16" i="150"/>
  <c r="EN21" i="150"/>
  <c r="EC38" i="150"/>
  <c r="EN42" i="150"/>
  <c r="EN2" i="150"/>
  <c r="EP2" i="150" s="1"/>
  <c r="EC39" i="150"/>
  <c r="EE33" i="150"/>
  <c r="EC33" i="150"/>
  <c r="EE19" i="150"/>
  <c r="EC19" i="150"/>
  <c r="EC24" i="150"/>
  <c r="EE24" i="150"/>
  <c r="EC12" i="150"/>
  <c r="EE6" i="150"/>
  <c r="G8" i="150" s="1"/>
  <c r="EE4" i="150"/>
  <c r="EN4" i="150"/>
  <c r="EN5" i="150" s="1"/>
  <c r="ED13" i="150"/>
  <c r="EE13" i="150" s="1"/>
  <c r="G6" i="150" l="1"/>
  <c r="EE5" i="150"/>
  <c r="G7" i="150" s="1"/>
  <c r="ED43" i="150"/>
  <c r="EL41" i="149" l="1"/>
  <c r="EG41" i="149"/>
  <c r="EI41" i="149" s="1"/>
  <c r="DW41" i="149"/>
  <c r="DT41" i="149"/>
  <c r="DQ41" i="149"/>
  <c r="DN41" i="149"/>
  <c r="DK41" i="149"/>
  <c r="DH41" i="149"/>
  <c r="DE41" i="149"/>
  <c r="DB41" i="149"/>
  <c r="CY41" i="149"/>
  <c r="CV41" i="149"/>
  <c r="CS41" i="149"/>
  <c r="CP41" i="149"/>
  <c r="CM41" i="149"/>
  <c r="CJ41" i="149"/>
  <c r="CG41" i="149"/>
  <c r="CD41" i="149"/>
  <c r="CA41" i="149"/>
  <c r="BX41" i="149"/>
  <c r="BU41" i="149"/>
  <c r="BR41" i="149"/>
  <c r="BO41" i="149"/>
  <c r="BL41" i="149"/>
  <c r="BI41" i="149"/>
  <c r="BF41" i="149"/>
  <c r="BC41" i="149"/>
  <c r="AX41" i="149"/>
  <c r="AW41" i="149"/>
  <c r="AU41" i="149"/>
  <c r="AT41" i="149"/>
  <c r="AO41" i="149"/>
  <c r="AN41" i="149"/>
  <c r="AK41" i="149"/>
  <c r="AB41" i="149"/>
  <c r="Y41" i="149"/>
  <c r="V41" i="149"/>
  <c r="S41" i="149"/>
  <c r="P41" i="149"/>
  <c r="M41" i="149"/>
  <c r="J41" i="149"/>
  <c r="G41" i="149"/>
  <c r="D41" i="149"/>
  <c r="EL40" i="149"/>
  <c r="EI40" i="149"/>
  <c r="EG40" i="149"/>
  <c r="DW40" i="149"/>
  <c r="DT40" i="149"/>
  <c r="DQ40" i="149"/>
  <c r="DN40" i="149"/>
  <c r="DK40" i="149"/>
  <c r="DH40" i="149"/>
  <c r="DE40" i="149"/>
  <c r="DB40" i="149"/>
  <c r="CY40" i="149"/>
  <c r="CV40" i="149"/>
  <c r="CS40" i="149"/>
  <c r="CP40" i="149"/>
  <c r="CM40" i="149"/>
  <c r="CJ40" i="149"/>
  <c r="CG40" i="149"/>
  <c r="CD40" i="149"/>
  <c r="CA40" i="149"/>
  <c r="BX40" i="149"/>
  <c r="BU40" i="149"/>
  <c r="BR40" i="149"/>
  <c r="BO40" i="149"/>
  <c r="BL40" i="149"/>
  <c r="BI40" i="149"/>
  <c r="BF40" i="149"/>
  <c r="BC40" i="149"/>
  <c r="AX40" i="149"/>
  <c r="AW40" i="149"/>
  <c r="AU40" i="149"/>
  <c r="AT40" i="149"/>
  <c r="AQ40" i="149"/>
  <c r="AO40" i="149"/>
  <c r="EB40" i="149" s="1"/>
  <c r="AN40" i="149"/>
  <c r="AK40" i="149"/>
  <c r="AB40" i="149"/>
  <c r="Y40" i="149"/>
  <c r="V40" i="149"/>
  <c r="S40" i="149"/>
  <c r="P40" i="149"/>
  <c r="M40" i="149"/>
  <c r="J40" i="149"/>
  <c r="G40" i="149"/>
  <c r="D40" i="149"/>
  <c r="EL39" i="149"/>
  <c r="EI39" i="149"/>
  <c r="EG39" i="149"/>
  <c r="DW39" i="149"/>
  <c r="DT39" i="149"/>
  <c r="DQ39" i="149"/>
  <c r="DN39" i="149"/>
  <c r="DK39" i="149"/>
  <c r="DH39" i="149"/>
  <c r="DE39" i="149"/>
  <c r="DB39" i="149"/>
  <c r="CY39" i="149"/>
  <c r="CV39" i="149"/>
  <c r="CS39" i="149"/>
  <c r="CP39" i="149"/>
  <c r="CM39" i="149"/>
  <c r="CJ39" i="149"/>
  <c r="CG39" i="149"/>
  <c r="CD39" i="149"/>
  <c r="CA39" i="149"/>
  <c r="BX39" i="149"/>
  <c r="BU39" i="149"/>
  <c r="BR39" i="149"/>
  <c r="BO39" i="149"/>
  <c r="BL39" i="149"/>
  <c r="BI39" i="149"/>
  <c r="BF39" i="149"/>
  <c r="BC39" i="149"/>
  <c r="AZ39" i="149"/>
  <c r="AX39" i="149"/>
  <c r="EK39" i="149" s="1"/>
  <c r="AU39" i="149"/>
  <c r="AW39" i="149" s="1"/>
  <c r="AT39" i="149"/>
  <c r="AQ39" i="149"/>
  <c r="AO39" i="149"/>
  <c r="EB39" i="149" s="1"/>
  <c r="AN39" i="149"/>
  <c r="AK39" i="149"/>
  <c r="AB39" i="149"/>
  <c r="Y39" i="149"/>
  <c r="V39" i="149"/>
  <c r="S39" i="149"/>
  <c r="P39" i="149"/>
  <c r="M39" i="149"/>
  <c r="J39" i="149"/>
  <c r="G39" i="149"/>
  <c r="D39" i="149"/>
  <c r="EL38" i="149"/>
  <c r="EK38" i="149"/>
  <c r="EG38" i="149"/>
  <c r="EI38" i="149" s="1"/>
  <c r="DW38" i="149"/>
  <c r="DT38" i="149"/>
  <c r="DQ38" i="149"/>
  <c r="DN38" i="149"/>
  <c r="DK38" i="149"/>
  <c r="DH38" i="149"/>
  <c r="DE38" i="149"/>
  <c r="DB38" i="149"/>
  <c r="CY38" i="149"/>
  <c r="CV38" i="149"/>
  <c r="CS38" i="149"/>
  <c r="CP38" i="149"/>
  <c r="CM38" i="149"/>
  <c r="CJ38" i="149"/>
  <c r="CG38" i="149"/>
  <c r="CD38" i="149"/>
  <c r="CA38" i="149"/>
  <c r="BX38" i="149"/>
  <c r="BU38" i="149"/>
  <c r="BR38" i="149"/>
  <c r="BO38" i="149"/>
  <c r="BL38" i="149"/>
  <c r="BI38" i="149"/>
  <c r="BF38" i="149"/>
  <c r="BC38" i="149"/>
  <c r="AZ38" i="149"/>
  <c r="AX38" i="149"/>
  <c r="AU38" i="149"/>
  <c r="AW38" i="149" s="1"/>
  <c r="AT38" i="149"/>
  <c r="AO38" i="149"/>
  <c r="AQ38" i="149" s="1"/>
  <c r="AN38" i="149"/>
  <c r="AK38" i="149"/>
  <c r="AI38" i="149"/>
  <c r="AB38" i="149"/>
  <c r="Y38" i="149"/>
  <c r="V38" i="149"/>
  <c r="S38" i="149"/>
  <c r="P38" i="149"/>
  <c r="M38" i="149"/>
  <c r="J38" i="149"/>
  <c r="G38" i="149"/>
  <c r="D38" i="149"/>
  <c r="EL37" i="149"/>
  <c r="EI37" i="149"/>
  <c r="EG37" i="149"/>
  <c r="DW37" i="149"/>
  <c r="DT37" i="149"/>
  <c r="DQ37" i="149"/>
  <c r="DN37" i="149"/>
  <c r="DK37" i="149"/>
  <c r="DH37" i="149"/>
  <c r="DE37" i="149"/>
  <c r="DB37" i="149"/>
  <c r="CY37" i="149"/>
  <c r="CV37" i="149"/>
  <c r="CS37" i="149"/>
  <c r="CP37" i="149"/>
  <c r="CM37" i="149"/>
  <c r="CJ37" i="149"/>
  <c r="CG37" i="149"/>
  <c r="CD37" i="149"/>
  <c r="CA37" i="149"/>
  <c r="BX37" i="149"/>
  <c r="BU37" i="149"/>
  <c r="BR37" i="149"/>
  <c r="BO37" i="149"/>
  <c r="BL37" i="149"/>
  <c r="BI37" i="149"/>
  <c r="BF37" i="149"/>
  <c r="BC37" i="149"/>
  <c r="AX37" i="149"/>
  <c r="AW37" i="149"/>
  <c r="AU37" i="149"/>
  <c r="AT37" i="149"/>
  <c r="AQ37" i="149"/>
  <c r="AO37" i="149"/>
  <c r="AN37" i="149"/>
  <c r="AI37" i="149"/>
  <c r="AK37" i="149" s="1"/>
  <c r="AB37" i="149"/>
  <c r="Y37" i="149"/>
  <c r="V37" i="149"/>
  <c r="S37" i="149"/>
  <c r="P37" i="149"/>
  <c r="M37" i="149"/>
  <c r="J37" i="149"/>
  <c r="G37" i="149"/>
  <c r="D37" i="149"/>
  <c r="EL36" i="149"/>
  <c r="EG36" i="149"/>
  <c r="EI36" i="149" s="1"/>
  <c r="DW36" i="149"/>
  <c r="DT36" i="149"/>
  <c r="DQ36" i="149"/>
  <c r="DN36" i="149"/>
  <c r="DK36" i="149"/>
  <c r="DH36" i="149"/>
  <c r="DE36" i="149"/>
  <c r="DB36" i="149"/>
  <c r="CY36" i="149"/>
  <c r="CV36" i="149"/>
  <c r="CS36" i="149"/>
  <c r="CP36" i="149"/>
  <c r="CM36" i="149"/>
  <c r="CJ36" i="149"/>
  <c r="CG36" i="149"/>
  <c r="CD36" i="149"/>
  <c r="CA36" i="149"/>
  <c r="BX36" i="149"/>
  <c r="BU36" i="149"/>
  <c r="BR36" i="149"/>
  <c r="BO36" i="149"/>
  <c r="BL36" i="149"/>
  <c r="BI36" i="149"/>
  <c r="BF36" i="149"/>
  <c r="BC36" i="149"/>
  <c r="AZ36" i="149"/>
  <c r="AX36" i="149"/>
  <c r="AU36" i="149"/>
  <c r="AT36" i="149"/>
  <c r="AO36" i="149"/>
  <c r="AQ36" i="149" s="1"/>
  <c r="AN36" i="149"/>
  <c r="AK36" i="149"/>
  <c r="AI36" i="149"/>
  <c r="AB36" i="149"/>
  <c r="Y36" i="149"/>
  <c r="V36" i="149"/>
  <c r="S36" i="149"/>
  <c r="P36" i="149"/>
  <c r="M36" i="149"/>
  <c r="J36" i="149"/>
  <c r="G36" i="149"/>
  <c r="D36" i="149"/>
  <c r="EL35" i="149"/>
  <c r="EI35" i="149"/>
  <c r="EG35" i="149"/>
  <c r="DW35" i="149"/>
  <c r="DT35" i="149"/>
  <c r="DQ35" i="149"/>
  <c r="DN35" i="149"/>
  <c r="DK35" i="149"/>
  <c r="DH35" i="149"/>
  <c r="DE35" i="149"/>
  <c r="DB35" i="149"/>
  <c r="CY35" i="149"/>
  <c r="CV35" i="149"/>
  <c r="CS35" i="149"/>
  <c r="CP35" i="149"/>
  <c r="CM35" i="149"/>
  <c r="CJ35" i="149"/>
  <c r="CG35" i="149"/>
  <c r="CD35" i="149"/>
  <c r="CA35" i="149"/>
  <c r="BX35" i="149"/>
  <c r="BU35" i="149"/>
  <c r="BR35" i="149"/>
  <c r="BO35" i="149"/>
  <c r="BL35" i="149"/>
  <c r="BI35" i="149"/>
  <c r="BF35" i="149"/>
  <c r="BC35" i="149"/>
  <c r="AX35" i="149"/>
  <c r="AW35" i="149"/>
  <c r="AU35" i="149"/>
  <c r="AT35" i="149"/>
  <c r="AQ35" i="149"/>
  <c r="AO35" i="149"/>
  <c r="AN35" i="149"/>
  <c r="AI35" i="149"/>
  <c r="AK35" i="149" s="1"/>
  <c r="AB35" i="149"/>
  <c r="Y35" i="149"/>
  <c r="V35" i="149"/>
  <c r="S35" i="149"/>
  <c r="P35" i="149"/>
  <c r="M35" i="149"/>
  <c r="J35" i="149"/>
  <c r="G35" i="149"/>
  <c r="D35" i="149"/>
  <c r="EL34" i="149"/>
  <c r="EG34" i="149"/>
  <c r="EI34" i="149" s="1"/>
  <c r="DW34" i="149"/>
  <c r="DT34" i="149"/>
  <c r="DQ34" i="149"/>
  <c r="DN34" i="149"/>
  <c r="DK34" i="149"/>
  <c r="DH34" i="149"/>
  <c r="DE34" i="149"/>
  <c r="DB34" i="149"/>
  <c r="CY34" i="149"/>
  <c r="CV34" i="149"/>
  <c r="CS34" i="149"/>
  <c r="CP34" i="149"/>
  <c r="CM34" i="149"/>
  <c r="CJ34" i="149"/>
  <c r="CG34" i="149"/>
  <c r="CD34" i="149"/>
  <c r="CA34" i="149"/>
  <c r="BX34" i="149"/>
  <c r="BU34" i="149"/>
  <c r="BR34" i="149"/>
  <c r="BO34" i="149"/>
  <c r="BL34" i="149"/>
  <c r="BI34" i="149"/>
  <c r="BF34" i="149"/>
  <c r="BC34" i="149"/>
  <c r="AZ34" i="149"/>
  <c r="AX34" i="149"/>
  <c r="AU34" i="149"/>
  <c r="AW34" i="149" s="1"/>
  <c r="AT34" i="149"/>
  <c r="AO34" i="149"/>
  <c r="AQ34" i="149" s="1"/>
  <c r="AN34" i="149"/>
  <c r="AK34" i="149"/>
  <c r="AI34" i="149"/>
  <c r="AB34" i="149"/>
  <c r="Y34" i="149"/>
  <c r="V34" i="149"/>
  <c r="S34" i="149"/>
  <c r="P34" i="149"/>
  <c r="M34" i="149"/>
  <c r="J34" i="149"/>
  <c r="G34" i="149"/>
  <c r="D34" i="149"/>
  <c r="EL33" i="149"/>
  <c r="EI33" i="149"/>
  <c r="EG33" i="149"/>
  <c r="DW33" i="149"/>
  <c r="DT33" i="149"/>
  <c r="DQ33" i="149"/>
  <c r="DN33" i="149"/>
  <c r="DK33" i="149"/>
  <c r="DH33" i="149"/>
  <c r="DE33" i="149"/>
  <c r="DB33" i="149"/>
  <c r="CY33" i="149"/>
  <c r="CV33" i="149"/>
  <c r="CS33" i="149"/>
  <c r="CP33" i="149"/>
  <c r="CM33" i="149"/>
  <c r="CJ33" i="149"/>
  <c r="CG33" i="149"/>
  <c r="CD33" i="149"/>
  <c r="CA33" i="149"/>
  <c r="BX33" i="149"/>
  <c r="BU33" i="149"/>
  <c r="BR33" i="149"/>
  <c r="BO33" i="149"/>
  <c r="BL33" i="149"/>
  <c r="BI33" i="149"/>
  <c r="BF33" i="149"/>
  <c r="BC33" i="149"/>
  <c r="AX33" i="149"/>
  <c r="AW33" i="149"/>
  <c r="AU33" i="149"/>
  <c r="AT33" i="149"/>
  <c r="AQ33" i="149"/>
  <c r="AO33" i="149"/>
  <c r="EB33" i="149" s="1"/>
  <c r="AN33" i="149"/>
  <c r="AI33" i="149"/>
  <c r="AK33" i="149" s="1"/>
  <c r="AB33" i="149"/>
  <c r="Y33" i="149"/>
  <c r="V33" i="149"/>
  <c r="S33" i="149"/>
  <c r="P33" i="149"/>
  <c r="M33" i="149"/>
  <c r="J33" i="149"/>
  <c r="G33" i="149"/>
  <c r="D33" i="149"/>
  <c r="EL32" i="149"/>
  <c r="EK32" i="149"/>
  <c r="EG32" i="149"/>
  <c r="EI32" i="149" s="1"/>
  <c r="DW32" i="149"/>
  <c r="DT32" i="149"/>
  <c r="DQ32" i="149"/>
  <c r="DN32" i="149"/>
  <c r="DK32" i="149"/>
  <c r="DH32" i="149"/>
  <c r="DE32" i="149"/>
  <c r="DB32" i="149"/>
  <c r="CY32" i="149"/>
  <c r="CV32" i="149"/>
  <c r="CS32" i="149"/>
  <c r="CP32" i="149"/>
  <c r="CM32" i="149"/>
  <c r="CJ32" i="149"/>
  <c r="CG32" i="149"/>
  <c r="CD32" i="149"/>
  <c r="CA32" i="149"/>
  <c r="BX32" i="149"/>
  <c r="BU32" i="149"/>
  <c r="BR32" i="149"/>
  <c r="BO32" i="149"/>
  <c r="BL32" i="149"/>
  <c r="BI32" i="149"/>
  <c r="BF32" i="149"/>
  <c r="BC32" i="149"/>
  <c r="AX32" i="149"/>
  <c r="AZ32" i="149" s="1"/>
  <c r="AU32" i="149"/>
  <c r="AW32" i="149" s="1"/>
  <c r="AT32" i="149"/>
  <c r="AO32" i="149"/>
  <c r="AQ32" i="149" s="1"/>
  <c r="AN32" i="149"/>
  <c r="AI32" i="149"/>
  <c r="AK32" i="149" s="1"/>
  <c r="AB32" i="149"/>
  <c r="Y32" i="149"/>
  <c r="V32" i="149"/>
  <c r="S32" i="149"/>
  <c r="P32" i="149"/>
  <c r="M32" i="149"/>
  <c r="J32" i="149"/>
  <c r="G32" i="149"/>
  <c r="D32" i="149"/>
  <c r="EL31" i="149"/>
  <c r="EG31" i="149"/>
  <c r="EI31" i="149" s="1"/>
  <c r="DW31" i="149"/>
  <c r="DT31" i="149"/>
  <c r="DQ31" i="149"/>
  <c r="DN31" i="149"/>
  <c r="DK31" i="149"/>
  <c r="DH31" i="149"/>
  <c r="DE31" i="149"/>
  <c r="DB31" i="149"/>
  <c r="CY31" i="149"/>
  <c r="CV31" i="149"/>
  <c r="CS31" i="149"/>
  <c r="CP31" i="149"/>
  <c r="CM31" i="149"/>
  <c r="CJ31" i="149"/>
  <c r="CG31" i="149"/>
  <c r="CD31" i="149"/>
  <c r="CA31" i="149"/>
  <c r="BX31" i="149"/>
  <c r="BU31" i="149"/>
  <c r="BR31" i="149"/>
  <c r="BO31" i="149"/>
  <c r="BL31" i="149"/>
  <c r="BI31" i="149"/>
  <c r="BF31" i="149"/>
  <c r="BC31" i="149"/>
  <c r="AX31" i="149"/>
  <c r="AU31" i="149"/>
  <c r="AW31" i="149" s="1"/>
  <c r="AT31" i="149"/>
  <c r="AQ31" i="149"/>
  <c r="AO31" i="149"/>
  <c r="EB31" i="149" s="1"/>
  <c r="AN31" i="149"/>
  <c r="AI31" i="149"/>
  <c r="AK31" i="149" s="1"/>
  <c r="AB31" i="149"/>
  <c r="Y31" i="149"/>
  <c r="V31" i="149"/>
  <c r="S31" i="149"/>
  <c r="P31" i="149"/>
  <c r="M31" i="149"/>
  <c r="J31" i="149"/>
  <c r="G31" i="149"/>
  <c r="D31" i="149"/>
  <c r="EL30" i="149"/>
  <c r="EK30" i="149"/>
  <c r="EI30" i="149"/>
  <c r="EG30" i="149"/>
  <c r="DW30" i="149"/>
  <c r="DT30" i="149"/>
  <c r="EM30" i="149" s="1"/>
  <c r="DQ30" i="149"/>
  <c r="DN30" i="149"/>
  <c r="DK30" i="149"/>
  <c r="DH30" i="149"/>
  <c r="DE30" i="149"/>
  <c r="DB30" i="149"/>
  <c r="CY30" i="149"/>
  <c r="CV30" i="149"/>
  <c r="CS30" i="149"/>
  <c r="CP30" i="149"/>
  <c r="CM30" i="149"/>
  <c r="CJ30" i="149"/>
  <c r="CG30" i="149"/>
  <c r="CD30" i="149"/>
  <c r="CA30" i="149"/>
  <c r="BX30" i="149"/>
  <c r="BU30" i="149"/>
  <c r="BR30" i="149"/>
  <c r="BO30" i="149"/>
  <c r="BL30" i="149"/>
  <c r="BI30" i="149"/>
  <c r="BF30" i="149"/>
  <c r="BC30" i="149"/>
  <c r="AX30" i="149"/>
  <c r="AZ30" i="149" s="1"/>
  <c r="AU30" i="149"/>
  <c r="AW30" i="149" s="1"/>
  <c r="AT30" i="149"/>
  <c r="AQ30" i="149"/>
  <c r="AO30" i="149"/>
  <c r="AN30" i="149"/>
  <c r="AL30" i="149"/>
  <c r="EB30" i="149" s="1"/>
  <c r="AK30" i="149"/>
  <c r="AI30" i="149"/>
  <c r="AB30" i="149"/>
  <c r="Y30" i="149"/>
  <c r="V30" i="149"/>
  <c r="S30" i="149"/>
  <c r="P30" i="149"/>
  <c r="M30" i="149"/>
  <c r="J30" i="149"/>
  <c r="G30" i="149"/>
  <c r="D30" i="149"/>
  <c r="EL29" i="149"/>
  <c r="EI29" i="149"/>
  <c r="EG29" i="149"/>
  <c r="DW29" i="149"/>
  <c r="DT29" i="149"/>
  <c r="DQ29" i="149"/>
  <c r="DN29" i="149"/>
  <c r="DK29" i="149"/>
  <c r="DH29" i="149"/>
  <c r="DE29" i="149"/>
  <c r="DB29" i="149"/>
  <c r="CY29" i="149"/>
  <c r="CV29" i="149"/>
  <c r="CS29" i="149"/>
  <c r="CP29" i="149"/>
  <c r="CM29" i="149"/>
  <c r="CJ29" i="149"/>
  <c r="CG29" i="149"/>
  <c r="CD29" i="149"/>
  <c r="CA29" i="149"/>
  <c r="BX29" i="149"/>
  <c r="BU29" i="149"/>
  <c r="BR29" i="149"/>
  <c r="BO29" i="149"/>
  <c r="BL29" i="149"/>
  <c r="BI29" i="149"/>
  <c r="BF29" i="149"/>
  <c r="BC29" i="149"/>
  <c r="AZ29" i="149"/>
  <c r="AX29" i="149"/>
  <c r="AW29" i="149"/>
  <c r="AU29" i="149"/>
  <c r="AT29" i="149"/>
  <c r="AO29" i="149"/>
  <c r="AQ29" i="149" s="1"/>
  <c r="AL29" i="149"/>
  <c r="AI29" i="149"/>
  <c r="AK29" i="149" s="1"/>
  <c r="AB29" i="149"/>
  <c r="Y29" i="149"/>
  <c r="V29" i="149"/>
  <c r="S29" i="149"/>
  <c r="P29" i="149"/>
  <c r="M29" i="149"/>
  <c r="J29" i="149"/>
  <c r="G29" i="149"/>
  <c r="D29" i="149"/>
  <c r="EL28" i="149"/>
  <c r="EG28" i="149"/>
  <c r="EI28" i="149" s="1"/>
  <c r="DW28" i="149"/>
  <c r="DT28" i="149"/>
  <c r="DQ28" i="149"/>
  <c r="DN28" i="149"/>
  <c r="DK28" i="149"/>
  <c r="DH28" i="149"/>
  <c r="DE28" i="149"/>
  <c r="DB28" i="149"/>
  <c r="CY28" i="149"/>
  <c r="CV28" i="149"/>
  <c r="CS28" i="149"/>
  <c r="CP28" i="149"/>
  <c r="CM28" i="149"/>
  <c r="CJ28" i="149"/>
  <c r="CG28" i="149"/>
  <c r="CD28" i="149"/>
  <c r="CA28" i="149"/>
  <c r="BX28" i="149"/>
  <c r="BU28" i="149"/>
  <c r="BR28" i="149"/>
  <c r="BO28" i="149"/>
  <c r="BL28" i="149"/>
  <c r="BI28" i="149"/>
  <c r="BF28" i="149"/>
  <c r="BC28" i="149"/>
  <c r="AX28" i="149"/>
  <c r="AU28" i="149"/>
  <c r="AW28" i="149" s="1"/>
  <c r="AT28" i="149"/>
  <c r="AQ28" i="149"/>
  <c r="AO28" i="149"/>
  <c r="AN28" i="149"/>
  <c r="AL28" i="149"/>
  <c r="AK28" i="149"/>
  <c r="AI28" i="149"/>
  <c r="AB28" i="149"/>
  <c r="Y28" i="149"/>
  <c r="V28" i="149"/>
  <c r="S28" i="149"/>
  <c r="P28" i="149"/>
  <c r="M28" i="149"/>
  <c r="J28" i="149"/>
  <c r="G28" i="149"/>
  <c r="D28" i="149"/>
  <c r="EL27" i="149"/>
  <c r="EG27" i="149"/>
  <c r="EI27" i="149" s="1"/>
  <c r="DW27" i="149"/>
  <c r="DT27" i="149"/>
  <c r="DQ27" i="149"/>
  <c r="DN27" i="149"/>
  <c r="DK27" i="149"/>
  <c r="DH27" i="149"/>
  <c r="DE27" i="149"/>
  <c r="DB27" i="149"/>
  <c r="CY27" i="149"/>
  <c r="CV27" i="149"/>
  <c r="CS27" i="149"/>
  <c r="CP27" i="149"/>
  <c r="CM27" i="149"/>
  <c r="CJ27" i="149"/>
  <c r="CG27" i="149"/>
  <c r="CD27" i="149"/>
  <c r="CA27" i="149"/>
  <c r="BX27" i="149"/>
  <c r="BU27" i="149"/>
  <c r="BR27" i="149"/>
  <c r="BO27" i="149"/>
  <c r="BL27" i="149"/>
  <c r="BI27" i="149"/>
  <c r="BF27" i="149"/>
  <c r="BC27" i="149"/>
  <c r="AZ27" i="149"/>
  <c r="AX27" i="149"/>
  <c r="AW27" i="149"/>
  <c r="AU27" i="149"/>
  <c r="AT27" i="149"/>
  <c r="AO27" i="149"/>
  <c r="AL27" i="149"/>
  <c r="AN27" i="149" s="1"/>
  <c r="AI27" i="149"/>
  <c r="AK27" i="149" s="1"/>
  <c r="AB27" i="149"/>
  <c r="Y27" i="149"/>
  <c r="V27" i="149"/>
  <c r="S27" i="149"/>
  <c r="P27" i="149"/>
  <c r="M27" i="149"/>
  <c r="J27" i="149"/>
  <c r="G27" i="149"/>
  <c r="D27" i="149"/>
  <c r="EL26" i="149"/>
  <c r="EK26" i="149"/>
  <c r="EI26" i="149"/>
  <c r="EG26" i="149"/>
  <c r="DW26" i="149"/>
  <c r="DT26" i="149"/>
  <c r="DQ26" i="149"/>
  <c r="DN26" i="149"/>
  <c r="DK26" i="149"/>
  <c r="DH26" i="149"/>
  <c r="DE26" i="149"/>
  <c r="DB26" i="149"/>
  <c r="CY26" i="149"/>
  <c r="CV26" i="149"/>
  <c r="CS26" i="149"/>
  <c r="CP26" i="149"/>
  <c r="CM26" i="149"/>
  <c r="CJ26" i="149"/>
  <c r="CG26" i="149"/>
  <c r="CD26" i="149"/>
  <c r="CA26" i="149"/>
  <c r="BX26" i="149"/>
  <c r="BU26" i="149"/>
  <c r="BR26" i="149"/>
  <c r="BO26" i="149"/>
  <c r="BL26" i="149"/>
  <c r="BI26" i="149"/>
  <c r="BF26" i="149"/>
  <c r="BC26" i="149"/>
  <c r="AX26" i="149"/>
  <c r="AZ26" i="149" s="1"/>
  <c r="AU26" i="149"/>
  <c r="AW26" i="149" s="1"/>
  <c r="AT26" i="149"/>
  <c r="AQ26" i="149"/>
  <c r="AO26" i="149"/>
  <c r="AN26" i="149"/>
  <c r="AL26" i="149"/>
  <c r="EB26" i="149" s="1"/>
  <c r="AK26" i="149"/>
  <c r="AI26" i="149"/>
  <c r="AB26" i="149"/>
  <c r="Y26" i="149"/>
  <c r="V26" i="149"/>
  <c r="S26" i="149"/>
  <c r="P26" i="149"/>
  <c r="M26" i="149"/>
  <c r="J26" i="149"/>
  <c r="G26" i="149"/>
  <c r="D26" i="149"/>
  <c r="EL25" i="149"/>
  <c r="EI25" i="149"/>
  <c r="EG25" i="149"/>
  <c r="DW25" i="149"/>
  <c r="DT25" i="149"/>
  <c r="DQ25" i="149"/>
  <c r="DN25" i="149"/>
  <c r="DK25" i="149"/>
  <c r="DH25" i="149"/>
  <c r="DE25" i="149"/>
  <c r="DB25" i="149"/>
  <c r="CY25" i="149"/>
  <c r="CV25" i="149"/>
  <c r="CS25" i="149"/>
  <c r="CP25" i="149"/>
  <c r="CM25" i="149"/>
  <c r="CJ25" i="149"/>
  <c r="CG25" i="149"/>
  <c r="CD25" i="149"/>
  <c r="CA25" i="149"/>
  <c r="BX25" i="149"/>
  <c r="BU25" i="149"/>
  <c r="BR25" i="149"/>
  <c r="BO25" i="149"/>
  <c r="BL25" i="149"/>
  <c r="BI25" i="149"/>
  <c r="BF25" i="149"/>
  <c r="BC25" i="149"/>
  <c r="AZ25" i="149"/>
  <c r="AX25" i="149"/>
  <c r="EK25" i="149" s="1"/>
  <c r="AW25" i="149"/>
  <c r="AU25" i="149"/>
  <c r="AT25" i="149"/>
  <c r="AO25" i="149"/>
  <c r="AQ25" i="149" s="1"/>
  <c r="AL25" i="149"/>
  <c r="AI25" i="149"/>
  <c r="AK25" i="149" s="1"/>
  <c r="AB25" i="149"/>
  <c r="Y25" i="149"/>
  <c r="V25" i="149"/>
  <c r="S25" i="149"/>
  <c r="P25" i="149"/>
  <c r="M25" i="149"/>
  <c r="J25" i="149"/>
  <c r="G25" i="149"/>
  <c r="D25" i="149"/>
  <c r="EL24" i="149"/>
  <c r="EG24" i="149"/>
  <c r="EI24" i="149" s="1"/>
  <c r="DW24" i="149"/>
  <c r="DT24" i="149"/>
  <c r="DQ24" i="149"/>
  <c r="DN24" i="149"/>
  <c r="DK24" i="149"/>
  <c r="DH24" i="149"/>
  <c r="DE24" i="149"/>
  <c r="DB24" i="149"/>
  <c r="CY24" i="149"/>
  <c r="CV24" i="149"/>
  <c r="CS24" i="149"/>
  <c r="CP24" i="149"/>
  <c r="CM24" i="149"/>
  <c r="CJ24" i="149"/>
  <c r="CG24" i="149"/>
  <c r="CD24" i="149"/>
  <c r="CA24" i="149"/>
  <c r="BX24" i="149"/>
  <c r="BU24" i="149"/>
  <c r="BR24" i="149"/>
  <c r="BO24" i="149"/>
  <c r="BL24" i="149"/>
  <c r="BI24" i="149"/>
  <c r="BF24" i="149"/>
  <c r="BC24" i="149"/>
  <c r="AX24" i="149"/>
  <c r="AU24" i="149"/>
  <c r="AW24" i="149" s="1"/>
  <c r="AT24" i="149"/>
  <c r="AQ24" i="149"/>
  <c r="AO24" i="149"/>
  <c r="EB24" i="149" s="1"/>
  <c r="AN24" i="149"/>
  <c r="AL24" i="149"/>
  <c r="AK24" i="149"/>
  <c r="AI24" i="149"/>
  <c r="AB24" i="149"/>
  <c r="Y24" i="149"/>
  <c r="V24" i="149"/>
  <c r="S24" i="149"/>
  <c r="P24" i="149"/>
  <c r="M24" i="149"/>
  <c r="J24" i="149"/>
  <c r="G24" i="149"/>
  <c r="D24" i="149"/>
  <c r="EL23" i="149"/>
  <c r="EG23" i="149"/>
  <c r="EI23" i="149" s="1"/>
  <c r="DW23" i="149"/>
  <c r="DT23" i="149"/>
  <c r="EM23" i="149" s="1"/>
  <c r="DQ23" i="149"/>
  <c r="DN23" i="149"/>
  <c r="DK23" i="149"/>
  <c r="DH23" i="149"/>
  <c r="DE23" i="149"/>
  <c r="DB23" i="149"/>
  <c r="CY23" i="149"/>
  <c r="CV23" i="149"/>
  <c r="CS23" i="149"/>
  <c r="CP23" i="149"/>
  <c r="CM23" i="149"/>
  <c r="CJ23" i="149"/>
  <c r="CG23" i="149"/>
  <c r="CD23" i="149"/>
  <c r="CA23" i="149"/>
  <c r="BX23" i="149"/>
  <c r="BU23" i="149"/>
  <c r="BR23" i="149"/>
  <c r="BO23" i="149"/>
  <c r="BL23" i="149"/>
  <c r="BI23" i="149"/>
  <c r="BF23" i="149"/>
  <c r="BC23" i="149"/>
  <c r="AZ23" i="149"/>
  <c r="AX23" i="149"/>
  <c r="AW23" i="149"/>
  <c r="AU23" i="149"/>
  <c r="AT23" i="149"/>
  <c r="AO23" i="149"/>
  <c r="AQ23" i="149" s="1"/>
  <c r="AL23" i="149"/>
  <c r="AN23" i="149" s="1"/>
  <c r="AI23" i="149"/>
  <c r="AK23" i="149" s="1"/>
  <c r="AB23" i="149"/>
  <c r="Y23" i="149"/>
  <c r="V23" i="149"/>
  <c r="S23" i="149"/>
  <c r="P23" i="149"/>
  <c r="M23" i="149"/>
  <c r="J23" i="149"/>
  <c r="G23" i="149"/>
  <c r="D23" i="149"/>
  <c r="EL22" i="149"/>
  <c r="EI22" i="149"/>
  <c r="EG22" i="149"/>
  <c r="DW22" i="149"/>
  <c r="DT22" i="149"/>
  <c r="DQ22" i="149"/>
  <c r="DN22" i="149"/>
  <c r="DK22" i="149"/>
  <c r="DH22" i="149"/>
  <c r="DE22" i="149"/>
  <c r="DB22" i="149"/>
  <c r="CY22" i="149"/>
  <c r="CV22" i="149"/>
  <c r="CS22" i="149"/>
  <c r="CP22" i="149"/>
  <c r="CM22" i="149"/>
  <c r="CJ22" i="149"/>
  <c r="CG22" i="149"/>
  <c r="CD22" i="149"/>
  <c r="CA22" i="149"/>
  <c r="BX22" i="149"/>
  <c r="BU22" i="149"/>
  <c r="BR22" i="149"/>
  <c r="BO22" i="149"/>
  <c r="BL22" i="149"/>
  <c r="BI22" i="149"/>
  <c r="BF22" i="149"/>
  <c r="BC22" i="149"/>
  <c r="AX22" i="149"/>
  <c r="AZ22" i="149" s="1"/>
  <c r="AU22" i="149"/>
  <c r="AW22" i="149" s="1"/>
  <c r="AT22" i="149"/>
  <c r="AQ22" i="149"/>
  <c r="AO22" i="149"/>
  <c r="AN22" i="149"/>
  <c r="AL22" i="149"/>
  <c r="EB22" i="149" s="1"/>
  <c r="AK22" i="149"/>
  <c r="AI22" i="149"/>
  <c r="AB22" i="149"/>
  <c r="Y22" i="149"/>
  <c r="V22" i="149"/>
  <c r="S22" i="149"/>
  <c r="P22" i="149"/>
  <c r="M22" i="149"/>
  <c r="J22" i="149"/>
  <c r="G22" i="149"/>
  <c r="D22" i="149"/>
  <c r="EL21" i="149"/>
  <c r="EI21" i="149"/>
  <c r="EG21" i="149"/>
  <c r="DW21" i="149"/>
  <c r="DT21" i="149"/>
  <c r="DQ21" i="149"/>
  <c r="DN21" i="149"/>
  <c r="DK21" i="149"/>
  <c r="DH21" i="149"/>
  <c r="DE21" i="149"/>
  <c r="DB21" i="149"/>
  <c r="CY21" i="149"/>
  <c r="CV21" i="149"/>
  <c r="CS21" i="149"/>
  <c r="CP21" i="149"/>
  <c r="CM21" i="149"/>
  <c r="CJ21" i="149"/>
  <c r="CG21" i="149"/>
  <c r="CD21" i="149"/>
  <c r="CA21" i="149"/>
  <c r="BX21" i="149"/>
  <c r="BU21" i="149"/>
  <c r="BR21" i="149"/>
  <c r="BO21" i="149"/>
  <c r="BL21" i="149"/>
  <c r="BI21" i="149"/>
  <c r="BF21" i="149"/>
  <c r="BC21" i="149"/>
  <c r="AX21" i="149"/>
  <c r="AW21" i="149"/>
  <c r="AU21" i="149"/>
  <c r="AT21" i="149"/>
  <c r="AO21" i="149"/>
  <c r="AQ21" i="149" s="1"/>
  <c r="AL21" i="149"/>
  <c r="AI21" i="149"/>
  <c r="AK21" i="149" s="1"/>
  <c r="AB21" i="149"/>
  <c r="Y21" i="149"/>
  <c r="V21" i="149"/>
  <c r="S21" i="149"/>
  <c r="P21" i="149"/>
  <c r="M21" i="149"/>
  <c r="J21" i="149"/>
  <c r="G21" i="149"/>
  <c r="D21" i="149"/>
  <c r="EL20" i="149"/>
  <c r="EG20" i="149"/>
  <c r="EI20" i="149" s="1"/>
  <c r="DW20" i="149"/>
  <c r="DT20" i="149"/>
  <c r="DQ20" i="149"/>
  <c r="DN20" i="149"/>
  <c r="DK20" i="149"/>
  <c r="DH20" i="149"/>
  <c r="DE20" i="149"/>
  <c r="DB20" i="149"/>
  <c r="CY20" i="149"/>
  <c r="CV20" i="149"/>
  <c r="CS20" i="149"/>
  <c r="CP20" i="149"/>
  <c r="CM20" i="149"/>
  <c r="CJ20" i="149"/>
  <c r="CG20" i="149"/>
  <c r="CD20" i="149"/>
  <c r="CA20" i="149"/>
  <c r="BX20" i="149"/>
  <c r="BU20" i="149"/>
  <c r="BR20" i="149"/>
  <c r="BO20" i="149"/>
  <c r="BL20" i="149"/>
  <c r="BI20" i="149"/>
  <c r="BF20" i="149"/>
  <c r="BC20" i="149"/>
  <c r="AZ20" i="149"/>
  <c r="AX20" i="149"/>
  <c r="EK20" i="149" s="1"/>
  <c r="AU20" i="149"/>
  <c r="AW20" i="149" s="1"/>
  <c r="AT20" i="149"/>
  <c r="AR20" i="149"/>
  <c r="AO20" i="149"/>
  <c r="EB20" i="149" s="1"/>
  <c r="AN20" i="149"/>
  <c r="AL20" i="149"/>
  <c r="AK20" i="149"/>
  <c r="AB20" i="149"/>
  <c r="Y20" i="149"/>
  <c r="V20" i="149"/>
  <c r="S20" i="149"/>
  <c r="P20" i="149"/>
  <c r="M20" i="149"/>
  <c r="J20" i="149"/>
  <c r="G20" i="149"/>
  <c r="D20" i="149"/>
  <c r="EL19" i="149"/>
  <c r="EI19" i="149"/>
  <c r="EG19" i="149"/>
  <c r="DW19" i="149"/>
  <c r="DT19" i="149"/>
  <c r="DQ19" i="149"/>
  <c r="DN19" i="149"/>
  <c r="DK19" i="149"/>
  <c r="DH19" i="149"/>
  <c r="DE19" i="149"/>
  <c r="DB19" i="149"/>
  <c r="CY19" i="149"/>
  <c r="CV19" i="149"/>
  <c r="CS19" i="149"/>
  <c r="CP19" i="149"/>
  <c r="CM19" i="149"/>
  <c r="CJ19" i="149"/>
  <c r="CG19" i="149"/>
  <c r="CD19" i="149"/>
  <c r="CA19" i="149"/>
  <c r="BX19" i="149"/>
  <c r="BU19" i="149"/>
  <c r="BR19" i="149"/>
  <c r="BO19" i="149"/>
  <c r="BL19" i="149"/>
  <c r="BI19" i="149"/>
  <c r="BF19" i="149"/>
  <c r="BC19" i="149"/>
  <c r="AX19" i="149"/>
  <c r="AU19" i="149"/>
  <c r="AW19" i="149" s="1"/>
  <c r="AR19" i="149"/>
  <c r="AT19" i="149" s="1"/>
  <c r="AO19" i="149"/>
  <c r="AQ19" i="149" s="1"/>
  <c r="AL19" i="149"/>
  <c r="AK19" i="149"/>
  <c r="AB19" i="149"/>
  <c r="Y19" i="149"/>
  <c r="V19" i="149"/>
  <c r="S19" i="149"/>
  <c r="P19" i="149"/>
  <c r="M19" i="149"/>
  <c r="J19" i="149"/>
  <c r="G19" i="149"/>
  <c r="D19" i="149"/>
  <c r="EL18" i="149"/>
  <c r="EG18" i="149"/>
  <c r="EI18" i="149" s="1"/>
  <c r="EB18" i="149"/>
  <c r="DW18" i="149"/>
  <c r="DT18" i="149"/>
  <c r="DQ18" i="149"/>
  <c r="DN18" i="149"/>
  <c r="DK18" i="149"/>
  <c r="DH18" i="149"/>
  <c r="DE18" i="149"/>
  <c r="DB18" i="149"/>
  <c r="CY18" i="149"/>
  <c r="CV18" i="149"/>
  <c r="CS18" i="149"/>
  <c r="CP18" i="149"/>
  <c r="CM18" i="149"/>
  <c r="CJ18" i="149"/>
  <c r="CG18" i="149"/>
  <c r="CD18" i="149"/>
  <c r="CA18" i="149"/>
  <c r="BX18" i="149"/>
  <c r="BU18" i="149"/>
  <c r="BR18" i="149"/>
  <c r="BO18" i="149"/>
  <c r="BL18" i="149"/>
  <c r="BI18" i="149"/>
  <c r="BF18" i="149"/>
  <c r="BC18" i="149"/>
  <c r="AX18" i="149"/>
  <c r="EK18" i="149" s="1"/>
  <c r="AW18" i="149"/>
  <c r="AU18" i="149"/>
  <c r="AR18" i="149"/>
  <c r="AT18" i="149" s="1"/>
  <c r="AQ18" i="149"/>
  <c r="AO18" i="149"/>
  <c r="AL18" i="149"/>
  <c r="AN18" i="149" s="1"/>
  <c r="AK18" i="149"/>
  <c r="AB18" i="149"/>
  <c r="Y18" i="149"/>
  <c r="V18" i="149"/>
  <c r="S18" i="149"/>
  <c r="P18" i="149"/>
  <c r="M18" i="149"/>
  <c r="J18" i="149"/>
  <c r="G18" i="149"/>
  <c r="D18" i="149"/>
  <c r="EL17" i="149"/>
  <c r="EG17" i="149"/>
  <c r="EI17" i="149" s="1"/>
  <c r="DW17" i="149"/>
  <c r="DT17" i="149"/>
  <c r="DQ17" i="149"/>
  <c r="DN17" i="149"/>
  <c r="DK17" i="149"/>
  <c r="DH17" i="149"/>
  <c r="DE17" i="149"/>
  <c r="DB17" i="149"/>
  <c r="CY17" i="149"/>
  <c r="CV17" i="149"/>
  <c r="CS17" i="149"/>
  <c r="CP17" i="149"/>
  <c r="CM17" i="149"/>
  <c r="CJ17" i="149"/>
  <c r="CG17" i="149"/>
  <c r="CD17" i="149"/>
  <c r="CA17" i="149"/>
  <c r="BX17" i="149"/>
  <c r="BU17" i="149"/>
  <c r="BR17" i="149"/>
  <c r="BO17" i="149"/>
  <c r="BL17" i="149"/>
  <c r="BI17" i="149"/>
  <c r="BF17" i="149"/>
  <c r="BC17" i="149"/>
  <c r="AX17" i="149"/>
  <c r="AZ17" i="149" s="1"/>
  <c r="AU17" i="149"/>
  <c r="AW17" i="149" s="1"/>
  <c r="AR17" i="149"/>
  <c r="AT17" i="149" s="1"/>
  <c r="AO17" i="149"/>
  <c r="AL17" i="149"/>
  <c r="AN17" i="149" s="1"/>
  <c r="AK17" i="149"/>
  <c r="AB17" i="149"/>
  <c r="Y17" i="149"/>
  <c r="V17" i="149"/>
  <c r="S17" i="149"/>
  <c r="P17" i="149"/>
  <c r="M17" i="149"/>
  <c r="J17" i="149"/>
  <c r="G17" i="149"/>
  <c r="D17" i="149"/>
  <c r="EL16" i="149"/>
  <c r="EI16" i="149"/>
  <c r="EG16" i="149"/>
  <c r="DW16" i="149"/>
  <c r="DT16" i="149"/>
  <c r="DQ16" i="149"/>
  <c r="DN16" i="149"/>
  <c r="DK16" i="149"/>
  <c r="DH16" i="149"/>
  <c r="DE16" i="149"/>
  <c r="DB16" i="149"/>
  <c r="CY16" i="149"/>
  <c r="CV16" i="149"/>
  <c r="CS16" i="149"/>
  <c r="CP16" i="149"/>
  <c r="CM16" i="149"/>
  <c r="CJ16" i="149"/>
  <c r="CG16" i="149"/>
  <c r="CD16" i="149"/>
  <c r="CA16" i="149"/>
  <c r="BX16" i="149"/>
  <c r="BU16" i="149"/>
  <c r="BR16" i="149"/>
  <c r="BO16" i="149"/>
  <c r="BL16" i="149"/>
  <c r="BI16" i="149"/>
  <c r="BF16" i="149"/>
  <c r="BC16" i="149"/>
  <c r="AZ16" i="149"/>
  <c r="AU16" i="149"/>
  <c r="AW16" i="149" s="1"/>
  <c r="AR16" i="149"/>
  <c r="AO16" i="149"/>
  <c r="AQ16" i="149" s="1"/>
  <c r="AL16" i="149"/>
  <c r="AK16" i="149"/>
  <c r="AB16" i="149"/>
  <c r="Y16" i="149"/>
  <c r="V16" i="149"/>
  <c r="S16" i="149"/>
  <c r="P16" i="149"/>
  <c r="M16" i="149"/>
  <c r="J16" i="149"/>
  <c r="G16" i="149"/>
  <c r="D16" i="149"/>
  <c r="EL15" i="149"/>
  <c r="EG15" i="149"/>
  <c r="EI15" i="149" s="1"/>
  <c r="EB15" i="149"/>
  <c r="DW15" i="149"/>
  <c r="DT15" i="149"/>
  <c r="DQ15" i="149"/>
  <c r="DN15" i="149"/>
  <c r="DK15" i="149"/>
  <c r="DH15" i="149"/>
  <c r="DE15" i="149"/>
  <c r="DB15" i="149"/>
  <c r="CY15" i="149"/>
  <c r="CV15" i="149"/>
  <c r="CS15" i="149"/>
  <c r="CP15" i="149"/>
  <c r="CM15" i="149"/>
  <c r="CJ15" i="149"/>
  <c r="CG15" i="149"/>
  <c r="CD15" i="149"/>
  <c r="CA15" i="149"/>
  <c r="BX15" i="149"/>
  <c r="BU15" i="149"/>
  <c r="BR15" i="149"/>
  <c r="BO15" i="149"/>
  <c r="BL15" i="149"/>
  <c r="BI15" i="149"/>
  <c r="BF15" i="149"/>
  <c r="BC15" i="149"/>
  <c r="AZ15" i="149"/>
  <c r="AW15" i="149"/>
  <c r="AT15" i="149"/>
  <c r="AR15" i="149"/>
  <c r="EK15" i="149" s="1"/>
  <c r="AO15" i="149"/>
  <c r="AQ15" i="149" s="1"/>
  <c r="AN15" i="149"/>
  <c r="AL15" i="149"/>
  <c r="AK15" i="149"/>
  <c r="AB15" i="149"/>
  <c r="Y15" i="149"/>
  <c r="V15" i="149"/>
  <c r="S15" i="149"/>
  <c r="P15" i="149"/>
  <c r="M15" i="149"/>
  <c r="J15" i="149"/>
  <c r="G15" i="149"/>
  <c r="D15" i="149"/>
  <c r="EL14" i="149"/>
  <c r="EI14" i="149"/>
  <c r="EG14" i="149"/>
  <c r="DW14" i="149"/>
  <c r="DT14" i="149"/>
  <c r="DQ14" i="149"/>
  <c r="DN14" i="149"/>
  <c r="DK14" i="149"/>
  <c r="DH14" i="149"/>
  <c r="DE14" i="149"/>
  <c r="DB14" i="149"/>
  <c r="CY14" i="149"/>
  <c r="CV14" i="149"/>
  <c r="CS14" i="149"/>
  <c r="CP14" i="149"/>
  <c r="CM14" i="149"/>
  <c r="CJ14" i="149"/>
  <c r="CG14" i="149"/>
  <c r="CD14" i="149"/>
  <c r="CA14" i="149"/>
  <c r="BX14" i="149"/>
  <c r="BU14" i="149"/>
  <c r="BR14" i="149"/>
  <c r="BO14" i="149"/>
  <c r="BL14" i="149"/>
  <c r="BI14" i="149"/>
  <c r="BF14" i="149"/>
  <c r="BC14" i="149"/>
  <c r="AZ14" i="149"/>
  <c r="AW14" i="149"/>
  <c r="AR14" i="149"/>
  <c r="AT14" i="149" s="1"/>
  <c r="AO14" i="149"/>
  <c r="AQ14" i="149" s="1"/>
  <c r="AL14" i="149"/>
  <c r="AK14" i="149"/>
  <c r="AB14" i="149"/>
  <c r="Y14" i="149"/>
  <c r="V14" i="149"/>
  <c r="S14" i="149"/>
  <c r="P14" i="149"/>
  <c r="M14" i="149"/>
  <c r="J14" i="149"/>
  <c r="G14" i="149"/>
  <c r="D14" i="149"/>
  <c r="A14" i="149"/>
  <c r="A15" i="149" s="1"/>
  <c r="A16" i="149" s="1"/>
  <c r="A17" i="149" s="1"/>
  <c r="A18" i="149" s="1"/>
  <c r="A19" i="149" s="1"/>
  <c r="A20" i="149" s="1"/>
  <c r="A21" i="149" s="1"/>
  <c r="A22" i="149" s="1"/>
  <c r="A23" i="149" s="1"/>
  <c r="A24" i="149" s="1"/>
  <c r="A25" i="149" s="1"/>
  <c r="A26" i="149" s="1"/>
  <c r="A27" i="149" s="1"/>
  <c r="A28" i="149" s="1"/>
  <c r="A29" i="149" s="1"/>
  <c r="A30" i="149" s="1"/>
  <c r="A31" i="149" s="1"/>
  <c r="A32" i="149" s="1"/>
  <c r="A33" i="149" s="1"/>
  <c r="A34" i="149" s="1"/>
  <c r="A35" i="149" s="1"/>
  <c r="A36" i="149" s="1"/>
  <c r="A37" i="149" s="1"/>
  <c r="A38" i="149" s="1"/>
  <c r="A39" i="149" s="1"/>
  <c r="A40" i="149" s="1"/>
  <c r="A41" i="149" s="1"/>
  <c r="EL13" i="149"/>
  <c r="EI13" i="149"/>
  <c r="EG13" i="149"/>
  <c r="DW13" i="149"/>
  <c r="DT13" i="149"/>
  <c r="DQ13" i="149"/>
  <c r="DN13" i="149"/>
  <c r="DK13" i="149"/>
  <c r="DH13" i="149"/>
  <c r="DE13" i="149"/>
  <c r="DB13" i="149"/>
  <c r="CY13" i="149"/>
  <c r="CV13" i="149"/>
  <c r="CS13" i="149"/>
  <c r="CP13" i="149"/>
  <c r="CM13" i="149"/>
  <c r="CJ13" i="149"/>
  <c r="CG13" i="149"/>
  <c r="CD13" i="149"/>
  <c r="CA13" i="149"/>
  <c r="BX13" i="149"/>
  <c r="BU13" i="149"/>
  <c r="BR13" i="149"/>
  <c r="BO13" i="149"/>
  <c r="BL13" i="149"/>
  <c r="BI13" i="149"/>
  <c r="BF13" i="149"/>
  <c r="BC13" i="149"/>
  <c r="AZ13" i="149"/>
  <c r="AW13" i="149"/>
  <c r="AR13" i="149"/>
  <c r="AT13" i="149" s="1"/>
  <c r="AQ13" i="149"/>
  <c r="AO13" i="149"/>
  <c r="AL13" i="149"/>
  <c r="AK13" i="149"/>
  <c r="AB13" i="149"/>
  <c r="Y13" i="149"/>
  <c r="V13" i="149"/>
  <c r="S13" i="149"/>
  <c r="P13" i="149"/>
  <c r="M13" i="149"/>
  <c r="J13" i="149"/>
  <c r="G13" i="149"/>
  <c r="D13" i="149"/>
  <c r="A13" i="149"/>
  <c r="EL12" i="149"/>
  <c r="EG12" i="149"/>
  <c r="EI12" i="149" s="1"/>
  <c r="DW12" i="149"/>
  <c r="DT12" i="149"/>
  <c r="DQ12" i="149"/>
  <c r="DN12" i="149"/>
  <c r="DN42" i="149" s="1"/>
  <c r="DK12" i="149"/>
  <c r="DH12" i="149"/>
  <c r="DE12" i="149"/>
  <c r="DB12" i="149"/>
  <c r="DB42" i="149" s="1"/>
  <c r="CY12" i="149"/>
  <c r="CV12" i="149"/>
  <c r="CS12" i="149"/>
  <c r="CP12" i="149"/>
  <c r="CP42" i="149" s="1"/>
  <c r="CM12" i="149"/>
  <c r="CM42" i="149" s="1"/>
  <c r="CJ12" i="149"/>
  <c r="CG12" i="149"/>
  <c r="CD12" i="149"/>
  <c r="CD42" i="149" s="1"/>
  <c r="CA12" i="149"/>
  <c r="BX12" i="149"/>
  <c r="BU12" i="149"/>
  <c r="BR12" i="149"/>
  <c r="BR42" i="149" s="1"/>
  <c r="BO12" i="149"/>
  <c r="BL12" i="149"/>
  <c r="BI12" i="149"/>
  <c r="BF12" i="149"/>
  <c r="BF42" i="149" s="1"/>
  <c r="BC12" i="149"/>
  <c r="AZ12" i="149"/>
  <c r="AW12" i="149"/>
  <c r="AT12" i="149"/>
  <c r="AR12" i="149"/>
  <c r="EK12" i="149" s="1"/>
  <c r="AO12" i="149"/>
  <c r="AQ12" i="149" s="1"/>
  <c r="AL12" i="149"/>
  <c r="EB12" i="149" s="1"/>
  <c r="AK12" i="149"/>
  <c r="AB12" i="149"/>
  <c r="AB42" i="149" s="1"/>
  <c r="Y12" i="149"/>
  <c r="V12" i="149"/>
  <c r="V42" i="149" s="1"/>
  <c r="S12" i="149"/>
  <c r="P12" i="149"/>
  <c r="P42" i="149" s="1"/>
  <c r="M12" i="149"/>
  <c r="J12" i="149"/>
  <c r="J42" i="149" s="1"/>
  <c r="G12" i="149"/>
  <c r="D12" i="149"/>
  <c r="EI2" i="149"/>
  <c r="EH36" i="149" l="1"/>
  <c r="EH25" i="149"/>
  <c r="ED15" i="149"/>
  <c r="EH28" i="149"/>
  <c r="EH31" i="149"/>
  <c r="EH41" i="149"/>
  <c r="EH15" i="149"/>
  <c r="ED39" i="149"/>
  <c r="EH39" i="149"/>
  <c r="EH30" i="149"/>
  <c r="EH20" i="149"/>
  <c r="EH21" i="149"/>
  <c r="EH24" i="149"/>
  <c r="EH29" i="149"/>
  <c r="EH14" i="149"/>
  <c r="EH26" i="149"/>
  <c r="EH35" i="149"/>
  <c r="AH42" i="149"/>
  <c r="EH27" i="149"/>
  <c r="EH32" i="149"/>
  <c r="EH34" i="149"/>
  <c r="EH17" i="149"/>
  <c r="EH22" i="149"/>
  <c r="ED26" i="149"/>
  <c r="EE26" i="149" s="1"/>
  <c r="EH37" i="149"/>
  <c r="EH40" i="149"/>
  <c r="EH18" i="149"/>
  <c r="EH19" i="149"/>
  <c r="ED32" i="149"/>
  <c r="EH33" i="149"/>
  <c r="EH38" i="149"/>
  <c r="ED13" i="149"/>
  <c r="EC12" i="149"/>
  <c r="AQ42" i="149"/>
  <c r="D42" i="149"/>
  <c r="EB17" i="149"/>
  <c r="AQ17" i="149"/>
  <c r="EM35" i="149"/>
  <c r="EI6" i="149"/>
  <c r="G42" i="149"/>
  <c r="EH12" i="149"/>
  <c r="S42" i="149"/>
  <c r="AE42" i="149"/>
  <c r="AN12" i="149"/>
  <c r="AW42" i="149"/>
  <c r="BI42" i="149"/>
  <c r="BU42" i="149"/>
  <c r="CG42" i="149"/>
  <c r="EM12" i="149"/>
  <c r="EK13" i="149"/>
  <c r="EN6" i="149" s="1"/>
  <c r="EB14" i="149"/>
  <c r="EE15" i="149"/>
  <c r="EC15" i="149"/>
  <c r="EH16" i="149"/>
  <c r="EB19" i="149"/>
  <c r="AN19" i="149"/>
  <c r="ED19" i="149" s="1"/>
  <c r="EK19" i="149"/>
  <c r="AZ19" i="149"/>
  <c r="EM19" i="149" s="1"/>
  <c r="AN21" i="149"/>
  <c r="EB21" i="149"/>
  <c r="EC24" i="149"/>
  <c r="EK24" i="149"/>
  <c r="AZ24" i="149"/>
  <c r="EM24" i="149" s="1"/>
  <c r="EK35" i="149"/>
  <c r="AZ35" i="149"/>
  <c r="EB16" i="149"/>
  <c r="AN16" i="149"/>
  <c r="ED16" i="149" s="1"/>
  <c r="EB29" i="149"/>
  <c r="AN29" i="149"/>
  <c r="ED29" i="149" s="1"/>
  <c r="EM15" i="149"/>
  <c r="EN15" i="149" s="1"/>
  <c r="EK16" i="149"/>
  <c r="AT16" i="149"/>
  <c r="EM16" i="149" s="1"/>
  <c r="EM17" i="149"/>
  <c r="EC18" i="149"/>
  <c r="EM31" i="149"/>
  <c r="AQ41" i="149"/>
  <c r="EB41" i="149"/>
  <c r="EK41" i="149"/>
  <c r="EM20" i="149"/>
  <c r="EN20" i="149" s="1"/>
  <c r="EM32" i="149"/>
  <c r="EB13" i="149"/>
  <c r="AN13" i="149"/>
  <c r="EI4" i="149"/>
  <c r="EI5" i="149" s="1"/>
  <c r="BC42" i="149"/>
  <c r="BO42" i="149"/>
  <c r="CA42" i="149"/>
  <c r="CY42" i="149"/>
  <c r="DK42" i="149"/>
  <c r="DW42" i="149"/>
  <c r="EH13" i="149"/>
  <c r="EM13" i="149"/>
  <c r="ED17" i="149"/>
  <c r="EK17" i="149"/>
  <c r="EN17" i="149" s="1"/>
  <c r="EM18" i="149"/>
  <c r="EN18" i="149" s="1"/>
  <c r="EC20" i="149"/>
  <c r="AQ27" i="149"/>
  <c r="EM27" i="149" s="1"/>
  <c r="EB27" i="149"/>
  <c r="EN32" i="149"/>
  <c r="ED36" i="149"/>
  <c r="AW36" i="149"/>
  <c r="EK36" i="149"/>
  <c r="EM40" i="149"/>
  <c r="EM22" i="149"/>
  <c r="EK23" i="149"/>
  <c r="EN23" i="149" s="1"/>
  <c r="EM25" i="149"/>
  <c r="EN25" i="149" s="1"/>
  <c r="EC26" i="149"/>
  <c r="EK28" i="149"/>
  <c r="AZ28" i="149"/>
  <c r="EM28" i="149" s="1"/>
  <c r="EK29" i="149"/>
  <c r="ED30" i="149"/>
  <c r="EN30" i="149"/>
  <c r="EK31" i="149"/>
  <c r="AZ31" i="149"/>
  <c r="ED31" i="149" s="1"/>
  <c r="EE31" i="149" s="1"/>
  <c r="EK33" i="149"/>
  <c r="EN33" i="149" s="1"/>
  <c r="AZ33" i="149"/>
  <c r="EM33" i="149" s="1"/>
  <c r="ED34" i="149"/>
  <c r="EM38" i="149"/>
  <c r="EN38" i="149" s="1"/>
  <c r="EC39" i="149"/>
  <c r="EE39" i="149"/>
  <c r="DE42" i="149"/>
  <c r="EK14" i="149"/>
  <c r="AZ18" i="149"/>
  <c r="ED18" i="149" s="1"/>
  <c r="EE18" i="149" s="1"/>
  <c r="AQ20" i="149"/>
  <c r="EK21" i="149"/>
  <c r="EB23" i="149"/>
  <c r="EK27" i="149"/>
  <c r="ED28" i="149"/>
  <c r="EM29" i="149"/>
  <c r="EC30" i="149"/>
  <c r="EE30" i="149"/>
  <c r="ED35" i="149"/>
  <c r="EM36" i="149"/>
  <c r="EB37" i="149"/>
  <c r="EM39" i="149"/>
  <c r="EN39" i="149" s="1"/>
  <c r="CS42" i="149"/>
  <c r="DQ42" i="149"/>
  <c r="M42" i="149"/>
  <c r="Y42" i="149"/>
  <c r="AK42" i="149"/>
  <c r="BL42" i="149"/>
  <c r="BX42" i="149"/>
  <c r="CJ42" i="149"/>
  <c r="CV42" i="149"/>
  <c r="DH42" i="149"/>
  <c r="DT42" i="149"/>
  <c r="AN14" i="149"/>
  <c r="EM14" i="149" s="1"/>
  <c r="ED20" i="149"/>
  <c r="EE20" i="149" s="1"/>
  <c r="AZ21" i="149"/>
  <c r="ED21" i="149" s="1"/>
  <c r="EM21" i="149"/>
  <c r="ED22" i="149"/>
  <c r="EE22" i="149" s="1"/>
  <c r="EK22" i="149"/>
  <c r="EN22" i="149" s="1"/>
  <c r="ED23" i="149"/>
  <c r="EH23" i="149"/>
  <c r="EB25" i="149"/>
  <c r="AN25" i="149"/>
  <c r="ED25" i="149" s="1"/>
  <c r="EM26" i="149"/>
  <c r="EN26" i="149" s="1"/>
  <c r="ED27" i="149"/>
  <c r="EB28" i="149"/>
  <c r="EC31" i="149"/>
  <c r="ED33" i="149"/>
  <c r="EE33" i="149" s="1"/>
  <c r="EM34" i="149"/>
  <c r="EK34" i="149"/>
  <c r="EB35" i="149"/>
  <c r="EK37" i="149"/>
  <c r="AZ37" i="149"/>
  <c r="EM37" i="149" s="1"/>
  <c r="ED38" i="149"/>
  <c r="EK40" i="149"/>
  <c r="EC40" i="149" s="1"/>
  <c r="AZ40" i="149"/>
  <c r="ED40" i="149" s="1"/>
  <c r="EE40" i="149" s="1"/>
  <c r="ED41" i="149"/>
  <c r="EB32" i="149"/>
  <c r="EB34" i="149"/>
  <c r="EB36" i="149"/>
  <c r="EB38" i="149"/>
  <c r="AZ41" i="149"/>
  <c r="EM41" i="149" s="1"/>
  <c r="EC38" i="149" l="1"/>
  <c r="EE38" i="149"/>
  <c r="EE41" i="149"/>
  <c r="EC41" i="149"/>
  <c r="EE2" i="149"/>
  <c r="EQ2" i="149" s="1"/>
  <c r="G5" i="149" s="1"/>
  <c r="AT42" i="149"/>
  <c r="EC36" i="149"/>
  <c r="EE36" i="149"/>
  <c r="EN37" i="149"/>
  <c r="ED37" i="149"/>
  <c r="EE37" i="149" s="1"/>
  <c r="ED24" i="149"/>
  <c r="EE24" i="149" s="1"/>
  <c r="EN16" i="149"/>
  <c r="EC16" i="149"/>
  <c r="EE16" i="149"/>
  <c r="EN24" i="149"/>
  <c r="EE19" i="149"/>
  <c r="EC19" i="149"/>
  <c r="AN42" i="149"/>
  <c r="ED12" i="149"/>
  <c r="EN4" i="149"/>
  <c r="EN5" i="149" s="1"/>
  <c r="EN21" i="149"/>
  <c r="EC29" i="149"/>
  <c r="EE29" i="149"/>
  <c r="EM42" i="149"/>
  <c r="EC34" i="149"/>
  <c r="EE34" i="149"/>
  <c r="EN40" i="149"/>
  <c r="EE35" i="149"/>
  <c r="EC35" i="149"/>
  <c r="AZ42" i="149"/>
  <c r="EN27" i="149"/>
  <c r="EN31" i="149"/>
  <c r="EN29" i="149"/>
  <c r="EN36" i="149"/>
  <c r="EE27" i="149"/>
  <c r="EC27" i="149"/>
  <c r="EC13" i="149"/>
  <c r="EE13" i="149"/>
  <c r="EC33" i="149"/>
  <c r="EC22" i="149"/>
  <c r="EC14" i="149"/>
  <c r="EC17" i="149"/>
  <c r="EE17" i="149"/>
  <c r="EN28" i="149"/>
  <c r="EC21" i="149"/>
  <c r="EE21" i="149"/>
  <c r="EH42" i="149"/>
  <c r="EE6" i="149"/>
  <c r="G8" i="149" s="1"/>
  <c r="EC32" i="149"/>
  <c r="EE32" i="149"/>
  <c r="EN34" i="149"/>
  <c r="EE28" i="149"/>
  <c r="EC28" i="149"/>
  <c r="EC25" i="149"/>
  <c r="EE25" i="149"/>
  <c r="EC37" i="149"/>
  <c r="EE23" i="149"/>
  <c r="EC23" i="149"/>
  <c r="EN14" i="149"/>
  <c r="ED14" i="149"/>
  <c r="EE14" i="149" s="1"/>
  <c r="EN41" i="149"/>
  <c r="EN2" i="149"/>
  <c r="EP2" i="149" s="1"/>
  <c r="EN35" i="149"/>
  <c r="EN19" i="149"/>
  <c r="EN13" i="149"/>
  <c r="EE4" i="149"/>
  <c r="EN12" i="149"/>
  <c r="ED42" i="149" l="1"/>
  <c r="EE12" i="149"/>
  <c r="EE5" i="149"/>
  <c r="G7" i="149" s="1"/>
  <c r="G6" i="149"/>
  <c r="EL42" i="148" l="1"/>
  <c r="EG42" i="148"/>
  <c r="EI42" i="148" s="1"/>
  <c r="DW42" i="148"/>
  <c r="DT42" i="148"/>
  <c r="DQ42" i="148"/>
  <c r="DN42" i="148"/>
  <c r="DK42" i="148"/>
  <c r="DH42" i="148"/>
  <c r="DE42" i="148"/>
  <c r="DB42" i="148"/>
  <c r="CY42" i="148"/>
  <c r="CV42" i="148"/>
  <c r="CS42" i="148"/>
  <c r="CP42" i="148"/>
  <c r="CM42" i="148"/>
  <c r="CJ42" i="148"/>
  <c r="CG42" i="148"/>
  <c r="CD42" i="148"/>
  <c r="CA42" i="148"/>
  <c r="BX42" i="148"/>
  <c r="BU42" i="148"/>
  <c r="BR42" i="148"/>
  <c r="BO42" i="148"/>
  <c r="BL42" i="148"/>
  <c r="BI42" i="148"/>
  <c r="BF42" i="148"/>
  <c r="BC42" i="148"/>
  <c r="AX42" i="148"/>
  <c r="AW42" i="148"/>
  <c r="AU42" i="148"/>
  <c r="AR42" i="148"/>
  <c r="AT42" i="148" s="1"/>
  <c r="AQ42" i="148"/>
  <c r="AO42" i="148"/>
  <c r="AL42" i="148"/>
  <c r="AK42" i="148"/>
  <c r="AB42" i="148"/>
  <c r="Y42" i="148"/>
  <c r="V42" i="148"/>
  <c r="S42" i="148"/>
  <c r="P42" i="148"/>
  <c r="M42" i="148"/>
  <c r="J42" i="148"/>
  <c r="G42" i="148"/>
  <c r="D42" i="148"/>
  <c r="EL41" i="148"/>
  <c r="EG41" i="148"/>
  <c r="EI41" i="148" s="1"/>
  <c r="EB41" i="148"/>
  <c r="DW41" i="148"/>
  <c r="DT41" i="148"/>
  <c r="DQ41" i="148"/>
  <c r="DN41" i="148"/>
  <c r="DK41" i="148"/>
  <c r="DH41" i="148"/>
  <c r="DE41" i="148"/>
  <c r="DB41" i="148"/>
  <c r="CY41" i="148"/>
  <c r="CV41" i="148"/>
  <c r="CS41" i="148"/>
  <c r="CP41" i="148"/>
  <c r="CM41" i="148"/>
  <c r="CJ41" i="148"/>
  <c r="CG41" i="148"/>
  <c r="CD41" i="148"/>
  <c r="CA41" i="148"/>
  <c r="BX41" i="148"/>
  <c r="BU41" i="148"/>
  <c r="BR41" i="148"/>
  <c r="BO41" i="148"/>
  <c r="BL41" i="148"/>
  <c r="BI41" i="148"/>
  <c r="BF41" i="148"/>
  <c r="BC41" i="148"/>
  <c r="AZ41" i="148"/>
  <c r="AX41" i="148"/>
  <c r="EK41" i="148" s="1"/>
  <c r="AW41" i="148"/>
  <c r="AU41" i="148"/>
  <c r="AT41" i="148"/>
  <c r="AR41" i="148"/>
  <c r="AQ41" i="148"/>
  <c r="AO41" i="148"/>
  <c r="AN41" i="148"/>
  <c r="AL41" i="148"/>
  <c r="AK41" i="148"/>
  <c r="AB41" i="148"/>
  <c r="Y41" i="148"/>
  <c r="V41" i="148"/>
  <c r="S41" i="148"/>
  <c r="P41" i="148"/>
  <c r="M41" i="148"/>
  <c r="J41" i="148"/>
  <c r="G41" i="148"/>
  <c r="D41" i="148"/>
  <c r="EL40" i="148"/>
  <c r="EG40" i="148"/>
  <c r="EI40" i="148" s="1"/>
  <c r="DW40" i="148"/>
  <c r="DT40" i="148"/>
  <c r="DQ40" i="148"/>
  <c r="DN40" i="148"/>
  <c r="DK40" i="148"/>
  <c r="DH40" i="148"/>
  <c r="DE40" i="148"/>
  <c r="DB40" i="148"/>
  <c r="CY40" i="148"/>
  <c r="CV40" i="148"/>
  <c r="CS40" i="148"/>
  <c r="CP40" i="148"/>
  <c r="CM40" i="148"/>
  <c r="CJ40" i="148"/>
  <c r="CG40" i="148"/>
  <c r="CD40" i="148"/>
  <c r="CA40" i="148"/>
  <c r="BX40" i="148"/>
  <c r="BU40" i="148"/>
  <c r="BR40" i="148"/>
  <c r="BO40" i="148"/>
  <c r="BL40" i="148"/>
  <c r="BI40" i="148"/>
  <c r="BF40" i="148"/>
  <c r="BC40" i="148"/>
  <c r="AX40" i="148"/>
  <c r="AZ40" i="148" s="1"/>
  <c r="AU40" i="148"/>
  <c r="AW40" i="148" s="1"/>
  <c r="AR40" i="148"/>
  <c r="AT40" i="148" s="1"/>
  <c r="AO40" i="148"/>
  <c r="AQ40" i="148" s="1"/>
  <c r="AL40" i="148"/>
  <c r="AI40" i="148"/>
  <c r="AK40" i="148" s="1"/>
  <c r="AB40" i="148"/>
  <c r="Y40" i="148"/>
  <c r="V40" i="148"/>
  <c r="S40" i="148"/>
  <c r="P40" i="148"/>
  <c r="M40" i="148"/>
  <c r="J40" i="148"/>
  <c r="G40" i="148"/>
  <c r="D40" i="148"/>
  <c r="EL39" i="148"/>
  <c r="EK39" i="148"/>
  <c r="EG39" i="148"/>
  <c r="EI39" i="148" s="1"/>
  <c r="DW39" i="148"/>
  <c r="DT39" i="148"/>
  <c r="DQ39" i="148"/>
  <c r="DN39" i="148"/>
  <c r="DK39" i="148"/>
  <c r="DH39" i="148"/>
  <c r="DE39" i="148"/>
  <c r="DB39" i="148"/>
  <c r="CY39" i="148"/>
  <c r="CV39" i="148"/>
  <c r="CS39" i="148"/>
  <c r="CP39" i="148"/>
  <c r="CM39" i="148"/>
  <c r="CJ39" i="148"/>
  <c r="CG39" i="148"/>
  <c r="CD39" i="148"/>
  <c r="CA39" i="148"/>
  <c r="BX39" i="148"/>
  <c r="BU39" i="148"/>
  <c r="BR39" i="148"/>
  <c r="BO39" i="148"/>
  <c r="BL39" i="148"/>
  <c r="BI39" i="148"/>
  <c r="BF39" i="148"/>
  <c r="BC39" i="148"/>
  <c r="AX39" i="148"/>
  <c r="AZ39" i="148" s="1"/>
  <c r="AU39" i="148"/>
  <c r="AW39" i="148" s="1"/>
  <c r="AR39" i="148"/>
  <c r="AT39" i="148" s="1"/>
  <c r="AO39" i="148"/>
  <c r="AQ39" i="148" s="1"/>
  <c r="AL39" i="148"/>
  <c r="EB39" i="148" s="1"/>
  <c r="AI39" i="148"/>
  <c r="AK39" i="148" s="1"/>
  <c r="AB39" i="148"/>
  <c r="Y39" i="148"/>
  <c r="V39" i="148"/>
  <c r="S39" i="148"/>
  <c r="P39" i="148"/>
  <c r="M39" i="148"/>
  <c r="J39" i="148"/>
  <c r="G39" i="148"/>
  <c r="D39" i="148"/>
  <c r="EL38" i="148"/>
  <c r="EG38" i="148"/>
  <c r="EI38" i="148" s="1"/>
  <c r="DW38" i="148"/>
  <c r="DT38" i="148"/>
  <c r="DQ38" i="148"/>
  <c r="DN38" i="148"/>
  <c r="DK38" i="148"/>
  <c r="DH38" i="148"/>
  <c r="DE38" i="148"/>
  <c r="DB38" i="148"/>
  <c r="CY38" i="148"/>
  <c r="CV38" i="148"/>
  <c r="CS38" i="148"/>
  <c r="CP38" i="148"/>
  <c r="CM38" i="148"/>
  <c r="CJ38" i="148"/>
  <c r="CG38" i="148"/>
  <c r="CD38" i="148"/>
  <c r="CA38" i="148"/>
  <c r="BX38" i="148"/>
  <c r="BU38" i="148"/>
  <c r="BR38" i="148"/>
  <c r="BO38" i="148"/>
  <c r="BL38" i="148"/>
  <c r="BI38" i="148"/>
  <c r="BF38" i="148"/>
  <c r="BC38" i="148"/>
  <c r="AX38" i="148"/>
  <c r="AZ38" i="148" s="1"/>
  <c r="AU38" i="148"/>
  <c r="AR38" i="148"/>
  <c r="AT38" i="148" s="1"/>
  <c r="AO38" i="148"/>
  <c r="AQ38" i="148" s="1"/>
  <c r="AL38" i="148"/>
  <c r="AI38" i="148"/>
  <c r="AK38" i="148" s="1"/>
  <c r="AB38" i="148"/>
  <c r="Y38" i="148"/>
  <c r="V38" i="148"/>
  <c r="S38" i="148"/>
  <c r="P38" i="148"/>
  <c r="M38" i="148"/>
  <c r="J38" i="148"/>
  <c r="G38" i="148"/>
  <c r="D38" i="148"/>
  <c r="EL37" i="148"/>
  <c r="EG37" i="148"/>
  <c r="EI37" i="148" s="1"/>
  <c r="DW37" i="148"/>
  <c r="DT37" i="148"/>
  <c r="DQ37" i="148"/>
  <c r="DN37" i="148"/>
  <c r="DK37" i="148"/>
  <c r="DH37" i="148"/>
  <c r="DE37" i="148"/>
  <c r="DB37" i="148"/>
  <c r="CY37" i="148"/>
  <c r="CV37" i="148"/>
  <c r="CS37" i="148"/>
  <c r="CP37" i="148"/>
  <c r="CM37" i="148"/>
  <c r="CJ37" i="148"/>
  <c r="CG37" i="148"/>
  <c r="CD37" i="148"/>
  <c r="CA37" i="148"/>
  <c r="BX37" i="148"/>
  <c r="BU37" i="148"/>
  <c r="BR37" i="148"/>
  <c r="BO37" i="148"/>
  <c r="BL37" i="148"/>
  <c r="BI37" i="148"/>
  <c r="BF37" i="148"/>
  <c r="BC37" i="148"/>
  <c r="AX37" i="148"/>
  <c r="AZ37" i="148" s="1"/>
  <c r="AU37" i="148"/>
  <c r="AW37" i="148" s="1"/>
  <c r="AR37" i="148"/>
  <c r="AT37" i="148" s="1"/>
  <c r="AO37" i="148"/>
  <c r="AQ37" i="148" s="1"/>
  <c r="AL37" i="148"/>
  <c r="AI37" i="148"/>
  <c r="AK37" i="148" s="1"/>
  <c r="AB37" i="148"/>
  <c r="Y37" i="148"/>
  <c r="V37" i="148"/>
  <c r="S37" i="148"/>
  <c r="P37" i="148"/>
  <c r="M37" i="148"/>
  <c r="J37" i="148"/>
  <c r="G37" i="148"/>
  <c r="D37" i="148"/>
  <c r="EL36" i="148"/>
  <c r="EG36" i="148"/>
  <c r="EI36" i="148" s="1"/>
  <c r="DW36" i="148"/>
  <c r="DT36" i="148"/>
  <c r="DQ36" i="148"/>
  <c r="DN36" i="148"/>
  <c r="DK36" i="148"/>
  <c r="DH36" i="148"/>
  <c r="DE36" i="148"/>
  <c r="DB36" i="148"/>
  <c r="CY36" i="148"/>
  <c r="CV36" i="148"/>
  <c r="CS36" i="148"/>
  <c r="CP36" i="148"/>
  <c r="CM36" i="148"/>
  <c r="CJ36" i="148"/>
  <c r="CG36" i="148"/>
  <c r="CD36" i="148"/>
  <c r="CA36" i="148"/>
  <c r="BX36" i="148"/>
  <c r="BU36" i="148"/>
  <c r="BR36" i="148"/>
  <c r="BO36" i="148"/>
  <c r="BL36" i="148"/>
  <c r="BI36" i="148"/>
  <c r="BF36" i="148"/>
  <c r="BC36" i="148"/>
  <c r="AX36" i="148"/>
  <c r="AZ36" i="148" s="1"/>
  <c r="AU36" i="148"/>
  <c r="AW36" i="148" s="1"/>
  <c r="AR36" i="148"/>
  <c r="AT36" i="148" s="1"/>
  <c r="AO36" i="148"/>
  <c r="AQ36" i="148" s="1"/>
  <c r="AL36" i="148"/>
  <c r="AI36" i="148"/>
  <c r="AK36" i="148" s="1"/>
  <c r="AB36" i="148"/>
  <c r="Y36" i="148"/>
  <c r="V36" i="148"/>
  <c r="S36" i="148"/>
  <c r="P36" i="148"/>
  <c r="M36" i="148"/>
  <c r="J36" i="148"/>
  <c r="G36" i="148"/>
  <c r="D36" i="148"/>
  <c r="EL35" i="148"/>
  <c r="EK35" i="148"/>
  <c r="EG35" i="148"/>
  <c r="EI35" i="148" s="1"/>
  <c r="DW35" i="148"/>
  <c r="DT35" i="148"/>
  <c r="DQ35" i="148"/>
  <c r="DN35" i="148"/>
  <c r="DK35" i="148"/>
  <c r="DH35" i="148"/>
  <c r="DE35" i="148"/>
  <c r="DB35" i="148"/>
  <c r="CY35" i="148"/>
  <c r="CV35" i="148"/>
  <c r="CS35" i="148"/>
  <c r="CP35" i="148"/>
  <c r="CM35" i="148"/>
  <c r="CJ35" i="148"/>
  <c r="CG35" i="148"/>
  <c r="CD35" i="148"/>
  <c r="CA35" i="148"/>
  <c r="BX35" i="148"/>
  <c r="BU35" i="148"/>
  <c r="BR35" i="148"/>
  <c r="BO35" i="148"/>
  <c r="BL35" i="148"/>
  <c r="BI35" i="148"/>
  <c r="BF35" i="148"/>
  <c r="BC35" i="148"/>
  <c r="AX35" i="148"/>
  <c r="AZ35" i="148" s="1"/>
  <c r="AU35" i="148"/>
  <c r="AW35" i="148" s="1"/>
  <c r="AR35" i="148"/>
  <c r="AT35" i="148" s="1"/>
  <c r="AO35" i="148"/>
  <c r="AL35" i="148"/>
  <c r="AN35" i="148" s="1"/>
  <c r="AI35" i="148"/>
  <c r="AK35" i="148" s="1"/>
  <c r="AB35" i="148"/>
  <c r="Y35" i="148"/>
  <c r="V35" i="148"/>
  <c r="S35" i="148"/>
  <c r="P35" i="148"/>
  <c r="M35" i="148"/>
  <c r="J35" i="148"/>
  <c r="G35" i="148"/>
  <c r="D35" i="148"/>
  <c r="EL34" i="148"/>
  <c r="EG34" i="148"/>
  <c r="EI34" i="148" s="1"/>
  <c r="DW34" i="148"/>
  <c r="DT34" i="148"/>
  <c r="DQ34" i="148"/>
  <c r="DN34" i="148"/>
  <c r="DK34" i="148"/>
  <c r="DH34" i="148"/>
  <c r="DE34" i="148"/>
  <c r="DB34" i="148"/>
  <c r="CY34" i="148"/>
  <c r="CV34" i="148"/>
  <c r="CS34" i="148"/>
  <c r="CP34" i="148"/>
  <c r="CM34" i="148"/>
  <c r="CJ34" i="148"/>
  <c r="CG34" i="148"/>
  <c r="CD34" i="148"/>
  <c r="CA34" i="148"/>
  <c r="BX34" i="148"/>
  <c r="BU34" i="148"/>
  <c r="BR34" i="148"/>
  <c r="BO34" i="148"/>
  <c r="BL34" i="148"/>
  <c r="BI34" i="148"/>
  <c r="BF34" i="148"/>
  <c r="BC34" i="148"/>
  <c r="AX34" i="148"/>
  <c r="AZ34" i="148" s="1"/>
  <c r="AU34" i="148"/>
  <c r="AR34" i="148"/>
  <c r="AT34" i="148" s="1"/>
  <c r="AO34" i="148"/>
  <c r="AL34" i="148"/>
  <c r="AN34" i="148" s="1"/>
  <c r="AI34" i="148"/>
  <c r="AK34" i="148" s="1"/>
  <c r="AB34" i="148"/>
  <c r="Y34" i="148"/>
  <c r="V34" i="148"/>
  <c r="S34" i="148"/>
  <c r="P34" i="148"/>
  <c r="M34" i="148"/>
  <c r="J34" i="148"/>
  <c r="G34" i="148"/>
  <c r="D34" i="148"/>
  <c r="EL33" i="148"/>
  <c r="EG33" i="148"/>
  <c r="EI33" i="148" s="1"/>
  <c r="DW33" i="148"/>
  <c r="DT33" i="148"/>
  <c r="DQ33" i="148"/>
  <c r="DN33" i="148"/>
  <c r="DK33" i="148"/>
  <c r="DH33" i="148"/>
  <c r="DE33" i="148"/>
  <c r="DB33" i="148"/>
  <c r="CY33" i="148"/>
  <c r="CV33" i="148"/>
  <c r="CS33" i="148"/>
  <c r="CP33" i="148"/>
  <c r="CM33" i="148"/>
  <c r="CJ33" i="148"/>
  <c r="CG33" i="148"/>
  <c r="CD33" i="148"/>
  <c r="CA33" i="148"/>
  <c r="BX33" i="148"/>
  <c r="BU33" i="148"/>
  <c r="BR33" i="148"/>
  <c r="BO33" i="148"/>
  <c r="BL33" i="148"/>
  <c r="BI33" i="148"/>
  <c r="BF33" i="148"/>
  <c r="BC33" i="148"/>
  <c r="AX33" i="148"/>
  <c r="AZ33" i="148" s="1"/>
  <c r="AU33" i="148"/>
  <c r="AW33" i="148" s="1"/>
  <c r="AR33" i="148"/>
  <c r="AT33" i="148" s="1"/>
  <c r="AO33" i="148"/>
  <c r="AL33" i="148"/>
  <c r="AN33" i="148" s="1"/>
  <c r="AI33" i="148"/>
  <c r="AK33" i="148" s="1"/>
  <c r="AB33" i="148"/>
  <c r="Y33" i="148"/>
  <c r="V33" i="148"/>
  <c r="S33" i="148"/>
  <c r="P33" i="148"/>
  <c r="M33" i="148"/>
  <c r="J33" i="148"/>
  <c r="G33" i="148"/>
  <c r="D33" i="148"/>
  <c r="EL32" i="148"/>
  <c r="EK32" i="148"/>
  <c r="EG32" i="148"/>
  <c r="EI32" i="148" s="1"/>
  <c r="DW32" i="148"/>
  <c r="DT32" i="148"/>
  <c r="DQ32" i="148"/>
  <c r="DN32" i="148"/>
  <c r="DK32" i="148"/>
  <c r="DH32" i="148"/>
  <c r="DE32" i="148"/>
  <c r="DB32" i="148"/>
  <c r="CY32" i="148"/>
  <c r="CV32" i="148"/>
  <c r="CS32" i="148"/>
  <c r="CP32" i="148"/>
  <c r="CM32" i="148"/>
  <c r="CJ32" i="148"/>
  <c r="CG32" i="148"/>
  <c r="CD32" i="148"/>
  <c r="CA32" i="148"/>
  <c r="BX32" i="148"/>
  <c r="BU32" i="148"/>
  <c r="BR32" i="148"/>
  <c r="BO32" i="148"/>
  <c r="BL32" i="148"/>
  <c r="BI32" i="148"/>
  <c r="BF32" i="148"/>
  <c r="BC32" i="148"/>
  <c r="AZ32" i="148"/>
  <c r="AU32" i="148"/>
  <c r="AW32" i="148" s="1"/>
  <c r="AT32" i="148"/>
  <c r="AR32" i="148"/>
  <c r="AO32" i="148"/>
  <c r="AQ32" i="148" s="1"/>
  <c r="AN32" i="148"/>
  <c r="AL32" i="148"/>
  <c r="AI32" i="148"/>
  <c r="AK32" i="148" s="1"/>
  <c r="AB32" i="148"/>
  <c r="Y32" i="148"/>
  <c r="V32" i="148"/>
  <c r="S32" i="148"/>
  <c r="P32" i="148"/>
  <c r="M32" i="148"/>
  <c r="J32" i="148"/>
  <c r="G32" i="148"/>
  <c r="D32" i="148"/>
  <c r="EL31" i="148"/>
  <c r="EI31" i="148"/>
  <c r="EG31" i="148"/>
  <c r="DW31" i="148"/>
  <c r="DT31" i="148"/>
  <c r="DQ31" i="148"/>
  <c r="DN31" i="148"/>
  <c r="DK31" i="148"/>
  <c r="DH31" i="148"/>
  <c r="DE31" i="148"/>
  <c r="DB31" i="148"/>
  <c r="CY31" i="148"/>
  <c r="CV31" i="148"/>
  <c r="CS31" i="148"/>
  <c r="CP31" i="148"/>
  <c r="CM31" i="148"/>
  <c r="CJ31" i="148"/>
  <c r="CG31" i="148"/>
  <c r="CD31" i="148"/>
  <c r="CA31" i="148"/>
  <c r="BX31" i="148"/>
  <c r="BU31" i="148"/>
  <c r="BR31" i="148"/>
  <c r="BO31" i="148"/>
  <c r="BL31" i="148"/>
  <c r="BI31" i="148"/>
  <c r="BF31" i="148"/>
  <c r="BC31" i="148"/>
  <c r="AZ31" i="148"/>
  <c r="AU31" i="148"/>
  <c r="AW31" i="148" s="1"/>
  <c r="AR31" i="148"/>
  <c r="AO31" i="148"/>
  <c r="AQ31" i="148" s="1"/>
  <c r="AL31" i="148"/>
  <c r="AI31" i="148"/>
  <c r="AK31" i="148" s="1"/>
  <c r="AB31" i="148"/>
  <c r="Y31" i="148"/>
  <c r="V31" i="148"/>
  <c r="S31" i="148"/>
  <c r="P31" i="148"/>
  <c r="M31" i="148"/>
  <c r="J31" i="148"/>
  <c r="G31" i="148"/>
  <c r="D31" i="148"/>
  <c r="EL30" i="148"/>
  <c r="EI30" i="148"/>
  <c r="EG30" i="148"/>
  <c r="DW30" i="148"/>
  <c r="DT30" i="148"/>
  <c r="DQ30" i="148"/>
  <c r="DN30" i="148"/>
  <c r="DK30" i="148"/>
  <c r="DH30" i="148"/>
  <c r="DE30" i="148"/>
  <c r="DB30" i="148"/>
  <c r="CY30" i="148"/>
  <c r="CV30" i="148"/>
  <c r="CS30" i="148"/>
  <c r="CP30" i="148"/>
  <c r="CM30" i="148"/>
  <c r="CJ30" i="148"/>
  <c r="CG30" i="148"/>
  <c r="CD30" i="148"/>
  <c r="CA30" i="148"/>
  <c r="BX30" i="148"/>
  <c r="BU30" i="148"/>
  <c r="BR30" i="148"/>
  <c r="BO30" i="148"/>
  <c r="BL30" i="148"/>
  <c r="BI30" i="148"/>
  <c r="BF30" i="148"/>
  <c r="BC30" i="148"/>
  <c r="AZ30" i="148"/>
  <c r="AW30" i="148"/>
  <c r="AU30" i="148"/>
  <c r="AR30" i="148"/>
  <c r="EK30" i="148" s="1"/>
  <c r="AQ30" i="148"/>
  <c r="AO30" i="148"/>
  <c r="AL30" i="148"/>
  <c r="AN30" i="148" s="1"/>
  <c r="AK30" i="148"/>
  <c r="AI30" i="148"/>
  <c r="AB30" i="148"/>
  <c r="Y30" i="148"/>
  <c r="V30" i="148"/>
  <c r="S30" i="148"/>
  <c r="P30" i="148"/>
  <c r="M30" i="148"/>
  <c r="J30" i="148"/>
  <c r="G30" i="148"/>
  <c r="D30" i="148"/>
  <c r="EL29" i="148"/>
  <c r="EG29" i="148"/>
  <c r="EI29" i="148" s="1"/>
  <c r="DW29" i="148"/>
  <c r="DT29" i="148"/>
  <c r="DQ29" i="148"/>
  <c r="DN29" i="148"/>
  <c r="DK29" i="148"/>
  <c r="DH29" i="148"/>
  <c r="DE29" i="148"/>
  <c r="DB29" i="148"/>
  <c r="CY29" i="148"/>
  <c r="CV29" i="148"/>
  <c r="CS29" i="148"/>
  <c r="CP29" i="148"/>
  <c r="CM29" i="148"/>
  <c r="CJ29" i="148"/>
  <c r="CG29" i="148"/>
  <c r="CD29" i="148"/>
  <c r="CA29" i="148"/>
  <c r="BX29" i="148"/>
  <c r="BU29" i="148"/>
  <c r="BR29" i="148"/>
  <c r="BO29" i="148"/>
  <c r="BL29" i="148"/>
  <c r="BI29" i="148"/>
  <c r="BF29" i="148"/>
  <c r="BC29" i="148"/>
  <c r="AZ29" i="148"/>
  <c r="AU29" i="148"/>
  <c r="EK29" i="148" s="1"/>
  <c r="AR29" i="148"/>
  <c r="AT29" i="148" s="1"/>
  <c r="AO29" i="148"/>
  <c r="AQ29" i="148" s="1"/>
  <c r="AL29" i="148"/>
  <c r="AN29" i="148" s="1"/>
  <c r="AK29" i="148"/>
  <c r="AI29" i="148"/>
  <c r="AB29" i="148"/>
  <c r="Y29" i="148"/>
  <c r="V29" i="148"/>
  <c r="S29" i="148"/>
  <c r="P29" i="148"/>
  <c r="M29" i="148"/>
  <c r="J29" i="148"/>
  <c r="G29" i="148"/>
  <c r="D29" i="148"/>
  <c r="EL28" i="148"/>
  <c r="EK28" i="148"/>
  <c r="EG28" i="148"/>
  <c r="EI28" i="148" s="1"/>
  <c r="DW28" i="148"/>
  <c r="DT28" i="148"/>
  <c r="DQ28" i="148"/>
  <c r="DN28" i="148"/>
  <c r="DK28" i="148"/>
  <c r="DH28" i="148"/>
  <c r="DE28" i="148"/>
  <c r="DB28" i="148"/>
  <c r="CY28" i="148"/>
  <c r="CV28" i="148"/>
  <c r="CS28" i="148"/>
  <c r="CP28" i="148"/>
  <c r="CM28" i="148"/>
  <c r="CJ28" i="148"/>
  <c r="CG28" i="148"/>
  <c r="CD28" i="148"/>
  <c r="CA28" i="148"/>
  <c r="BX28" i="148"/>
  <c r="BU28" i="148"/>
  <c r="BR28" i="148"/>
  <c r="BO28" i="148"/>
  <c r="BL28" i="148"/>
  <c r="BI28" i="148"/>
  <c r="BF28" i="148"/>
  <c r="BC28" i="148"/>
  <c r="AZ28" i="148"/>
  <c r="AU28" i="148"/>
  <c r="AW28" i="148" s="1"/>
  <c r="AT28" i="148"/>
  <c r="AR28" i="148"/>
  <c r="AO28" i="148"/>
  <c r="AQ28" i="148" s="1"/>
  <c r="AN28" i="148"/>
  <c r="AL28" i="148"/>
  <c r="AI28" i="148"/>
  <c r="AK28" i="148" s="1"/>
  <c r="AB28" i="148"/>
  <c r="Y28" i="148"/>
  <c r="V28" i="148"/>
  <c r="S28" i="148"/>
  <c r="P28" i="148"/>
  <c r="M28" i="148"/>
  <c r="J28" i="148"/>
  <c r="G28" i="148"/>
  <c r="D28" i="148"/>
  <c r="EL27" i="148"/>
  <c r="EG27" i="148"/>
  <c r="EI27" i="148" s="1"/>
  <c r="DW27" i="148"/>
  <c r="DT27" i="148"/>
  <c r="DQ27" i="148"/>
  <c r="DN27" i="148"/>
  <c r="DK27" i="148"/>
  <c r="DH27" i="148"/>
  <c r="DE27" i="148"/>
  <c r="DB27" i="148"/>
  <c r="CY27" i="148"/>
  <c r="CV27" i="148"/>
  <c r="CS27" i="148"/>
  <c r="CP27" i="148"/>
  <c r="CM27" i="148"/>
  <c r="CJ27" i="148"/>
  <c r="CG27" i="148"/>
  <c r="CD27" i="148"/>
  <c r="CA27" i="148"/>
  <c r="BX27" i="148"/>
  <c r="BU27" i="148"/>
  <c r="BR27" i="148"/>
  <c r="BO27" i="148"/>
  <c r="BL27" i="148"/>
  <c r="BI27" i="148"/>
  <c r="BF27" i="148"/>
  <c r="BC27" i="148"/>
  <c r="AZ27" i="148"/>
  <c r="AU27" i="148"/>
  <c r="AW27" i="148" s="1"/>
  <c r="AR27" i="148"/>
  <c r="AT27" i="148" s="1"/>
  <c r="AQ27" i="148"/>
  <c r="AO27" i="148"/>
  <c r="AL27" i="148"/>
  <c r="EB27" i="148" s="1"/>
  <c r="AK27" i="148"/>
  <c r="AI27" i="148"/>
  <c r="AB27" i="148"/>
  <c r="Y27" i="148"/>
  <c r="V27" i="148"/>
  <c r="S27" i="148"/>
  <c r="P27" i="148"/>
  <c r="M27" i="148"/>
  <c r="J27" i="148"/>
  <c r="G27" i="148"/>
  <c r="D27" i="148"/>
  <c r="EL26" i="148"/>
  <c r="EG26" i="148"/>
  <c r="EI26" i="148" s="1"/>
  <c r="EB26" i="148"/>
  <c r="DW26" i="148"/>
  <c r="DT26" i="148"/>
  <c r="DQ26" i="148"/>
  <c r="DN26" i="148"/>
  <c r="DK26" i="148"/>
  <c r="DH26" i="148"/>
  <c r="DE26" i="148"/>
  <c r="DB26" i="148"/>
  <c r="CY26" i="148"/>
  <c r="CV26" i="148"/>
  <c r="CS26" i="148"/>
  <c r="CP26" i="148"/>
  <c r="CM26" i="148"/>
  <c r="CJ26" i="148"/>
  <c r="CG26" i="148"/>
  <c r="CD26" i="148"/>
  <c r="CA26" i="148"/>
  <c r="BX26" i="148"/>
  <c r="BU26" i="148"/>
  <c r="BR26" i="148"/>
  <c r="BO26" i="148"/>
  <c r="BL26" i="148"/>
  <c r="BI26" i="148"/>
  <c r="BF26" i="148"/>
  <c r="BC26" i="148"/>
  <c r="AZ26" i="148"/>
  <c r="AU26" i="148"/>
  <c r="AR26" i="148"/>
  <c r="AT26" i="148" s="1"/>
  <c r="AO26" i="148"/>
  <c r="AQ26" i="148" s="1"/>
  <c r="AL26" i="148"/>
  <c r="AN26" i="148" s="1"/>
  <c r="AI26" i="148"/>
  <c r="AK26" i="148" s="1"/>
  <c r="AB26" i="148"/>
  <c r="Y26" i="148"/>
  <c r="V26" i="148"/>
  <c r="S26" i="148"/>
  <c r="P26" i="148"/>
  <c r="M26" i="148"/>
  <c r="J26" i="148"/>
  <c r="G26" i="148"/>
  <c r="D26" i="148"/>
  <c r="EL25" i="148"/>
  <c r="EK25" i="148"/>
  <c r="EG25" i="148"/>
  <c r="EI25" i="148" s="1"/>
  <c r="DW25" i="148"/>
  <c r="DT25" i="148"/>
  <c r="DQ25" i="148"/>
  <c r="DN25" i="148"/>
  <c r="DK25" i="148"/>
  <c r="DH25" i="148"/>
  <c r="DE25" i="148"/>
  <c r="DB25" i="148"/>
  <c r="CY25" i="148"/>
  <c r="CV25" i="148"/>
  <c r="CS25" i="148"/>
  <c r="CP25" i="148"/>
  <c r="CM25" i="148"/>
  <c r="CJ25" i="148"/>
  <c r="CG25" i="148"/>
  <c r="CD25" i="148"/>
  <c r="CA25" i="148"/>
  <c r="BX25" i="148"/>
  <c r="BU25" i="148"/>
  <c r="BR25" i="148"/>
  <c r="BO25" i="148"/>
  <c r="BL25" i="148"/>
  <c r="BI25" i="148"/>
  <c r="BF25" i="148"/>
  <c r="BC25" i="148"/>
  <c r="AZ25" i="148"/>
  <c r="AU25" i="148"/>
  <c r="AW25" i="148" s="1"/>
  <c r="AT25" i="148"/>
  <c r="AR25" i="148"/>
  <c r="AO25" i="148"/>
  <c r="AQ25" i="148" s="1"/>
  <c r="AN25" i="148"/>
  <c r="AL25" i="148"/>
  <c r="AI25" i="148"/>
  <c r="AK25" i="148" s="1"/>
  <c r="AB25" i="148"/>
  <c r="Y25" i="148"/>
  <c r="V25" i="148"/>
  <c r="S25" i="148"/>
  <c r="P25" i="148"/>
  <c r="M25" i="148"/>
  <c r="J25" i="148"/>
  <c r="G25" i="148"/>
  <c r="D25" i="148"/>
  <c r="EL24" i="148"/>
  <c r="EI24" i="148"/>
  <c r="EG24" i="148"/>
  <c r="DW24" i="148"/>
  <c r="DT24" i="148"/>
  <c r="DQ24" i="148"/>
  <c r="DN24" i="148"/>
  <c r="DK24" i="148"/>
  <c r="DH24" i="148"/>
  <c r="DE24" i="148"/>
  <c r="DB24" i="148"/>
  <c r="CY24" i="148"/>
  <c r="CV24" i="148"/>
  <c r="CS24" i="148"/>
  <c r="CP24" i="148"/>
  <c r="CM24" i="148"/>
  <c r="CJ24" i="148"/>
  <c r="CG24" i="148"/>
  <c r="CD24" i="148"/>
  <c r="CA24" i="148"/>
  <c r="BX24" i="148"/>
  <c r="BU24" i="148"/>
  <c r="BR24" i="148"/>
  <c r="BO24" i="148"/>
  <c r="BL24" i="148"/>
  <c r="BI24" i="148"/>
  <c r="BF24" i="148"/>
  <c r="BC24" i="148"/>
  <c r="AZ24" i="148"/>
  <c r="AU24" i="148"/>
  <c r="AW24" i="148" s="1"/>
  <c r="AR24" i="148"/>
  <c r="AO24" i="148"/>
  <c r="AQ24" i="148" s="1"/>
  <c r="AL24" i="148"/>
  <c r="AI24" i="148"/>
  <c r="AK24" i="148" s="1"/>
  <c r="AB24" i="148"/>
  <c r="Y24" i="148"/>
  <c r="V24" i="148"/>
  <c r="S24" i="148"/>
  <c r="P24" i="148"/>
  <c r="M24" i="148"/>
  <c r="J24" i="148"/>
  <c r="G24" i="148"/>
  <c r="D24" i="148"/>
  <c r="EL23" i="148"/>
  <c r="EI23" i="148"/>
  <c r="EG23" i="148"/>
  <c r="DW23" i="148"/>
  <c r="DT23" i="148"/>
  <c r="DQ23" i="148"/>
  <c r="DN23" i="148"/>
  <c r="DK23" i="148"/>
  <c r="DH23" i="148"/>
  <c r="DE23" i="148"/>
  <c r="DB23" i="148"/>
  <c r="CY23" i="148"/>
  <c r="CV23" i="148"/>
  <c r="CS23" i="148"/>
  <c r="CP23" i="148"/>
  <c r="CM23" i="148"/>
  <c r="CJ23" i="148"/>
  <c r="CG23" i="148"/>
  <c r="CD23" i="148"/>
  <c r="CA23" i="148"/>
  <c r="BX23" i="148"/>
  <c r="BU23" i="148"/>
  <c r="BR23" i="148"/>
  <c r="BO23" i="148"/>
  <c r="BL23" i="148"/>
  <c r="BI23" i="148"/>
  <c r="BF23" i="148"/>
  <c r="BC23" i="148"/>
  <c r="AZ23" i="148"/>
  <c r="AW23" i="148"/>
  <c r="AU23" i="148"/>
  <c r="EK23" i="148" s="1"/>
  <c r="AR23" i="148"/>
  <c r="AT23" i="148" s="1"/>
  <c r="AQ23" i="148"/>
  <c r="AO23" i="148"/>
  <c r="AL23" i="148"/>
  <c r="EB23" i="148" s="1"/>
  <c r="AK23" i="148"/>
  <c r="AI23" i="148"/>
  <c r="AB23" i="148"/>
  <c r="Y23" i="148"/>
  <c r="V23" i="148"/>
  <c r="S23" i="148"/>
  <c r="P23" i="148"/>
  <c r="M23" i="148"/>
  <c r="J23" i="148"/>
  <c r="G23" i="148"/>
  <c r="D23" i="148"/>
  <c r="EL22" i="148"/>
  <c r="EG22" i="148"/>
  <c r="EI22" i="148" s="1"/>
  <c r="EB22" i="148"/>
  <c r="DW22" i="148"/>
  <c r="DT22" i="148"/>
  <c r="DQ22" i="148"/>
  <c r="DN22" i="148"/>
  <c r="DK22" i="148"/>
  <c r="DH22" i="148"/>
  <c r="DE22" i="148"/>
  <c r="DB22" i="148"/>
  <c r="CY22" i="148"/>
  <c r="CV22" i="148"/>
  <c r="CS22" i="148"/>
  <c r="CP22" i="148"/>
  <c r="CM22" i="148"/>
  <c r="CJ22" i="148"/>
  <c r="CG22" i="148"/>
  <c r="CD22" i="148"/>
  <c r="CA22" i="148"/>
  <c r="BX22" i="148"/>
  <c r="BU22" i="148"/>
  <c r="BR22" i="148"/>
  <c r="BO22" i="148"/>
  <c r="BL22" i="148"/>
  <c r="BI22" i="148"/>
  <c r="BF22" i="148"/>
  <c r="BC22" i="148"/>
  <c r="AZ22" i="148"/>
  <c r="AU22" i="148"/>
  <c r="AR22" i="148"/>
  <c r="AT22" i="148" s="1"/>
  <c r="AO22" i="148"/>
  <c r="AQ22" i="148" s="1"/>
  <c r="AL22" i="148"/>
  <c r="AN22" i="148" s="1"/>
  <c r="AI22" i="148"/>
  <c r="AK22" i="148" s="1"/>
  <c r="AB22" i="148"/>
  <c r="Y22" i="148"/>
  <c r="V22" i="148"/>
  <c r="S22" i="148"/>
  <c r="P22" i="148"/>
  <c r="M22" i="148"/>
  <c r="J22" i="148"/>
  <c r="G22" i="148"/>
  <c r="D22" i="148"/>
  <c r="EL21" i="148"/>
  <c r="EK21" i="148"/>
  <c r="EG21" i="148"/>
  <c r="EI21" i="148" s="1"/>
  <c r="DW21" i="148"/>
  <c r="DT21" i="148"/>
  <c r="DQ21" i="148"/>
  <c r="DN21" i="148"/>
  <c r="DK21" i="148"/>
  <c r="DH21" i="148"/>
  <c r="DE21" i="148"/>
  <c r="DB21" i="148"/>
  <c r="CY21" i="148"/>
  <c r="CV21" i="148"/>
  <c r="CS21" i="148"/>
  <c r="CP21" i="148"/>
  <c r="CM21" i="148"/>
  <c r="CJ21" i="148"/>
  <c r="CG21" i="148"/>
  <c r="CD21" i="148"/>
  <c r="CA21" i="148"/>
  <c r="BX21" i="148"/>
  <c r="BU21" i="148"/>
  <c r="BR21" i="148"/>
  <c r="BO21" i="148"/>
  <c r="BL21" i="148"/>
  <c r="BI21" i="148"/>
  <c r="BF21" i="148"/>
  <c r="BC21" i="148"/>
  <c r="AZ21" i="148"/>
  <c r="AU21" i="148"/>
  <c r="AW21" i="148" s="1"/>
  <c r="AT21" i="148"/>
  <c r="AR21" i="148"/>
  <c r="AO21" i="148"/>
  <c r="AQ21" i="148" s="1"/>
  <c r="AN21" i="148"/>
  <c r="AL21" i="148"/>
  <c r="AI21" i="148"/>
  <c r="AK21" i="148" s="1"/>
  <c r="AB21" i="148"/>
  <c r="Y21" i="148"/>
  <c r="V21" i="148"/>
  <c r="S21" i="148"/>
  <c r="P21" i="148"/>
  <c r="M21" i="148"/>
  <c r="J21" i="148"/>
  <c r="G21" i="148"/>
  <c r="D21" i="148"/>
  <c r="EL20" i="148"/>
  <c r="EI20" i="148"/>
  <c r="EG20" i="148"/>
  <c r="DW20" i="148"/>
  <c r="DT20" i="148"/>
  <c r="DQ20" i="148"/>
  <c r="DN20" i="148"/>
  <c r="DK20" i="148"/>
  <c r="DH20" i="148"/>
  <c r="DE20" i="148"/>
  <c r="DB20" i="148"/>
  <c r="CY20" i="148"/>
  <c r="CV20" i="148"/>
  <c r="CS20" i="148"/>
  <c r="CP20" i="148"/>
  <c r="CM20" i="148"/>
  <c r="CJ20" i="148"/>
  <c r="CG20" i="148"/>
  <c r="CD20" i="148"/>
  <c r="CA20" i="148"/>
  <c r="BX20" i="148"/>
  <c r="BU20" i="148"/>
  <c r="BR20" i="148"/>
  <c r="BO20" i="148"/>
  <c r="BL20" i="148"/>
  <c r="BI20" i="148"/>
  <c r="BF20" i="148"/>
  <c r="BC20" i="148"/>
  <c r="AZ20" i="148"/>
  <c r="AU20" i="148"/>
  <c r="AW20" i="148" s="1"/>
  <c r="AR20" i="148"/>
  <c r="AO20" i="148"/>
  <c r="AQ20" i="148" s="1"/>
  <c r="AL20" i="148"/>
  <c r="AI20" i="148"/>
  <c r="AK20" i="148" s="1"/>
  <c r="AB20" i="148"/>
  <c r="Y20" i="148"/>
  <c r="V20" i="148"/>
  <c r="S20" i="148"/>
  <c r="P20" i="148"/>
  <c r="M20" i="148"/>
  <c r="J20" i="148"/>
  <c r="G20" i="148"/>
  <c r="D20" i="148"/>
  <c r="EL19" i="148"/>
  <c r="EI19" i="148"/>
  <c r="EG19" i="148"/>
  <c r="DW19" i="148"/>
  <c r="DT19" i="148"/>
  <c r="DQ19" i="148"/>
  <c r="DN19" i="148"/>
  <c r="DK19" i="148"/>
  <c r="DH19" i="148"/>
  <c r="DE19" i="148"/>
  <c r="DB19" i="148"/>
  <c r="CY19" i="148"/>
  <c r="CV19" i="148"/>
  <c r="CS19" i="148"/>
  <c r="CP19" i="148"/>
  <c r="CM19" i="148"/>
  <c r="CJ19" i="148"/>
  <c r="CG19" i="148"/>
  <c r="CD19" i="148"/>
  <c r="CA19" i="148"/>
  <c r="BX19" i="148"/>
  <c r="BU19" i="148"/>
  <c r="BR19" i="148"/>
  <c r="BO19" i="148"/>
  <c r="BL19" i="148"/>
  <c r="BI19" i="148"/>
  <c r="BF19" i="148"/>
  <c r="BC19" i="148"/>
  <c r="AZ19" i="148"/>
  <c r="AW19" i="148"/>
  <c r="AU19" i="148"/>
  <c r="EK19" i="148" s="1"/>
  <c r="AR19" i="148"/>
  <c r="AT19" i="148" s="1"/>
  <c r="AQ19" i="148"/>
  <c r="AO19" i="148"/>
  <c r="AL19" i="148"/>
  <c r="EB19" i="148" s="1"/>
  <c r="AK19" i="148"/>
  <c r="AI19" i="148"/>
  <c r="AB19" i="148"/>
  <c r="Y19" i="148"/>
  <c r="V19" i="148"/>
  <c r="S19" i="148"/>
  <c r="P19" i="148"/>
  <c r="M19" i="148"/>
  <c r="J19" i="148"/>
  <c r="G19" i="148"/>
  <c r="D19" i="148"/>
  <c r="EL18" i="148"/>
  <c r="EG18" i="148"/>
  <c r="EI18" i="148" s="1"/>
  <c r="EB18" i="148"/>
  <c r="DW18" i="148"/>
  <c r="DT18" i="148"/>
  <c r="DQ18" i="148"/>
  <c r="DN18" i="148"/>
  <c r="DK18" i="148"/>
  <c r="DH18" i="148"/>
  <c r="DE18" i="148"/>
  <c r="DB18" i="148"/>
  <c r="CY18" i="148"/>
  <c r="CV18" i="148"/>
  <c r="CS18" i="148"/>
  <c r="CP18" i="148"/>
  <c r="CM18" i="148"/>
  <c r="CJ18" i="148"/>
  <c r="CG18" i="148"/>
  <c r="CD18" i="148"/>
  <c r="CA18" i="148"/>
  <c r="BX18" i="148"/>
  <c r="BU18" i="148"/>
  <c r="BR18" i="148"/>
  <c r="BO18" i="148"/>
  <c r="BL18" i="148"/>
  <c r="BI18" i="148"/>
  <c r="BF18" i="148"/>
  <c r="BC18" i="148"/>
  <c r="AZ18" i="148"/>
  <c r="AU18" i="148"/>
  <c r="AR18" i="148"/>
  <c r="AT18" i="148" s="1"/>
  <c r="AO18" i="148"/>
  <c r="AQ18" i="148" s="1"/>
  <c r="AL18" i="148"/>
  <c r="AN18" i="148" s="1"/>
  <c r="AI18" i="148"/>
  <c r="AK18" i="148" s="1"/>
  <c r="AB18" i="148"/>
  <c r="Y18" i="148"/>
  <c r="V18" i="148"/>
  <c r="S18" i="148"/>
  <c r="P18" i="148"/>
  <c r="M18" i="148"/>
  <c r="J18" i="148"/>
  <c r="G18" i="148"/>
  <c r="D18" i="148"/>
  <c r="EL17" i="148"/>
  <c r="EK17" i="148"/>
  <c r="EG17" i="148"/>
  <c r="EI17" i="148" s="1"/>
  <c r="DW17" i="148"/>
  <c r="DT17" i="148"/>
  <c r="DQ17" i="148"/>
  <c r="DN17" i="148"/>
  <c r="DK17" i="148"/>
  <c r="DH17" i="148"/>
  <c r="DE17" i="148"/>
  <c r="DB17" i="148"/>
  <c r="CY17" i="148"/>
  <c r="CV17" i="148"/>
  <c r="CS17" i="148"/>
  <c r="CP17" i="148"/>
  <c r="CM17" i="148"/>
  <c r="CJ17" i="148"/>
  <c r="CG17" i="148"/>
  <c r="CD17" i="148"/>
  <c r="CA17" i="148"/>
  <c r="BX17" i="148"/>
  <c r="BU17" i="148"/>
  <c r="BR17" i="148"/>
  <c r="BO17" i="148"/>
  <c r="BL17" i="148"/>
  <c r="BI17" i="148"/>
  <c r="BF17" i="148"/>
  <c r="BC17" i="148"/>
  <c r="AZ17" i="148"/>
  <c r="AU17" i="148"/>
  <c r="AW17" i="148" s="1"/>
  <c r="AT17" i="148"/>
  <c r="AR17" i="148"/>
  <c r="AO17" i="148"/>
  <c r="AQ17" i="148" s="1"/>
  <c r="AN17" i="148"/>
  <c r="AL17" i="148"/>
  <c r="AK17" i="148"/>
  <c r="AB17" i="148"/>
  <c r="Y17" i="148"/>
  <c r="V17" i="148"/>
  <c r="S17" i="148"/>
  <c r="P17" i="148"/>
  <c r="M17" i="148"/>
  <c r="J17" i="148"/>
  <c r="G17" i="148"/>
  <c r="D17" i="148"/>
  <c r="EL16" i="148"/>
  <c r="EI16" i="148"/>
  <c r="EG16" i="148"/>
  <c r="DW16" i="148"/>
  <c r="DT16" i="148"/>
  <c r="DQ16" i="148"/>
  <c r="DN16" i="148"/>
  <c r="DK16" i="148"/>
  <c r="DH16" i="148"/>
  <c r="DE16" i="148"/>
  <c r="DB16" i="148"/>
  <c r="CY16" i="148"/>
  <c r="CV16" i="148"/>
  <c r="CS16" i="148"/>
  <c r="CP16" i="148"/>
  <c r="CM16" i="148"/>
  <c r="CJ16" i="148"/>
  <c r="CG16" i="148"/>
  <c r="CD16" i="148"/>
  <c r="CA16" i="148"/>
  <c r="BX16" i="148"/>
  <c r="BU16" i="148"/>
  <c r="BR16" i="148"/>
  <c r="BO16" i="148"/>
  <c r="BL16" i="148"/>
  <c r="BI16" i="148"/>
  <c r="BF16" i="148"/>
  <c r="BC16" i="148"/>
  <c r="AZ16" i="148"/>
  <c r="AW16" i="148"/>
  <c r="AR16" i="148"/>
  <c r="AT16" i="148" s="1"/>
  <c r="AO16" i="148"/>
  <c r="AQ16" i="148" s="1"/>
  <c r="AL16" i="148"/>
  <c r="AK16" i="148"/>
  <c r="AB16" i="148"/>
  <c r="Y16" i="148"/>
  <c r="V16" i="148"/>
  <c r="EH16" i="148" s="1"/>
  <c r="S16" i="148"/>
  <c r="P16" i="148"/>
  <c r="M16" i="148"/>
  <c r="J16" i="148"/>
  <c r="G16" i="148"/>
  <c r="D16" i="148"/>
  <c r="EL15" i="148"/>
  <c r="EI15" i="148"/>
  <c r="EG15" i="148"/>
  <c r="DW15" i="148"/>
  <c r="DT15" i="148"/>
  <c r="DQ15" i="148"/>
  <c r="DN15" i="148"/>
  <c r="DK15" i="148"/>
  <c r="DH15" i="148"/>
  <c r="DE15" i="148"/>
  <c r="DB15" i="148"/>
  <c r="CY15" i="148"/>
  <c r="CV15" i="148"/>
  <c r="CS15" i="148"/>
  <c r="CP15" i="148"/>
  <c r="CM15" i="148"/>
  <c r="CJ15" i="148"/>
  <c r="CG15" i="148"/>
  <c r="CD15" i="148"/>
  <c r="CA15" i="148"/>
  <c r="BX15" i="148"/>
  <c r="BU15" i="148"/>
  <c r="BR15" i="148"/>
  <c r="BO15" i="148"/>
  <c r="BL15" i="148"/>
  <c r="BI15" i="148"/>
  <c r="BF15" i="148"/>
  <c r="BC15" i="148"/>
  <c r="AZ15" i="148"/>
  <c r="AW15" i="148"/>
  <c r="AR15" i="148"/>
  <c r="AQ15" i="148"/>
  <c r="AO15" i="148"/>
  <c r="AL15" i="148"/>
  <c r="AK15" i="148"/>
  <c r="AB15" i="148"/>
  <c r="Y15" i="148"/>
  <c r="V15" i="148"/>
  <c r="S15" i="148"/>
  <c r="P15" i="148"/>
  <c r="M15" i="148"/>
  <c r="J15" i="148"/>
  <c r="G15" i="148"/>
  <c r="D15" i="148"/>
  <c r="EL14" i="148"/>
  <c r="EG14" i="148"/>
  <c r="EI14" i="148" s="1"/>
  <c r="DW14" i="148"/>
  <c r="DT14" i="148"/>
  <c r="DQ14" i="148"/>
  <c r="DN14" i="148"/>
  <c r="DK14" i="148"/>
  <c r="DH14" i="148"/>
  <c r="DE14" i="148"/>
  <c r="DB14" i="148"/>
  <c r="CY14" i="148"/>
  <c r="CV14" i="148"/>
  <c r="CS14" i="148"/>
  <c r="CP14" i="148"/>
  <c r="CM14" i="148"/>
  <c r="CJ14" i="148"/>
  <c r="CG14" i="148"/>
  <c r="CD14" i="148"/>
  <c r="CA14" i="148"/>
  <c r="BX14" i="148"/>
  <c r="BU14" i="148"/>
  <c r="BR14" i="148"/>
  <c r="BO14" i="148"/>
  <c r="BL14" i="148"/>
  <c r="BI14" i="148"/>
  <c r="BF14" i="148"/>
  <c r="BC14" i="148"/>
  <c r="AZ14" i="148"/>
  <c r="AW14" i="148"/>
  <c r="AT14" i="148"/>
  <c r="AR14" i="148"/>
  <c r="EK14" i="148" s="1"/>
  <c r="AO14" i="148"/>
  <c r="AQ14" i="148" s="1"/>
  <c r="AN14" i="148"/>
  <c r="AL14" i="148"/>
  <c r="EB14" i="148" s="1"/>
  <c r="AK14" i="148"/>
  <c r="AB14" i="148"/>
  <c r="Y14" i="148"/>
  <c r="V14" i="148"/>
  <c r="S14" i="148"/>
  <c r="P14" i="148"/>
  <c r="M14" i="148"/>
  <c r="J14" i="148"/>
  <c r="G14" i="148"/>
  <c r="D14" i="148"/>
  <c r="EL13" i="148"/>
  <c r="EG13" i="148"/>
  <c r="EI13" i="148" s="1"/>
  <c r="DW13" i="148"/>
  <c r="DT13" i="148"/>
  <c r="DQ13" i="148"/>
  <c r="EM13" i="148" s="1"/>
  <c r="DN13" i="148"/>
  <c r="DK13" i="148"/>
  <c r="DH13" i="148"/>
  <c r="DE13" i="148"/>
  <c r="DB13" i="148"/>
  <c r="CY13" i="148"/>
  <c r="CV13" i="148"/>
  <c r="CS13" i="148"/>
  <c r="CP13" i="148"/>
  <c r="CM13" i="148"/>
  <c r="CJ13" i="148"/>
  <c r="CG13" i="148"/>
  <c r="CD13" i="148"/>
  <c r="CA13" i="148"/>
  <c r="BX13" i="148"/>
  <c r="BU13" i="148"/>
  <c r="BR13" i="148"/>
  <c r="BO13" i="148"/>
  <c r="BL13" i="148"/>
  <c r="BI13" i="148"/>
  <c r="BF13" i="148"/>
  <c r="BC13" i="148"/>
  <c r="AZ13" i="148"/>
  <c r="AW13" i="148"/>
  <c r="AT13" i="148"/>
  <c r="AR13" i="148"/>
  <c r="EK13" i="148" s="1"/>
  <c r="AO13" i="148"/>
  <c r="AQ13" i="148" s="1"/>
  <c r="AN13" i="148"/>
  <c r="AL13" i="148"/>
  <c r="AI13" i="148"/>
  <c r="AK13" i="148" s="1"/>
  <c r="AB13" i="148"/>
  <c r="Y13" i="148"/>
  <c r="V13" i="148"/>
  <c r="S13" i="148"/>
  <c r="P13" i="148"/>
  <c r="M13" i="148"/>
  <c r="J13" i="148"/>
  <c r="G13" i="148"/>
  <c r="D13" i="148"/>
  <c r="A13" i="148"/>
  <c r="A14" i="148" s="1"/>
  <c r="A15" i="148" s="1"/>
  <c r="A16" i="148" s="1"/>
  <c r="A17" i="148" s="1"/>
  <c r="A18" i="148" s="1"/>
  <c r="A19" i="148" s="1"/>
  <c r="A20" i="148" s="1"/>
  <c r="A21" i="148" s="1"/>
  <c r="A22" i="148" s="1"/>
  <c r="A23" i="148" s="1"/>
  <c r="A24" i="148" s="1"/>
  <c r="A25" i="148" s="1"/>
  <c r="A26" i="148" s="1"/>
  <c r="A27" i="148" s="1"/>
  <c r="A28" i="148" s="1"/>
  <c r="A29" i="148" s="1"/>
  <c r="A30" i="148" s="1"/>
  <c r="A31" i="148" s="1"/>
  <c r="A32" i="148" s="1"/>
  <c r="A33" i="148" s="1"/>
  <c r="A34" i="148" s="1"/>
  <c r="A35" i="148" s="1"/>
  <c r="A36" i="148" s="1"/>
  <c r="A37" i="148" s="1"/>
  <c r="A38" i="148" s="1"/>
  <c r="A39" i="148" s="1"/>
  <c r="A40" i="148" s="1"/>
  <c r="A41" i="148" s="1"/>
  <c r="A42" i="148" s="1"/>
  <c r="EL12" i="148"/>
  <c r="EI12" i="148"/>
  <c r="EG12" i="148"/>
  <c r="DW12" i="148"/>
  <c r="DT12" i="148"/>
  <c r="DQ12" i="148"/>
  <c r="DQ43" i="148" s="1"/>
  <c r="DN12" i="148"/>
  <c r="DK12" i="148"/>
  <c r="DH12" i="148"/>
  <c r="DH43" i="148" s="1"/>
  <c r="DE12" i="148"/>
  <c r="DE43" i="148" s="1"/>
  <c r="DB12" i="148"/>
  <c r="CY12" i="148"/>
  <c r="CV12" i="148"/>
  <c r="CV43" i="148" s="1"/>
  <c r="CS12" i="148"/>
  <c r="CS43" i="148" s="1"/>
  <c r="CP12" i="148"/>
  <c r="CP43" i="148" s="1"/>
  <c r="CM12" i="148"/>
  <c r="CJ12" i="148"/>
  <c r="CJ43" i="148" s="1"/>
  <c r="CG12" i="148"/>
  <c r="CG43" i="148" s="1"/>
  <c r="CD12" i="148"/>
  <c r="CA12" i="148"/>
  <c r="BX12" i="148"/>
  <c r="BX43" i="148" s="1"/>
  <c r="BU12" i="148"/>
  <c r="BU43" i="148" s="1"/>
  <c r="BR12" i="148"/>
  <c r="BO12" i="148"/>
  <c r="BL12" i="148"/>
  <c r="BL43" i="148" s="1"/>
  <c r="BI12" i="148"/>
  <c r="BI43" i="148" s="1"/>
  <c r="BF12" i="148"/>
  <c r="BC12" i="148"/>
  <c r="AZ12" i="148"/>
  <c r="AW12" i="148"/>
  <c r="AT12" i="148"/>
  <c r="AQ12" i="148"/>
  <c r="AO12" i="148"/>
  <c r="EK12" i="148" s="1"/>
  <c r="AN12" i="148"/>
  <c r="AL12" i="148"/>
  <c r="EB12" i="148" s="1"/>
  <c r="AK12" i="148"/>
  <c r="AB12" i="148"/>
  <c r="AB43" i="148" s="1"/>
  <c r="Y12" i="148"/>
  <c r="V12" i="148"/>
  <c r="V43" i="148" s="1"/>
  <c r="S12" i="148"/>
  <c r="P12" i="148"/>
  <c r="P43" i="148" s="1"/>
  <c r="M12" i="148"/>
  <c r="J12" i="148"/>
  <c r="J43" i="148" s="1"/>
  <c r="G12" i="148"/>
  <c r="G43" i="148" s="1"/>
  <c r="D12" i="148"/>
  <c r="D43" i="148" s="1"/>
  <c r="EI6" i="148"/>
  <c r="EI4" i="148"/>
  <c r="EI5" i="148" s="1"/>
  <c r="EI2" i="148"/>
  <c r="EH18" i="148" l="1"/>
  <c r="AH43" i="148"/>
  <c r="EH28" i="148"/>
  <c r="AE43" i="148"/>
  <c r="EH24" i="148"/>
  <c r="EH13" i="148"/>
  <c r="EH17" i="148"/>
  <c r="EH31" i="148"/>
  <c r="EH36" i="148"/>
  <c r="EH39" i="148"/>
  <c r="EH22" i="148"/>
  <c r="EH29" i="148"/>
  <c r="EH32" i="148"/>
  <c r="EH40" i="148"/>
  <c r="EH14" i="148"/>
  <c r="EH19" i="148"/>
  <c r="EH26" i="148"/>
  <c r="EH42" i="148"/>
  <c r="EH20" i="148"/>
  <c r="EH23" i="148"/>
  <c r="EH30" i="148"/>
  <c r="EH35" i="148"/>
  <c r="EC14" i="148"/>
  <c r="EM19" i="148"/>
  <c r="EC12" i="148"/>
  <c r="EK24" i="148"/>
  <c r="EN4" i="148" s="1"/>
  <c r="AT24" i="148"/>
  <c r="ED35" i="148"/>
  <c r="DT43" i="148"/>
  <c r="EM12" i="148"/>
  <c r="ED12" i="148"/>
  <c r="EE12" i="148" s="1"/>
  <c r="ED13" i="148"/>
  <c r="EB13" i="148"/>
  <c r="EB15" i="148"/>
  <c r="AN15" i="148"/>
  <c r="ED15" i="148" s="1"/>
  <c r="EB16" i="148"/>
  <c r="ED17" i="148"/>
  <c r="EK18" i="148"/>
  <c r="AW18" i="148"/>
  <c r="EM18" i="148" s="1"/>
  <c r="ED21" i="148"/>
  <c r="EK22" i="148"/>
  <c r="AW22" i="148"/>
  <c r="EM22" i="148" s="1"/>
  <c r="ED25" i="148"/>
  <c r="EK26" i="148"/>
  <c r="AW26" i="148"/>
  <c r="EM26" i="148" s="1"/>
  <c r="EM29" i="148"/>
  <c r="EN29" i="148" s="1"/>
  <c r="S43" i="148"/>
  <c r="EH12" i="148"/>
  <c r="AT15" i="148"/>
  <c r="AT43" i="148" s="1"/>
  <c r="EK15" i="148"/>
  <c r="EN6" i="148" s="1"/>
  <c r="M43" i="148"/>
  <c r="Y43" i="148"/>
  <c r="AK43" i="148"/>
  <c r="BC43" i="148"/>
  <c r="BO43" i="148"/>
  <c r="CA43" i="148"/>
  <c r="CM43" i="148"/>
  <c r="CY43" i="148"/>
  <c r="DK43" i="148"/>
  <c r="DW43" i="148"/>
  <c r="EH15" i="148"/>
  <c r="EM17" i="148"/>
  <c r="ED18" i="148"/>
  <c r="EE18" i="148" s="1"/>
  <c r="EB20" i="148"/>
  <c r="AN20" i="148"/>
  <c r="EH21" i="148"/>
  <c r="EM21" i="148"/>
  <c r="EB24" i="148"/>
  <c r="AN24" i="148"/>
  <c r="ED24" i="148" s="1"/>
  <c r="EH25" i="148"/>
  <c r="EM25" i="148"/>
  <c r="ED26" i="148"/>
  <c r="EE26" i="148" s="1"/>
  <c r="EK31" i="148"/>
  <c r="AT31" i="148"/>
  <c r="AW38" i="148"/>
  <c r="EM38" i="148" s="1"/>
  <c r="EK38" i="148"/>
  <c r="AN42" i="148"/>
  <c r="ED42" i="148" s="1"/>
  <c r="EB42" i="148"/>
  <c r="EN13" i="148"/>
  <c r="EM14" i="148"/>
  <c r="EN14" i="148" s="1"/>
  <c r="EN19" i="148"/>
  <c r="EC19" i="148"/>
  <c r="EK20" i="148"/>
  <c r="AT20" i="148"/>
  <c r="EM20" i="148" s="1"/>
  <c r="EC22" i="148"/>
  <c r="EC23" i="148"/>
  <c r="BF43" i="148"/>
  <c r="BR43" i="148"/>
  <c r="CD43" i="148"/>
  <c r="DB43" i="148"/>
  <c r="DN43" i="148"/>
  <c r="ED14" i="148"/>
  <c r="EE14" i="148" s="1"/>
  <c r="EN17" i="148"/>
  <c r="EN21" i="148"/>
  <c r="EN25" i="148"/>
  <c r="AW34" i="148"/>
  <c r="EK34" i="148"/>
  <c r="EC39" i="148"/>
  <c r="EB17" i="148"/>
  <c r="EB21" i="148"/>
  <c r="EB25" i="148"/>
  <c r="EH27" i="148"/>
  <c r="EN28" i="148"/>
  <c r="EB29" i="148"/>
  <c r="ED32" i="148"/>
  <c r="EM33" i="148"/>
  <c r="EB35" i="148"/>
  <c r="AQ35" i="148"/>
  <c r="EM37" i="148"/>
  <c r="EB38" i="148"/>
  <c r="EC41" i="148"/>
  <c r="EK16" i="148"/>
  <c r="AN19" i="148"/>
  <c r="ED19" i="148" s="1"/>
  <c r="EE19" i="148" s="1"/>
  <c r="AN23" i="148"/>
  <c r="ED23" i="148" s="1"/>
  <c r="EE23" i="148" s="1"/>
  <c r="AN27" i="148"/>
  <c r="EM27" i="148" s="1"/>
  <c r="EB28" i="148"/>
  <c r="AW29" i="148"/>
  <c r="ED29" i="148" s="1"/>
  <c r="EB31" i="148"/>
  <c r="AN31" i="148"/>
  <c r="ED31" i="148" s="1"/>
  <c r="EM32" i="148"/>
  <c r="EK33" i="148"/>
  <c r="EN33" i="148" s="1"/>
  <c r="EH34" i="148"/>
  <c r="EB34" i="148"/>
  <c r="AQ34" i="148"/>
  <c r="ED34" i="148" s="1"/>
  <c r="EB37" i="148"/>
  <c r="EK37" i="148"/>
  <c r="EH38" i="148"/>
  <c r="ED41" i="148"/>
  <c r="EE41" i="148" s="1"/>
  <c r="EK42" i="148"/>
  <c r="AZ42" i="148"/>
  <c r="AN16" i="148"/>
  <c r="ED16" i="148" s="1"/>
  <c r="EK27" i="148"/>
  <c r="ED28" i="148"/>
  <c r="EM28" i="148"/>
  <c r="EN32" i="148"/>
  <c r="EH33" i="148"/>
  <c r="EB33" i="148"/>
  <c r="AQ33" i="148"/>
  <c r="AQ43" i="148" s="1"/>
  <c r="EM35" i="148"/>
  <c r="EN35" i="148" s="1"/>
  <c r="EB36" i="148"/>
  <c r="EK36" i="148"/>
  <c r="EH37" i="148"/>
  <c r="EB40" i="148"/>
  <c r="EK40" i="148"/>
  <c r="EH41" i="148"/>
  <c r="EM41" i="148"/>
  <c r="EN41" i="148" s="1"/>
  <c r="EB30" i="148"/>
  <c r="AN36" i="148"/>
  <c r="ED36" i="148" s="1"/>
  <c r="AN37" i="148"/>
  <c r="ED37" i="148" s="1"/>
  <c r="AN38" i="148"/>
  <c r="ED38" i="148" s="1"/>
  <c r="AN39" i="148"/>
  <c r="ED39" i="148" s="1"/>
  <c r="EE39" i="148" s="1"/>
  <c r="AN40" i="148"/>
  <c r="EM40" i="148" s="1"/>
  <c r="EB32" i="148"/>
  <c r="AT30" i="148"/>
  <c r="EM30" i="148" s="1"/>
  <c r="EN30" i="148" s="1"/>
  <c r="EN38" i="148" l="1"/>
  <c r="AW43" i="148"/>
  <c r="EC30" i="148"/>
  <c r="EC40" i="148"/>
  <c r="EN36" i="148"/>
  <c r="EN27" i="148"/>
  <c r="EN37" i="148"/>
  <c r="ED33" i="148"/>
  <c r="EE33" i="148" s="1"/>
  <c r="EE31" i="148"/>
  <c r="EC31" i="148"/>
  <c r="EM34" i="148"/>
  <c r="ED27" i="148"/>
  <c r="EE27" i="148" s="1"/>
  <c r="EC24" i="148"/>
  <c r="EE24" i="148"/>
  <c r="EH43" i="148"/>
  <c r="EN26" i="148"/>
  <c r="EN22" i="148"/>
  <c r="EN18" i="148"/>
  <c r="EC15" i="148"/>
  <c r="EE15" i="148"/>
  <c r="EC26" i="148"/>
  <c r="EM23" i="148"/>
  <c r="EN23" i="148" s="1"/>
  <c r="EC17" i="148"/>
  <c r="EE17" i="148"/>
  <c r="AN43" i="148"/>
  <c r="ED40" i="148"/>
  <c r="EE40" i="148" s="1"/>
  <c r="EC36" i="148"/>
  <c r="EE36" i="148"/>
  <c r="EC33" i="148"/>
  <c r="ED30" i="148"/>
  <c r="EE30" i="148" s="1"/>
  <c r="EC37" i="148"/>
  <c r="EE37" i="148"/>
  <c r="EC34" i="148"/>
  <c r="EE34" i="148"/>
  <c r="EC38" i="148"/>
  <c r="EE38" i="148"/>
  <c r="EC35" i="148"/>
  <c r="EE35" i="148"/>
  <c r="EE29" i="148"/>
  <c r="EC29" i="148"/>
  <c r="EC25" i="148"/>
  <c r="EE25" i="148"/>
  <c r="EN34" i="148"/>
  <c r="EN20" i="148"/>
  <c r="ED22" i="148"/>
  <c r="EE22" i="148" s="1"/>
  <c r="ED20" i="148"/>
  <c r="EM15" i="148"/>
  <c r="EN5" i="148" s="1"/>
  <c r="EN15" i="148"/>
  <c r="EE13" i="148"/>
  <c r="EC13" i="148"/>
  <c r="EC18" i="148"/>
  <c r="EM16" i="148"/>
  <c r="EN16" i="148" s="1"/>
  <c r="EN12" i="148"/>
  <c r="EN40" i="148"/>
  <c r="EN2" i="148"/>
  <c r="EP2" i="148" s="1"/>
  <c r="EM36" i="148"/>
  <c r="EE6" i="148"/>
  <c r="G8" i="148" s="1"/>
  <c r="EC32" i="148"/>
  <c r="EE32" i="148"/>
  <c r="EM39" i="148"/>
  <c r="EN39" i="148" s="1"/>
  <c r="EM42" i="148"/>
  <c r="EN42" i="148" s="1"/>
  <c r="EM31" i="148"/>
  <c r="EC28" i="148"/>
  <c r="EE28" i="148"/>
  <c r="EC21" i="148"/>
  <c r="EE21" i="148"/>
  <c r="EE42" i="148"/>
  <c r="EC42" i="148"/>
  <c r="EE2" i="148"/>
  <c r="EQ2" i="148" s="1"/>
  <c r="G5" i="148" s="1"/>
  <c r="EN31" i="148"/>
  <c r="EM24" i="148"/>
  <c r="EM43" i="148" s="1"/>
  <c r="EC20" i="148"/>
  <c r="EC27" i="148"/>
  <c r="EE16" i="148"/>
  <c r="EC16" i="148"/>
  <c r="AZ43" i="148"/>
  <c r="EE4" i="148"/>
  <c r="ED43" i="148" l="1"/>
  <c r="EN24" i="148"/>
  <c r="EE20" i="148"/>
  <c r="EE5" i="148"/>
  <c r="G7" i="148" s="1"/>
  <c r="G6" i="148"/>
  <c r="EL41" i="147" l="1"/>
  <c r="EG41" i="147"/>
  <c r="EI41" i="147" s="1"/>
  <c r="DW41" i="147"/>
  <c r="DT41" i="147"/>
  <c r="DQ41" i="147"/>
  <c r="EM41" i="147" s="1"/>
  <c r="DN41" i="147"/>
  <c r="DK41" i="147"/>
  <c r="DH41" i="147"/>
  <c r="DE41" i="147"/>
  <c r="DB41" i="147"/>
  <c r="CY41" i="147"/>
  <c r="CV41" i="147"/>
  <c r="CS41" i="147"/>
  <c r="CP41" i="147"/>
  <c r="CM41" i="147"/>
  <c r="CJ41" i="147"/>
  <c r="CG41" i="147"/>
  <c r="CD41" i="147"/>
  <c r="CA41" i="147"/>
  <c r="BX41" i="147"/>
  <c r="BU41" i="147"/>
  <c r="BR41" i="147"/>
  <c r="BO41" i="147"/>
  <c r="BL41" i="147"/>
  <c r="BI41" i="147"/>
  <c r="BF41" i="147"/>
  <c r="BC41" i="147"/>
  <c r="AZ41" i="147"/>
  <c r="AW41" i="147"/>
  <c r="AU41" i="147"/>
  <c r="EK41" i="147" s="1"/>
  <c r="AR41" i="147"/>
  <c r="AT41" i="147" s="1"/>
  <c r="AQ41" i="147"/>
  <c r="AO41" i="147"/>
  <c r="EB41" i="147" s="1"/>
  <c r="EC41" i="147" s="1"/>
  <c r="AN41" i="147"/>
  <c r="AK41" i="147"/>
  <c r="AB41" i="147"/>
  <c r="Y41" i="147"/>
  <c r="V41" i="147"/>
  <c r="S41" i="147"/>
  <c r="P41" i="147"/>
  <c r="M41" i="147"/>
  <c r="J41" i="147"/>
  <c r="G41" i="147"/>
  <c r="D41" i="147"/>
  <c r="EL40" i="147"/>
  <c r="EI40" i="147"/>
  <c r="EG40" i="147"/>
  <c r="DW40" i="147"/>
  <c r="DT40" i="147"/>
  <c r="DQ40" i="147"/>
  <c r="DN40" i="147"/>
  <c r="DK40" i="147"/>
  <c r="DH40" i="147"/>
  <c r="DE40" i="147"/>
  <c r="DB40" i="147"/>
  <c r="CY40" i="147"/>
  <c r="CV40" i="147"/>
  <c r="CS40" i="147"/>
  <c r="CP40" i="147"/>
  <c r="CM40" i="147"/>
  <c r="CJ40" i="147"/>
  <c r="CG40" i="147"/>
  <c r="CD40" i="147"/>
  <c r="CA40" i="147"/>
  <c r="BX40" i="147"/>
  <c r="BU40" i="147"/>
  <c r="BR40" i="147"/>
  <c r="BO40" i="147"/>
  <c r="BL40" i="147"/>
  <c r="BI40" i="147"/>
  <c r="BF40" i="147"/>
  <c r="BC40" i="147"/>
  <c r="AZ40" i="147"/>
  <c r="AW40" i="147"/>
  <c r="AU40" i="147"/>
  <c r="AR40" i="147"/>
  <c r="AQ40" i="147"/>
  <c r="AO40" i="147"/>
  <c r="EB40" i="147" s="1"/>
  <c r="AN40" i="147"/>
  <c r="AK40" i="147"/>
  <c r="AI40" i="147"/>
  <c r="AB40" i="147"/>
  <c r="Y40" i="147"/>
  <c r="V40" i="147"/>
  <c r="S40" i="147"/>
  <c r="P40" i="147"/>
  <c r="M40" i="147"/>
  <c r="J40" i="147"/>
  <c r="G40" i="147"/>
  <c r="D40" i="147"/>
  <c r="EL39" i="147"/>
  <c r="EG39" i="147"/>
  <c r="EI39" i="147" s="1"/>
  <c r="DW39" i="147"/>
  <c r="DT39" i="147"/>
  <c r="DQ39" i="147"/>
  <c r="DN39" i="147"/>
  <c r="DK39" i="147"/>
  <c r="DH39" i="147"/>
  <c r="DE39" i="147"/>
  <c r="DB39" i="147"/>
  <c r="CY39" i="147"/>
  <c r="CV39" i="147"/>
  <c r="CS39" i="147"/>
  <c r="CP39" i="147"/>
  <c r="CM39" i="147"/>
  <c r="CJ39" i="147"/>
  <c r="CG39" i="147"/>
  <c r="CD39" i="147"/>
  <c r="CA39" i="147"/>
  <c r="BX39" i="147"/>
  <c r="BU39" i="147"/>
  <c r="BR39" i="147"/>
  <c r="BO39" i="147"/>
  <c r="BL39" i="147"/>
  <c r="BI39" i="147"/>
  <c r="BF39" i="147"/>
  <c r="BC39" i="147"/>
  <c r="AZ39" i="147"/>
  <c r="AU39" i="147"/>
  <c r="AT39" i="147"/>
  <c r="AR39" i="147"/>
  <c r="AO39" i="147"/>
  <c r="AQ39" i="147" s="1"/>
  <c r="AN39" i="147"/>
  <c r="AI39" i="147"/>
  <c r="AK39" i="147" s="1"/>
  <c r="AB39" i="147"/>
  <c r="Y39" i="147"/>
  <c r="V39" i="147"/>
  <c r="S39" i="147"/>
  <c r="P39" i="147"/>
  <c r="M39" i="147"/>
  <c r="J39" i="147"/>
  <c r="G39" i="147"/>
  <c r="D39" i="147"/>
  <c r="EL38" i="147"/>
  <c r="EI38" i="147"/>
  <c r="EG38" i="147"/>
  <c r="DW38" i="147"/>
  <c r="DT38" i="147"/>
  <c r="DQ38" i="147"/>
  <c r="DN38" i="147"/>
  <c r="DK38" i="147"/>
  <c r="DH38" i="147"/>
  <c r="DE38" i="147"/>
  <c r="DB38" i="147"/>
  <c r="CY38" i="147"/>
  <c r="CV38" i="147"/>
  <c r="CS38" i="147"/>
  <c r="CP38" i="147"/>
  <c r="CM38" i="147"/>
  <c r="CJ38" i="147"/>
  <c r="CG38" i="147"/>
  <c r="CD38" i="147"/>
  <c r="CA38" i="147"/>
  <c r="BX38" i="147"/>
  <c r="BU38" i="147"/>
  <c r="BR38" i="147"/>
  <c r="BO38" i="147"/>
  <c r="BL38" i="147"/>
  <c r="BI38" i="147"/>
  <c r="BF38" i="147"/>
  <c r="BC38" i="147"/>
  <c r="AZ38" i="147"/>
  <c r="AW38" i="147"/>
  <c r="AU38" i="147"/>
  <c r="AR38" i="147"/>
  <c r="AT38" i="147" s="1"/>
  <c r="AQ38" i="147"/>
  <c r="AO38" i="147"/>
  <c r="EB38" i="147" s="1"/>
  <c r="AN38" i="147"/>
  <c r="AK38" i="147"/>
  <c r="AI38" i="147"/>
  <c r="AB38" i="147"/>
  <c r="Y38" i="147"/>
  <c r="V38" i="147"/>
  <c r="S38" i="147"/>
  <c r="P38" i="147"/>
  <c r="M38" i="147"/>
  <c r="J38" i="147"/>
  <c r="G38" i="147"/>
  <c r="D38" i="147"/>
  <c r="EL37" i="147"/>
  <c r="EG37" i="147"/>
  <c r="EI37" i="147" s="1"/>
  <c r="DW37" i="147"/>
  <c r="DT37" i="147"/>
  <c r="DQ37" i="147"/>
  <c r="DN37" i="147"/>
  <c r="DK37" i="147"/>
  <c r="DH37" i="147"/>
  <c r="DE37" i="147"/>
  <c r="DB37" i="147"/>
  <c r="CY37" i="147"/>
  <c r="CV37" i="147"/>
  <c r="CS37" i="147"/>
  <c r="CP37" i="147"/>
  <c r="CM37" i="147"/>
  <c r="CJ37" i="147"/>
  <c r="CG37" i="147"/>
  <c r="CD37" i="147"/>
  <c r="CA37" i="147"/>
  <c r="BX37" i="147"/>
  <c r="BU37" i="147"/>
  <c r="BR37" i="147"/>
  <c r="BO37" i="147"/>
  <c r="BL37" i="147"/>
  <c r="BI37" i="147"/>
  <c r="BF37" i="147"/>
  <c r="BC37" i="147"/>
  <c r="AZ37" i="147"/>
  <c r="AU37" i="147"/>
  <c r="AT37" i="147"/>
  <c r="AR37" i="147"/>
  <c r="AO37" i="147"/>
  <c r="AQ37" i="147" s="1"/>
  <c r="AN37" i="147"/>
  <c r="AI37" i="147"/>
  <c r="AK37" i="147" s="1"/>
  <c r="AB37" i="147"/>
  <c r="Y37" i="147"/>
  <c r="V37" i="147"/>
  <c r="S37" i="147"/>
  <c r="P37" i="147"/>
  <c r="M37" i="147"/>
  <c r="J37" i="147"/>
  <c r="G37" i="147"/>
  <c r="D37" i="147"/>
  <c r="EL36" i="147"/>
  <c r="EI36" i="147"/>
  <c r="EG36" i="147"/>
  <c r="DW36" i="147"/>
  <c r="DT36" i="147"/>
  <c r="DQ36" i="147"/>
  <c r="DN36" i="147"/>
  <c r="DK36" i="147"/>
  <c r="DH36" i="147"/>
  <c r="DE36" i="147"/>
  <c r="DB36" i="147"/>
  <c r="CY36" i="147"/>
  <c r="CV36" i="147"/>
  <c r="CS36" i="147"/>
  <c r="CP36" i="147"/>
  <c r="CM36" i="147"/>
  <c r="CJ36" i="147"/>
  <c r="CG36" i="147"/>
  <c r="CD36" i="147"/>
  <c r="CA36" i="147"/>
  <c r="BX36" i="147"/>
  <c r="BU36" i="147"/>
  <c r="BR36" i="147"/>
  <c r="BO36" i="147"/>
  <c r="BL36" i="147"/>
  <c r="BI36" i="147"/>
  <c r="BF36" i="147"/>
  <c r="BC36" i="147"/>
  <c r="AZ36" i="147"/>
  <c r="AW36" i="147"/>
  <c r="AU36" i="147"/>
  <c r="EK36" i="147" s="1"/>
  <c r="AR36" i="147"/>
  <c r="AT36" i="147" s="1"/>
  <c r="AQ36" i="147"/>
  <c r="AO36" i="147"/>
  <c r="EB36" i="147" s="1"/>
  <c r="AN36" i="147"/>
  <c r="AK36" i="147"/>
  <c r="AI36" i="147"/>
  <c r="AB36" i="147"/>
  <c r="Y36" i="147"/>
  <c r="V36" i="147"/>
  <c r="S36" i="147"/>
  <c r="P36" i="147"/>
  <c r="M36" i="147"/>
  <c r="J36" i="147"/>
  <c r="G36" i="147"/>
  <c r="D36" i="147"/>
  <c r="EL35" i="147"/>
  <c r="EG35" i="147"/>
  <c r="EI35" i="147" s="1"/>
  <c r="DW35" i="147"/>
  <c r="DT35" i="147"/>
  <c r="DQ35" i="147"/>
  <c r="DN35" i="147"/>
  <c r="DK35" i="147"/>
  <c r="DH35" i="147"/>
  <c r="DE35" i="147"/>
  <c r="DB35" i="147"/>
  <c r="CY35" i="147"/>
  <c r="CV35" i="147"/>
  <c r="CS35" i="147"/>
  <c r="CP35" i="147"/>
  <c r="CM35" i="147"/>
  <c r="CJ35" i="147"/>
  <c r="CG35" i="147"/>
  <c r="CD35" i="147"/>
  <c r="CA35" i="147"/>
  <c r="BX35" i="147"/>
  <c r="BU35" i="147"/>
  <c r="BR35" i="147"/>
  <c r="BO35" i="147"/>
  <c r="BL35" i="147"/>
  <c r="BI35" i="147"/>
  <c r="BF35" i="147"/>
  <c r="BC35" i="147"/>
  <c r="AZ35" i="147"/>
  <c r="AU35" i="147"/>
  <c r="AT35" i="147"/>
  <c r="AR35" i="147"/>
  <c r="AO35" i="147"/>
  <c r="AQ35" i="147" s="1"/>
  <c r="AN35" i="147"/>
  <c r="AI35" i="147"/>
  <c r="AK35" i="147" s="1"/>
  <c r="AB35" i="147"/>
  <c r="Y35" i="147"/>
  <c r="V35" i="147"/>
  <c r="S35" i="147"/>
  <c r="P35" i="147"/>
  <c r="M35" i="147"/>
  <c r="J35" i="147"/>
  <c r="G35" i="147"/>
  <c r="D35" i="147"/>
  <c r="EL34" i="147"/>
  <c r="EI34" i="147"/>
  <c r="EG34" i="147"/>
  <c r="DW34" i="147"/>
  <c r="DT34" i="147"/>
  <c r="DQ34" i="147"/>
  <c r="DN34" i="147"/>
  <c r="DK34" i="147"/>
  <c r="DH34" i="147"/>
  <c r="DE34" i="147"/>
  <c r="DB34" i="147"/>
  <c r="CY34" i="147"/>
  <c r="CV34" i="147"/>
  <c r="CS34" i="147"/>
  <c r="CP34" i="147"/>
  <c r="CM34" i="147"/>
  <c r="CJ34" i="147"/>
  <c r="CG34" i="147"/>
  <c r="CD34" i="147"/>
  <c r="CA34" i="147"/>
  <c r="BX34" i="147"/>
  <c r="BU34" i="147"/>
  <c r="BR34" i="147"/>
  <c r="BO34" i="147"/>
  <c r="BL34" i="147"/>
  <c r="BI34" i="147"/>
  <c r="BF34" i="147"/>
  <c r="BC34" i="147"/>
  <c r="AZ34" i="147"/>
  <c r="AW34" i="147"/>
  <c r="AU34" i="147"/>
  <c r="EK34" i="147" s="1"/>
  <c r="AR34" i="147"/>
  <c r="AT34" i="147" s="1"/>
  <c r="AQ34" i="147"/>
  <c r="AO34" i="147"/>
  <c r="EB34" i="147" s="1"/>
  <c r="AN34" i="147"/>
  <c r="AK34" i="147"/>
  <c r="AI34" i="147"/>
  <c r="AB34" i="147"/>
  <c r="Y34" i="147"/>
  <c r="V34" i="147"/>
  <c r="S34" i="147"/>
  <c r="P34" i="147"/>
  <c r="M34" i="147"/>
  <c r="J34" i="147"/>
  <c r="G34" i="147"/>
  <c r="D34" i="147"/>
  <c r="EL33" i="147"/>
  <c r="EG33" i="147"/>
  <c r="EI33" i="147" s="1"/>
  <c r="DW33" i="147"/>
  <c r="DT33" i="147"/>
  <c r="DQ33" i="147"/>
  <c r="DN33" i="147"/>
  <c r="DK33" i="147"/>
  <c r="DH33" i="147"/>
  <c r="DE33" i="147"/>
  <c r="DB33" i="147"/>
  <c r="CY33" i="147"/>
  <c r="CV33" i="147"/>
  <c r="CS33" i="147"/>
  <c r="CP33" i="147"/>
  <c r="CM33" i="147"/>
  <c r="CJ33" i="147"/>
  <c r="CG33" i="147"/>
  <c r="CD33" i="147"/>
  <c r="CA33" i="147"/>
  <c r="BX33" i="147"/>
  <c r="BU33" i="147"/>
  <c r="BR33" i="147"/>
  <c r="BO33" i="147"/>
  <c r="BL33" i="147"/>
  <c r="BI33" i="147"/>
  <c r="BF33" i="147"/>
  <c r="BC33" i="147"/>
  <c r="AZ33" i="147"/>
  <c r="AU33" i="147"/>
  <c r="AT33" i="147"/>
  <c r="AR33" i="147"/>
  <c r="AO33" i="147"/>
  <c r="AQ33" i="147" s="1"/>
  <c r="AN33" i="147"/>
  <c r="AI33" i="147"/>
  <c r="AK33" i="147" s="1"/>
  <c r="AB33" i="147"/>
  <c r="Y33" i="147"/>
  <c r="V33" i="147"/>
  <c r="S33" i="147"/>
  <c r="P33" i="147"/>
  <c r="M33" i="147"/>
  <c r="J33" i="147"/>
  <c r="G33" i="147"/>
  <c r="D33" i="147"/>
  <c r="EL32" i="147"/>
  <c r="EI32" i="147"/>
  <c r="EG32" i="147"/>
  <c r="DW32" i="147"/>
  <c r="DT32" i="147"/>
  <c r="DQ32" i="147"/>
  <c r="DN32" i="147"/>
  <c r="DK32" i="147"/>
  <c r="DH32" i="147"/>
  <c r="DE32" i="147"/>
  <c r="DB32" i="147"/>
  <c r="CY32" i="147"/>
  <c r="CV32" i="147"/>
  <c r="CS32" i="147"/>
  <c r="CP32" i="147"/>
  <c r="CM32" i="147"/>
  <c r="CJ32" i="147"/>
  <c r="CG32" i="147"/>
  <c r="CD32" i="147"/>
  <c r="CA32" i="147"/>
  <c r="BX32" i="147"/>
  <c r="BU32" i="147"/>
  <c r="BR32" i="147"/>
  <c r="BO32" i="147"/>
  <c r="BL32" i="147"/>
  <c r="BI32" i="147"/>
  <c r="BF32" i="147"/>
  <c r="BC32" i="147"/>
  <c r="AZ32" i="147"/>
  <c r="AW32" i="147"/>
  <c r="AU32" i="147"/>
  <c r="EK32" i="147" s="1"/>
  <c r="AR32" i="147"/>
  <c r="AT32" i="147" s="1"/>
  <c r="AQ32" i="147"/>
  <c r="AO32" i="147"/>
  <c r="EB32" i="147" s="1"/>
  <c r="AN32" i="147"/>
  <c r="AK32" i="147"/>
  <c r="AI32" i="147"/>
  <c r="AB32" i="147"/>
  <c r="Y32" i="147"/>
  <c r="V32" i="147"/>
  <c r="S32" i="147"/>
  <c r="P32" i="147"/>
  <c r="M32" i="147"/>
  <c r="J32" i="147"/>
  <c r="G32" i="147"/>
  <c r="D32" i="147"/>
  <c r="EL31" i="147"/>
  <c r="EG31" i="147"/>
  <c r="EI31" i="147" s="1"/>
  <c r="DW31" i="147"/>
  <c r="DT31" i="147"/>
  <c r="DQ31" i="147"/>
  <c r="DN31" i="147"/>
  <c r="DK31" i="147"/>
  <c r="DH31" i="147"/>
  <c r="DE31" i="147"/>
  <c r="DB31" i="147"/>
  <c r="CY31" i="147"/>
  <c r="CV31" i="147"/>
  <c r="CS31" i="147"/>
  <c r="CP31" i="147"/>
  <c r="CM31" i="147"/>
  <c r="CJ31" i="147"/>
  <c r="CG31" i="147"/>
  <c r="CD31" i="147"/>
  <c r="CA31" i="147"/>
  <c r="BX31" i="147"/>
  <c r="BU31" i="147"/>
  <c r="BR31" i="147"/>
  <c r="BO31" i="147"/>
  <c r="BL31" i="147"/>
  <c r="BI31" i="147"/>
  <c r="BF31" i="147"/>
  <c r="BC31" i="147"/>
  <c r="AZ31" i="147"/>
  <c r="AU31" i="147"/>
  <c r="AT31" i="147"/>
  <c r="AR31" i="147"/>
  <c r="AO31" i="147"/>
  <c r="AQ31" i="147" s="1"/>
  <c r="AN31" i="147"/>
  <c r="AI31" i="147"/>
  <c r="AK31" i="147" s="1"/>
  <c r="AB31" i="147"/>
  <c r="Y31" i="147"/>
  <c r="V31" i="147"/>
  <c r="S31" i="147"/>
  <c r="P31" i="147"/>
  <c r="M31" i="147"/>
  <c r="J31" i="147"/>
  <c r="G31" i="147"/>
  <c r="D31" i="147"/>
  <c r="EL30" i="147"/>
  <c r="EI30" i="147"/>
  <c r="EG30" i="147"/>
  <c r="DW30" i="147"/>
  <c r="DT30" i="147"/>
  <c r="DQ30" i="147"/>
  <c r="DN30" i="147"/>
  <c r="DK30" i="147"/>
  <c r="DH30" i="147"/>
  <c r="DE30" i="147"/>
  <c r="DB30" i="147"/>
  <c r="CY30" i="147"/>
  <c r="CV30" i="147"/>
  <c r="CS30" i="147"/>
  <c r="CP30" i="147"/>
  <c r="CM30" i="147"/>
  <c r="CJ30" i="147"/>
  <c r="CG30" i="147"/>
  <c r="CD30" i="147"/>
  <c r="CA30" i="147"/>
  <c r="BX30" i="147"/>
  <c r="BU30" i="147"/>
  <c r="BR30" i="147"/>
  <c r="BO30" i="147"/>
  <c r="BL30" i="147"/>
  <c r="BI30" i="147"/>
  <c r="BF30" i="147"/>
  <c r="BC30" i="147"/>
  <c r="AZ30" i="147"/>
  <c r="AW30" i="147"/>
  <c r="AU30" i="147"/>
  <c r="EK30" i="147" s="1"/>
  <c r="AR30" i="147"/>
  <c r="AT30" i="147" s="1"/>
  <c r="AQ30" i="147"/>
  <c r="AO30" i="147"/>
  <c r="EB30" i="147" s="1"/>
  <c r="AN30" i="147"/>
  <c r="AK30" i="147"/>
  <c r="AI30" i="147"/>
  <c r="AB30" i="147"/>
  <c r="Y30" i="147"/>
  <c r="V30" i="147"/>
  <c r="S30" i="147"/>
  <c r="P30" i="147"/>
  <c r="M30" i="147"/>
  <c r="J30" i="147"/>
  <c r="G30" i="147"/>
  <c r="D30" i="147"/>
  <c r="EL29" i="147"/>
  <c r="EG29" i="147"/>
  <c r="EI29" i="147" s="1"/>
  <c r="DW29" i="147"/>
  <c r="DT29" i="147"/>
  <c r="DQ29" i="147"/>
  <c r="DN29" i="147"/>
  <c r="DK29" i="147"/>
  <c r="DH29" i="147"/>
  <c r="DE29" i="147"/>
  <c r="DB29" i="147"/>
  <c r="CY29" i="147"/>
  <c r="CV29" i="147"/>
  <c r="CS29" i="147"/>
  <c r="CP29" i="147"/>
  <c r="CM29" i="147"/>
  <c r="CJ29" i="147"/>
  <c r="CG29" i="147"/>
  <c r="CD29" i="147"/>
  <c r="CA29" i="147"/>
  <c r="BX29" i="147"/>
  <c r="BU29" i="147"/>
  <c r="BR29" i="147"/>
  <c r="BO29" i="147"/>
  <c r="BL29" i="147"/>
  <c r="BI29" i="147"/>
  <c r="BF29" i="147"/>
  <c r="BC29" i="147"/>
  <c r="AZ29" i="147"/>
  <c r="AU29" i="147"/>
  <c r="AT29" i="147"/>
  <c r="AR29" i="147"/>
  <c r="AO29" i="147"/>
  <c r="AQ29" i="147" s="1"/>
  <c r="AN29" i="147"/>
  <c r="AI29" i="147"/>
  <c r="AK29" i="147" s="1"/>
  <c r="AB29" i="147"/>
  <c r="Y29" i="147"/>
  <c r="V29" i="147"/>
  <c r="S29" i="147"/>
  <c r="P29" i="147"/>
  <c r="M29" i="147"/>
  <c r="J29" i="147"/>
  <c r="G29" i="147"/>
  <c r="D29" i="147"/>
  <c r="EL28" i="147"/>
  <c r="EI28" i="147"/>
  <c r="EG28" i="147"/>
  <c r="DW28" i="147"/>
  <c r="DT28" i="147"/>
  <c r="DQ28" i="147"/>
  <c r="DN28" i="147"/>
  <c r="DK28" i="147"/>
  <c r="DH28" i="147"/>
  <c r="DE28" i="147"/>
  <c r="DB28" i="147"/>
  <c r="CY28" i="147"/>
  <c r="CV28" i="147"/>
  <c r="CS28" i="147"/>
  <c r="CP28" i="147"/>
  <c r="CM28" i="147"/>
  <c r="CJ28" i="147"/>
  <c r="CG28" i="147"/>
  <c r="CD28" i="147"/>
  <c r="CA28" i="147"/>
  <c r="BX28" i="147"/>
  <c r="BU28" i="147"/>
  <c r="BR28" i="147"/>
  <c r="BO28" i="147"/>
  <c r="BL28" i="147"/>
  <c r="BI28" i="147"/>
  <c r="BF28" i="147"/>
  <c r="BC28" i="147"/>
  <c r="AZ28" i="147"/>
  <c r="AW28" i="147"/>
  <c r="AU28" i="147"/>
  <c r="EK28" i="147" s="1"/>
  <c r="AR28" i="147"/>
  <c r="AT28" i="147" s="1"/>
  <c r="AQ28" i="147"/>
  <c r="AO28" i="147"/>
  <c r="EB28" i="147" s="1"/>
  <c r="AN28" i="147"/>
  <c r="AK28" i="147"/>
  <c r="AI28" i="147"/>
  <c r="AB28" i="147"/>
  <c r="Y28" i="147"/>
  <c r="V28" i="147"/>
  <c r="S28" i="147"/>
  <c r="P28" i="147"/>
  <c r="M28" i="147"/>
  <c r="J28" i="147"/>
  <c r="G28" i="147"/>
  <c r="D28" i="147"/>
  <c r="EL27" i="147"/>
  <c r="EG27" i="147"/>
  <c r="EI27" i="147" s="1"/>
  <c r="DW27" i="147"/>
  <c r="DT27" i="147"/>
  <c r="DQ27" i="147"/>
  <c r="DN27" i="147"/>
  <c r="DK27" i="147"/>
  <c r="DH27" i="147"/>
  <c r="DE27" i="147"/>
  <c r="DB27" i="147"/>
  <c r="CY27" i="147"/>
  <c r="CV27" i="147"/>
  <c r="CS27" i="147"/>
  <c r="CP27" i="147"/>
  <c r="CM27" i="147"/>
  <c r="CJ27" i="147"/>
  <c r="CG27" i="147"/>
  <c r="CD27" i="147"/>
  <c r="CA27" i="147"/>
  <c r="BX27" i="147"/>
  <c r="BU27" i="147"/>
  <c r="BR27" i="147"/>
  <c r="BO27" i="147"/>
  <c r="BL27" i="147"/>
  <c r="BI27" i="147"/>
  <c r="BF27" i="147"/>
  <c r="BC27" i="147"/>
  <c r="AZ27" i="147"/>
  <c r="AU27" i="147"/>
  <c r="AT27" i="147"/>
  <c r="AR27" i="147"/>
  <c r="AO27" i="147"/>
  <c r="AQ27" i="147" s="1"/>
  <c r="AN27" i="147"/>
  <c r="AI27" i="147"/>
  <c r="AK27" i="147" s="1"/>
  <c r="AB27" i="147"/>
  <c r="Y27" i="147"/>
  <c r="V27" i="147"/>
  <c r="S27" i="147"/>
  <c r="P27" i="147"/>
  <c r="M27" i="147"/>
  <c r="J27" i="147"/>
  <c r="G27" i="147"/>
  <c r="D27" i="147"/>
  <c r="EL26" i="147"/>
  <c r="EI26" i="147"/>
  <c r="EG26" i="147"/>
  <c r="DW26" i="147"/>
  <c r="DT26" i="147"/>
  <c r="EM26" i="147" s="1"/>
  <c r="DQ26" i="147"/>
  <c r="DN26" i="147"/>
  <c r="DK26" i="147"/>
  <c r="DH26" i="147"/>
  <c r="DE26" i="147"/>
  <c r="DB26" i="147"/>
  <c r="CY26" i="147"/>
  <c r="CV26" i="147"/>
  <c r="CS26" i="147"/>
  <c r="CP26" i="147"/>
  <c r="CM26" i="147"/>
  <c r="CJ26" i="147"/>
  <c r="CG26" i="147"/>
  <c r="CD26" i="147"/>
  <c r="CA26" i="147"/>
  <c r="BX26" i="147"/>
  <c r="BU26" i="147"/>
  <c r="BR26" i="147"/>
  <c r="BO26" i="147"/>
  <c r="BL26" i="147"/>
  <c r="BI26" i="147"/>
  <c r="BF26" i="147"/>
  <c r="BC26" i="147"/>
  <c r="AZ26" i="147"/>
  <c r="AW26" i="147"/>
  <c r="AU26" i="147"/>
  <c r="EK26" i="147" s="1"/>
  <c r="EN26" i="147" s="1"/>
  <c r="AR26" i="147"/>
  <c r="AT26" i="147" s="1"/>
  <c r="AQ26" i="147"/>
  <c r="AO26" i="147"/>
  <c r="EB26" i="147" s="1"/>
  <c r="AN26" i="147"/>
  <c r="AK26" i="147"/>
  <c r="AI26" i="147"/>
  <c r="AB26" i="147"/>
  <c r="Y26" i="147"/>
  <c r="V26" i="147"/>
  <c r="S26" i="147"/>
  <c r="P26" i="147"/>
  <c r="M26" i="147"/>
  <c r="J26" i="147"/>
  <c r="G26" i="147"/>
  <c r="D26" i="147"/>
  <c r="EL25" i="147"/>
  <c r="EG25" i="147"/>
  <c r="EI25" i="147" s="1"/>
  <c r="DW25" i="147"/>
  <c r="DT25" i="147"/>
  <c r="DQ25" i="147"/>
  <c r="DN25" i="147"/>
  <c r="DK25" i="147"/>
  <c r="DH25" i="147"/>
  <c r="DE25" i="147"/>
  <c r="DB25" i="147"/>
  <c r="CY25" i="147"/>
  <c r="CV25" i="147"/>
  <c r="CS25" i="147"/>
  <c r="CP25" i="147"/>
  <c r="CM25" i="147"/>
  <c r="CJ25" i="147"/>
  <c r="CG25" i="147"/>
  <c r="CD25" i="147"/>
  <c r="CA25" i="147"/>
  <c r="BX25" i="147"/>
  <c r="BU25" i="147"/>
  <c r="BR25" i="147"/>
  <c r="BO25" i="147"/>
  <c r="BL25" i="147"/>
  <c r="BI25" i="147"/>
  <c r="BF25" i="147"/>
  <c r="BC25" i="147"/>
  <c r="AZ25" i="147"/>
  <c r="AU25" i="147"/>
  <c r="AT25" i="147"/>
  <c r="AR25" i="147"/>
  <c r="AQ25" i="147"/>
  <c r="AO25" i="147"/>
  <c r="EB25" i="147" s="1"/>
  <c r="AN25" i="147"/>
  <c r="AI25" i="147"/>
  <c r="AK25" i="147" s="1"/>
  <c r="AB25" i="147"/>
  <c r="Y25" i="147"/>
  <c r="V25" i="147"/>
  <c r="S25" i="147"/>
  <c r="P25" i="147"/>
  <c r="M25" i="147"/>
  <c r="J25" i="147"/>
  <c r="G25" i="147"/>
  <c r="D25" i="147"/>
  <c r="EL24" i="147"/>
  <c r="EI24" i="147"/>
  <c r="EG24" i="147"/>
  <c r="DW24" i="147"/>
  <c r="DT24" i="147"/>
  <c r="DQ24" i="147"/>
  <c r="DN24" i="147"/>
  <c r="DK24" i="147"/>
  <c r="DH24" i="147"/>
  <c r="DE24" i="147"/>
  <c r="DB24" i="147"/>
  <c r="CY24" i="147"/>
  <c r="CV24" i="147"/>
  <c r="CS24" i="147"/>
  <c r="CP24" i="147"/>
  <c r="CM24" i="147"/>
  <c r="CJ24" i="147"/>
  <c r="CG24" i="147"/>
  <c r="CD24" i="147"/>
  <c r="CA24" i="147"/>
  <c r="BX24" i="147"/>
  <c r="BU24" i="147"/>
  <c r="BR24" i="147"/>
  <c r="BO24" i="147"/>
  <c r="BL24" i="147"/>
  <c r="BI24" i="147"/>
  <c r="BF24" i="147"/>
  <c r="BC24" i="147"/>
  <c r="AZ24" i="147"/>
  <c r="AW24" i="147"/>
  <c r="AU24" i="147"/>
  <c r="EK24" i="147" s="1"/>
  <c r="AR24" i="147"/>
  <c r="AT24" i="147" s="1"/>
  <c r="AQ24" i="147"/>
  <c r="AO24" i="147"/>
  <c r="EB24" i="147" s="1"/>
  <c r="AN24" i="147"/>
  <c r="AK24" i="147"/>
  <c r="AI24" i="147"/>
  <c r="AB24" i="147"/>
  <c r="Y24" i="147"/>
  <c r="V24" i="147"/>
  <c r="S24" i="147"/>
  <c r="P24" i="147"/>
  <c r="M24" i="147"/>
  <c r="J24" i="147"/>
  <c r="G24" i="147"/>
  <c r="D24" i="147"/>
  <c r="ED24" i="147" s="1"/>
  <c r="EL23" i="147"/>
  <c r="EG23" i="147"/>
  <c r="EI23" i="147" s="1"/>
  <c r="DW23" i="147"/>
  <c r="DT23" i="147"/>
  <c r="EM23" i="147" s="1"/>
  <c r="DQ23" i="147"/>
  <c r="DN23" i="147"/>
  <c r="DK23" i="147"/>
  <c r="DH23" i="147"/>
  <c r="DE23" i="147"/>
  <c r="DB23" i="147"/>
  <c r="CY23" i="147"/>
  <c r="CV23" i="147"/>
  <c r="CS23" i="147"/>
  <c r="CP23" i="147"/>
  <c r="CM23" i="147"/>
  <c r="CJ23" i="147"/>
  <c r="CG23" i="147"/>
  <c r="CD23" i="147"/>
  <c r="CA23" i="147"/>
  <c r="BX23" i="147"/>
  <c r="BU23" i="147"/>
  <c r="BR23" i="147"/>
  <c r="BO23" i="147"/>
  <c r="BL23" i="147"/>
  <c r="BI23" i="147"/>
  <c r="BF23" i="147"/>
  <c r="BC23" i="147"/>
  <c r="AZ23" i="147"/>
  <c r="AU23" i="147"/>
  <c r="AW23" i="147" s="1"/>
  <c r="AT23" i="147"/>
  <c r="AR23" i="147"/>
  <c r="AO23" i="147"/>
  <c r="AQ23" i="147" s="1"/>
  <c r="AN23" i="147"/>
  <c r="AK23" i="147"/>
  <c r="AI23" i="147"/>
  <c r="AB23" i="147"/>
  <c r="Y23" i="147"/>
  <c r="V23" i="147"/>
  <c r="S23" i="147"/>
  <c r="P23" i="147"/>
  <c r="M23" i="147"/>
  <c r="J23" i="147"/>
  <c r="G23" i="147"/>
  <c r="D23" i="147"/>
  <c r="EL22" i="147"/>
  <c r="EI22" i="147"/>
  <c r="EG22" i="147"/>
  <c r="DW22" i="147"/>
  <c r="DT22" i="147"/>
  <c r="EM22" i="147" s="1"/>
  <c r="DQ22" i="147"/>
  <c r="DN22" i="147"/>
  <c r="DK22" i="147"/>
  <c r="DH22" i="147"/>
  <c r="DE22" i="147"/>
  <c r="DB22" i="147"/>
  <c r="CY22" i="147"/>
  <c r="CV22" i="147"/>
  <c r="CS22" i="147"/>
  <c r="CP22" i="147"/>
  <c r="CM22" i="147"/>
  <c r="CJ22" i="147"/>
  <c r="CG22" i="147"/>
  <c r="CD22" i="147"/>
  <c r="CA22" i="147"/>
  <c r="BX22" i="147"/>
  <c r="BU22" i="147"/>
  <c r="BR22" i="147"/>
  <c r="BO22" i="147"/>
  <c r="BL22" i="147"/>
  <c r="BI22" i="147"/>
  <c r="BF22" i="147"/>
  <c r="BC22" i="147"/>
  <c r="AZ22" i="147"/>
  <c r="AW22" i="147"/>
  <c r="AU22" i="147"/>
  <c r="EK22" i="147" s="1"/>
  <c r="AR22" i="147"/>
  <c r="AT22" i="147" s="1"/>
  <c r="AQ22" i="147"/>
  <c r="AO22" i="147"/>
  <c r="EB22" i="147" s="1"/>
  <c r="AN22" i="147"/>
  <c r="AK22" i="147"/>
  <c r="AI22" i="147"/>
  <c r="AB22" i="147"/>
  <c r="Y22" i="147"/>
  <c r="V22" i="147"/>
  <c r="S22" i="147"/>
  <c r="P22" i="147"/>
  <c r="M22" i="147"/>
  <c r="J22" i="147"/>
  <c r="G22" i="147"/>
  <c r="D22" i="147"/>
  <c r="EL21" i="147"/>
  <c r="EG21" i="147"/>
  <c r="EI21" i="147" s="1"/>
  <c r="DW21" i="147"/>
  <c r="DT21" i="147"/>
  <c r="DQ21" i="147"/>
  <c r="DN21" i="147"/>
  <c r="DK21" i="147"/>
  <c r="DH21" i="147"/>
  <c r="DE21" i="147"/>
  <c r="DB21" i="147"/>
  <c r="CY21" i="147"/>
  <c r="CV21" i="147"/>
  <c r="CS21" i="147"/>
  <c r="CP21" i="147"/>
  <c r="CM21" i="147"/>
  <c r="CJ21" i="147"/>
  <c r="CG21" i="147"/>
  <c r="CD21" i="147"/>
  <c r="CA21" i="147"/>
  <c r="BX21" i="147"/>
  <c r="BU21" i="147"/>
  <c r="BR21" i="147"/>
  <c r="BO21" i="147"/>
  <c r="BL21" i="147"/>
  <c r="BI21" i="147"/>
  <c r="BF21" i="147"/>
  <c r="BC21" i="147"/>
  <c r="AZ21" i="147"/>
  <c r="AU21" i="147"/>
  <c r="AW21" i="147" s="1"/>
  <c r="AT21" i="147"/>
  <c r="AR21" i="147"/>
  <c r="AO21" i="147"/>
  <c r="AQ21" i="147" s="1"/>
  <c r="AN21" i="147"/>
  <c r="AK21" i="147"/>
  <c r="AI21" i="147"/>
  <c r="AB21" i="147"/>
  <c r="Y21" i="147"/>
  <c r="V21" i="147"/>
  <c r="S21" i="147"/>
  <c r="P21" i="147"/>
  <c r="M21" i="147"/>
  <c r="J21" i="147"/>
  <c r="G21" i="147"/>
  <c r="D21" i="147"/>
  <c r="EL20" i="147"/>
  <c r="EI20" i="147"/>
  <c r="EG20" i="147"/>
  <c r="DW20" i="147"/>
  <c r="DT20" i="147"/>
  <c r="DQ20" i="147"/>
  <c r="DN20" i="147"/>
  <c r="DK20" i="147"/>
  <c r="DH20" i="147"/>
  <c r="DE20" i="147"/>
  <c r="DB20" i="147"/>
  <c r="CY20" i="147"/>
  <c r="CV20" i="147"/>
  <c r="CS20" i="147"/>
  <c r="CP20" i="147"/>
  <c r="CM20" i="147"/>
  <c r="CJ20" i="147"/>
  <c r="CG20" i="147"/>
  <c r="CD20" i="147"/>
  <c r="CA20" i="147"/>
  <c r="BX20" i="147"/>
  <c r="BU20" i="147"/>
  <c r="BR20" i="147"/>
  <c r="BO20" i="147"/>
  <c r="BL20" i="147"/>
  <c r="BI20" i="147"/>
  <c r="BF20" i="147"/>
  <c r="BC20" i="147"/>
  <c r="AZ20" i="147"/>
  <c r="AW20" i="147"/>
  <c r="AU20" i="147"/>
  <c r="EK20" i="147" s="1"/>
  <c r="AR20" i="147"/>
  <c r="AT20" i="147" s="1"/>
  <c r="AQ20" i="147"/>
  <c r="AO20" i="147"/>
  <c r="EB20" i="147" s="1"/>
  <c r="AN20" i="147"/>
  <c r="AK20" i="147"/>
  <c r="AI20" i="147"/>
  <c r="AB20" i="147"/>
  <c r="Y20" i="147"/>
  <c r="V20" i="147"/>
  <c r="S20" i="147"/>
  <c r="P20" i="147"/>
  <c r="M20" i="147"/>
  <c r="J20" i="147"/>
  <c r="G20" i="147"/>
  <c r="D20" i="147"/>
  <c r="EL19" i="147"/>
  <c r="EG19" i="147"/>
  <c r="EI19" i="147" s="1"/>
  <c r="DW19" i="147"/>
  <c r="DT19" i="147"/>
  <c r="DQ19" i="147"/>
  <c r="DN19" i="147"/>
  <c r="DK19" i="147"/>
  <c r="DH19" i="147"/>
  <c r="DE19" i="147"/>
  <c r="DB19" i="147"/>
  <c r="CY19" i="147"/>
  <c r="CV19" i="147"/>
  <c r="CS19" i="147"/>
  <c r="CP19" i="147"/>
  <c r="CM19" i="147"/>
  <c r="CJ19" i="147"/>
  <c r="CG19" i="147"/>
  <c r="CD19" i="147"/>
  <c r="CA19" i="147"/>
  <c r="BX19" i="147"/>
  <c r="BU19" i="147"/>
  <c r="BR19" i="147"/>
  <c r="BO19" i="147"/>
  <c r="BL19" i="147"/>
  <c r="BI19" i="147"/>
  <c r="BF19" i="147"/>
  <c r="BC19" i="147"/>
  <c r="AZ19" i="147"/>
  <c r="AU19" i="147"/>
  <c r="AW19" i="147" s="1"/>
  <c r="AT19" i="147"/>
  <c r="AR19" i="147"/>
  <c r="AO19" i="147"/>
  <c r="AQ19" i="147" s="1"/>
  <c r="AN19" i="147"/>
  <c r="AK19" i="147"/>
  <c r="AI19" i="147"/>
  <c r="AB19" i="147"/>
  <c r="Y19" i="147"/>
  <c r="V19" i="147"/>
  <c r="S19" i="147"/>
  <c r="P19" i="147"/>
  <c r="M19" i="147"/>
  <c r="J19" i="147"/>
  <c r="G19" i="147"/>
  <c r="D19" i="147"/>
  <c r="EL18" i="147"/>
  <c r="EI18" i="147"/>
  <c r="EG18" i="147"/>
  <c r="DW18" i="147"/>
  <c r="DT18" i="147"/>
  <c r="DQ18" i="147"/>
  <c r="DN18" i="147"/>
  <c r="DK18" i="147"/>
  <c r="DH18" i="147"/>
  <c r="DE18" i="147"/>
  <c r="DB18" i="147"/>
  <c r="CY18" i="147"/>
  <c r="CV18" i="147"/>
  <c r="CS18" i="147"/>
  <c r="CP18" i="147"/>
  <c r="CM18" i="147"/>
  <c r="CJ18" i="147"/>
  <c r="CG18" i="147"/>
  <c r="CD18" i="147"/>
  <c r="CA18" i="147"/>
  <c r="BX18" i="147"/>
  <c r="BU18" i="147"/>
  <c r="BR18" i="147"/>
  <c r="BO18" i="147"/>
  <c r="BL18" i="147"/>
  <c r="BI18" i="147"/>
  <c r="BF18" i="147"/>
  <c r="BC18" i="147"/>
  <c r="AZ18" i="147"/>
  <c r="AW18" i="147"/>
  <c r="AU18" i="147"/>
  <c r="EK18" i="147" s="1"/>
  <c r="AR18" i="147"/>
  <c r="AT18" i="147" s="1"/>
  <c r="AQ18" i="147"/>
  <c r="AO18" i="147"/>
  <c r="AL18" i="147"/>
  <c r="EB18" i="147" s="1"/>
  <c r="AK18" i="147"/>
  <c r="AB18" i="147"/>
  <c r="Y18" i="147"/>
  <c r="V18" i="147"/>
  <c r="S18" i="147"/>
  <c r="P18" i="147"/>
  <c r="M18" i="147"/>
  <c r="J18" i="147"/>
  <c r="G18" i="147"/>
  <c r="D18" i="147"/>
  <c r="EL17" i="147"/>
  <c r="EG17" i="147"/>
  <c r="EI17" i="147" s="1"/>
  <c r="DW17" i="147"/>
  <c r="DT17" i="147"/>
  <c r="DQ17" i="147"/>
  <c r="DN17" i="147"/>
  <c r="DK17" i="147"/>
  <c r="DH17" i="147"/>
  <c r="DE17" i="147"/>
  <c r="DB17" i="147"/>
  <c r="CY17" i="147"/>
  <c r="CV17" i="147"/>
  <c r="CS17" i="147"/>
  <c r="CP17" i="147"/>
  <c r="CM17" i="147"/>
  <c r="CJ17" i="147"/>
  <c r="CG17" i="147"/>
  <c r="CD17" i="147"/>
  <c r="CA17" i="147"/>
  <c r="BX17" i="147"/>
  <c r="BU17" i="147"/>
  <c r="BR17" i="147"/>
  <c r="BO17" i="147"/>
  <c r="BL17" i="147"/>
  <c r="BI17" i="147"/>
  <c r="BF17" i="147"/>
  <c r="BC17" i="147"/>
  <c r="AZ17" i="147"/>
  <c r="AU17" i="147"/>
  <c r="AW17" i="147" s="1"/>
  <c r="AT17" i="147"/>
  <c r="AR17" i="147"/>
  <c r="AO17" i="147"/>
  <c r="EB17" i="147" s="1"/>
  <c r="AN17" i="147"/>
  <c r="AL17" i="147"/>
  <c r="AK17" i="147"/>
  <c r="AB17" i="147"/>
  <c r="Y17" i="147"/>
  <c r="V17" i="147"/>
  <c r="S17" i="147"/>
  <c r="EH17" i="147" s="1"/>
  <c r="P17" i="147"/>
  <c r="M17" i="147"/>
  <c r="J17" i="147"/>
  <c r="G17" i="147"/>
  <c r="D17" i="147"/>
  <c r="EL16" i="147"/>
  <c r="EI16" i="147"/>
  <c r="EG16" i="147"/>
  <c r="DW16" i="147"/>
  <c r="DT16" i="147"/>
  <c r="DQ16" i="147"/>
  <c r="DN16" i="147"/>
  <c r="DK16" i="147"/>
  <c r="DH16" i="147"/>
  <c r="DE16" i="147"/>
  <c r="DB16" i="147"/>
  <c r="CY16" i="147"/>
  <c r="CV16" i="147"/>
  <c r="CS16" i="147"/>
  <c r="CP16" i="147"/>
  <c r="CM16" i="147"/>
  <c r="CJ16" i="147"/>
  <c r="CG16" i="147"/>
  <c r="CD16" i="147"/>
  <c r="CA16" i="147"/>
  <c r="BX16" i="147"/>
  <c r="BU16" i="147"/>
  <c r="BR16" i="147"/>
  <c r="BO16" i="147"/>
  <c r="BL16" i="147"/>
  <c r="BI16" i="147"/>
  <c r="BF16" i="147"/>
  <c r="BC16" i="147"/>
  <c r="AZ16" i="147"/>
  <c r="AW16" i="147"/>
  <c r="AU16" i="147"/>
  <c r="AR16" i="147"/>
  <c r="AT16" i="147" s="1"/>
  <c r="AQ16" i="147"/>
  <c r="AO16" i="147"/>
  <c r="AL16" i="147"/>
  <c r="AK16" i="147"/>
  <c r="AB16" i="147"/>
  <c r="Y16" i="147"/>
  <c r="V16" i="147"/>
  <c r="S16" i="147"/>
  <c r="P16" i="147"/>
  <c r="M16" i="147"/>
  <c r="J16" i="147"/>
  <c r="G16" i="147"/>
  <c r="D16" i="147"/>
  <c r="EL15" i="147"/>
  <c r="EG15" i="147"/>
  <c r="EI15" i="147" s="1"/>
  <c r="DW15" i="147"/>
  <c r="DT15" i="147"/>
  <c r="DQ15" i="147"/>
  <c r="DN15" i="147"/>
  <c r="DK15" i="147"/>
  <c r="DH15" i="147"/>
  <c r="DE15" i="147"/>
  <c r="DB15" i="147"/>
  <c r="CY15" i="147"/>
  <c r="CV15" i="147"/>
  <c r="CS15" i="147"/>
  <c r="CP15" i="147"/>
  <c r="CM15" i="147"/>
  <c r="CJ15" i="147"/>
  <c r="CG15" i="147"/>
  <c r="CD15" i="147"/>
  <c r="CA15" i="147"/>
  <c r="BX15" i="147"/>
  <c r="BU15" i="147"/>
  <c r="BR15" i="147"/>
  <c r="BO15" i="147"/>
  <c r="BL15" i="147"/>
  <c r="BI15" i="147"/>
  <c r="BF15" i="147"/>
  <c r="BC15" i="147"/>
  <c r="AZ15" i="147"/>
  <c r="AU15" i="147"/>
  <c r="AT15" i="147"/>
  <c r="AR15" i="147"/>
  <c r="AO15" i="147"/>
  <c r="AQ15" i="147" s="1"/>
  <c r="AN15" i="147"/>
  <c r="AL15" i="147"/>
  <c r="AK15" i="147"/>
  <c r="AB15" i="147"/>
  <c r="Y15" i="147"/>
  <c r="V15" i="147"/>
  <c r="S15" i="147"/>
  <c r="P15" i="147"/>
  <c r="M15" i="147"/>
  <c r="J15" i="147"/>
  <c r="G15" i="147"/>
  <c r="D15" i="147"/>
  <c r="EL14" i="147"/>
  <c r="EI14" i="147"/>
  <c r="EG14" i="147"/>
  <c r="DW14" i="147"/>
  <c r="DT14" i="147"/>
  <c r="DQ14" i="147"/>
  <c r="DN14" i="147"/>
  <c r="DK14" i="147"/>
  <c r="DH14" i="147"/>
  <c r="DE14" i="147"/>
  <c r="DB14" i="147"/>
  <c r="CY14" i="147"/>
  <c r="CV14" i="147"/>
  <c r="CS14" i="147"/>
  <c r="CP14" i="147"/>
  <c r="CM14" i="147"/>
  <c r="CJ14" i="147"/>
  <c r="CG14" i="147"/>
  <c r="CD14" i="147"/>
  <c r="CA14" i="147"/>
  <c r="BX14" i="147"/>
  <c r="BU14" i="147"/>
  <c r="BR14" i="147"/>
  <c r="BO14" i="147"/>
  <c r="BL14" i="147"/>
  <c r="BI14" i="147"/>
  <c r="BF14" i="147"/>
  <c r="BC14" i="147"/>
  <c r="AZ14" i="147"/>
  <c r="AW14" i="147"/>
  <c r="AT14" i="147"/>
  <c r="AR14" i="147"/>
  <c r="EK14" i="147" s="1"/>
  <c r="AQ14" i="147"/>
  <c r="AO14" i="147"/>
  <c r="EB14" i="147" s="1"/>
  <c r="AN14" i="147"/>
  <c r="AL14" i="147"/>
  <c r="AK14" i="147"/>
  <c r="AI14" i="147"/>
  <c r="AB14" i="147"/>
  <c r="Y14" i="147"/>
  <c r="V14" i="147"/>
  <c r="S14" i="147"/>
  <c r="P14" i="147"/>
  <c r="M14" i="147"/>
  <c r="J14" i="147"/>
  <c r="G14" i="147"/>
  <c r="D14" i="147"/>
  <c r="EL13" i="147"/>
  <c r="EG13" i="147"/>
  <c r="EI13" i="147" s="1"/>
  <c r="EB13" i="147"/>
  <c r="DW13" i="147"/>
  <c r="DT13" i="147"/>
  <c r="DQ13" i="147"/>
  <c r="DN13" i="147"/>
  <c r="DK13" i="147"/>
  <c r="DH13" i="147"/>
  <c r="DE13" i="147"/>
  <c r="DB13" i="147"/>
  <c r="CY13" i="147"/>
  <c r="CV13" i="147"/>
  <c r="CS13" i="147"/>
  <c r="CP13" i="147"/>
  <c r="CM13" i="147"/>
  <c r="CJ13" i="147"/>
  <c r="CG13" i="147"/>
  <c r="CD13" i="147"/>
  <c r="CA13" i="147"/>
  <c r="BX13" i="147"/>
  <c r="BU13" i="147"/>
  <c r="BR13" i="147"/>
  <c r="BO13" i="147"/>
  <c r="BL13" i="147"/>
  <c r="BI13" i="147"/>
  <c r="BF13" i="147"/>
  <c r="BC13" i="147"/>
  <c r="AZ13" i="147"/>
  <c r="AW13" i="147"/>
  <c r="AT13" i="147"/>
  <c r="AR13" i="147"/>
  <c r="EK13" i="147" s="1"/>
  <c r="AQ13" i="147"/>
  <c r="AO13" i="147"/>
  <c r="AN13" i="147"/>
  <c r="AL13" i="147"/>
  <c r="AK13" i="147"/>
  <c r="AI13" i="147"/>
  <c r="AB13" i="147"/>
  <c r="Y13" i="147"/>
  <c r="V13" i="147"/>
  <c r="S13" i="147"/>
  <c r="P13" i="147"/>
  <c r="M13" i="147"/>
  <c r="J13" i="147"/>
  <c r="J42" i="147" s="1"/>
  <c r="G13" i="147"/>
  <c r="D13" i="147"/>
  <c r="EL12" i="147"/>
  <c r="EI12" i="147"/>
  <c r="EG12" i="147"/>
  <c r="DW12" i="147"/>
  <c r="DT12" i="147"/>
  <c r="DQ12" i="147"/>
  <c r="DN12" i="147"/>
  <c r="DK12" i="147"/>
  <c r="DH12" i="147"/>
  <c r="DE12" i="147"/>
  <c r="DB12" i="147"/>
  <c r="CY12" i="147"/>
  <c r="CV12" i="147"/>
  <c r="CS12" i="147"/>
  <c r="CP12" i="147"/>
  <c r="CM12" i="147"/>
  <c r="CJ12" i="147"/>
  <c r="CG12" i="147"/>
  <c r="CD12" i="147"/>
  <c r="CA12" i="147"/>
  <c r="BX12" i="147"/>
  <c r="BU12" i="147"/>
  <c r="BR12" i="147"/>
  <c r="BO12" i="147"/>
  <c r="BL12" i="147"/>
  <c r="BI12" i="147"/>
  <c r="BF12" i="147"/>
  <c r="BC12" i="147"/>
  <c r="AZ12" i="147"/>
  <c r="AW12" i="147"/>
  <c r="AT12" i="147"/>
  <c r="AR12" i="147"/>
  <c r="EK12" i="147" s="1"/>
  <c r="AQ12" i="147"/>
  <c r="AO12" i="147"/>
  <c r="EB12" i="147" s="1"/>
  <c r="AN12" i="147"/>
  <c r="AL12" i="147"/>
  <c r="AK12" i="147"/>
  <c r="AI12" i="147"/>
  <c r="AB12" i="147"/>
  <c r="Y12" i="147"/>
  <c r="V12" i="147"/>
  <c r="S12" i="147"/>
  <c r="P12" i="147"/>
  <c r="M12" i="147"/>
  <c r="J12" i="147"/>
  <c r="G12" i="147"/>
  <c r="D12" i="147"/>
  <c r="A12" i="147"/>
  <c r="A13" i="147" s="1"/>
  <c r="A14" i="147" s="1"/>
  <c r="A15" i="147" s="1"/>
  <c r="A16" i="147" s="1"/>
  <c r="A17" i="147" s="1"/>
  <c r="A18" i="147" s="1"/>
  <c r="A19" i="147" s="1"/>
  <c r="A20" i="147" s="1"/>
  <c r="A21" i="147" s="1"/>
  <c r="A22" i="147" s="1"/>
  <c r="A23" i="147" s="1"/>
  <c r="A24" i="147" s="1"/>
  <c r="A25" i="147" s="1"/>
  <c r="A26" i="147" s="1"/>
  <c r="A27" i="147" s="1"/>
  <c r="A28" i="147" s="1"/>
  <c r="A29" i="147" s="1"/>
  <c r="A30" i="147" s="1"/>
  <c r="A31" i="147" s="1"/>
  <c r="A32" i="147" s="1"/>
  <c r="A33" i="147" s="1"/>
  <c r="A34" i="147" s="1"/>
  <c r="A35" i="147" s="1"/>
  <c r="A36" i="147" s="1"/>
  <c r="A37" i="147" s="1"/>
  <c r="A38" i="147" s="1"/>
  <c r="A39" i="147" s="1"/>
  <c r="A40" i="147" s="1"/>
  <c r="A41" i="147" s="1"/>
  <c r="EL11" i="147"/>
  <c r="EG11" i="147"/>
  <c r="DW11" i="147"/>
  <c r="DW42" i="147" s="1"/>
  <c r="DT11" i="147"/>
  <c r="DQ11" i="147"/>
  <c r="DN11" i="147"/>
  <c r="DK11" i="147"/>
  <c r="DK42" i="147" s="1"/>
  <c r="DH11" i="147"/>
  <c r="DE11" i="147"/>
  <c r="DB11" i="147"/>
  <c r="CY11" i="147"/>
  <c r="CY42" i="147" s="1"/>
  <c r="CV11" i="147"/>
  <c r="CS11" i="147"/>
  <c r="CP11" i="147"/>
  <c r="CM11" i="147"/>
  <c r="CM42" i="147" s="1"/>
  <c r="CJ11" i="147"/>
  <c r="CG11" i="147"/>
  <c r="CD11" i="147"/>
  <c r="CA11" i="147"/>
  <c r="CA42" i="147" s="1"/>
  <c r="BX11" i="147"/>
  <c r="BU11" i="147"/>
  <c r="BR11" i="147"/>
  <c r="BO11" i="147"/>
  <c r="BO42" i="147" s="1"/>
  <c r="BL11" i="147"/>
  <c r="BI11" i="147"/>
  <c r="BF11" i="147"/>
  <c r="BC11" i="147"/>
  <c r="BC42" i="147" s="1"/>
  <c r="AZ11" i="147"/>
  <c r="AW11" i="147"/>
  <c r="AT11" i="147"/>
  <c r="AQ11" i="147"/>
  <c r="AO11" i="147"/>
  <c r="AL11" i="147"/>
  <c r="EB11" i="147" s="1"/>
  <c r="AK11" i="147"/>
  <c r="AI11" i="147"/>
  <c r="AB11" i="147"/>
  <c r="Y11" i="147"/>
  <c r="Y42" i="147" s="1"/>
  <c r="V11" i="147"/>
  <c r="S11" i="147"/>
  <c r="P11" i="147"/>
  <c r="M11" i="147"/>
  <c r="M42" i="147" s="1"/>
  <c r="J11" i="147"/>
  <c r="G11" i="147"/>
  <c r="G42" i="147" s="1"/>
  <c r="D11" i="147"/>
  <c r="EP2" i="147"/>
  <c r="EN2" i="147"/>
  <c r="EI2" i="147"/>
  <c r="ED12" i="147" l="1"/>
  <c r="ED21" i="147"/>
  <c r="EH41" i="147"/>
  <c r="ED20" i="147"/>
  <c r="EH21" i="147"/>
  <c r="EH39" i="147"/>
  <c r="EH36" i="147"/>
  <c r="EH26" i="147"/>
  <c r="EH27" i="147"/>
  <c r="EH24" i="147"/>
  <c r="ED30" i="147"/>
  <c r="EE30" i="147" s="1"/>
  <c r="EH37" i="147"/>
  <c r="EH30" i="147"/>
  <c r="EH34" i="147"/>
  <c r="EH31" i="147"/>
  <c r="AE42" i="147"/>
  <c r="ED14" i="147"/>
  <c r="EH19" i="147"/>
  <c r="EH20" i="147"/>
  <c r="EH23" i="147"/>
  <c r="EH35" i="147"/>
  <c r="ED36" i="147"/>
  <c r="EE36" i="147" s="1"/>
  <c r="EH28" i="147"/>
  <c r="EH29" i="147"/>
  <c r="ED32" i="147"/>
  <c r="EE32" i="147" s="1"/>
  <c r="ED38" i="147"/>
  <c r="EE38" i="147" s="1"/>
  <c r="EH16" i="147"/>
  <c r="EH22" i="147"/>
  <c r="ED26" i="147"/>
  <c r="ED34" i="147"/>
  <c r="EE34" i="147" s="1"/>
  <c r="EH18" i="147"/>
  <c r="ED22" i="147"/>
  <c r="EE22" i="147" s="1"/>
  <c r="ED28" i="147"/>
  <c r="EE28" i="147" s="1"/>
  <c r="EH32" i="147"/>
  <c r="EH33" i="147"/>
  <c r="EM15" i="147"/>
  <c r="BF42" i="147"/>
  <c r="BR42" i="147"/>
  <c r="CD42" i="147"/>
  <c r="CP42" i="147"/>
  <c r="DB42" i="147"/>
  <c r="DN42" i="147"/>
  <c r="EM12" i="147"/>
  <c r="EN12" i="147" s="1"/>
  <c r="EH13" i="147"/>
  <c r="EM14" i="147"/>
  <c r="EN14" i="147" s="1"/>
  <c r="EH15" i="147"/>
  <c r="AW15" i="147"/>
  <c r="EK15" i="147"/>
  <c r="EC17" i="147"/>
  <c r="EC18" i="147"/>
  <c r="EM20" i="147"/>
  <c r="EN22" i="147"/>
  <c r="EM24" i="147"/>
  <c r="S42" i="147"/>
  <c r="EH11" i="147"/>
  <c r="AN11" i="147"/>
  <c r="EK11" i="147"/>
  <c r="EC11" i="147" s="1"/>
  <c r="V42" i="147"/>
  <c r="AH42" i="147"/>
  <c r="EM11" i="147"/>
  <c r="EB16" i="147"/>
  <c r="AN16" i="147"/>
  <c r="ED16" i="147" s="1"/>
  <c r="EK16" i="147"/>
  <c r="EN20" i="147"/>
  <c r="EN24" i="147"/>
  <c r="EI11" i="147"/>
  <c r="EI5" i="147"/>
  <c r="EI3" i="147"/>
  <c r="EI4" i="147" s="1"/>
  <c r="EC13" i="147"/>
  <c r="EM19" i="147"/>
  <c r="EC22" i="147"/>
  <c r="EH12" i="147"/>
  <c r="EE12" i="147"/>
  <c r="EC12" i="147"/>
  <c r="ED13" i="147"/>
  <c r="EE13" i="147" s="1"/>
  <c r="EM13" i="147"/>
  <c r="EN13" i="147" s="1"/>
  <c r="EH14" i="147"/>
  <c r="EE14" i="147"/>
  <c r="EC14" i="147"/>
  <c r="ED15" i="147"/>
  <c r="EB15" i="147"/>
  <c r="ED19" i="147"/>
  <c r="EE20" i="147"/>
  <c r="EC20" i="147"/>
  <c r="EM21" i="147"/>
  <c r="ED23" i="147"/>
  <c r="EE24" i="147"/>
  <c r="EC24" i="147"/>
  <c r="EN32" i="147"/>
  <c r="EB19" i="147"/>
  <c r="EB21" i="147"/>
  <c r="EB23" i="147"/>
  <c r="EM28" i="147"/>
  <c r="EN28" i="147" s="1"/>
  <c r="D42" i="147"/>
  <c r="P42" i="147"/>
  <c r="AB42" i="147"/>
  <c r="AK42" i="147"/>
  <c r="EK17" i="147"/>
  <c r="EK19" i="147"/>
  <c r="EN19" i="147" s="1"/>
  <c r="EK21" i="147"/>
  <c r="EN21" i="147" s="1"/>
  <c r="EK23" i="147"/>
  <c r="EN23" i="147" s="1"/>
  <c r="EH25" i="147"/>
  <c r="AW25" i="147"/>
  <c r="EM25" i="147" s="1"/>
  <c r="EK25" i="147"/>
  <c r="EE26" i="147"/>
  <c r="EC26" i="147"/>
  <c r="ED27" i="147"/>
  <c r="AW27" i="147"/>
  <c r="EK27" i="147"/>
  <c r="EM27" i="147"/>
  <c r="EC28" i="147"/>
  <c r="AW29" i="147"/>
  <c r="EM29" i="147" s="1"/>
  <c r="EK29" i="147"/>
  <c r="EC30" i="147"/>
  <c r="ED31" i="147"/>
  <c r="AW31" i="147"/>
  <c r="EK31" i="147"/>
  <c r="EM31" i="147"/>
  <c r="EC32" i="147"/>
  <c r="AW33" i="147"/>
  <c r="EM33" i="147" s="1"/>
  <c r="EK33" i="147"/>
  <c r="EC34" i="147"/>
  <c r="ED35" i="147"/>
  <c r="AW35" i="147"/>
  <c r="EK35" i="147"/>
  <c r="EM35" i="147"/>
  <c r="EC36" i="147"/>
  <c r="AW37" i="147"/>
  <c r="EM37" i="147" s="1"/>
  <c r="EK37" i="147"/>
  <c r="ED39" i="147"/>
  <c r="AW39" i="147"/>
  <c r="EK39" i="147"/>
  <c r="EM39" i="147"/>
  <c r="ED41" i="147"/>
  <c r="EE41" i="147" s="1"/>
  <c r="EN41" i="147"/>
  <c r="EM30" i="147"/>
  <c r="EN30" i="147" s="1"/>
  <c r="EM34" i="147"/>
  <c r="EN34" i="147" s="1"/>
  <c r="EM36" i="147"/>
  <c r="EN36" i="147" s="1"/>
  <c r="EM38" i="147"/>
  <c r="EM40" i="147"/>
  <c r="EE2" i="147"/>
  <c r="EQ2" i="147" s="1"/>
  <c r="G4" i="147" s="1"/>
  <c r="AW42" i="147"/>
  <c r="BI42" i="147"/>
  <c r="BU42" i="147"/>
  <c r="CG42" i="147"/>
  <c r="CS42" i="147"/>
  <c r="DE42" i="147"/>
  <c r="DQ42" i="147"/>
  <c r="AQ17" i="147"/>
  <c r="AQ42" i="147" s="1"/>
  <c r="AN18" i="147"/>
  <c r="ED18" i="147" s="1"/>
  <c r="EE18" i="147" s="1"/>
  <c r="EK40" i="147"/>
  <c r="EN40" i="147" s="1"/>
  <c r="AT40" i="147"/>
  <c r="AT42" i="147" s="1"/>
  <c r="EM32" i="147"/>
  <c r="AZ42" i="147"/>
  <c r="BL42" i="147"/>
  <c r="BX42" i="147"/>
  <c r="CJ42" i="147"/>
  <c r="CV42" i="147"/>
  <c r="DH42" i="147"/>
  <c r="DT42" i="147"/>
  <c r="ED11" i="147"/>
  <c r="EE11" i="147" s="1"/>
  <c r="ED25" i="147"/>
  <c r="EE25" i="147" s="1"/>
  <c r="EB27" i="147"/>
  <c r="EB29" i="147"/>
  <c r="EB31" i="147"/>
  <c r="EB33" i="147"/>
  <c r="EB35" i="147"/>
  <c r="EB37" i="147"/>
  <c r="EH38" i="147"/>
  <c r="EK38" i="147"/>
  <c r="EN38" i="147" s="1"/>
  <c r="EB39" i="147"/>
  <c r="EH40" i="147"/>
  <c r="EC35" i="147" l="1"/>
  <c r="EE35" i="147"/>
  <c r="EN29" i="147"/>
  <c r="EN25" i="147"/>
  <c r="EC33" i="147"/>
  <c r="EC38" i="147"/>
  <c r="EC23" i="147"/>
  <c r="EE23" i="147"/>
  <c r="EM18" i="147"/>
  <c r="EN18" i="147" s="1"/>
  <c r="EE16" i="147"/>
  <c r="EC16" i="147"/>
  <c r="EM16" i="147"/>
  <c r="EC27" i="147"/>
  <c r="EE27" i="147"/>
  <c r="EN37" i="147"/>
  <c r="EC15" i="147"/>
  <c r="EE15" i="147"/>
  <c r="EH42" i="147"/>
  <c r="EC31" i="147"/>
  <c r="EE31" i="147"/>
  <c r="EN39" i="147"/>
  <c r="ED37" i="147"/>
  <c r="EE37" i="147" s="1"/>
  <c r="EN35" i="147"/>
  <c r="ED33" i="147"/>
  <c r="EE33" i="147" s="1"/>
  <c r="EN31" i="147"/>
  <c r="ED29" i="147"/>
  <c r="EE29" i="147" s="1"/>
  <c r="EN27" i="147"/>
  <c r="EN17" i="147"/>
  <c r="EC21" i="147"/>
  <c r="EE21" i="147"/>
  <c r="EC25" i="147"/>
  <c r="ED17" i="147"/>
  <c r="EE17" i="147" s="1"/>
  <c r="EN11" i="147"/>
  <c r="EN5" i="147"/>
  <c r="EN3" i="147"/>
  <c r="EN4" i="147" s="1"/>
  <c r="EM17" i="147"/>
  <c r="EM42" i="147" s="1"/>
  <c r="EN15" i="147"/>
  <c r="EE3" i="147"/>
  <c r="EC39" i="147"/>
  <c r="EE39" i="147"/>
  <c r="EN33" i="147"/>
  <c r="EC37" i="147"/>
  <c r="EC29" i="147"/>
  <c r="EC40" i="147"/>
  <c r="EC19" i="147"/>
  <c r="EE19" i="147"/>
  <c r="ED40" i="147"/>
  <c r="EE40" i="147" s="1"/>
  <c r="EN16" i="147"/>
  <c r="AN42" i="147"/>
  <c r="EE5" i="147"/>
  <c r="G7" i="147" s="1"/>
  <c r="ED42" i="147" l="1"/>
  <c r="EE4" i="147"/>
  <c r="G6" i="147" s="1"/>
  <c r="G5" i="147"/>
  <c r="G56" i="134" l="1"/>
  <c r="E52" i="134"/>
  <c r="C52" i="134"/>
  <c r="G51" i="134"/>
  <c r="G50" i="134"/>
  <c r="G49" i="134"/>
  <c r="G48" i="134"/>
  <c r="G47" i="134"/>
  <c r="G46" i="134"/>
  <c r="G52" i="134" s="1"/>
  <c r="E46" i="134"/>
  <c r="C46" i="134"/>
  <c r="E41" i="134"/>
  <c r="C41" i="134"/>
  <c r="G40" i="134"/>
  <c r="G39" i="134"/>
  <c r="E34" i="134"/>
  <c r="C34" i="134"/>
  <c r="G33" i="134"/>
  <c r="G32" i="134"/>
  <c r="G31" i="134"/>
  <c r="G30" i="134"/>
  <c r="G29" i="134"/>
  <c r="G34" i="134" s="1"/>
  <c r="G36" i="134" s="1"/>
  <c r="E29" i="134"/>
  <c r="C29" i="134"/>
  <c r="G26" i="134"/>
  <c r="E26" i="134"/>
  <c r="E36" i="134" s="1"/>
  <c r="E43" i="134" s="1"/>
  <c r="E54" i="134" s="1"/>
  <c r="E58" i="134" s="1"/>
  <c r="E60" i="134" s="1"/>
  <c r="C26" i="134"/>
  <c r="C36" i="134" s="1"/>
  <c r="C43" i="134" s="1"/>
  <c r="C54" i="134" s="1"/>
  <c r="C58" i="134" s="1"/>
  <c r="C60" i="134" s="1"/>
  <c r="G25" i="134"/>
  <c r="E25" i="134"/>
  <c r="C25" i="134"/>
  <c r="G24" i="134"/>
  <c r="G23" i="134"/>
  <c r="G22" i="134"/>
  <c r="G21" i="134"/>
  <c r="G20" i="134"/>
  <c r="G19" i="134"/>
  <c r="G17" i="134"/>
  <c r="E17" i="134"/>
  <c r="C17" i="134"/>
  <c r="G16" i="134"/>
  <c r="G15" i="134"/>
  <c r="G14" i="134"/>
  <c r="G13" i="134"/>
  <c r="G12" i="134"/>
  <c r="G11" i="134"/>
  <c r="G41" i="134" l="1"/>
  <c r="G43" i="134" s="1"/>
  <c r="G54" i="134" s="1"/>
  <c r="G58" i="134" s="1"/>
  <c r="G60" i="134" s="1"/>
  <c r="F50" i="129"/>
  <c r="E50" i="129"/>
  <c r="D50" i="129"/>
  <c r="C50" i="129"/>
  <c r="H49" i="129"/>
  <c r="H48" i="129"/>
  <c r="H47" i="129"/>
  <c r="H46" i="129"/>
  <c r="H45" i="129"/>
  <c r="H44" i="129"/>
  <c r="H40" i="129"/>
  <c r="F39" i="129"/>
  <c r="E39" i="129"/>
  <c r="D39" i="129"/>
  <c r="C39" i="129"/>
  <c r="H38" i="129"/>
  <c r="H37" i="129"/>
  <c r="F32" i="129"/>
  <c r="E32" i="129"/>
  <c r="D32" i="129"/>
  <c r="C32" i="129"/>
  <c r="H31" i="129"/>
  <c r="H30" i="129"/>
  <c r="H29" i="129"/>
  <c r="H28" i="129"/>
  <c r="H27" i="129"/>
  <c r="F24" i="129"/>
  <c r="E24" i="129"/>
  <c r="D24" i="129"/>
  <c r="C24" i="129"/>
  <c r="H23" i="129"/>
  <c r="H22" i="129"/>
  <c r="H21" i="129"/>
  <c r="H20" i="129"/>
  <c r="H19" i="129"/>
  <c r="H18" i="129"/>
  <c r="H17" i="129"/>
  <c r="F15" i="129"/>
  <c r="E15" i="129"/>
  <c r="D15" i="129"/>
  <c r="C15" i="129"/>
  <c r="H14" i="129"/>
  <c r="H13" i="129"/>
  <c r="H12" i="129"/>
  <c r="H11" i="129"/>
  <c r="H10" i="129"/>
  <c r="H9" i="129"/>
  <c r="S29" i="69" l="1"/>
  <c r="I29" i="69"/>
  <c r="D29" i="69"/>
  <c r="N29" i="69"/>
  <c r="E34" i="129"/>
  <c r="E41" i="129" s="1"/>
  <c r="E52" i="129" s="1"/>
  <c r="H24" i="129"/>
  <c r="C34" i="129"/>
  <c r="C41" i="129" s="1"/>
  <c r="C52" i="129" s="1"/>
  <c r="H32" i="129"/>
  <c r="H50" i="129"/>
  <c r="D34" i="129"/>
  <c r="D41" i="129" s="1"/>
  <c r="D52" i="129" s="1"/>
  <c r="F34" i="129"/>
  <c r="F41" i="129" s="1"/>
  <c r="F52" i="129" s="1"/>
  <c r="H15" i="129"/>
  <c r="H39" i="129"/>
  <c r="U29" i="69" l="1"/>
  <c r="U34" i="69" s="1"/>
  <c r="H34" i="129"/>
  <c r="H41" i="129"/>
  <c r="H52" i="129" s="1"/>
  <c r="K9" i="6" l="1"/>
  <c r="C19" i="6"/>
  <c r="D19" i="6"/>
  <c r="E19" i="6"/>
  <c r="F19" i="6"/>
  <c r="G19" i="6"/>
  <c r="H19" i="6"/>
  <c r="I19" i="6"/>
  <c r="J19" i="6"/>
  <c r="G19" i="1"/>
  <c r="F62" i="1"/>
  <c r="F53" i="1"/>
  <c r="F54" i="1"/>
  <c r="F55" i="1"/>
  <c r="F56" i="1"/>
  <c r="F57" i="1"/>
  <c r="F59" i="1"/>
  <c r="F60" i="1"/>
  <c r="F61" i="1"/>
  <c r="F63" i="1"/>
  <c r="F18" i="1"/>
  <c r="F17" i="1"/>
  <c r="F16" i="1"/>
  <c r="F15" i="1"/>
  <c r="F13" i="1"/>
  <c r="F12" i="1"/>
  <c r="F11" i="1"/>
  <c r="F10" i="1"/>
  <c r="F9" i="1"/>
  <c r="E62" i="1"/>
  <c r="E53" i="1"/>
  <c r="E54" i="1"/>
  <c r="E55" i="1"/>
  <c r="E56" i="1"/>
  <c r="E57" i="1"/>
  <c r="E59" i="1"/>
  <c r="E60" i="1"/>
  <c r="E61" i="1"/>
  <c r="E63" i="1"/>
  <c r="E18" i="1"/>
  <c r="E17" i="1"/>
  <c r="E16" i="1"/>
  <c r="E15" i="1"/>
  <c r="E13" i="1"/>
  <c r="E12" i="1"/>
  <c r="E11" i="1"/>
  <c r="E10" i="1"/>
  <c r="E9" i="1"/>
  <c r="D62" i="1"/>
  <c r="D53" i="1"/>
  <c r="D54" i="1"/>
  <c r="D55" i="1"/>
  <c r="D56" i="1"/>
  <c r="D57" i="1"/>
  <c r="D59" i="1"/>
  <c r="D60" i="1"/>
  <c r="D61" i="1"/>
  <c r="D63" i="1"/>
  <c r="D18" i="1"/>
  <c r="D17" i="1"/>
  <c r="D16" i="1"/>
  <c r="D15" i="1"/>
  <c r="D13" i="1"/>
  <c r="D12" i="1"/>
  <c r="D11" i="1"/>
  <c r="D10" i="1"/>
  <c r="D9" i="1"/>
  <c r="C62" i="1"/>
  <c r="C53" i="1"/>
  <c r="C54" i="1"/>
  <c r="C55" i="1"/>
  <c r="C56" i="1"/>
  <c r="C57" i="1"/>
  <c r="C59" i="1"/>
  <c r="C60" i="1"/>
  <c r="C61" i="1"/>
  <c r="C63" i="1"/>
  <c r="C18" i="1"/>
  <c r="C17" i="1"/>
  <c r="C16" i="1"/>
  <c r="C15" i="1"/>
  <c r="C13" i="1"/>
  <c r="C12" i="1"/>
  <c r="C11" i="1"/>
  <c r="C10" i="1"/>
  <c r="C9" i="1"/>
  <c r="F26" i="1"/>
  <c r="F25" i="1"/>
  <c r="F24" i="1"/>
  <c r="E26" i="1"/>
  <c r="E25" i="1"/>
  <c r="E24" i="1"/>
  <c r="D26" i="1"/>
  <c r="D25" i="1"/>
  <c r="D24" i="1"/>
  <c r="C26" i="1"/>
  <c r="C25" i="1"/>
  <c r="C24" i="1"/>
  <c r="C27" i="1"/>
  <c r="F41" i="1"/>
  <c r="E41" i="1"/>
  <c r="D41" i="1"/>
  <c r="C41" i="1"/>
  <c r="G41" i="1"/>
  <c r="G31" i="1"/>
  <c r="C23" i="6"/>
  <c r="K10" i="6"/>
  <c r="K11" i="6"/>
  <c r="K12" i="6"/>
  <c r="K13" i="6"/>
  <c r="K15" i="6"/>
  <c r="K16" i="6"/>
  <c r="K17" i="6"/>
  <c r="K18" i="6"/>
  <c r="G62" i="1"/>
  <c r="G40" i="1"/>
  <c r="B10" i="8"/>
  <c r="A10" i="5"/>
  <c r="A12" i="5" s="1"/>
  <c r="A14" i="5" s="1"/>
  <c r="A16" i="5" s="1"/>
  <c r="A18" i="5" s="1"/>
  <c r="A20" i="5" s="1"/>
  <c r="A22" i="5" s="1"/>
  <c r="A24" i="5" s="1"/>
  <c r="A26" i="5" s="1"/>
  <c r="A28" i="5" s="1"/>
  <c r="A30" i="5" s="1"/>
  <c r="A32" i="5" s="1"/>
  <c r="A34" i="5" s="1"/>
  <c r="A36" i="5" s="1"/>
  <c r="A38" i="5" s="1"/>
  <c r="A40" i="5" s="1"/>
  <c r="C25" i="6"/>
  <c r="B11" i="8"/>
  <c r="K19" i="6"/>
  <c r="J25" i="6"/>
  <c r="I25" i="6"/>
  <c r="H25" i="6"/>
  <c r="G25" i="6"/>
  <c r="F25" i="6"/>
  <c r="E25" i="6"/>
  <c r="D25" i="6"/>
  <c r="J24" i="6"/>
  <c r="I24" i="6"/>
  <c r="H24" i="6"/>
  <c r="G24" i="6"/>
  <c r="F24" i="6"/>
  <c r="E24" i="6"/>
  <c r="D24" i="6"/>
  <c r="C24" i="6"/>
  <c r="J23" i="6"/>
  <c r="I23" i="6"/>
  <c r="H23" i="6"/>
  <c r="H26" i="6"/>
  <c r="G23" i="6"/>
  <c r="F23" i="6"/>
  <c r="E23" i="6"/>
  <c r="D23" i="6"/>
  <c r="F51" i="1"/>
  <c r="E51" i="1"/>
  <c r="D51" i="1"/>
  <c r="C51" i="1"/>
  <c r="G39" i="1"/>
  <c r="G38" i="1"/>
  <c r="G37" i="1"/>
  <c r="G35" i="1"/>
  <c r="G34" i="1"/>
  <c r="G33" i="1"/>
  <c r="G32" i="1"/>
  <c r="G53" i="1"/>
  <c r="G63" i="1"/>
  <c r="J26" i="6"/>
  <c r="F26" i="6"/>
  <c r="G54" i="1"/>
  <c r="G55" i="1"/>
  <c r="G56" i="1"/>
  <c r="G57" i="1"/>
  <c r="G59" i="1"/>
  <c r="G60" i="1"/>
  <c r="G61" i="1"/>
  <c r="I26" i="6"/>
  <c r="G26" i="6"/>
  <c r="B13" i="8"/>
  <c r="E26" i="6"/>
  <c r="K23" i="6"/>
  <c r="K24" i="6"/>
  <c r="K25" i="6"/>
  <c r="D26" i="6"/>
  <c r="C26" i="6"/>
  <c r="G17" i="1"/>
  <c r="K26" i="6"/>
  <c r="E27" i="1"/>
  <c r="F27" i="1"/>
  <c r="G16" i="1"/>
  <c r="G10" i="1"/>
  <c r="G15" i="1"/>
  <c r="G9" i="1"/>
  <c r="G11" i="1"/>
  <c r="G12" i="1"/>
  <c r="G26" i="1"/>
  <c r="G18" i="1"/>
  <c r="G13" i="1"/>
  <c r="D27" i="1"/>
  <c r="G27" i="1"/>
  <c r="G25" i="1"/>
  <c r="G24" i="1"/>
  <c r="S34" i="69" l="1"/>
  <c r="E54" i="129"/>
  <c r="N34" i="69"/>
  <c r="I34" i="69"/>
  <c r="C54" i="129"/>
  <c r="D34" i="69"/>
  <c r="F54" i="129"/>
  <c r="F55" i="129" s="1"/>
  <c r="F56" i="129" s="1"/>
  <c r="C55" i="129" l="1"/>
  <c r="C56" i="129" s="1"/>
  <c r="E55" i="129"/>
  <c r="E56" i="129" s="1"/>
  <c r="C12" i="5" s="1"/>
  <c r="D54" i="129"/>
  <c r="C14" i="5"/>
  <c r="D55" i="129" l="1"/>
  <c r="D56" i="129" s="1"/>
  <c r="C10" i="5" s="1"/>
  <c r="H54" i="129"/>
  <c r="H55" i="129" s="1"/>
  <c r="C8" i="5"/>
  <c r="H56" i="129" l="1"/>
  <c r="C42" i="5"/>
  <c r="B9" i="8" s="1"/>
  <c r="N8" i="5"/>
  <c r="I10" i="5" s="1"/>
  <c r="N10" i="5" l="1"/>
  <c r="I12" i="5" s="1"/>
  <c r="N12" i="5" l="1"/>
  <c r="I14" i="5" s="1"/>
  <c r="N14" i="5" l="1"/>
  <c r="I16" i="5" s="1"/>
  <c r="N16" i="5" l="1"/>
  <c r="I18" i="5" s="1"/>
  <c r="N18" i="5" l="1"/>
  <c r="I20" i="5" s="1"/>
  <c r="N20" i="5" l="1"/>
  <c r="I22" i="5" s="1"/>
  <c r="N22" i="5" l="1"/>
  <c r="I24" i="5" s="1"/>
  <c r="N24" i="5" l="1"/>
  <c r="I26" i="5" s="1"/>
  <c r="N26" i="5" l="1"/>
  <c r="I28" i="5" s="1"/>
  <c r="N28" i="5" l="1"/>
  <c r="I30" i="5" s="1"/>
  <c r="N30" i="5" l="1"/>
  <c r="I32" i="5" s="1"/>
  <c r="N32" i="5" l="1"/>
  <c r="I34" i="5" s="1"/>
  <c r="N34" i="5" l="1"/>
  <c r="I36" i="5" s="1"/>
  <c r="N36" i="5" l="1"/>
  <c r="I38" i="5" s="1"/>
  <c r="N38" i="5" l="1"/>
  <c r="I40" i="5" s="1"/>
  <c r="I42" i="5" s="1"/>
  <c r="B12" i="8" l="1"/>
  <c r="B16" i="8" s="1"/>
  <c r="N40" i="5"/>
  <c r="B14" i="8" l="1"/>
  <c r="B17" i="8" s="1"/>
</calcChain>
</file>

<file path=xl/comments1.xml><?xml version="1.0" encoding="utf-8"?>
<comments xmlns="http://schemas.openxmlformats.org/spreadsheetml/2006/main">
  <authors>
    <author>Roesch, Mike D</author>
  </authors>
  <commentList>
    <comment ref="C25" authorId="0" shapeId="0">
      <text>
        <r>
          <rPr>
            <sz val="9"/>
            <color indexed="81"/>
            <rFont val="Tahoma"/>
            <family val="2"/>
          </rPr>
          <t>Includes Common Boundry</t>
        </r>
      </text>
    </comment>
    <comment ref="C29" authorId="0" shapeId="0">
      <text>
        <r>
          <rPr>
            <sz val="9"/>
            <color indexed="81"/>
            <rFont val="Tahoma"/>
            <family val="2"/>
          </rPr>
          <t>Incudes Inadvertent Distribution Revenues</t>
        </r>
      </text>
    </comment>
  </commentList>
</comments>
</file>

<file path=xl/sharedStrings.xml><?xml version="1.0" encoding="utf-8"?>
<sst xmlns="http://schemas.openxmlformats.org/spreadsheetml/2006/main" count="4386" uniqueCount="245">
  <si>
    <t>Ameren Missouri</t>
  </si>
  <si>
    <t>Fuel Adjustment Clause</t>
  </si>
  <si>
    <t>Amount to be Collected/(Refunded)</t>
  </si>
  <si>
    <t>(Recoveries)/Refunds</t>
  </si>
  <si>
    <t>Proposed Adjustment</t>
  </si>
  <si>
    <t>Less: Interest (I) from above - included in FAR line 4.1</t>
  </si>
  <si>
    <t>True-Up Amount (T) - FAR line 4.2</t>
  </si>
  <si>
    <t xml:space="preserve">   </t>
  </si>
  <si>
    <t>Fuel &amp; Purchased Power Costs</t>
  </si>
  <si>
    <t>Allocated by Rate Class &amp; Voltage Level</t>
  </si>
  <si>
    <r>
      <t>Accumulation - (Over)/Under</t>
    </r>
    <r>
      <rPr>
        <b/>
        <vertAlign val="superscript"/>
        <sz val="10"/>
        <color rgb="FFFF0000"/>
        <rFont val="Arial"/>
        <family val="2"/>
      </rPr>
      <t>1</t>
    </r>
  </si>
  <si>
    <t>Rate Class</t>
  </si>
  <si>
    <t>Voltage</t>
  </si>
  <si>
    <t>Total</t>
  </si>
  <si>
    <t>1m</t>
  </si>
  <si>
    <t>Secondary</t>
  </si>
  <si>
    <t>2m</t>
  </si>
  <si>
    <t>3m</t>
  </si>
  <si>
    <t>4m</t>
  </si>
  <si>
    <t>Primary</t>
  </si>
  <si>
    <t>5m &amp; 6m</t>
  </si>
  <si>
    <t>11m</t>
  </si>
  <si>
    <t>11m-Transmission</t>
  </si>
  <si>
    <t>11m-High Voltage</t>
  </si>
  <si>
    <t>11m-Low Voltage</t>
  </si>
  <si>
    <t>12m</t>
  </si>
  <si>
    <t>Transmission</t>
  </si>
  <si>
    <t>Total by Voltage</t>
  </si>
  <si>
    <t>(a)                                                                              kWh Sales</t>
  </si>
  <si>
    <t>(b) Adjustment Factors</t>
  </si>
  <si>
    <t>kWh Sales at Transmission</t>
  </si>
  <si>
    <t>(a) x (b)</t>
  </si>
  <si>
    <r>
      <rPr>
        <vertAlign val="superscript"/>
        <sz val="10"/>
        <color rgb="FFFF0000"/>
        <rFont val="Arial"/>
        <family val="2"/>
      </rPr>
      <t>1</t>
    </r>
    <r>
      <rPr>
        <sz val="10"/>
        <rFont val="Arial"/>
        <family val="2"/>
      </rPr>
      <t xml:space="preserve">  Amounts are allocated using the kWh Sales at Transmission for each class relative to total sales.</t>
    </r>
  </si>
  <si>
    <t>(Recoveries) and Refunds by Rate Class &amp; Voltage Level</t>
  </si>
  <si>
    <t xml:space="preserve"> </t>
  </si>
  <si>
    <t>Monthly (Over)/Under Recovery</t>
  </si>
  <si>
    <t>Interest Rate</t>
  </si>
  <si>
    <t>Amounts (Recovered)/ Refunded</t>
  </si>
  <si>
    <t>Balance (Over)/Under recovered</t>
  </si>
  <si>
    <t>Totals</t>
  </si>
  <si>
    <t>Note: Interest is calculated on the previous months' cumulative (over)/under balance.</t>
  </si>
  <si>
    <t>Accumulation</t>
  </si>
  <si>
    <t>Other</t>
  </si>
  <si>
    <t>Distributed</t>
  </si>
  <si>
    <t>Monthly</t>
  </si>
  <si>
    <r>
      <t>KWH</t>
    </r>
    <r>
      <rPr>
        <b/>
        <vertAlign val="superscript"/>
        <sz val="10"/>
        <color rgb="FFFF0000"/>
        <rFont val="Arial"/>
        <family val="2"/>
      </rPr>
      <t>1</t>
    </r>
  </si>
  <si>
    <r>
      <t>Resources</t>
    </r>
    <r>
      <rPr>
        <b/>
        <vertAlign val="superscript"/>
        <sz val="10"/>
        <color rgb="FFFF0000"/>
        <rFont val="Arial"/>
        <family val="2"/>
      </rPr>
      <t>2</t>
    </r>
  </si>
  <si>
    <t>Generation</t>
  </si>
  <si>
    <r>
      <rPr>
        <vertAlign val="superscript"/>
        <sz val="10"/>
        <color rgb="FFFF0000"/>
        <rFont val="Arial"/>
        <family val="2"/>
      </rPr>
      <t>2</t>
    </r>
    <r>
      <rPr>
        <sz val="10"/>
        <rFont val="Arial"/>
        <family val="2"/>
      </rPr>
      <t xml:space="preserve"> "Other Resources" means any generating station that is operating within Ameren Missouri's certificated service territory as a behind the meter resource in MISO.</t>
    </r>
  </si>
  <si>
    <t>MONTHLY SHORT-TERM BORROWING ANALYSIS</t>
  </si>
  <si>
    <t>TOTAL FOR MONTH</t>
  </si>
  <si>
    <t>Amount Outstanding</t>
  </si>
  <si>
    <t>Avg Daily Borrowing</t>
  </si>
  <si>
    <t>Weighted Average Rate</t>
  </si>
  <si>
    <t>Total Borrowings</t>
  </si>
  <si>
    <t>Total Revolver Borrowings</t>
  </si>
  <si>
    <t>Total Commercial Paper Borrowings</t>
  </si>
  <si>
    <t>Peak Borrowing</t>
  </si>
  <si>
    <t>Weighted</t>
  </si>
  <si>
    <t>Revolver</t>
  </si>
  <si>
    <t>CP</t>
  </si>
  <si>
    <t>Regulated Money Pool</t>
  </si>
  <si>
    <t>Non-Regulated Money Pool</t>
  </si>
  <si>
    <t>AMC Direct Loan</t>
  </si>
  <si>
    <t>AMC Subordinated Loan</t>
  </si>
  <si>
    <t>AMC Direct Loan (Notes Backed)</t>
  </si>
  <si>
    <t>Revolver Loan 1</t>
  </si>
  <si>
    <t>Revolver Loan 2</t>
  </si>
  <si>
    <t>Revolver Loan 3</t>
  </si>
  <si>
    <t>Revolver Loan 4</t>
  </si>
  <si>
    <t>Revolver Loan 5 (ABR 365)</t>
  </si>
  <si>
    <t>Revolver Loan 6 (ABR 365)</t>
  </si>
  <si>
    <t>Commercial Paper 1</t>
  </si>
  <si>
    <t>Commercial Paper 2</t>
  </si>
  <si>
    <t>Commercial Paper 3</t>
  </si>
  <si>
    <t>Commercial Paper 4</t>
  </si>
  <si>
    <t>Commercial Paper 5</t>
  </si>
  <si>
    <t>Commercial Paper 6</t>
  </si>
  <si>
    <t>Commercial Paper 7</t>
  </si>
  <si>
    <t>Commercial Paper 8</t>
  </si>
  <si>
    <t>Commercial Paper 9</t>
  </si>
  <si>
    <t>Commercial Paper 10</t>
  </si>
  <si>
    <t>Commercial Paper 11</t>
  </si>
  <si>
    <t>Commercial Paper 12</t>
  </si>
  <si>
    <t>Commercial Paper 13</t>
  </si>
  <si>
    <t>Commercial Paper 14</t>
  </si>
  <si>
    <t>Commercial Paper 15</t>
  </si>
  <si>
    <t>Commercial Paper 16</t>
  </si>
  <si>
    <t>Commercial Paper 17</t>
  </si>
  <si>
    <t>Commercial Paper 18</t>
  </si>
  <si>
    <t>Commercial Paper 19</t>
  </si>
  <si>
    <t>Commercial Paper 20</t>
  </si>
  <si>
    <t>Commercial Paper 21</t>
  </si>
  <si>
    <t>Commercial Paper 22</t>
  </si>
  <si>
    <t>Commercial Paper 23</t>
  </si>
  <si>
    <t>Commercial Paper 24</t>
  </si>
  <si>
    <t>Commercial Paper 25</t>
  </si>
  <si>
    <t>Commercial Paper 26</t>
  </si>
  <si>
    <t>Commercial Paper 27</t>
  </si>
  <si>
    <t>Commercial Paper 28</t>
  </si>
  <si>
    <t>Commercial Paper 29</t>
  </si>
  <si>
    <t>Commercial Paper 30</t>
  </si>
  <si>
    <t>Future Use 1 - Term Loan</t>
  </si>
  <si>
    <t>Daily</t>
  </si>
  <si>
    <t>Average</t>
  </si>
  <si>
    <t>Revolvers</t>
  </si>
  <si>
    <t>Date</t>
  </si>
  <si>
    <t>Amount</t>
  </si>
  <si>
    <t>Rate</t>
  </si>
  <si>
    <t>Interest</t>
  </si>
  <si>
    <t>Outstanding</t>
  </si>
  <si>
    <t>Ameren Corporation</t>
  </si>
  <si>
    <t>PAR AMT USED FOR RATE CALC ONLY</t>
  </si>
  <si>
    <t>PAR</t>
  </si>
  <si>
    <t>NET</t>
  </si>
  <si>
    <t>TOTAL NET CP PROCEEDS</t>
  </si>
  <si>
    <t>(PAR CP)</t>
  </si>
  <si>
    <t>(NET CP)</t>
  </si>
  <si>
    <t>Total (PAR CP)</t>
  </si>
  <si>
    <t>JULY 2018</t>
  </si>
  <si>
    <t>PAR CP</t>
  </si>
  <si>
    <t>ACCRUED AFTER REPORT PERIOD</t>
  </si>
  <si>
    <t>CP BALANCE</t>
  </si>
  <si>
    <t>TOTAL ST BALANCE</t>
  </si>
  <si>
    <t>AUGUST 2018</t>
  </si>
  <si>
    <t>SEPTEMBER 2018</t>
  </si>
  <si>
    <t>OCTOBER 2018</t>
  </si>
  <si>
    <t>A</t>
  </si>
  <si>
    <t xml:space="preserve">Fuel &amp; Purchased Power Costs </t>
  </si>
  <si>
    <t>Fuel For Load Acct 501</t>
  </si>
  <si>
    <t>Fuel For Load Acct 518</t>
  </si>
  <si>
    <t>Fuel For Load Acct 547</t>
  </si>
  <si>
    <t>Emissions Acct 411.8, 411.9 and 509</t>
  </si>
  <si>
    <t>Fixed Gas Supply Costs for Load Acct 547</t>
  </si>
  <si>
    <t>Purchased Power for Load Acct 555</t>
  </si>
  <si>
    <t>Total Fuel and Purchased Power for Load</t>
  </si>
  <si>
    <t>Fuel For OSS Acct 501</t>
  </si>
  <si>
    <t>Fuel For OSS Acct 518</t>
  </si>
  <si>
    <t>Fuel For OSS Acct 547</t>
  </si>
  <si>
    <t>(Gains)/Losses on Gas Sales Acct 547</t>
  </si>
  <si>
    <t>Fixed Gas Supply Costs for OSS Acct 547</t>
  </si>
  <si>
    <t>Purchased Power for OSS Acct 555</t>
  </si>
  <si>
    <t>Total Fuel and Purchased Power for OSS</t>
  </si>
  <si>
    <t>B</t>
  </si>
  <si>
    <t>Other Purchased Power Expenses</t>
  </si>
  <si>
    <t>MISO Day 2/SPP Account 555</t>
  </si>
  <si>
    <t>Capacity Purchase Costs Account 555</t>
  </si>
  <si>
    <t>Ancillary Services Account 555</t>
  </si>
  <si>
    <t>PJM Account 555 expense</t>
  </si>
  <si>
    <t>Total Other Purchased Power Expenses</t>
  </si>
  <si>
    <t>A + B</t>
  </si>
  <si>
    <t>Total Fuel and Purchased Power</t>
  </si>
  <si>
    <t>C</t>
  </si>
  <si>
    <t>Transmission Costs and Revenues</t>
  </si>
  <si>
    <t>Total Transmission Costs and Revenues</t>
  </si>
  <si>
    <t>A + B + C</t>
  </si>
  <si>
    <t>Total Fuel, Purchased Power &amp; Transmission Costs &amp; Revenues</t>
  </si>
  <si>
    <t>D</t>
  </si>
  <si>
    <t>Sales</t>
  </si>
  <si>
    <t>Off-System Energy Sales (Acct 447)</t>
  </si>
  <si>
    <t>Make Whole Payments (Acct 447)</t>
  </si>
  <si>
    <t>Capacity Sales Revenue (Acct 447)</t>
  </si>
  <si>
    <t>Financial Swaps (Hedging) (Acct 447)</t>
  </si>
  <si>
    <t>Ancillary Services Revenue (Acct 447)</t>
  </si>
  <si>
    <t>Load &amp; Generation Forecasting Deviation</t>
  </si>
  <si>
    <t>Total Sales</t>
  </si>
  <si>
    <t>A + B + C - D</t>
  </si>
  <si>
    <t>Actual Net Energy Costs</t>
  </si>
  <si>
    <t>ER-2016-0179 Base Factor (x)</t>
  </si>
  <si>
    <t>Total Net Base Energy Costs</t>
  </si>
  <si>
    <r>
      <rPr>
        <vertAlign val="superscript"/>
        <sz val="10"/>
        <color rgb="FFFF0000"/>
        <rFont val="Arial"/>
        <family val="2"/>
      </rPr>
      <t>3</t>
    </r>
    <r>
      <rPr>
        <sz val="10"/>
        <rFont val="Arial"/>
        <family val="2"/>
      </rPr>
      <t xml:space="preserve"> Represents Retail Load at the MISO CP Node AMMO.UE </t>
    </r>
  </si>
  <si>
    <r>
      <t>Total KWH</t>
    </r>
    <r>
      <rPr>
        <b/>
        <vertAlign val="superscript"/>
        <sz val="10"/>
        <color rgb="FFFF0000"/>
        <rFont val="Arial"/>
        <family val="2"/>
      </rPr>
      <t>3</t>
    </r>
  </si>
  <si>
    <t>9(A).2(A)</t>
  </si>
  <si>
    <t>Other Adjustments or Refunds not related to Net Base Energy Costs</t>
  </si>
  <si>
    <t>9(A).2(B)</t>
  </si>
  <si>
    <t>Monthly (Over)/Under Calculation</t>
  </si>
  <si>
    <t>9(A).2(C)</t>
  </si>
  <si>
    <t>Determination of Short-Term Borrowing Rate</t>
  </si>
  <si>
    <t>9(A).2(D).I</t>
  </si>
  <si>
    <t>Changes in Determination of Short-Term Borrowing Rate</t>
  </si>
  <si>
    <t xml:space="preserve">9(A).2(D).III </t>
  </si>
  <si>
    <t>Additional Requirements - Commission Ordered</t>
  </si>
  <si>
    <t>9(A).2(E)</t>
  </si>
  <si>
    <t>Net Based Energy Cost (NBEC)</t>
  </si>
  <si>
    <t>Per Unanimous Stipulation and Agreement ER-2016-0179</t>
  </si>
  <si>
    <t>Summer</t>
  </si>
  <si>
    <t>Winter</t>
  </si>
  <si>
    <t>Line No.</t>
  </si>
  <si>
    <t>1</t>
  </si>
  <si>
    <t>2</t>
  </si>
  <si>
    <t>3</t>
  </si>
  <si>
    <t>MISO Day 2 Account 555</t>
  </si>
  <si>
    <t>Net Insurance recoveries</t>
  </si>
  <si>
    <t>Transmission by Others (Acct 565)</t>
  </si>
  <si>
    <t>Transmission Revenues (Acct 456.1)</t>
  </si>
  <si>
    <t>Retail Load at MISO CP Node AMMO.UE (kWh)</t>
  </si>
  <si>
    <t>Base Factor (BF)  ($ per MWH)</t>
  </si>
  <si>
    <t>Base Factor (BF)  (cents per KWH)</t>
  </si>
  <si>
    <t>ST Balance on GL</t>
  </si>
  <si>
    <t>From BNP Paribas Monthly Accrued Interest Report</t>
  </si>
  <si>
    <t xml:space="preserve">Actual Net Energy Costs </t>
  </si>
  <si>
    <r>
      <rPr>
        <vertAlign val="superscript"/>
        <sz val="10"/>
        <color rgb="FFFF0000"/>
        <rFont val="Arial"/>
        <family val="2"/>
      </rPr>
      <t>1</t>
    </r>
    <r>
      <rPr>
        <sz val="10"/>
        <rFont val="Arial"/>
        <family val="2"/>
      </rPr>
      <t xml:space="preserve"> Kilowatt-hours presented herein are related to MISO S105 statements and therefore will differ from the other periodic filings made under 4 CSR 240-20.090(5) &amp; (8) due to true-ups that take place between MISO S7, S14, S55 and S105 statements.</t>
    </r>
  </si>
  <si>
    <t>Net Base Fuel Costs shown herein are based on MISO S105 settlement statements and will therefore differ from the periodic filings made under 4 CSR 240-20.090(5) &amp; (8) due to true-ups that take place between MISO S7, S14, S55 and S105 statements.</t>
  </si>
  <si>
    <t>NOVEMBER 2018</t>
  </si>
  <si>
    <t>DECEMBER 2018</t>
  </si>
  <si>
    <t>JANUARY 2019</t>
  </si>
  <si>
    <t>FEBRUARY 2019</t>
  </si>
  <si>
    <t>Revised Total Company Fuel and Purchased Power Difference</t>
  </si>
  <si>
    <t xml:space="preserve">Actual Net Energy Costs herein are the same as those filed in the periodic filing made under 4CSR 240-20.090(8).   </t>
  </si>
  <si>
    <t>Revised Customer responsibility</t>
  </si>
  <si>
    <t>Change in Net Base Energy Costs Collected</t>
  </si>
  <si>
    <t>Total Revised Net Base Energy Costs</t>
  </si>
  <si>
    <t>KWH</t>
  </si>
  <si>
    <t>Resources</t>
  </si>
  <si>
    <t>Total KWH</t>
  </si>
  <si>
    <t xml:space="preserve">As of April 1, 2017 only 1.71% of allowable transmission costs are includable in the FAC.   </t>
  </si>
  <si>
    <t xml:space="preserve">As of April 1, 2017, net insurance recoveries and their associated premiums, subrogration recoveries and settlement proceeds related to the other costs/revenues included in the FAC are now also includable in the FAC.  </t>
  </si>
  <si>
    <t xml:space="preserve">As of April 1, 2017 1.71% of allowable transmission revenues became includable in the FAC.   </t>
  </si>
  <si>
    <t>Accum Prd 28 Interest</t>
  </si>
  <si>
    <t>APRIL 2019</t>
  </si>
  <si>
    <t>MARCH 2019</t>
  </si>
  <si>
    <t>MAY 2019</t>
  </si>
  <si>
    <t>JUNE 2019</t>
  </si>
  <si>
    <r>
      <t>Net Insurance recoveries</t>
    </r>
    <r>
      <rPr>
        <b/>
        <vertAlign val="superscript"/>
        <sz val="10"/>
        <color rgb="FFFF0000"/>
        <rFont val="Arial"/>
        <family val="2"/>
      </rPr>
      <t>4</t>
    </r>
  </si>
  <si>
    <r>
      <t>Transmission by Others (Acct 565)</t>
    </r>
    <r>
      <rPr>
        <b/>
        <vertAlign val="superscript"/>
        <sz val="10"/>
        <color rgb="FFFF0000"/>
        <rFont val="Arial"/>
        <family val="2"/>
      </rPr>
      <t>3</t>
    </r>
  </si>
  <si>
    <r>
      <t>Transmission Revenues (Acct 456.1)</t>
    </r>
    <r>
      <rPr>
        <b/>
        <vertAlign val="superscript"/>
        <sz val="10"/>
        <color rgb="FFFF0000"/>
        <rFont val="Arial"/>
        <family val="2"/>
      </rPr>
      <t>5</t>
    </r>
  </si>
  <si>
    <r>
      <t>Actual Net Energy Costs</t>
    </r>
    <r>
      <rPr>
        <b/>
        <vertAlign val="superscript"/>
        <sz val="10"/>
        <color rgb="FFFF0000"/>
        <rFont val="Arial"/>
        <family val="2"/>
      </rPr>
      <t>1</t>
    </r>
  </si>
  <si>
    <r>
      <t>Revised Net Base Energy Costs</t>
    </r>
    <r>
      <rPr>
        <b/>
        <vertAlign val="superscript"/>
        <sz val="10"/>
        <color rgb="FFFF0000"/>
        <rFont val="Arial"/>
        <family val="2"/>
      </rPr>
      <t>2</t>
    </r>
  </si>
  <si>
    <r>
      <t xml:space="preserve">Accumulation Period </t>
    </r>
    <r>
      <rPr>
        <b/>
        <sz val="10"/>
        <color rgb="FF0000FF"/>
        <rFont val="Arial"/>
        <family val="2"/>
      </rPr>
      <t>#29</t>
    </r>
    <r>
      <rPr>
        <b/>
        <sz val="10"/>
        <rFont val="Arial"/>
        <family val="2"/>
      </rPr>
      <t xml:space="preserve"> True-Up</t>
    </r>
  </si>
  <si>
    <r>
      <t xml:space="preserve">True-Up Period </t>
    </r>
    <r>
      <rPr>
        <sz val="10"/>
        <color rgb="FF0000FF"/>
        <rFont val="Arial"/>
        <family val="2"/>
      </rPr>
      <t>#26(T)</t>
    </r>
  </si>
  <si>
    <r>
      <t xml:space="preserve">Interest for True-up Period </t>
    </r>
    <r>
      <rPr>
        <sz val="10"/>
        <color rgb="FF0000FF"/>
        <rFont val="Arial"/>
        <family val="2"/>
      </rPr>
      <t>#26(I)</t>
    </r>
  </si>
  <si>
    <r>
      <t xml:space="preserve">Accumulation Period </t>
    </r>
    <r>
      <rPr>
        <sz val="10"/>
        <color rgb="FF0000FF"/>
        <rFont val="Arial"/>
        <family val="2"/>
      </rPr>
      <t xml:space="preserve">29 </t>
    </r>
    <r>
      <rPr>
        <sz val="10"/>
        <rFont val="Arial"/>
        <family val="2"/>
      </rPr>
      <t>Interest (I)</t>
    </r>
  </si>
  <si>
    <r>
      <t>Accumulation Period:</t>
    </r>
    <r>
      <rPr>
        <sz val="10"/>
        <color rgb="FF0000FF"/>
        <rFont val="Arial"/>
        <family val="2"/>
      </rPr>
      <t xml:space="preserve"> June 2018 - September 2018</t>
    </r>
  </si>
  <si>
    <t>Accumulation Period #29</t>
  </si>
  <si>
    <r>
      <t>Original As Filed - AP29 FAR filing</t>
    </r>
    <r>
      <rPr>
        <b/>
        <vertAlign val="superscript"/>
        <sz val="10"/>
        <color rgb="FFFF0000"/>
        <rFont val="Arial"/>
        <family val="2"/>
      </rPr>
      <t>4</t>
    </r>
  </si>
  <si>
    <t>Revised AP29 True-up Filing</t>
  </si>
  <si>
    <t>Period 29</t>
  </si>
  <si>
    <r>
      <rPr>
        <vertAlign val="superscript"/>
        <sz val="10"/>
        <color rgb="FFFF0000"/>
        <rFont val="Arial"/>
        <family val="2"/>
      </rPr>
      <t>4</t>
    </r>
    <r>
      <rPr>
        <sz val="10"/>
        <rFont val="Arial"/>
        <family val="2"/>
      </rPr>
      <t xml:space="preserve"> Amounts herein are the same as the amounts that were originally filed via the AP29 FAR filing </t>
    </r>
  </si>
  <si>
    <r>
      <t xml:space="preserve">Factor T - True-up </t>
    </r>
    <r>
      <rPr>
        <b/>
        <sz val="10"/>
        <color rgb="FF0000FF"/>
        <rFont val="Arial"/>
        <family val="2"/>
      </rPr>
      <t>#26</t>
    </r>
  </si>
  <si>
    <r>
      <t xml:space="preserve">Factor I - True-up </t>
    </r>
    <r>
      <rPr>
        <b/>
        <sz val="10"/>
        <color rgb="FF0000FF"/>
        <rFont val="Arial"/>
        <family val="2"/>
      </rPr>
      <t>#26</t>
    </r>
  </si>
  <si>
    <t>JULY 2019</t>
  </si>
  <si>
    <t>AUGUST 2019</t>
  </si>
  <si>
    <t>SEPTEMBER 2019</t>
  </si>
  <si>
    <r>
      <t>Recovery Period: February</t>
    </r>
    <r>
      <rPr>
        <sz val="10"/>
        <color rgb="FF0000FF"/>
        <rFont val="Arial"/>
        <family val="2"/>
      </rPr>
      <t xml:space="preserve"> 2019 - September 2019</t>
    </r>
  </si>
  <si>
    <t>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</si>
</sst>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8" formatCode="&quot;$&quot;#,##0.00_);[Red]\(&quot;$&quot;#,##0.00\)"/>
    <numFmt numFmtId="41" formatCode="_(* #,##0_);_(* \(#,##0\);_(* &quot;-&quot;_);_(@_)"/>
    <numFmt numFmtId="44" formatCode="_(&quot;$&quot;* #,##0.00_);_(&quot;$&quot;* \(#,##0.00\);_(&quot;$&quot;* &quot;-&quot;??_);_(@_)"/>
    <numFmt numFmtId="43" formatCode="_(* #,##0.00_);_(* \(#,##0.00\);_(* &quot;-&quot;??_);_(@_)"/>
    <numFmt numFmtId="164" formatCode="[$-409]mmmm\-yy;@"/>
    <numFmt numFmtId="165" formatCode="_(&quot;$&quot;* #,##0_);_(&quot;$&quot;* \(#,##0\);_(&quot;$&quot;* &quot;-&quot;??_);_(@_)"/>
    <numFmt numFmtId="166" formatCode="_(* #,##0_);_(* \(#,##0\);_(* &quot;-&quot;??_);_(@_)"/>
    <numFmt numFmtId="167" formatCode="_(* #,##0.0000_);_(* \(#,##0.0000\);_(* &quot;-&quot;??_);_(@_)"/>
    <numFmt numFmtId="168" formatCode="0.000%"/>
    <numFmt numFmtId="169" formatCode="0.000000%"/>
    <numFmt numFmtId="170" formatCode="000\-00\-0000"/>
    <numFmt numFmtId="171" formatCode="mmm\-yyyy"/>
    <numFmt numFmtId="172" formatCode="[$-409]mmm\-yy;@"/>
    <numFmt numFmtId="173" formatCode="&quot;$&quot;#,##0"/>
    <numFmt numFmtId="174" formatCode="_(* #,##0.00000_);_(* \(#,##0.00000\);_(* &quot;-&quot;??_);_(@_)"/>
    <numFmt numFmtId="175" formatCode="0_);[Red]\(0\)"/>
    <numFmt numFmtId="176" formatCode="&quot;$&quot;#,##0.00"/>
    <numFmt numFmtId="177" formatCode="_(&quot;$&quot;* #,##0.00000_);_(&quot;$&quot;* \(#,##0.00000\);_(&quot;$&quot;* &quot;-&quot;??_);_(@_)"/>
    <numFmt numFmtId="178" formatCode="[$-409]mmmm\ yyyy;@"/>
    <numFmt numFmtId="179" formatCode="_(* #,##0.000_);_(* \(#,##0.000\);_(* &quot;-&quot;??_);_(@_)"/>
  </numFmts>
  <fonts count="1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color indexed="12"/>
      <name val="Arial"/>
      <family val="2"/>
    </font>
    <font>
      <b/>
      <u/>
      <sz val="10"/>
      <color indexed="12"/>
      <name val="Arial"/>
      <family val="2"/>
    </font>
    <font>
      <b/>
      <u/>
      <sz val="10"/>
      <name val="Arial"/>
      <family val="2"/>
    </font>
    <font>
      <b/>
      <sz val="10"/>
      <color indexed="12"/>
      <name val="Arial"/>
      <family val="2"/>
    </font>
    <font>
      <sz val="10"/>
      <name val="Arial"/>
      <family val="2"/>
    </font>
    <font>
      <sz val="12"/>
      <name val="Arial"/>
      <family val="2"/>
    </font>
    <font>
      <u/>
      <sz val="10"/>
      <name val="Arial"/>
      <family val="2"/>
    </font>
    <font>
      <sz val="10"/>
      <name val="Arial"/>
      <family val="2"/>
    </font>
    <font>
      <sz val="10"/>
      <name val="Arial"/>
      <family val="2"/>
    </font>
    <font>
      <sz val="11"/>
      <color indexed="8"/>
      <name val="Calibri"/>
      <family val="2"/>
    </font>
    <font>
      <sz val="10"/>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Helv"/>
    </font>
    <font>
      <sz val="8"/>
      <name val="Trebuchet MS"/>
      <family val="2"/>
    </font>
    <font>
      <sz val="10"/>
      <name val="CG Times"/>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2"/>
      <color theme="1"/>
      <name val="Arial"/>
      <family val="2"/>
    </font>
    <font>
      <b/>
      <sz val="10"/>
      <name val="Arial Unicode MS"/>
      <family val="2"/>
    </font>
    <font>
      <sz val="10"/>
      <name val="Times New Roman"/>
      <family val="1"/>
    </font>
    <font>
      <sz val="11"/>
      <color theme="1"/>
      <name val="Arial"/>
      <family val="2"/>
    </font>
    <font>
      <i/>
      <sz val="10"/>
      <color rgb="FF7F7F7F"/>
      <name val="Arial"/>
      <family val="2"/>
    </font>
    <font>
      <u/>
      <sz val="10"/>
      <color rgb="FF800080"/>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rgb="FF0000FF"/>
      <name val="Arial"/>
      <family val="2"/>
    </font>
    <font>
      <u/>
      <sz val="7.5"/>
      <color indexed="12"/>
      <name val="Arial"/>
      <family val="2"/>
    </font>
    <font>
      <sz val="10"/>
      <color rgb="FF3F3F76"/>
      <name val="Arial"/>
      <family val="2"/>
    </font>
    <font>
      <sz val="10"/>
      <name val="Courier"/>
      <family val="3"/>
    </font>
    <font>
      <sz val="10"/>
      <color rgb="FFFA7D00"/>
      <name val="Arial"/>
      <family val="2"/>
    </font>
    <font>
      <sz val="10"/>
      <color rgb="FF9C6500"/>
      <name val="Arial"/>
      <family val="2"/>
    </font>
    <font>
      <sz val="10"/>
      <name val="Arial Unicode MS"/>
      <family val="2"/>
    </font>
    <font>
      <sz val="10"/>
      <name val="Arial Narrow"/>
      <family val="2"/>
    </font>
    <font>
      <sz val="10"/>
      <name val="MS Sans Serif"/>
      <family val="2"/>
    </font>
    <font>
      <b/>
      <sz val="10"/>
      <color rgb="FF3F3F3F"/>
      <name val="Arial"/>
      <family val="2"/>
    </font>
    <font>
      <b/>
      <sz val="10"/>
      <name val="MS Sans Serif"/>
      <family val="2"/>
    </font>
    <font>
      <b/>
      <sz val="12"/>
      <color indexed="8"/>
      <name val="Arial"/>
      <family val="2"/>
    </font>
    <font>
      <b/>
      <i/>
      <sz val="12"/>
      <color indexed="8"/>
      <name val="Arial"/>
      <family val="2"/>
    </font>
    <font>
      <b/>
      <sz val="11"/>
      <color indexed="9"/>
      <name val="Arial"/>
      <family val="2"/>
    </font>
    <font>
      <b/>
      <i/>
      <sz val="11"/>
      <color indexed="9"/>
      <name val="Arial"/>
      <family val="2"/>
    </font>
    <font>
      <sz val="12"/>
      <color indexed="8"/>
      <name val="Arial"/>
      <family val="2"/>
    </font>
    <font>
      <b/>
      <i/>
      <sz val="22"/>
      <color indexed="15"/>
      <name val="Arial"/>
      <family val="2"/>
    </font>
    <font>
      <i/>
      <sz val="12"/>
      <color indexed="8"/>
      <name val="Arial"/>
      <family val="2"/>
    </font>
    <font>
      <sz val="12"/>
      <color indexed="9"/>
      <name val="Arial"/>
      <family val="2"/>
    </font>
    <font>
      <i/>
      <sz val="12"/>
      <color indexed="9"/>
      <name val="Arial"/>
      <family val="2"/>
    </font>
    <font>
      <sz val="11"/>
      <color indexed="9"/>
      <name val="Arial"/>
      <family val="2"/>
    </font>
    <font>
      <i/>
      <sz val="11"/>
      <color indexed="9"/>
      <name val="Arial"/>
      <family val="2"/>
    </font>
    <font>
      <b/>
      <i/>
      <sz val="18"/>
      <color indexed="15"/>
      <name val="Arial"/>
      <family val="2"/>
    </font>
    <font>
      <sz val="12"/>
      <color indexed="14"/>
      <name val="Arial"/>
      <family val="2"/>
    </font>
    <font>
      <b/>
      <sz val="16"/>
      <name val="Arial Black                   "/>
    </font>
    <font>
      <b/>
      <sz val="14"/>
      <name val="Arial Black                   "/>
    </font>
    <font>
      <b/>
      <sz val="18"/>
      <color indexed="62"/>
      <name val="Cambria"/>
      <family val="2"/>
    </font>
    <font>
      <b/>
      <sz val="10"/>
      <color theme="1"/>
      <name val="Arial"/>
      <family val="2"/>
    </font>
    <font>
      <sz val="10"/>
      <color rgb="FFFF0000"/>
      <name val="Arial"/>
      <family val="2"/>
    </font>
    <font>
      <sz val="10"/>
      <color rgb="FF0000FF"/>
      <name val="Arial"/>
      <family val="2"/>
    </font>
    <font>
      <b/>
      <sz val="10"/>
      <color rgb="FF0000FF"/>
      <name val="Arial"/>
      <family val="2"/>
    </font>
    <font>
      <b/>
      <sz val="10"/>
      <color rgb="FFFF0000"/>
      <name val="Arial"/>
      <family val="2"/>
    </font>
    <font>
      <vertAlign val="superscript"/>
      <sz val="10"/>
      <color rgb="FFFF0000"/>
      <name val="Arial"/>
      <family val="2"/>
    </font>
    <font>
      <b/>
      <vertAlign val="superscript"/>
      <sz val="10"/>
      <color rgb="FFFF0000"/>
      <name val="Arial"/>
      <family val="2"/>
    </font>
    <font>
      <b/>
      <sz val="18"/>
      <color theme="3"/>
      <name val="Cambria"/>
      <family val="2"/>
      <scheme val="major"/>
    </font>
    <font>
      <sz val="9"/>
      <color indexed="81"/>
      <name val="Tahoma"/>
      <family val="2"/>
    </font>
    <font>
      <u/>
      <sz val="10"/>
      <color theme="10"/>
      <name val="Arial"/>
      <family val="2"/>
    </font>
    <font>
      <u val="singleAccounting"/>
      <sz val="10"/>
      <color indexed="12"/>
      <name val="Arial"/>
      <family val="2"/>
    </font>
    <font>
      <i/>
      <sz val="10"/>
      <name val="Arial"/>
      <family val="2"/>
    </font>
    <font>
      <u val="singleAccounting"/>
      <sz val="10"/>
      <name val="Arial"/>
      <family val="2"/>
    </font>
    <font>
      <sz val="10"/>
      <color rgb="FF000000"/>
      <name val="Arial"/>
      <family val="2"/>
    </font>
  </fonts>
  <fills count="8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patternFill>
    </fill>
    <fill>
      <patternFill patternType="solid">
        <fgColor indexed="9"/>
      </patternFill>
    </fill>
    <fill>
      <patternFill patternType="mediumGray">
        <fgColor indexed="22"/>
      </patternFill>
    </fill>
    <fill>
      <patternFill patternType="solid">
        <fgColor indexed="13"/>
        <bgColor indexed="64"/>
      </patternFill>
    </fill>
    <fill>
      <patternFill patternType="solid">
        <fgColor indexed="21"/>
        <bgColor indexed="64"/>
      </patternFill>
    </fill>
    <fill>
      <patternFill patternType="solid">
        <fgColor indexed="37"/>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4"/>
        <bgColor indexed="64"/>
      </patternFill>
    </fill>
    <fill>
      <patternFill patternType="solid">
        <fgColor indexed="62"/>
        <bgColor indexed="64"/>
      </patternFill>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style="thin">
        <color indexed="8"/>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ck">
        <color indexed="9"/>
      </top>
      <bottom style="medium">
        <color indexed="48"/>
      </bottom>
      <diagonal/>
    </border>
    <border>
      <left/>
      <right/>
      <top/>
      <bottom style="medium">
        <color indexed="22"/>
      </bottom>
      <diagonal/>
    </border>
    <border>
      <left/>
      <right/>
      <top style="thin">
        <color indexed="48"/>
      </top>
      <bottom style="thin">
        <color indexed="48"/>
      </bottom>
      <diagonal/>
    </border>
    <border>
      <left/>
      <right/>
      <top style="medium">
        <color indexed="22"/>
      </top>
      <bottom style="medium">
        <color indexed="22"/>
      </bottom>
      <diagonal/>
    </border>
    <border>
      <left/>
      <right/>
      <top style="thin">
        <color indexed="49"/>
      </top>
      <bottom style="double">
        <color indexed="49"/>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s>
  <cellStyleXfs count="1030">
    <xf numFmtId="0" fontId="0" fillId="0" borderId="0"/>
    <xf numFmtId="43" fontId="20" fillId="0" borderId="0" applyFont="0" applyFill="0" applyBorder="0" applyAlignment="0" applyProtection="0"/>
    <xf numFmtId="44" fontId="20" fillId="0" borderId="0" applyFont="0" applyFill="0" applyBorder="0" applyAlignment="0" applyProtection="0"/>
    <xf numFmtId="0" fontId="27" fillId="0" borderId="0"/>
    <xf numFmtId="9" fontId="30" fillId="0" borderId="0" applyFont="0" applyFill="0" applyBorder="0" applyAlignment="0" applyProtection="0"/>
    <xf numFmtId="9" fontId="31" fillId="0" borderId="0" applyFont="0" applyFill="0" applyBorder="0" applyAlignment="0" applyProtection="0"/>
    <xf numFmtId="0" fontId="27" fillId="0" borderId="0"/>
    <xf numFmtId="0" fontId="20" fillId="0" borderId="0"/>
    <xf numFmtId="0" fontId="20" fillId="0" borderId="0"/>
    <xf numFmtId="0" fontId="32" fillId="4" borderId="0" applyNumberFormat="0" applyBorder="0" applyAlignment="0" applyProtection="0"/>
    <xf numFmtId="0" fontId="33" fillId="4" borderId="0" applyNumberFormat="0" applyBorder="0" applyAlignment="0" applyProtection="0"/>
    <xf numFmtId="0" fontId="32" fillId="5" borderId="0" applyNumberFormat="0" applyBorder="0" applyAlignment="0" applyProtection="0"/>
    <xf numFmtId="0" fontId="33" fillId="5" borderId="0" applyNumberFormat="0" applyBorder="0" applyAlignment="0" applyProtection="0"/>
    <xf numFmtId="0" fontId="32" fillId="6" borderId="0" applyNumberFormat="0" applyBorder="0" applyAlignment="0" applyProtection="0"/>
    <xf numFmtId="0" fontId="33" fillId="6" borderId="0" applyNumberFormat="0" applyBorder="0" applyAlignment="0" applyProtection="0"/>
    <xf numFmtId="0" fontId="32" fillId="7" borderId="0" applyNumberFormat="0" applyBorder="0" applyAlignment="0" applyProtection="0"/>
    <xf numFmtId="0" fontId="33" fillId="7" borderId="0" applyNumberFormat="0" applyBorder="0" applyAlignment="0" applyProtection="0"/>
    <xf numFmtId="0" fontId="32" fillId="8" borderId="0" applyNumberFormat="0" applyBorder="0" applyAlignment="0" applyProtection="0"/>
    <xf numFmtId="0" fontId="33" fillId="8" borderId="0" applyNumberFormat="0" applyBorder="0" applyAlignment="0" applyProtection="0"/>
    <xf numFmtId="0" fontId="32" fillId="9" borderId="0" applyNumberFormat="0" applyBorder="0" applyAlignment="0" applyProtection="0"/>
    <xf numFmtId="0" fontId="33" fillId="9" borderId="0" applyNumberFormat="0" applyBorder="0" applyAlignment="0" applyProtection="0"/>
    <xf numFmtId="0" fontId="32" fillId="10" borderId="0" applyNumberFormat="0" applyBorder="0" applyAlignment="0" applyProtection="0"/>
    <xf numFmtId="0" fontId="33" fillId="10" borderId="0" applyNumberFormat="0" applyBorder="0" applyAlignment="0" applyProtection="0"/>
    <xf numFmtId="0" fontId="32" fillId="11" borderId="0" applyNumberFormat="0" applyBorder="0" applyAlignment="0" applyProtection="0"/>
    <xf numFmtId="0" fontId="33" fillId="11"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0" fontId="32" fillId="7" borderId="0" applyNumberFormat="0" applyBorder="0" applyAlignment="0" applyProtection="0"/>
    <xf numFmtId="0" fontId="33" fillId="7" borderId="0" applyNumberFormat="0" applyBorder="0" applyAlignment="0" applyProtection="0"/>
    <xf numFmtId="0" fontId="32" fillId="10" borderId="0" applyNumberFormat="0" applyBorder="0" applyAlignment="0" applyProtection="0"/>
    <xf numFmtId="0" fontId="33" fillId="10" borderId="0" applyNumberFormat="0" applyBorder="0" applyAlignment="0" applyProtection="0"/>
    <xf numFmtId="0" fontId="32" fillId="13" borderId="0" applyNumberFormat="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21" borderId="0" applyNumberFormat="0" applyBorder="0" applyAlignment="0" applyProtection="0"/>
    <xf numFmtId="0" fontId="35" fillId="5" borderId="0" applyNumberFormat="0" applyBorder="0" applyAlignment="0" applyProtection="0"/>
    <xf numFmtId="0" fontId="36" fillId="22" borderId="27" applyNumberFormat="0" applyAlignment="0" applyProtection="0"/>
    <xf numFmtId="0" fontId="37" fillId="23" borderId="28" applyNumberFormat="0" applyAlignment="0" applyProtection="0"/>
    <xf numFmtId="0" fontId="38" fillId="0" borderId="0"/>
    <xf numFmtId="41" fontId="3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8" fillId="0" borderId="0"/>
    <xf numFmtId="0" fontId="38" fillId="0" borderId="0"/>
    <xf numFmtId="44" fontId="20" fillId="0" borderId="0" applyFont="0" applyFill="0" applyBorder="0" applyAlignment="0" applyProtection="0"/>
    <xf numFmtId="44" fontId="3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4" fontId="40" fillId="0" borderId="0" applyFont="0" applyFill="0" applyBorder="0" applyProtection="0">
      <alignment horizontal="center"/>
    </xf>
    <xf numFmtId="0" fontId="41" fillId="0" borderId="0" applyNumberFormat="0" applyFill="0" applyBorder="0" applyAlignment="0" applyProtection="0"/>
    <xf numFmtId="0" fontId="42" fillId="6" borderId="0" applyNumberFormat="0" applyBorder="0" applyAlignment="0" applyProtection="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9" borderId="27" applyNumberFormat="0" applyAlignment="0" applyProtection="0"/>
    <xf numFmtId="0" fontId="47" fillId="0" borderId="32" applyNumberFormat="0" applyFill="0" applyAlignment="0" applyProtection="0"/>
    <xf numFmtId="0" fontId="48" fillId="24" borderId="0" applyNumberFormat="0" applyBorder="0" applyAlignment="0" applyProtection="0"/>
    <xf numFmtId="0" fontId="38" fillId="0" borderId="0"/>
    <xf numFmtId="0" fontId="20" fillId="0" borderId="0"/>
    <xf numFmtId="0" fontId="20" fillId="0" borderId="0"/>
    <xf numFmtId="0" fontId="20" fillId="0" borderId="0"/>
    <xf numFmtId="0" fontId="2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20" fillId="0" borderId="0"/>
    <xf numFmtId="0" fontId="20" fillId="0" borderId="0"/>
    <xf numFmtId="0" fontId="20" fillId="0" borderId="0"/>
    <xf numFmtId="0" fontId="20" fillId="0" borderId="0"/>
    <xf numFmtId="0" fontId="20" fillId="0" borderId="0"/>
    <xf numFmtId="0" fontId="33" fillId="25" borderId="33" applyNumberFormat="0" applyFont="0" applyAlignment="0" applyProtection="0"/>
    <xf numFmtId="0" fontId="32" fillId="25" borderId="33" applyNumberFormat="0" applyFont="0" applyAlignment="0" applyProtection="0"/>
    <xf numFmtId="0" fontId="33" fillId="25" borderId="33" applyNumberFormat="0" applyFont="0" applyAlignment="0" applyProtection="0"/>
    <xf numFmtId="0" fontId="49" fillId="22" borderId="34"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70" fontId="40" fillId="0" borderId="0" applyFont="0" applyFill="0" applyBorder="0" applyProtection="0">
      <alignment horizontal="center"/>
    </xf>
    <xf numFmtId="0" fontId="50" fillId="0" borderId="0" applyNumberFormat="0" applyFill="0" applyBorder="0" applyAlignment="0" applyProtection="0"/>
    <xf numFmtId="0" fontId="51" fillId="0" borderId="35" applyNumberFormat="0" applyFill="0" applyAlignment="0" applyProtection="0"/>
    <xf numFmtId="0" fontId="52" fillId="0" borderId="0" applyNumberFormat="0" applyFill="0" applyBorder="0" applyAlignment="0" applyProtection="0"/>
    <xf numFmtId="0" fontId="20" fillId="0" borderId="0"/>
    <xf numFmtId="0" fontId="19" fillId="0" borderId="0"/>
    <xf numFmtId="0" fontId="33" fillId="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68" fillId="34" borderId="0" applyNumberFormat="0" applyBorder="0" applyAlignment="0" applyProtection="0"/>
    <xf numFmtId="0" fontId="33" fillId="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68" fillId="38" borderId="0" applyNumberFormat="0" applyBorder="0" applyAlignment="0" applyProtection="0"/>
    <xf numFmtId="0" fontId="33" fillId="6"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68" fillId="42" borderId="0" applyNumberFormat="0" applyBorder="0" applyAlignment="0" applyProtection="0"/>
    <xf numFmtId="0" fontId="33" fillId="7"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68" fillId="46" borderId="0" applyNumberFormat="0" applyBorder="0" applyAlignment="0" applyProtection="0"/>
    <xf numFmtId="0" fontId="33" fillId="8"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68" fillId="50" borderId="0" applyNumberFormat="0" applyBorder="0" applyAlignment="0" applyProtection="0"/>
    <xf numFmtId="0" fontId="33" fillId="9"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68" fillId="54" borderId="0" applyNumberFormat="0" applyBorder="0" applyAlignment="0" applyProtection="0"/>
    <xf numFmtId="0" fontId="33" fillId="10"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68" fillId="35" borderId="0" applyNumberFormat="0" applyBorder="0" applyAlignment="0" applyProtection="0"/>
    <xf numFmtId="0" fontId="33" fillId="11"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68" fillId="39" borderId="0" applyNumberFormat="0" applyBorder="0" applyAlignment="0" applyProtection="0"/>
    <xf numFmtId="0" fontId="33" fillId="1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68" fillId="43" borderId="0" applyNumberFormat="0" applyBorder="0" applyAlignment="0" applyProtection="0"/>
    <xf numFmtId="0" fontId="33" fillId="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68" fillId="47" borderId="0" applyNumberFormat="0" applyBorder="0" applyAlignment="0" applyProtection="0"/>
    <xf numFmtId="0" fontId="33" fillId="1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68" fillId="51" borderId="0" applyNumberFormat="0" applyBorder="0" applyAlignment="0" applyProtection="0"/>
    <xf numFmtId="0" fontId="33" fillId="13"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68" fillId="55" borderId="0" applyNumberFormat="0" applyBorder="0" applyAlignment="0" applyProtection="0"/>
    <xf numFmtId="0" fontId="67" fillId="36" borderId="0" applyNumberFormat="0" applyBorder="0" applyAlignment="0" applyProtection="0"/>
    <xf numFmtId="0" fontId="34" fillId="16" borderId="0" applyNumberFormat="0" applyBorder="0" applyAlignment="0" applyProtection="0"/>
    <xf numFmtId="0" fontId="67" fillId="36" borderId="0" applyNumberFormat="0" applyBorder="0" applyAlignment="0" applyProtection="0"/>
    <xf numFmtId="0" fontId="69" fillId="36" borderId="0" applyNumberFormat="0" applyBorder="0" applyAlignment="0" applyProtection="0"/>
    <xf numFmtId="0" fontId="67" fillId="40" borderId="0" applyNumberFormat="0" applyBorder="0" applyAlignment="0" applyProtection="0"/>
    <xf numFmtId="0" fontId="34" fillId="11" borderId="0" applyNumberFormat="0" applyBorder="0" applyAlignment="0" applyProtection="0"/>
    <xf numFmtId="0" fontId="67" fillId="40" borderId="0" applyNumberFormat="0" applyBorder="0" applyAlignment="0" applyProtection="0"/>
    <xf numFmtId="0" fontId="69" fillId="40" borderId="0" applyNumberFormat="0" applyBorder="0" applyAlignment="0" applyProtection="0"/>
    <xf numFmtId="0" fontId="67" fillId="44" borderId="0" applyNumberFormat="0" applyBorder="0" applyAlignment="0" applyProtection="0"/>
    <xf numFmtId="0" fontId="34" fillId="24" borderId="0" applyNumberFormat="0" applyBorder="0" applyAlignment="0" applyProtection="0"/>
    <xf numFmtId="0" fontId="67" fillId="44" borderId="0" applyNumberFormat="0" applyBorder="0" applyAlignment="0" applyProtection="0"/>
    <xf numFmtId="0" fontId="69" fillId="44" borderId="0" applyNumberFormat="0" applyBorder="0" applyAlignment="0" applyProtection="0"/>
    <xf numFmtId="0" fontId="67" fillId="48" borderId="0" applyNumberFormat="0" applyBorder="0" applyAlignment="0" applyProtection="0"/>
    <xf numFmtId="0" fontId="34" fillId="22" borderId="0" applyNumberFormat="0" applyBorder="0" applyAlignment="0" applyProtection="0"/>
    <xf numFmtId="0" fontId="67" fillId="48" borderId="0" applyNumberFormat="0" applyBorder="0" applyAlignment="0" applyProtection="0"/>
    <xf numFmtId="0" fontId="69" fillId="48" borderId="0" applyNumberFormat="0" applyBorder="0" applyAlignment="0" applyProtection="0"/>
    <xf numFmtId="0" fontId="67" fillId="52" borderId="0" applyNumberFormat="0" applyBorder="0" applyAlignment="0" applyProtection="0"/>
    <xf numFmtId="0" fontId="34" fillId="16" borderId="0" applyNumberFormat="0" applyBorder="0" applyAlignment="0" applyProtection="0"/>
    <xf numFmtId="0" fontId="67" fillId="52" borderId="0" applyNumberFormat="0" applyBorder="0" applyAlignment="0" applyProtection="0"/>
    <xf numFmtId="0" fontId="69" fillId="52" borderId="0" applyNumberFormat="0" applyBorder="0" applyAlignment="0" applyProtection="0"/>
    <xf numFmtId="0" fontId="67" fillId="56" borderId="0" applyNumberFormat="0" applyBorder="0" applyAlignment="0" applyProtection="0"/>
    <xf numFmtId="0" fontId="34" fillId="11" borderId="0" applyNumberFormat="0" applyBorder="0" applyAlignment="0" applyProtection="0"/>
    <xf numFmtId="0" fontId="67" fillId="56" borderId="0" applyNumberFormat="0" applyBorder="0" applyAlignment="0" applyProtection="0"/>
    <xf numFmtId="0" fontId="69" fillId="56" borderId="0" applyNumberFormat="0" applyBorder="0" applyAlignment="0" applyProtection="0"/>
    <xf numFmtId="0" fontId="67" fillId="33" borderId="0" applyNumberFormat="0" applyBorder="0" applyAlignment="0" applyProtection="0"/>
    <xf numFmtId="0" fontId="34" fillId="16" borderId="0" applyNumberFormat="0" applyBorder="0" applyAlignment="0" applyProtection="0"/>
    <xf numFmtId="0" fontId="67" fillId="33" borderId="0" applyNumberFormat="0" applyBorder="0" applyAlignment="0" applyProtection="0"/>
    <xf numFmtId="0" fontId="69" fillId="33" borderId="0" applyNumberFormat="0" applyBorder="0" applyAlignment="0" applyProtection="0"/>
    <xf numFmtId="0" fontId="67" fillId="37" borderId="0" applyNumberFormat="0" applyBorder="0" applyAlignment="0" applyProtection="0"/>
    <xf numFmtId="0" fontId="34" fillId="19" borderId="0" applyNumberFormat="0" applyBorder="0" applyAlignment="0" applyProtection="0"/>
    <xf numFmtId="0" fontId="67" fillId="37" borderId="0" applyNumberFormat="0" applyBorder="0" applyAlignment="0" applyProtection="0"/>
    <xf numFmtId="0" fontId="69" fillId="37" borderId="0" applyNumberFormat="0" applyBorder="0" applyAlignment="0" applyProtection="0"/>
    <xf numFmtId="0" fontId="67" fillId="41" borderId="0" applyNumberFormat="0" applyBorder="0" applyAlignment="0" applyProtection="0"/>
    <xf numFmtId="0" fontId="34" fillId="20" borderId="0" applyNumberFormat="0" applyBorder="0" applyAlignment="0" applyProtection="0"/>
    <xf numFmtId="0" fontId="67" fillId="41" borderId="0" applyNumberFormat="0" applyBorder="0" applyAlignment="0" applyProtection="0"/>
    <xf numFmtId="0" fontId="69" fillId="41" borderId="0" applyNumberFormat="0" applyBorder="0" applyAlignment="0" applyProtection="0"/>
    <xf numFmtId="0" fontId="67" fillId="45" borderId="0" applyNumberFormat="0" applyBorder="0" applyAlignment="0" applyProtection="0"/>
    <xf numFmtId="0" fontId="34" fillId="57" borderId="0" applyNumberFormat="0" applyBorder="0" applyAlignment="0" applyProtection="0"/>
    <xf numFmtId="0" fontId="67" fillId="45" borderId="0" applyNumberFormat="0" applyBorder="0" applyAlignment="0" applyProtection="0"/>
    <xf numFmtId="0" fontId="69" fillId="45" borderId="0" applyNumberFormat="0" applyBorder="0" applyAlignment="0" applyProtection="0"/>
    <xf numFmtId="0" fontId="67" fillId="49" borderId="0" applyNumberFormat="0" applyBorder="0" applyAlignment="0" applyProtection="0"/>
    <xf numFmtId="0" fontId="34" fillId="16" borderId="0" applyNumberFormat="0" applyBorder="0" applyAlignment="0" applyProtection="0"/>
    <xf numFmtId="0" fontId="67" fillId="49" borderId="0" applyNumberFormat="0" applyBorder="0" applyAlignment="0" applyProtection="0"/>
    <xf numFmtId="0" fontId="69" fillId="49" borderId="0" applyNumberFormat="0" applyBorder="0" applyAlignment="0" applyProtection="0"/>
    <xf numFmtId="0" fontId="67" fillId="53" borderId="0" applyNumberFormat="0" applyBorder="0" applyAlignment="0" applyProtection="0"/>
    <xf numFmtId="0" fontId="34" fillId="21" borderId="0" applyNumberFormat="0" applyBorder="0" applyAlignment="0" applyProtection="0"/>
    <xf numFmtId="0" fontId="67" fillId="53" borderId="0" applyNumberFormat="0" applyBorder="0" applyAlignment="0" applyProtection="0"/>
    <xf numFmtId="0" fontId="69" fillId="53" borderId="0" applyNumberFormat="0" applyBorder="0" applyAlignment="0" applyProtection="0"/>
    <xf numFmtId="0" fontId="57" fillId="27" borderId="0" applyNumberFormat="0" applyBorder="0" applyAlignment="0" applyProtection="0"/>
    <xf numFmtId="0" fontId="35" fillId="5" borderId="0" applyNumberFormat="0" applyBorder="0" applyAlignment="0" applyProtection="0"/>
    <xf numFmtId="0" fontId="57" fillId="27" borderId="0" applyNumberFormat="0" applyBorder="0" applyAlignment="0" applyProtection="0"/>
    <xf numFmtId="0" fontId="70" fillId="27" borderId="0" applyNumberFormat="0" applyBorder="0" applyAlignment="0" applyProtection="0"/>
    <xf numFmtId="0" fontId="61" fillId="30" borderId="39" applyNumberFormat="0" applyAlignment="0" applyProtection="0"/>
    <xf numFmtId="0" fontId="36" fillId="58" borderId="27" applyNumberFormat="0" applyAlignment="0" applyProtection="0"/>
    <xf numFmtId="0" fontId="61" fillId="30" borderId="39" applyNumberFormat="0" applyAlignment="0" applyProtection="0"/>
    <xf numFmtId="0" fontId="71" fillId="30" borderId="39" applyNumberFormat="0" applyAlignment="0" applyProtection="0"/>
    <xf numFmtId="0" fontId="63" fillId="31" borderId="42" applyNumberFormat="0" applyAlignment="0" applyProtection="0"/>
    <xf numFmtId="0" fontId="37" fillId="23" borderId="28" applyNumberFormat="0" applyAlignment="0" applyProtection="0"/>
    <xf numFmtId="0" fontId="63" fillId="31" borderId="42" applyNumberFormat="0" applyAlignment="0" applyProtection="0"/>
    <xf numFmtId="0" fontId="72" fillId="31" borderId="42" applyNumberFormat="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8" fillId="0" borderId="0" applyFont="0" applyFill="0" applyBorder="0" applyAlignment="0" applyProtection="0"/>
    <xf numFmtId="43" fontId="7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7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7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7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9" fillId="0" borderId="0" applyFont="0" applyFill="0" applyBorder="0" applyAlignment="0" applyProtection="0"/>
    <xf numFmtId="0" fontId="65" fillId="0" borderId="0" applyNumberFormat="0" applyFill="0" applyBorder="0" applyAlignment="0" applyProtection="0"/>
    <xf numFmtId="0" fontId="41" fillId="0" borderId="0" applyNumberFormat="0" applyFill="0" applyBorder="0" applyAlignment="0" applyProtection="0"/>
    <xf numFmtId="0" fontId="65"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56" fillId="26" borderId="0" applyNumberFormat="0" applyBorder="0" applyAlignment="0" applyProtection="0"/>
    <xf numFmtId="0" fontId="42" fillId="6" borderId="0" applyNumberFormat="0" applyBorder="0" applyAlignment="0" applyProtection="0"/>
    <xf numFmtId="0" fontId="56" fillId="26" borderId="0" applyNumberFormat="0" applyBorder="0" applyAlignment="0" applyProtection="0"/>
    <xf numFmtId="0" fontId="79" fillId="26" borderId="0" applyNumberFormat="0" applyBorder="0" applyAlignment="0" applyProtection="0"/>
    <xf numFmtId="0" fontId="53" fillId="0" borderId="36" applyNumberFormat="0" applyFill="0" applyAlignment="0" applyProtection="0"/>
    <xf numFmtId="0" fontId="80" fillId="0" borderId="45" applyNumberFormat="0" applyFill="0" applyAlignment="0" applyProtection="0"/>
    <xf numFmtId="0" fontId="53" fillId="0" borderId="36" applyNumberFormat="0" applyFill="0" applyAlignment="0" applyProtection="0"/>
    <xf numFmtId="0" fontId="81" fillId="0" borderId="36" applyNumberFormat="0" applyFill="0" applyAlignment="0" applyProtection="0"/>
    <xf numFmtId="0" fontId="54" fillId="0" borderId="37" applyNumberFormat="0" applyFill="0" applyAlignment="0" applyProtection="0"/>
    <xf numFmtId="0" fontId="82" fillId="0" borderId="30" applyNumberFormat="0" applyFill="0" applyAlignment="0" applyProtection="0"/>
    <xf numFmtId="0" fontId="54" fillId="0" borderId="37" applyNumberFormat="0" applyFill="0" applyAlignment="0" applyProtection="0"/>
    <xf numFmtId="0" fontId="83" fillId="0" borderId="37" applyNumberFormat="0" applyFill="0" applyAlignment="0" applyProtection="0"/>
    <xf numFmtId="0" fontId="55" fillId="0" borderId="38" applyNumberFormat="0" applyFill="0" applyAlignment="0" applyProtection="0"/>
    <xf numFmtId="0" fontId="84" fillId="0" borderId="46" applyNumberFormat="0" applyFill="0" applyAlignment="0" applyProtection="0"/>
    <xf numFmtId="0" fontId="55" fillId="0" borderId="38" applyNumberFormat="0" applyFill="0" applyAlignment="0" applyProtection="0"/>
    <xf numFmtId="0" fontId="85" fillId="0" borderId="38" applyNumberFormat="0" applyFill="0" applyAlignment="0" applyProtection="0"/>
    <xf numFmtId="0" fontId="55" fillId="0" borderId="0" applyNumberFormat="0" applyFill="0" applyBorder="0" applyAlignment="0" applyProtection="0"/>
    <xf numFmtId="0" fontId="84" fillId="0" borderId="0" applyNumberFormat="0" applyFill="0" applyBorder="0" applyAlignment="0" applyProtection="0"/>
    <xf numFmtId="0" fontId="5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59" fillId="29" borderId="39" applyNumberFormat="0" applyAlignment="0" applyProtection="0"/>
    <xf numFmtId="0" fontId="46" fillId="24" borderId="27" applyNumberFormat="0" applyAlignment="0" applyProtection="0"/>
    <xf numFmtId="0" fontId="59" fillId="29" borderId="39" applyNumberFormat="0" applyAlignment="0" applyProtection="0"/>
    <xf numFmtId="0" fontId="88" fillId="29" borderId="39" applyNumberFormat="0" applyAlignment="0" applyProtection="0"/>
    <xf numFmtId="0" fontId="89" fillId="0" borderId="47"/>
    <xf numFmtId="0" fontId="62" fillId="0" borderId="41" applyNumberFormat="0" applyFill="0" applyAlignment="0" applyProtection="0"/>
    <xf numFmtId="0" fontId="47" fillId="0" borderId="32" applyNumberFormat="0" applyFill="0" applyAlignment="0" applyProtection="0"/>
    <xf numFmtId="0" fontId="62" fillId="0" borderId="41" applyNumberFormat="0" applyFill="0" applyAlignment="0" applyProtection="0"/>
    <xf numFmtId="0" fontId="90" fillId="0" borderId="41" applyNumberFormat="0" applyFill="0" applyAlignment="0" applyProtection="0"/>
    <xf numFmtId="0" fontId="58" fillId="28" borderId="0" applyNumberFormat="0" applyBorder="0" applyAlignment="0" applyProtection="0"/>
    <xf numFmtId="0" fontId="48" fillId="24" borderId="0" applyNumberFormat="0" applyBorder="0" applyAlignment="0" applyProtection="0"/>
    <xf numFmtId="0" fontId="58" fillId="28" borderId="0" applyNumberFormat="0" applyBorder="0" applyAlignment="0" applyProtection="0"/>
    <xf numFmtId="0" fontId="91" fillId="28" borderId="0" applyNumberFormat="0" applyBorder="0" applyAlignment="0" applyProtection="0"/>
    <xf numFmtId="0" fontId="76" fillId="0" borderId="0"/>
    <xf numFmtId="0" fontId="20" fillId="0" borderId="0"/>
    <xf numFmtId="0" fontId="20" fillId="0" borderId="0"/>
    <xf numFmtId="0" fontId="19" fillId="0" borderId="0"/>
    <xf numFmtId="0" fontId="20" fillId="0" borderId="0"/>
    <xf numFmtId="0" fontId="33" fillId="0" borderId="0"/>
    <xf numFmtId="0" fontId="19" fillId="0" borderId="0"/>
    <xf numFmtId="0" fontId="19" fillId="0" borderId="0"/>
    <xf numFmtId="0" fontId="19" fillId="0" borderId="0"/>
    <xf numFmtId="0" fontId="19" fillId="0" borderId="0"/>
    <xf numFmtId="0" fontId="19" fillId="0" borderId="0"/>
    <xf numFmtId="0" fontId="19" fillId="0" borderId="0"/>
    <xf numFmtId="0" fontId="68" fillId="0" borderId="0"/>
    <xf numFmtId="0" fontId="20" fillId="0" borderId="0"/>
    <xf numFmtId="0" fontId="20" fillId="0" borderId="0"/>
    <xf numFmtId="0" fontId="33" fillId="0" borderId="0"/>
    <xf numFmtId="0" fontId="19" fillId="0" borderId="0"/>
    <xf numFmtId="0" fontId="68" fillId="0" borderId="0"/>
    <xf numFmtId="0" fontId="73" fillId="0" borderId="0"/>
    <xf numFmtId="0" fontId="39" fillId="0" borderId="0"/>
    <xf numFmtId="0" fontId="19" fillId="0" borderId="0"/>
    <xf numFmtId="0" fontId="19" fillId="0" borderId="0"/>
    <xf numFmtId="0" fontId="19" fillId="0" borderId="0"/>
    <xf numFmtId="0" fontId="19" fillId="0" borderId="0"/>
    <xf numFmtId="0" fontId="19" fillId="0" borderId="0"/>
    <xf numFmtId="0" fontId="92" fillId="0" borderId="0"/>
    <xf numFmtId="0" fontId="20" fillId="0" borderId="0"/>
    <xf numFmtId="0" fontId="20" fillId="0" borderId="0"/>
    <xf numFmtId="0" fontId="68" fillId="0" borderId="0"/>
    <xf numFmtId="0" fontId="19" fillId="0" borderId="0"/>
    <xf numFmtId="0" fontId="92"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93" fillId="0" borderId="0"/>
    <xf numFmtId="0" fontId="94" fillId="0" borderId="0"/>
    <xf numFmtId="0" fontId="76" fillId="0" borderId="0"/>
    <xf numFmtId="0" fontId="28" fillId="58" borderId="0"/>
    <xf numFmtId="0" fontId="92" fillId="0" borderId="0"/>
    <xf numFmtId="0" fontId="92" fillId="0" borderId="0"/>
    <xf numFmtId="0" fontId="92" fillId="0" borderId="0"/>
    <xf numFmtId="0" fontId="68" fillId="0" borderId="0"/>
    <xf numFmtId="0" fontId="93" fillId="0" borderId="0"/>
    <xf numFmtId="0" fontId="93" fillId="0" borderId="0"/>
    <xf numFmtId="0" fontId="93" fillId="0" borderId="0"/>
    <xf numFmtId="0" fontId="93" fillId="0" borderId="0"/>
    <xf numFmtId="0" fontId="68" fillId="0" borderId="0"/>
    <xf numFmtId="0" fontId="75" fillId="0" borderId="0"/>
    <xf numFmtId="0" fontId="75" fillId="0" borderId="0"/>
    <xf numFmtId="0" fontId="75"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8" fillId="0" borderId="0"/>
    <xf numFmtId="0" fontId="20" fillId="0" borderId="0"/>
    <xf numFmtId="0" fontId="20" fillId="0" borderId="0"/>
    <xf numFmtId="0" fontId="20" fillId="0" borderId="0"/>
    <xf numFmtId="0" fontId="20" fillId="0" borderId="0"/>
    <xf numFmtId="0" fontId="19" fillId="0" borderId="0"/>
    <xf numFmtId="0" fontId="19" fillId="0" borderId="0"/>
    <xf numFmtId="0" fontId="20" fillId="0" borderId="0"/>
    <xf numFmtId="0" fontId="20" fillId="0" borderId="0"/>
    <xf numFmtId="0" fontId="68" fillId="0" borderId="0"/>
    <xf numFmtId="0" fontId="33" fillId="32" borderId="43" applyNumberFormat="0" applyFont="0" applyAlignment="0" applyProtection="0"/>
    <xf numFmtId="0" fontId="20" fillId="25" borderId="33" applyNumberFormat="0" applyFont="0" applyAlignment="0" applyProtection="0"/>
    <xf numFmtId="0" fontId="33" fillId="25" borderId="33" applyNumberFormat="0" applyFont="0" applyAlignment="0" applyProtection="0"/>
    <xf numFmtId="0" fontId="68" fillId="32" borderId="43" applyNumberFormat="0" applyFont="0" applyAlignment="0" applyProtection="0"/>
    <xf numFmtId="0" fontId="68"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19" fillId="32" borderId="43" applyNumberFormat="0" applyFont="0" applyAlignment="0" applyProtection="0"/>
    <xf numFmtId="0" fontId="60" fillId="30" borderId="40" applyNumberFormat="0" applyAlignment="0" applyProtection="0"/>
    <xf numFmtId="0" fontId="49" fillId="58" borderId="34" applyNumberFormat="0" applyAlignment="0" applyProtection="0"/>
    <xf numFmtId="0" fontId="60" fillId="30" borderId="40" applyNumberFormat="0" applyAlignment="0" applyProtection="0"/>
    <xf numFmtId="0" fontId="95" fillId="30" borderId="40" applyNumberFormat="0" applyAlignment="0" applyProtection="0"/>
    <xf numFmtId="9" fontId="20" fillId="0" borderId="0" applyFont="0" applyFill="0" applyBorder="0" applyAlignment="0" applyProtection="0"/>
    <xf numFmtId="9" fontId="3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9" fillId="0" borderId="0" applyFont="0" applyFill="0" applyBorder="0" applyAlignment="0" applyProtection="0"/>
    <xf numFmtId="0" fontId="94" fillId="0" borderId="0" applyNumberFormat="0" applyFont="0" applyFill="0" applyBorder="0" applyAlignment="0" applyProtection="0">
      <alignment horizontal="left"/>
    </xf>
    <xf numFmtId="15" fontId="94" fillId="0" borderId="0" applyFont="0" applyFill="0" applyBorder="0" applyAlignment="0" applyProtection="0"/>
    <xf numFmtId="4" fontId="94" fillId="0" borderId="0" applyFont="0" applyFill="0" applyBorder="0" applyAlignment="0" applyProtection="0"/>
    <xf numFmtId="0" fontId="96" fillId="0" borderId="21">
      <alignment horizontal="center"/>
    </xf>
    <xf numFmtId="0" fontId="96" fillId="0" borderId="21">
      <alignment horizontal="center"/>
    </xf>
    <xf numFmtId="0" fontId="96" fillId="0" borderId="21">
      <alignment horizontal="center"/>
    </xf>
    <xf numFmtId="0" fontId="96" fillId="0" borderId="21">
      <alignment horizontal="center"/>
    </xf>
    <xf numFmtId="3" fontId="94" fillId="0" borderId="0" applyFont="0" applyFill="0" applyBorder="0" applyAlignment="0" applyProtection="0"/>
    <xf numFmtId="0" fontId="94" fillId="59" borderId="0" applyNumberFormat="0" applyFont="0" applyBorder="0" applyAlignment="0" applyProtection="0"/>
    <xf numFmtId="4" fontId="97" fillId="60" borderId="48">
      <alignment vertical="center"/>
    </xf>
    <xf numFmtId="4" fontId="98" fillId="60" borderId="48">
      <alignment vertical="center"/>
    </xf>
    <xf numFmtId="4" fontId="99" fillId="61" borderId="30">
      <alignment vertical="center"/>
    </xf>
    <xf numFmtId="4" fontId="100" fillId="61" borderId="30">
      <alignment vertical="center"/>
    </xf>
    <xf numFmtId="4" fontId="99" fillId="62" borderId="30">
      <alignment vertical="center"/>
    </xf>
    <xf numFmtId="4" fontId="100" fillId="62" borderId="30">
      <alignment vertical="center"/>
    </xf>
    <xf numFmtId="4" fontId="101" fillId="60" borderId="48">
      <alignment horizontal="left" vertical="center" indent="1"/>
    </xf>
    <xf numFmtId="0" fontId="20" fillId="0" borderId="0">
      <protection locked="0"/>
    </xf>
    <xf numFmtId="0" fontId="20" fillId="0" borderId="0">
      <protection locked="0"/>
    </xf>
    <xf numFmtId="0" fontId="20" fillId="0" borderId="0">
      <protection locked="0"/>
    </xf>
    <xf numFmtId="0" fontId="20" fillId="0" borderId="0">
      <protection locked="0"/>
    </xf>
    <xf numFmtId="0" fontId="20" fillId="0" borderId="0">
      <protection locked="0"/>
    </xf>
    <xf numFmtId="4" fontId="101" fillId="63" borderId="0">
      <alignment horizontal="left" vertical="center" indent="1"/>
    </xf>
    <xf numFmtId="4" fontId="101" fillId="64" borderId="48" applyNumberFormat="0" applyProtection="0">
      <alignment horizontal="right" vertical="center"/>
    </xf>
    <xf numFmtId="4" fontId="101" fillId="65" borderId="48" applyNumberFormat="0" applyProtection="0">
      <alignment horizontal="right" vertical="center"/>
    </xf>
    <xf numFmtId="4" fontId="101" fillId="66" borderId="48" applyNumberFormat="0" applyProtection="0">
      <alignment horizontal="right" vertical="center"/>
    </xf>
    <xf numFmtId="4" fontId="101" fillId="67" borderId="48" applyNumberFormat="0" applyProtection="0">
      <alignment horizontal="right" vertical="center"/>
    </xf>
    <xf numFmtId="4" fontId="101" fillId="68" borderId="48" applyNumberFormat="0" applyProtection="0">
      <alignment horizontal="right" vertical="center"/>
    </xf>
    <xf numFmtId="4" fontId="101" fillId="69" borderId="48" applyNumberFormat="0" applyProtection="0">
      <alignment horizontal="right" vertical="center"/>
    </xf>
    <xf numFmtId="4" fontId="101" fillId="70" borderId="48" applyNumberFormat="0" applyProtection="0">
      <alignment horizontal="right" vertical="center"/>
    </xf>
    <xf numFmtId="4" fontId="101" fillId="71" borderId="48" applyNumberFormat="0" applyProtection="0">
      <alignment horizontal="right" vertical="center"/>
    </xf>
    <xf numFmtId="4" fontId="101" fillId="61" borderId="48" applyNumberFormat="0" applyProtection="0">
      <alignment horizontal="right" vertical="center"/>
    </xf>
    <xf numFmtId="4" fontId="97" fillId="72" borderId="49">
      <alignment horizontal="left" vertical="center" indent="1"/>
    </xf>
    <xf numFmtId="4" fontId="97" fillId="73" borderId="0">
      <alignment horizontal="left" vertical="center" indent="1"/>
    </xf>
    <xf numFmtId="4" fontId="97" fillId="63" borderId="0">
      <alignment horizontal="left" vertical="center" indent="1"/>
    </xf>
    <xf numFmtId="4" fontId="101" fillId="73" borderId="48">
      <alignment horizontal="right" vertical="center"/>
    </xf>
    <xf numFmtId="4" fontId="101" fillId="73" borderId="0">
      <alignment horizontal="left" vertical="center" indent="1"/>
    </xf>
    <xf numFmtId="4" fontId="33" fillId="73" borderId="0">
      <alignment horizontal="left" vertical="center" indent="1"/>
    </xf>
    <xf numFmtId="4" fontId="33" fillId="73" borderId="0">
      <alignment horizontal="left" vertical="center" indent="1"/>
    </xf>
    <xf numFmtId="0" fontId="2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protection locked="0"/>
    </xf>
    <xf numFmtId="0" fontId="20" fillId="0" borderId="0" applyNumberFormat="0" applyFont="0" applyFill="0" applyBorder="0" applyAlignment="0" applyProtection="0">
      <protection locked="0"/>
    </xf>
    <xf numFmtId="0" fontId="20" fillId="0" borderId="0" applyNumberFormat="0" applyFont="0" applyFill="0" applyBorder="0" applyAlignment="0" applyProtection="0">
      <protection locked="0"/>
    </xf>
    <xf numFmtId="0" fontId="20" fillId="0" borderId="0" applyNumberFormat="0" applyFont="0" applyFill="0" applyBorder="0" applyAlignment="0" applyProtection="0">
      <protection locked="0"/>
    </xf>
    <xf numFmtId="0" fontId="102" fillId="0" borderId="0">
      <alignment horizontal="left" vertical="center"/>
      <protection locked="0"/>
    </xf>
    <xf numFmtId="0" fontId="20" fillId="74" borderId="50" applyNumberFormat="0" applyFont="0" applyAlignment="0"/>
    <xf numFmtId="0" fontId="20" fillId="74" borderId="50" applyNumberFormat="0" applyFont="0" applyAlignment="0"/>
    <xf numFmtId="0" fontId="20" fillId="74" borderId="50" applyNumberFormat="0" applyFont="0" applyAlignment="0"/>
    <xf numFmtId="0" fontId="20" fillId="74" borderId="50" applyNumberFormat="0" applyFont="0" applyAlignment="0"/>
    <xf numFmtId="4" fontId="33" fillId="63" borderId="0">
      <alignment horizontal="left" vertical="center" indent="1"/>
    </xf>
    <xf numFmtId="4" fontId="33" fillId="63" borderId="0">
      <alignment horizontal="left" vertical="center" indent="1"/>
    </xf>
    <xf numFmtId="4" fontId="101" fillId="75" borderId="48">
      <alignment vertical="center"/>
    </xf>
    <xf numFmtId="4" fontId="103" fillId="75" borderId="48">
      <alignment vertical="center"/>
    </xf>
    <xf numFmtId="4" fontId="104" fillId="61" borderId="51">
      <alignment vertical="center"/>
    </xf>
    <xf numFmtId="4" fontId="105" fillId="61" borderId="51">
      <alignment vertical="center"/>
    </xf>
    <xf numFmtId="4" fontId="104" fillId="62" borderId="51">
      <alignment vertical="center"/>
    </xf>
    <xf numFmtId="4" fontId="105" fillId="62" borderId="51">
      <alignment vertical="center"/>
    </xf>
    <xf numFmtId="4" fontId="97" fillId="73" borderId="52">
      <alignment horizontal="left" vertical="center" indent="1"/>
    </xf>
    <xf numFmtId="4" fontId="101" fillId="76" borderId="48">
      <alignment horizontal="right" vertical="center"/>
    </xf>
    <xf numFmtId="4" fontId="103" fillId="75" borderId="48">
      <alignment horizontal="right" vertical="center"/>
    </xf>
    <xf numFmtId="4" fontId="106" fillId="61" borderId="51">
      <alignment vertical="center"/>
    </xf>
    <xf numFmtId="4" fontId="107" fillId="61" borderId="51">
      <alignment vertical="center"/>
    </xf>
    <xf numFmtId="4" fontId="106" fillId="62" borderId="51">
      <alignment vertical="center"/>
    </xf>
    <xf numFmtId="4" fontId="107" fillId="64" borderId="51">
      <alignment vertical="center"/>
    </xf>
    <xf numFmtId="4" fontId="97" fillId="0" borderId="48">
      <alignment horizontal="left" vertical="center" indent="1"/>
    </xf>
    <xf numFmtId="4" fontId="97" fillId="73" borderId="48">
      <alignment horizontal="right" vertical="center"/>
    </xf>
    <xf numFmtId="4" fontId="97" fillId="73" borderId="48">
      <alignment horizontal="left" vertical="center" indent="1"/>
    </xf>
    <xf numFmtId="4" fontId="97" fillId="75" borderId="48">
      <alignment horizontal="left" vertical="center" indent="1"/>
    </xf>
    <xf numFmtId="4" fontId="97" fillId="75" borderId="48">
      <alignment vertical="center"/>
    </xf>
    <xf numFmtId="4" fontId="98" fillId="75" borderId="48">
      <alignment vertical="center"/>
    </xf>
    <xf numFmtId="4" fontId="99" fillId="61" borderId="53">
      <alignment vertical="center"/>
    </xf>
    <xf numFmtId="4" fontId="100" fillId="61" borderId="53">
      <alignment vertical="center"/>
    </xf>
    <xf numFmtId="4" fontId="99" fillId="62" borderId="51">
      <alignment vertical="center"/>
    </xf>
    <xf numFmtId="4" fontId="100" fillId="62" borderId="51">
      <alignment vertical="center"/>
    </xf>
    <xf numFmtId="4" fontId="97" fillId="77" borderId="48">
      <alignment horizontal="left" vertical="center" indent="1"/>
    </xf>
    <xf numFmtId="4" fontId="108" fillId="78" borderId="0">
      <alignment horizontal="left" vertical="center" indent="1"/>
    </xf>
    <xf numFmtId="4" fontId="109" fillId="75" borderId="48">
      <alignment horizontal="right" vertical="center"/>
    </xf>
    <xf numFmtId="171" fontId="20" fillId="0" borderId="0" applyFill="0" applyBorder="0" applyAlignment="0" applyProtection="0">
      <alignment wrapText="1"/>
    </xf>
    <xf numFmtId="0" fontId="110" fillId="22" borderId="0">
      <alignment horizontal="centerContinuous"/>
    </xf>
    <xf numFmtId="0" fontId="111" fillId="22" borderId="0">
      <alignment horizontal="centerContinuous"/>
    </xf>
    <xf numFmtId="0" fontId="112" fillId="0" borderId="0" applyNumberFormat="0" applyFill="0" applyBorder="0" applyAlignment="0" applyProtection="0"/>
    <xf numFmtId="0" fontId="66" fillId="0" borderId="44" applyNumberFormat="0" applyFill="0" applyAlignment="0" applyProtection="0"/>
    <xf numFmtId="0" fontId="51" fillId="0" borderId="54" applyNumberFormat="0" applyFill="0" applyAlignment="0" applyProtection="0"/>
    <xf numFmtId="0" fontId="66" fillId="0" borderId="44" applyNumberFormat="0" applyFill="0" applyAlignment="0" applyProtection="0"/>
    <xf numFmtId="0" fontId="113" fillId="0" borderId="44" applyNumberFormat="0" applyFill="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114" fillId="0" borderId="0" applyNumberFormat="0" applyFill="0" applyBorder="0" applyAlignment="0" applyProtection="0"/>
    <xf numFmtId="0" fontId="18"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16" fillId="0" borderId="0"/>
    <xf numFmtId="0" fontId="15" fillId="0" borderId="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51" borderId="0" applyNumberFormat="0" applyBorder="0" applyAlignment="0" applyProtection="0"/>
    <xf numFmtId="0" fontId="15" fillId="51" borderId="0" applyNumberFormat="0" applyBorder="0" applyAlignment="0" applyProtection="0"/>
    <xf numFmtId="0" fontId="15" fillId="51" borderId="0" applyNumberFormat="0" applyBorder="0" applyAlignment="0" applyProtection="0"/>
    <xf numFmtId="0" fontId="15" fillId="55" borderId="0" applyNumberFormat="0" applyBorder="0" applyAlignment="0" applyProtection="0"/>
    <xf numFmtId="0" fontId="15" fillId="55" borderId="0" applyNumberFormat="0" applyBorder="0" applyAlignment="0" applyProtection="0"/>
    <xf numFmtId="0" fontId="15" fillId="55" borderId="0" applyNumberFormat="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5" fillId="0" borderId="0" applyFont="0" applyFill="0" applyBorder="0" applyAlignment="0" applyProtection="0"/>
    <xf numFmtId="43" fontId="20"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20" fillId="0" borderId="0" applyFont="0" applyFill="0" applyBorder="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4" fontId="39"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44" fontId="39" fillId="0" borderId="0" applyFont="0" applyFill="0" applyBorder="0" applyAlignment="0" applyProtection="0"/>
    <xf numFmtId="0" fontId="68" fillId="0" borderId="0"/>
    <xf numFmtId="0" fontId="68" fillId="0" borderId="0"/>
    <xf numFmtId="0" fontId="15" fillId="0" borderId="0"/>
    <xf numFmtId="0" fontId="68" fillId="0" borderId="0"/>
    <xf numFmtId="0" fontId="15" fillId="0" borderId="0"/>
    <xf numFmtId="0" fontId="68" fillId="0" borderId="0"/>
    <xf numFmtId="0" fontId="15" fillId="0" borderId="0"/>
    <xf numFmtId="0" fontId="68" fillId="0" borderId="0"/>
    <xf numFmtId="0" fontId="15" fillId="0" borderId="0"/>
    <xf numFmtId="0" fontId="68" fillId="0" borderId="0"/>
    <xf numFmtId="0" fontId="15" fillId="0" borderId="0"/>
    <xf numFmtId="0" fontId="68" fillId="0" borderId="0"/>
    <xf numFmtId="0" fontId="15" fillId="0" borderId="0"/>
    <xf numFmtId="0" fontId="68" fillId="0" borderId="0"/>
    <xf numFmtId="0" fontId="39" fillId="0" borderId="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15" fillId="0" borderId="0"/>
    <xf numFmtId="0" fontId="15" fillId="0" borderId="0"/>
    <xf numFmtId="0" fontId="68" fillId="0" borderId="0"/>
    <xf numFmtId="0" fontId="15" fillId="0" borderId="0"/>
    <xf numFmtId="0" fontId="39" fillId="0" borderId="0"/>
    <xf numFmtId="0" fontId="15" fillId="0" borderId="0"/>
    <xf numFmtId="0" fontId="15" fillId="0" borderId="0"/>
    <xf numFmtId="0" fontId="15" fillId="0" borderId="0"/>
    <xf numFmtId="0" fontId="15" fillId="0" borderId="0"/>
    <xf numFmtId="0" fontId="20" fillId="0" borderId="0"/>
    <xf numFmtId="0" fontId="20" fillId="0" borderId="0"/>
    <xf numFmtId="0" fontId="20" fillId="0" borderId="0"/>
    <xf numFmtId="0" fontId="20" fillId="0" borderId="0"/>
    <xf numFmtId="0" fontId="68" fillId="0" borderId="0"/>
    <xf numFmtId="0" fontId="68" fillId="0" borderId="0"/>
    <xf numFmtId="0" fontId="39" fillId="0" borderId="0"/>
    <xf numFmtId="0" fontId="39" fillId="0" borderId="0"/>
    <xf numFmtId="0" fontId="68" fillId="0" borderId="0"/>
    <xf numFmtId="0" fontId="39" fillId="0" borderId="0"/>
    <xf numFmtId="0" fontId="39" fillId="0" borderId="0"/>
    <xf numFmtId="0" fontId="68" fillId="0" borderId="0"/>
    <xf numFmtId="0" fontId="68" fillId="0" borderId="0"/>
    <xf numFmtId="0" fontId="20" fillId="0" borderId="0"/>
    <xf numFmtId="0" fontId="68" fillId="0" borderId="0"/>
    <xf numFmtId="0" fontId="68" fillId="0" borderId="0"/>
    <xf numFmtId="0" fontId="68" fillId="0" borderId="0"/>
    <xf numFmtId="0" fontId="20" fillId="0" borderId="0"/>
    <xf numFmtId="0" fontId="68" fillId="0" borderId="0"/>
    <xf numFmtId="0" fontId="68" fillId="0" borderId="0"/>
    <xf numFmtId="0" fontId="39" fillId="0" borderId="0"/>
    <xf numFmtId="0" fontId="68" fillId="0" borderId="0"/>
    <xf numFmtId="0" fontId="20" fillId="0" borderId="0"/>
    <xf numFmtId="0" fontId="15" fillId="32" borderId="43" applyNumberFormat="0" applyFont="0" applyAlignment="0" applyProtection="0"/>
    <xf numFmtId="0" fontId="15" fillId="32" borderId="43" applyNumberFormat="0" applyFont="0" applyAlignment="0" applyProtection="0"/>
    <xf numFmtId="0" fontId="15" fillId="32" borderId="43" applyNumberFormat="0" applyFont="0" applyAlignment="0" applyProtection="0"/>
    <xf numFmtId="0" fontId="32" fillId="32" borderId="43" applyNumberFormat="0" applyFont="0" applyAlignment="0" applyProtection="0"/>
    <xf numFmtId="0" fontId="32" fillId="32" borderId="43" applyNumberFormat="0" applyFont="0" applyAlignment="0" applyProtection="0"/>
    <xf numFmtId="9" fontId="32" fillId="0" borderId="0" applyFont="0" applyFill="0" applyBorder="0" applyAlignment="0" applyProtection="0"/>
    <xf numFmtId="9" fontId="39" fillId="0" borderId="0" applyFont="0" applyFill="0" applyBorder="0" applyAlignment="0" applyProtection="0"/>
    <xf numFmtId="9" fontId="20" fillId="0" borderId="0" applyFont="0" applyFill="0" applyBorder="0" applyAlignment="0" applyProtection="0"/>
    <xf numFmtId="9" fontId="32" fillId="0" borderId="0" applyFont="0" applyFill="0" applyBorder="0" applyAlignment="0" applyProtection="0"/>
    <xf numFmtId="0" fontId="120" fillId="0" borderId="0" applyNumberForma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39" fillId="0" borderId="0"/>
    <xf numFmtId="0" fontId="39" fillId="0" borderId="0"/>
    <xf numFmtId="0" fontId="39" fillId="0" borderId="0"/>
    <xf numFmtId="0" fontId="39" fillId="0" borderId="0"/>
    <xf numFmtId="0" fontId="39" fillId="0" borderId="0"/>
    <xf numFmtId="0" fontId="7" fillId="0" borderId="0"/>
    <xf numFmtId="0" fontId="6" fillId="0" borderId="0"/>
    <xf numFmtId="0" fontId="5" fillId="0" borderId="0"/>
    <xf numFmtId="0" fontId="122" fillId="0" borderId="0" applyNumberFormat="0" applyFill="0" applyBorder="0" applyAlignment="0" applyProtection="0"/>
    <xf numFmtId="0" fontId="4" fillId="0" borderId="0"/>
    <xf numFmtId="0" fontId="3" fillId="0" borderId="0"/>
    <xf numFmtId="0" fontId="2" fillId="0" borderId="0"/>
    <xf numFmtId="0" fontId="1" fillId="0" borderId="0"/>
    <xf numFmtId="43" fontId="1" fillId="0" borderId="0" applyFont="0" applyFill="0" applyBorder="0" applyAlignment="0" applyProtection="0"/>
  </cellStyleXfs>
  <cellXfs count="707">
    <xf numFmtId="0" fontId="0" fillId="0" borderId="0" xfId="0"/>
    <xf numFmtId="0" fontId="22" fillId="0" borderId="0" xfId="0" applyFont="1"/>
    <xf numFmtId="0" fontId="22" fillId="0" borderId="0" xfId="0" applyFont="1" applyAlignment="1">
      <alignment horizontal="left" indent="2"/>
    </xf>
    <xf numFmtId="14" fontId="0" fillId="0" borderId="0" xfId="0" applyNumberFormat="1"/>
    <xf numFmtId="165" fontId="0" fillId="0" borderId="0" xfId="2" applyNumberFormat="1" applyFont="1"/>
    <xf numFmtId="166" fontId="0" fillId="0" borderId="0" xfId="1" applyNumberFormat="1" applyFont="1"/>
    <xf numFmtId="165" fontId="20" fillId="0" borderId="0" xfId="2" applyNumberFormat="1" applyFont="1"/>
    <xf numFmtId="166" fontId="20" fillId="0" borderId="0" xfId="1" applyNumberFormat="1" applyFont="1"/>
    <xf numFmtId="0" fontId="0" fillId="2" borderId="3" xfId="0" applyFill="1" applyBorder="1"/>
    <xf numFmtId="0" fontId="0" fillId="2" borderId="4" xfId="0" applyFill="1" applyBorder="1"/>
    <xf numFmtId="0" fontId="22" fillId="0" borderId="0" xfId="0" applyFont="1" applyBorder="1"/>
    <xf numFmtId="166" fontId="0" fillId="0" borderId="0" xfId="1" applyNumberFormat="1" applyFont="1" applyAlignment="1">
      <alignment vertical="center"/>
    </xf>
    <xf numFmtId="0" fontId="22" fillId="2" borderId="5" xfId="0" applyFont="1" applyFill="1" applyBorder="1" applyAlignment="1">
      <alignment horizontal="centerContinuous"/>
    </xf>
    <xf numFmtId="0" fontId="0" fillId="2" borderId="5" xfId="0" applyFill="1" applyBorder="1" applyAlignment="1">
      <alignment horizontal="centerContinuous"/>
    </xf>
    <xf numFmtId="0" fontId="22" fillId="2" borderId="5" xfId="0" quotePrefix="1" applyFont="1" applyFill="1" applyBorder="1"/>
    <xf numFmtId="0" fontId="0" fillId="2" borderId="5" xfId="0" applyFill="1" applyBorder="1"/>
    <xf numFmtId="0" fontId="22" fillId="2" borderId="6" xfId="0" quotePrefix="1" applyFont="1" applyFill="1" applyBorder="1"/>
    <xf numFmtId="0" fontId="0" fillId="2" borderId="7" xfId="0" applyFill="1" applyBorder="1"/>
    <xf numFmtId="0" fontId="22" fillId="2" borderId="8" xfId="0" applyFont="1" applyFill="1" applyBorder="1"/>
    <xf numFmtId="0" fontId="22" fillId="0" borderId="0" xfId="0" applyFont="1" applyAlignment="1">
      <alignment horizontal="center"/>
    </xf>
    <xf numFmtId="0" fontId="22" fillId="0" borderId="0" xfId="0" applyFont="1" applyBorder="1" applyAlignment="1">
      <alignment horizontal="center" wrapText="1"/>
    </xf>
    <xf numFmtId="0" fontId="22" fillId="0" borderId="0" xfId="0" applyFont="1" applyBorder="1" applyAlignment="1">
      <alignment horizontal="center"/>
    </xf>
    <xf numFmtId="164" fontId="26" fillId="0" borderId="0" xfId="0" applyNumberFormat="1" applyFont="1"/>
    <xf numFmtId="43" fontId="26" fillId="0" borderId="0" xfId="1" applyFont="1" applyBorder="1" applyAlignment="1">
      <alignment horizontal="center"/>
    </xf>
    <xf numFmtId="44" fontId="22" fillId="0" borderId="0" xfId="2" applyFont="1" applyBorder="1" applyAlignment="1">
      <alignment horizontal="center" wrapText="1"/>
    </xf>
    <xf numFmtId="43" fontId="26" fillId="0" borderId="0" xfId="1" applyFont="1" applyBorder="1" applyAlignment="1">
      <alignment horizontal="center" wrapText="1"/>
    </xf>
    <xf numFmtId="164" fontId="22" fillId="0" borderId="0" xfId="0" applyNumberFormat="1" applyFont="1"/>
    <xf numFmtId="0" fontId="22" fillId="0" borderId="0" xfId="0" applyFont="1" applyAlignment="1"/>
    <xf numFmtId="43" fontId="26" fillId="0" borderId="0" xfId="1" applyFont="1" applyAlignment="1"/>
    <xf numFmtId="44" fontId="22" fillId="0" borderId="0" xfId="2" applyFont="1"/>
    <xf numFmtId="164" fontId="22" fillId="0" borderId="0" xfId="0" applyNumberFormat="1" applyFont="1" applyAlignment="1"/>
    <xf numFmtId="43" fontId="26" fillId="0" borderId="0" xfId="1" applyFont="1"/>
    <xf numFmtId="166" fontId="26" fillId="0" borderId="0" xfId="1" applyNumberFormat="1" applyFont="1"/>
    <xf numFmtId="165" fontId="22" fillId="0" borderId="0" xfId="2" applyNumberFormat="1" applyFont="1" applyBorder="1" applyAlignment="1">
      <alignment horizontal="center" wrapText="1"/>
    </xf>
    <xf numFmtId="165" fontId="22" fillId="0" borderId="0" xfId="2" applyNumberFormat="1" applyFont="1"/>
    <xf numFmtId="166" fontId="22" fillId="0" borderId="0" xfId="1" applyNumberFormat="1" applyFont="1" applyBorder="1" applyAlignment="1">
      <alignment horizontal="center"/>
    </xf>
    <xf numFmtId="165" fontId="20" fillId="0" borderId="0" xfId="2" applyNumberFormat="1"/>
    <xf numFmtId="166" fontId="20" fillId="0" borderId="0" xfId="1" applyNumberFormat="1"/>
    <xf numFmtId="0" fontId="0" fillId="0" borderId="0" xfId="0" applyFill="1" applyBorder="1"/>
    <xf numFmtId="0" fontId="22" fillId="0" borderId="0" xfId="0" quotePrefix="1" applyFont="1" applyFill="1" applyBorder="1"/>
    <xf numFmtId="166" fontId="23" fillId="0" borderId="0" xfId="1" applyNumberFormat="1" applyFont="1" applyFill="1" applyBorder="1"/>
    <xf numFmtId="166" fontId="20" fillId="0" borderId="0" xfId="1" applyNumberFormat="1" applyFont="1" applyFill="1" applyBorder="1"/>
    <xf numFmtId="0" fontId="0" fillId="0" borderId="0" xfId="0" applyFill="1" applyBorder="1" applyAlignment="1">
      <alignment horizontal="center" wrapText="1"/>
    </xf>
    <xf numFmtId="0" fontId="0" fillId="0" borderId="0" xfId="0" applyFill="1" applyBorder="1" applyAlignment="1">
      <alignment vertical="center"/>
    </xf>
    <xf numFmtId="166" fontId="20" fillId="0" borderId="0" xfId="1" applyNumberFormat="1" applyFont="1" applyFill="1" applyBorder="1" applyAlignment="1">
      <alignment vertical="center"/>
    </xf>
    <xf numFmtId="166" fontId="20" fillId="0" borderId="0" xfId="1" applyNumberFormat="1" applyFill="1" applyBorder="1"/>
    <xf numFmtId="166" fontId="20" fillId="0" borderId="0" xfId="1" applyNumberFormat="1" applyFill="1" applyBorder="1" applyAlignment="1">
      <alignment vertical="center"/>
    </xf>
    <xf numFmtId="0" fontId="0" fillId="0" borderId="0" xfId="0" applyFill="1" applyBorder="1" applyAlignment="1">
      <alignment horizontal="centerContinuous"/>
    </xf>
    <xf numFmtId="0" fontId="22" fillId="2" borderId="8" xfId="0" applyFont="1" applyFill="1" applyBorder="1" applyAlignment="1">
      <alignment horizontal="center"/>
    </xf>
    <xf numFmtId="165" fontId="20" fillId="0" borderId="0" xfId="0" applyNumberFormat="1" applyFont="1"/>
    <xf numFmtId="0" fontId="22" fillId="2" borderId="5" xfId="0" applyFont="1" applyFill="1" applyBorder="1" applyAlignment="1">
      <alignment horizontal="right"/>
    </xf>
    <xf numFmtId="166" fontId="22" fillId="0" borderId="0" xfId="1" applyNumberFormat="1" applyFont="1"/>
    <xf numFmtId="164" fontId="26" fillId="2" borderId="8" xfId="0" applyNumberFormat="1" applyFont="1" applyFill="1" applyBorder="1" applyAlignment="1">
      <alignment horizontal="center"/>
    </xf>
    <xf numFmtId="166" fontId="0" fillId="0" borderId="0" xfId="1" applyNumberFormat="1" applyFont="1" applyAlignment="1"/>
    <xf numFmtId="0" fontId="0" fillId="0" borderId="0" xfId="0" applyAlignment="1"/>
    <xf numFmtId="166" fontId="20" fillId="0" borderId="0" xfId="1" applyNumberFormat="1" applyFont="1" applyAlignment="1"/>
    <xf numFmtId="0" fontId="0" fillId="0" borderId="0" xfId="0" applyAlignment="1">
      <alignment horizontal="left" indent="2"/>
    </xf>
    <xf numFmtId="0" fontId="22" fillId="0" borderId="0" xfId="0" applyFont="1" applyAlignment="1">
      <alignment horizontal="centerContinuous"/>
    </xf>
    <xf numFmtId="0" fontId="0" fillId="0" borderId="0" xfId="0" applyBorder="1"/>
    <xf numFmtId="0" fontId="22" fillId="0" borderId="0" xfId="0" applyFont="1" applyAlignment="1">
      <alignment horizontal="right"/>
    </xf>
    <xf numFmtId="0" fontId="0" fillId="0" borderId="0" xfId="0" applyAlignment="1">
      <alignment horizontal="right"/>
    </xf>
    <xf numFmtId="167" fontId="0" fillId="2" borderId="18" xfId="1" applyNumberFormat="1" applyFont="1" applyFill="1" applyBorder="1"/>
    <xf numFmtId="167" fontId="0" fillId="2" borderId="19" xfId="1" applyNumberFormat="1" applyFont="1" applyFill="1" applyBorder="1"/>
    <xf numFmtId="0" fontId="22" fillId="2" borderId="20" xfId="0" quotePrefix="1" applyFont="1" applyFill="1" applyBorder="1" applyAlignment="1">
      <alignment horizontal="center"/>
    </xf>
    <xf numFmtId="0" fontId="22" fillId="2" borderId="5" xfId="0" quotePrefix="1" applyFont="1" applyFill="1" applyBorder="1" applyAlignment="1"/>
    <xf numFmtId="0" fontId="22" fillId="2" borderId="21" xfId="0" applyFont="1" applyFill="1" applyBorder="1" applyAlignment="1">
      <alignment horizontal="center"/>
    </xf>
    <xf numFmtId="0" fontId="22" fillId="2" borderId="22" xfId="0" applyFont="1" applyFill="1" applyBorder="1" applyAlignment="1">
      <alignment horizontal="center"/>
    </xf>
    <xf numFmtId="164" fontId="22" fillId="3" borderId="0" xfId="0" applyNumberFormat="1" applyFont="1" applyFill="1" applyBorder="1" applyAlignment="1">
      <alignment horizontal="center"/>
    </xf>
    <xf numFmtId="0" fontId="0" fillId="3" borderId="23" xfId="0" applyFill="1" applyBorder="1"/>
    <xf numFmtId="0" fontId="22" fillId="2" borderId="5" xfId="0" applyFont="1" applyFill="1" applyBorder="1"/>
    <xf numFmtId="164" fontId="24" fillId="3" borderId="20" xfId="0" quotePrefix="1" applyNumberFormat="1" applyFont="1" applyFill="1" applyBorder="1" applyAlignment="1">
      <alignment horizontal="center"/>
    </xf>
    <xf numFmtId="164" fontId="24" fillId="3" borderId="21" xfId="0" applyNumberFormat="1" applyFont="1" applyFill="1" applyBorder="1" applyAlignment="1">
      <alignment horizontal="center"/>
    </xf>
    <xf numFmtId="164" fontId="25" fillId="3" borderId="22" xfId="0" applyNumberFormat="1" applyFont="1" applyFill="1" applyBorder="1" applyAlignment="1">
      <alignment horizontal="center"/>
    </xf>
    <xf numFmtId="0" fontId="22" fillId="2" borderId="24" xfId="0" applyFont="1" applyFill="1" applyBorder="1" applyAlignment="1">
      <alignment horizontal="centerContinuous"/>
    </xf>
    <xf numFmtId="0" fontId="22" fillId="2" borderId="8" xfId="0" applyFont="1" applyFill="1" applyBorder="1" applyAlignment="1">
      <alignment horizontal="centerContinuous"/>
    </xf>
    <xf numFmtId="0" fontId="0" fillId="2" borderId="8" xfId="0" applyFill="1" applyBorder="1" applyAlignment="1">
      <alignment horizontal="centerContinuous"/>
    </xf>
    <xf numFmtId="0" fontId="0" fillId="2" borderId="25" xfId="0" applyFill="1" applyBorder="1" applyAlignment="1">
      <alignment horizontal="centerContinuous"/>
    </xf>
    <xf numFmtId="0" fontId="22" fillId="2" borderId="6" xfId="0" applyFont="1" applyFill="1" applyBorder="1" applyAlignment="1">
      <alignment horizontal="centerContinuous"/>
    </xf>
    <xf numFmtId="0" fontId="0" fillId="2" borderId="7" xfId="0" applyFill="1" applyBorder="1" applyAlignment="1">
      <alignment horizontal="centerContinuous"/>
    </xf>
    <xf numFmtId="0" fontId="22" fillId="3" borderId="24" xfId="0" applyFont="1" applyFill="1" applyBorder="1" applyAlignment="1">
      <alignment horizontal="centerContinuous"/>
    </xf>
    <xf numFmtId="0" fontId="0" fillId="3" borderId="8" xfId="0" applyFill="1" applyBorder="1" applyAlignment="1">
      <alignment horizontal="centerContinuous"/>
    </xf>
    <xf numFmtId="0" fontId="0" fillId="3" borderId="25" xfId="0" applyFill="1" applyBorder="1" applyAlignment="1">
      <alignment horizontal="centerContinuous"/>
    </xf>
    <xf numFmtId="164" fontId="22" fillId="3" borderId="26" xfId="0" quotePrefix="1" applyNumberFormat="1" applyFont="1" applyFill="1" applyBorder="1" applyAlignment="1">
      <alignment horizontal="center"/>
    </xf>
    <xf numFmtId="164" fontId="24" fillId="3" borderId="21" xfId="0" quotePrefix="1" applyNumberFormat="1" applyFont="1" applyFill="1" applyBorder="1" applyAlignment="1">
      <alignment horizontal="center"/>
    </xf>
    <xf numFmtId="0" fontId="20" fillId="0" borderId="0" xfId="0" applyFont="1"/>
    <xf numFmtId="166" fontId="20" fillId="0" borderId="0" xfId="1" applyNumberFormat="1" applyFont="1" applyBorder="1" applyAlignment="1">
      <alignment horizontal="center"/>
    </xf>
    <xf numFmtId="166" fontId="0" fillId="0" borderId="0" xfId="1" applyNumberFormat="1" applyFont="1" applyBorder="1"/>
    <xf numFmtId="166" fontId="0" fillId="0" borderId="0" xfId="0" applyNumberFormat="1"/>
    <xf numFmtId="0" fontId="20" fillId="0" borderId="0" xfId="0" applyFont="1" applyAlignment="1">
      <alignment horizontal="right"/>
    </xf>
    <xf numFmtId="165" fontId="22" fillId="0" borderId="0" xfId="0" applyNumberFormat="1" applyFont="1"/>
    <xf numFmtId="0" fontId="20" fillId="0" borderId="0" xfId="0" applyFont="1" applyAlignment="1">
      <alignment horizontal="centerContinuous"/>
    </xf>
    <xf numFmtId="0" fontId="20" fillId="0" borderId="0" xfId="0" applyFont="1" applyAlignment="1">
      <alignment horizontal="right" wrapText="1"/>
    </xf>
    <xf numFmtId="41" fontId="23" fillId="0" borderId="0" xfId="1" applyNumberFormat="1" applyFont="1"/>
    <xf numFmtId="41" fontId="23" fillId="0" borderId="0" xfId="1" applyNumberFormat="1" applyFont="1" applyAlignment="1"/>
    <xf numFmtId="0" fontId="0" fillId="0" borderId="0" xfId="0" applyFill="1"/>
    <xf numFmtId="0" fontId="114" fillId="0" borderId="0" xfId="0" applyFont="1" applyFill="1"/>
    <xf numFmtId="43" fontId="114" fillId="0" borderId="0" xfId="0" applyNumberFormat="1" applyFont="1" applyFill="1"/>
    <xf numFmtId="166" fontId="114" fillId="0" borderId="0" xfId="0" applyNumberFormat="1" applyFont="1" applyFill="1"/>
    <xf numFmtId="164" fontId="22" fillId="0" borderId="0" xfId="0" applyNumberFormat="1" applyFont="1" applyFill="1"/>
    <xf numFmtId="43" fontId="26" fillId="0" borderId="0" xfId="1" applyFont="1" applyFill="1" applyBorder="1"/>
    <xf numFmtId="43" fontId="26" fillId="0" borderId="0" xfId="1" applyFont="1" applyFill="1"/>
    <xf numFmtId="0" fontId="22" fillId="0" borderId="0" xfId="0" applyFont="1" applyFill="1" applyBorder="1" applyAlignment="1">
      <alignment horizontal="center" wrapText="1"/>
    </xf>
    <xf numFmtId="43" fontId="26" fillId="0" borderId="0" xfId="1" applyFont="1" applyFill="1" applyBorder="1" applyAlignment="1">
      <alignment horizontal="center" wrapText="1"/>
    </xf>
    <xf numFmtId="43" fontId="26" fillId="0" borderId="0" xfId="1" applyFont="1" applyFill="1" applyAlignment="1"/>
    <xf numFmtId="0" fontId="20" fillId="0" borderId="0" xfId="0" applyFont="1" applyFill="1" applyAlignment="1">
      <alignment horizontal="centerContinuous"/>
    </xf>
    <xf numFmtId="0" fontId="20" fillId="0" borderId="0" xfId="0" applyFont="1" applyFill="1" applyAlignment="1">
      <alignment horizontal="right"/>
    </xf>
    <xf numFmtId="165" fontId="114" fillId="0" borderId="0" xfId="0" applyNumberFormat="1" applyFont="1" applyFill="1"/>
    <xf numFmtId="166" fontId="20" fillId="0" borderId="0" xfId="1" applyNumberFormat="1" applyFont="1" applyFill="1" applyBorder="1" applyAlignment="1">
      <alignment horizontal="center"/>
    </xf>
    <xf numFmtId="166" fontId="114" fillId="0" borderId="0" xfId="1" applyNumberFormat="1" applyFont="1" applyFill="1"/>
    <xf numFmtId="43" fontId="23" fillId="0" borderId="0" xfId="0" applyNumberFormat="1" applyFont="1" applyFill="1" applyBorder="1" applyAlignment="1" applyProtection="1"/>
    <xf numFmtId="0" fontId="20" fillId="0" borderId="0" xfId="0" applyFont="1" applyFill="1"/>
    <xf numFmtId="166" fontId="114" fillId="0" borderId="0" xfId="1" applyNumberFormat="1" applyFont="1"/>
    <xf numFmtId="165" fontId="114" fillId="0" borderId="0" xfId="2" applyNumberFormat="1" applyFont="1"/>
    <xf numFmtId="165" fontId="23" fillId="0" borderId="0" xfId="2" applyNumberFormat="1" applyFont="1"/>
    <xf numFmtId="41" fontId="23" fillId="0" borderId="0" xfId="1" applyNumberFormat="1" applyFont="1" applyFill="1" applyBorder="1"/>
    <xf numFmtId="0" fontId="20" fillId="0" borderId="0" xfId="0" applyFont="1" applyAlignment="1">
      <alignment wrapText="1"/>
    </xf>
    <xf numFmtId="41" fontId="23" fillId="0" borderId="0" xfId="1" applyNumberFormat="1" applyFont="1" applyBorder="1" applyAlignment="1"/>
    <xf numFmtId="165" fontId="22" fillId="0" borderId="0" xfId="0" applyNumberFormat="1" applyFont="1" applyFill="1" applyBorder="1" applyAlignment="1" applyProtection="1">
      <alignment horizontal="center" wrapText="1"/>
    </xf>
    <xf numFmtId="0" fontId="20" fillId="0" borderId="0" xfId="0" applyFont="1" applyFill="1" applyBorder="1" applyAlignment="1" applyProtection="1"/>
    <xf numFmtId="0" fontId="20" fillId="0" borderId="0" xfId="0" applyFont="1" applyFill="1" applyAlignment="1">
      <alignment wrapText="1"/>
    </xf>
    <xf numFmtId="168" fontId="114" fillId="0" borderId="0" xfId="0" applyNumberFormat="1" applyFont="1" applyFill="1"/>
    <xf numFmtId="0" fontId="114" fillId="0" borderId="0" xfId="0" applyFont="1"/>
    <xf numFmtId="0" fontId="117" fillId="0" borderId="0" xfId="0" applyFont="1" applyFill="1" applyAlignment="1">
      <alignment horizontal="right"/>
    </xf>
    <xf numFmtId="166" fontId="0" fillId="0" borderId="0" xfId="0" applyNumberFormat="1" applyBorder="1"/>
    <xf numFmtId="166" fontId="39" fillId="0" borderId="0" xfId="0" applyNumberFormat="1" applyFont="1" applyFill="1" applyBorder="1" applyAlignment="1" applyProtection="1"/>
    <xf numFmtId="0" fontId="117" fillId="0" borderId="0" xfId="0" applyFont="1" applyAlignment="1">
      <alignment horizontal="center"/>
    </xf>
    <xf numFmtId="165" fontId="117" fillId="0" borderId="0" xfId="0" applyNumberFormat="1" applyFont="1" applyFill="1"/>
    <xf numFmtId="166" fontId="117" fillId="0" borderId="0" xfId="1" applyNumberFormat="1" applyFont="1" applyFill="1" applyBorder="1"/>
    <xf numFmtId="0" fontId="117" fillId="0" borderId="0" xfId="0" applyFont="1" applyFill="1" applyBorder="1"/>
    <xf numFmtId="0" fontId="20" fillId="0" borderId="0" xfId="0" applyFont="1" applyBorder="1" applyAlignment="1">
      <alignment horizontal="right"/>
    </xf>
    <xf numFmtId="0" fontId="114" fillId="0" borderId="0" xfId="0" applyFont="1" applyBorder="1"/>
    <xf numFmtId="165" fontId="20" fillId="0" borderId="0" xfId="2" applyNumberFormat="1" applyFont="1" applyFill="1"/>
    <xf numFmtId="166" fontId="0" fillId="0" borderId="0" xfId="1" applyNumberFormat="1" applyFont="1" applyFill="1" applyBorder="1"/>
    <xf numFmtId="166" fontId="20" fillId="0" borderId="0" xfId="1" applyNumberFormat="1" applyFont="1" applyFill="1" applyBorder="1" applyAlignment="1">
      <alignment horizontal="right"/>
    </xf>
    <xf numFmtId="164" fontId="26" fillId="0" borderId="0" xfId="0" applyNumberFormat="1" applyFont="1" applyFill="1"/>
    <xf numFmtId="0" fontId="20" fillId="0" borderId="0" xfId="0" applyFont="1" applyFill="1" applyBorder="1"/>
    <xf numFmtId="165" fontId="117" fillId="0" borderId="0" xfId="0" applyNumberFormat="1" applyFont="1" applyFill="1" applyBorder="1"/>
    <xf numFmtId="166" fontId="114" fillId="0" borderId="0" xfId="0" applyNumberFormat="1" applyFont="1" applyBorder="1"/>
    <xf numFmtId="165" fontId="22" fillId="0" borderId="55" xfId="2" applyNumberFormat="1" applyFont="1" applyBorder="1"/>
    <xf numFmtId="165" fontId="23" fillId="0" borderId="0" xfId="2" applyNumberFormat="1" applyFont="1" applyFill="1"/>
    <xf numFmtId="41" fontId="23" fillId="0" borderId="0" xfId="1" applyNumberFormat="1" applyFont="1" applyFill="1"/>
    <xf numFmtId="41" fontId="23" fillId="0" borderId="0" xfId="1" applyNumberFormat="1" applyFont="1" applyFill="1" applyAlignment="1"/>
    <xf numFmtId="41" fontId="23" fillId="0" borderId="55" xfId="1" applyNumberFormat="1" applyFont="1" applyFill="1" applyBorder="1" applyAlignment="1"/>
    <xf numFmtId="0" fontId="114" fillId="0" borderId="0" xfId="0" applyFont="1" applyFill="1" applyBorder="1"/>
    <xf numFmtId="0" fontId="114" fillId="0" borderId="0" xfId="0" applyFont="1" applyFill="1" applyBorder="1" applyAlignment="1">
      <alignment horizontal="right"/>
    </xf>
    <xf numFmtId="166" fontId="23" fillId="0" borderId="0" xfId="1" applyNumberFormat="1" applyFont="1" applyFill="1"/>
    <xf numFmtId="166" fontId="23" fillId="0" borderId="0" xfId="1" applyNumberFormat="1" applyFont="1" applyFill="1" applyAlignment="1"/>
    <xf numFmtId="0" fontId="22" fillId="2" borderId="3" xfId="0" quotePrefix="1" applyFont="1" applyFill="1" applyBorder="1"/>
    <xf numFmtId="0" fontId="29" fillId="2" borderId="18" xfId="0" applyFont="1" applyFill="1" applyBorder="1" applyAlignment="1">
      <alignment horizontal="right"/>
    </xf>
    <xf numFmtId="167" fontId="0" fillId="0" borderId="0" xfId="1" applyNumberFormat="1" applyFont="1" applyFill="1" applyBorder="1"/>
    <xf numFmtId="0" fontId="22" fillId="3" borderId="1" xfId="0" quotePrefix="1" applyFont="1" applyFill="1" applyBorder="1" applyAlignment="1"/>
    <xf numFmtId="0" fontId="0" fillId="3" borderId="2" xfId="0" applyFill="1" applyBorder="1" applyAlignment="1"/>
    <xf numFmtId="0" fontId="22" fillId="0" borderId="0" xfId="0" applyFont="1" applyFill="1" applyBorder="1" applyAlignment="1">
      <alignment horizontal="centerContinuous"/>
    </xf>
    <xf numFmtId="0" fontId="0" fillId="0" borderId="0" xfId="0" applyFill="1" applyBorder="1" applyAlignment="1"/>
    <xf numFmtId="0" fontId="29" fillId="0" borderId="0" xfId="0" applyFont="1" applyFill="1" applyBorder="1" applyAlignment="1">
      <alignment horizontal="right"/>
    </xf>
    <xf numFmtId="166" fontId="23" fillId="0" borderId="55" xfId="1" applyNumberFormat="1" applyFont="1" applyFill="1" applyBorder="1"/>
    <xf numFmtId="166" fontId="20" fillId="0" borderId="55" xfId="1" applyNumberFormat="1" applyFont="1" applyBorder="1" applyAlignment="1"/>
    <xf numFmtId="166" fontId="0" fillId="0" borderId="55" xfId="1" applyNumberFormat="1" applyFont="1" applyBorder="1"/>
    <xf numFmtId="166" fontId="20" fillId="0" borderId="55" xfId="1" applyNumberFormat="1" applyFont="1" applyBorder="1"/>
    <xf numFmtId="166" fontId="23" fillId="0" borderId="0" xfId="2" applyNumberFormat="1" applyFont="1" applyFill="1" applyBorder="1"/>
    <xf numFmtId="165" fontId="20" fillId="0" borderId="0" xfId="2" applyNumberFormat="1" applyFont="1" applyFill="1" applyBorder="1"/>
    <xf numFmtId="165" fontId="22" fillId="0" borderId="0" xfId="2" applyNumberFormat="1" applyFont="1" applyFill="1" applyBorder="1" applyAlignment="1">
      <alignment horizontal="center" wrapText="1"/>
    </xf>
    <xf numFmtId="166" fontId="20" fillId="0" borderId="55" xfId="1" applyNumberFormat="1" applyBorder="1"/>
    <xf numFmtId="166" fontId="23" fillId="0" borderId="0" xfId="1" applyNumberFormat="1" applyFont="1"/>
    <xf numFmtId="0" fontId="22" fillId="0" borderId="55" xfId="0" applyFont="1" applyFill="1" applyBorder="1" applyAlignment="1">
      <alignment horizontal="center" wrapText="1"/>
    </xf>
    <xf numFmtId="0" fontId="22" fillId="0" borderId="55" xfId="0" applyFont="1" applyBorder="1" applyAlignment="1">
      <alignment horizontal="center" wrapText="1"/>
    </xf>
    <xf numFmtId="43" fontId="23" fillId="0" borderId="0" xfId="1" applyFont="1"/>
    <xf numFmtId="166" fontId="23" fillId="0" borderId="0" xfId="1" applyNumberFormat="1" applyFont="1" applyAlignment="1"/>
    <xf numFmtId="43" fontId="23" fillId="0" borderId="0" xfId="1" applyFont="1" applyFill="1"/>
    <xf numFmtId="43" fontId="23" fillId="0" borderId="0" xfId="1" applyNumberFormat="1" applyFont="1" applyFill="1"/>
    <xf numFmtId="43" fontId="26" fillId="0" borderId="55" xfId="1" applyFont="1" applyFill="1" applyBorder="1"/>
    <xf numFmtId="43" fontId="23" fillId="0" borderId="55" xfId="1" applyFont="1" applyFill="1" applyBorder="1"/>
    <xf numFmtId="43" fontId="23" fillId="0" borderId="0" xfId="1" applyFont="1" applyFill="1" applyBorder="1"/>
    <xf numFmtId="166" fontId="22" fillId="0" borderId="0" xfId="1" applyNumberFormat="1" applyFont="1" applyFill="1" applyBorder="1" applyAlignment="1">
      <alignment horizontal="right"/>
    </xf>
    <xf numFmtId="172" fontId="22" fillId="0" borderId="55" xfId="0" applyNumberFormat="1" applyFont="1" applyFill="1" applyBorder="1" applyAlignment="1">
      <alignment horizontal="center"/>
    </xf>
    <xf numFmtId="172" fontId="22" fillId="0" borderId="0" xfId="0" applyNumberFormat="1" applyFont="1" applyFill="1" applyBorder="1" applyAlignment="1">
      <alignment horizontal="center"/>
    </xf>
    <xf numFmtId="0" fontId="20" fillId="0" borderId="0" xfId="0" applyFont="1" applyBorder="1" applyAlignment="1">
      <alignment vertical="top" wrapText="1"/>
    </xf>
    <xf numFmtId="0" fontId="22" fillId="0" borderId="0" xfId="0" applyFont="1" applyFill="1"/>
    <xf numFmtId="0" fontId="22" fillId="0" borderId="0" xfId="190" applyFont="1"/>
    <xf numFmtId="49" fontId="22" fillId="0" borderId="0" xfId="190" quotePrefix="1" applyNumberFormat="1" applyFont="1"/>
    <xf numFmtId="178" fontId="22" fillId="0" borderId="0" xfId="0" quotePrefix="1" applyNumberFormat="1" applyFont="1" applyAlignment="1">
      <alignment horizontal="left"/>
    </xf>
    <xf numFmtId="8" fontId="22" fillId="0" borderId="0" xfId="1021" applyNumberFormat="1" applyFont="1" applyBorder="1"/>
    <xf numFmtId="8" fontId="22" fillId="0" borderId="9" xfId="1021" applyNumberFormat="1" applyFont="1" applyBorder="1"/>
    <xf numFmtId="0" fontId="20" fillId="0" borderId="55" xfId="1021" applyFont="1" applyBorder="1" applyAlignment="1">
      <alignment horizontal="centerContinuous"/>
    </xf>
    <xf numFmtId="0" fontId="20" fillId="0" borderId="0" xfId="1021" applyFont="1" applyAlignment="1">
      <alignment horizontal="center"/>
    </xf>
    <xf numFmtId="8" fontId="20" fillId="0" borderId="55" xfId="1021" applyNumberFormat="1" applyFont="1" applyBorder="1" applyAlignment="1">
      <alignment horizontal="centerContinuous"/>
    </xf>
    <xf numFmtId="8" fontId="29" fillId="0" borderId="0" xfId="1021" applyNumberFormat="1" applyFont="1" applyAlignment="1">
      <alignment horizontal="center"/>
    </xf>
    <xf numFmtId="169" fontId="29" fillId="0" borderId="0" xfId="1021" applyNumberFormat="1" applyFont="1" applyAlignment="1">
      <alignment horizontal="center"/>
    </xf>
    <xf numFmtId="0" fontId="29" fillId="0" borderId="0" xfId="1021" applyFont="1" applyAlignment="1">
      <alignment horizontal="center"/>
    </xf>
    <xf numFmtId="0" fontId="29" fillId="0" borderId="0" xfId="1021" applyFont="1" applyFill="1" applyBorder="1" applyAlignment="1">
      <alignment horizontal="center"/>
    </xf>
    <xf numFmtId="8" fontId="20" fillId="0" borderId="0" xfId="1021" applyNumberFormat="1" applyFont="1"/>
    <xf numFmtId="0" fontId="22" fillId="0" borderId="0" xfId="1021" applyFont="1" applyAlignment="1">
      <alignment horizontal="right"/>
    </xf>
    <xf numFmtId="8" fontId="22" fillId="0" borderId="0" xfId="1021" applyNumberFormat="1" applyFont="1"/>
    <xf numFmtId="0" fontId="22" fillId="0" borderId="0" xfId="1021" applyFont="1" applyAlignment="1">
      <alignment horizontal="center"/>
    </xf>
    <xf numFmtId="8" fontId="22" fillId="0" borderId="55" xfId="1021" applyNumberFormat="1" applyFont="1" applyBorder="1" applyAlignment="1">
      <alignment horizontal="centerContinuous"/>
    </xf>
    <xf numFmtId="0" fontId="22" fillId="0" borderId="0" xfId="1021" applyFont="1"/>
    <xf numFmtId="0" fontId="20" fillId="0" borderId="0" xfId="1021" applyFont="1"/>
    <xf numFmtId="0" fontId="115" fillId="79" borderId="15" xfId="0" applyFont="1" applyFill="1" applyBorder="1" applyAlignment="1">
      <alignment horizontal="centerContinuous"/>
    </xf>
    <xf numFmtId="8" fontId="22" fillId="0" borderId="0" xfId="1022" applyNumberFormat="1" applyFont="1" applyBorder="1"/>
    <xf numFmtId="8" fontId="22" fillId="0" borderId="9" xfId="1022" applyNumberFormat="1" applyFont="1" applyBorder="1"/>
    <xf numFmtId="0" fontId="22" fillId="0" borderId="0" xfId="1022" applyFont="1"/>
    <xf numFmtId="0" fontId="20" fillId="0" borderId="0" xfId="1022" applyFont="1"/>
    <xf numFmtId="0" fontId="22" fillId="0" borderId="0" xfId="1022" applyFont="1" applyAlignment="1">
      <alignment horizontal="center"/>
    </xf>
    <xf numFmtId="0" fontId="20" fillId="0" borderId="55" xfId="1022" applyFont="1" applyBorder="1" applyAlignment="1">
      <alignment horizontal="centerContinuous"/>
    </xf>
    <xf numFmtId="8" fontId="22" fillId="0" borderId="0" xfId="1022" applyNumberFormat="1" applyFont="1"/>
    <xf numFmtId="0" fontId="20" fillId="0" borderId="0" xfId="1022" applyFont="1" applyAlignment="1">
      <alignment horizontal="center"/>
    </xf>
    <xf numFmtId="8" fontId="20" fillId="0" borderId="55" xfId="1022" applyNumberFormat="1" applyFont="1" applyBorder="1" applyAlignment="1">
      <alignment horizontal="centerContinuous"/>
    </xf>
    <xf numFmtId="8" fontId="22" fillId="0" borderId="55" xfId="1022" applyNumberFormat="1" applyFont="1" applyBorder="1" applyAlignment="1">
      <alignment horizontal="centerContinuous"/>
    </xf>
    <xf numFmtId="8" fontId="29" fillId="0" borderId="0" xfId="1022" applyNumberFormat="1" applyFont="1" applyAlignment="1">
      <alignment horizontal="center"/>
    </xf>
    <xf numFmtId="169" fontId="29" fillId="0" borderId="0" xfId="1022" applyNumberFormat="1" applyFont="1" applyAlignment="1">
      <alignment horizontal="center"/>
    </xf>
    <xf numFmtId="0" fontId="29" fillId="0" borderId="0" xfId="1022" applyFont="1" applyAlignment="1">
      <alignment horizontal="center"/>
    </xf>
    <xf numFmtId="0" fontId="29" fillId="0" borderId="0" xfId="1022" applyFont="1" applyFill="1" applyBorder="1" applyAlignment="1">
      <alignment horizontal="center"/>
    </xf>
    <xf numFmtId="8" fontId="20" fillId="0" borderId="0" xfId="1022" applyNumberFormat="1" applyFont="1"/>
    <xf numFmtId="0" fontId="22" fillId="0" borderId="0" xfId="1022" applyFont="1" applyAlignment="1">
      <alignment horizontal="right"/>
    </xf>
    <xf numFmtId="8" fontId="22" fillId="0" borderId="0" xfId="1023" applyNumberFormat="1" applyFont="1" applyBorder="1"/>
    <xf numFmtId="8" fontId="22" fillId="0" borderId="9" xfId="1023" applyNumberFormat="1" applyFont="1" applyBorder="1"/>
    <xf numFmtId="0" fontId="22" fillId="0" borderId="0" xfId="1023" applyFont="1"/>
    <xf numFmtId="0" fontId="20" fillId="0" borderId="0" xfId="1023" applyFont="1"/>
    <xf numFmtId="0" fontId="22" fillId="0" borderId="0" xfId="1023" applyFont="1" applyAlignment="1">
      <alignment horizontal="center"/>
    </xf>
    <xf numFmtId="0" fontId="20" fillId="0" borderId="55" xfId="1023" applyFont="1" applyBorder="1" applyAlignment="1">
      <alignment horizontal="centerContinuous"/>
    </xf>
    <xf numFmtId="8" fontId="22" fillId="0" borderId="0" xfId="1023" applyNumberFormat="1" applyFont="1"/>
    <xf numFmtId="0" fontId="20" fillId="0" borderId="0" xfId="1023" applyFont="1" applyAlignment="1">
      <alignment horizontal="center"/>
    </xf>
    <xf numFmtId="8" fontId="20" fillId="0" borderId="55" xfId="1023" applyNumberFormat="1" applyFont="1" applyBorder="1" applyAlignment="1">
      <alignment horizontal="centerContinuous"/>
    </xf>
    <xf numFmtId="8" fontId="22" fillId="0" borderId="55" xfId="1023" applyNumberFormat="1" applyFont="1" applyBorder="1" applyAlignment="1">
      <alignment horizontal="centerContinuous"/>
    </xf>
    <xf numFmtId="8" fontId="29" fillId="0" borderId="0" xfId="1023" applyNumberFormat="1" applyFont="1" applyAlignment="1">
      <alignment horizontal="center"/>
    </xf>
    <xf numFmtId="169" fontId="29" fillId="0" borderId="0" xfId="1023" applyNumberFormat="1" applyFont="1" applyAlignment="1">
      <alignment horizontal="center"/>
    </xf>
    <xf numFmtId="0" fontId="29" fillId="0" borderId="0" xfId="1023" applyFont="1" applyAlignment="1">
      <alignment horizontal="center"/>
    </xf>
    <xf numFmtId="0" fontId="29" fillId="0" borderId="0" xfId="1023" applyFont="1" applyFill="1" applyBorder="1" applyAlignment="1">
      <alignment horizontal="center"/>
    </xf>
    <xf numFmtId="8" fontId="20" fillId="0" borderId="0" xfId="1023" applyNumberFormat="1" applyFont="1"/>
    <xf numFmtId="0" fontId="22" fillId="0" borderId="0" xfId="1023" applyFont="1" applyAlignment="1">
      <alignment horizontal="right"/>
    </xf>
    <xf numFmtId="166" fontId="20" fillId="0" borderId="55" xfId="1" applyNumberFormat="1" applyFont="1" applyFill="1" applyBorder="1" applyAlignment="1">
      <alignment horizontal="center"/>
    </xf>
    <xf numFmtId="172" fontId="116" fillId="79" borderId="15" xfId="0" applyNumberFormat="1" applyFont="1" applyFill="1" applyBorder="1" applyAlignment="1">
      <alignment horizontal="centerContinuous"/>
    </xf>
    <xf numFmtId="172" fontId="116" fillId="79" borderId="15" xfId="0" quotePrefix="1" applyNumberFormat="1" applyFont="1" applyFill="1" applyBorder="1" applyAlignment="1">
      <alignment horizontal="centerContinuous"/>
    </xf>
    <xf numFmtId="0" fontId="22" fillId="0" borderId="61" xfId="0" applyFont="1" applyBorder="1"/>
    <xf numFmtId="172" fontId="116" fillId="79" borderId="64" xfId="0" applyNumberFormat="1" applyFont="1" applyFill="1" applyBorder="1" applyAlignment="1">
      <alignment horizontal="centerContinuous"/>
    </xf>
    <xf numFmtId="0" fontId="22" fillId="0" borderId="23" xfId="0" applyFont="1" applyFill="1" applyBorder="1" applyAlignment="1">
      <alignment horizontal="center"/>
    </xf>
    <xf numFmtId="172" fontId="22" fillId="0" borderId="26" xfId="0" applyNumberFormat="1" applyFont="1" applyFill="1" applyBorder="1" applyAlignment="1">
      <alignment horizontal="center"/>
    </xf>
    <xf numFmtId="172" fontId="22" fillId="0" borderId="0" xfId="0" quotePrefix="1" applyNumberFormat="1" applyFont="1" applyFill="1" applyBorder="1" applyAlignment="1">
      <alignment horizontal="center"/>
    </xf>
    <xf numFmtId="172" fontId="116" fillId="0" borderId="0" xfId="0" quotePrefix="1" applyNumberFormat="1" applyFont="1" applyFill="1" applyBorder="1" applyAlignment="1">
      <alignment horizontal="center"/>
    </xf>
    <xf numFmtId="172" fontId="22" fillId="0" borderId="65" xfId="0" applyNumberFormat="1" applyFont="1" applyFill="1" applyBorder="1" applyAlignment="1">
      <alignment horizontal="center"/>
    </xf>
    <xf numFmtId="172" fontId="20" fillId="0" borderId="0" xfId="0" quotePrefix="1" applyNumberFormat="1" applyFont="1" applyFill="1" applyBorder="1"/>
    <xf numFmtId="172" fontId="22" fillId="0" borderId="66" xfId="0" applyNumberFormat="1" applyFont="1" applyFill="1" applyBorder="1" applyAlignment="1">
      <alignment horizontal="center"/>
    </xf>
    <xf numFmtId="166" fontId="22" fillId="0" borderId="26" xfId="1" applyNumberFormat="1" applyFont="1" applyFill="1" applyBorder="1" applyAlignment="1">
      <alignment horizontal="right"/>
    </xf>
    <xf numFmtId="166" fontId="22" fillId="0" borderId="23" xfId="1" applyNumberFormat="1" applyFont="1" applyFill="1" applyBorder="1"/>
    <xf numFmtId="166" fontId="20" fillId="0" borderId="26" xfId="1" applyNumberFormat="1" applyFont="1" applyFill="1" applyBorder="1" applyAlignment="1">
      <alignment horizontal="right"/>
    </xf>
    <xf numFmtId="44" fontId="22" fillId="0" borderId="23" xfId="2" applyFont="1" applyFill="1" applyBorder="1"/>
    <xf numFmtId="0" fontId="22" fillId="0" borderId="24" xfId="0" applyFont="1" applyFill="1" applyBorder="1"/>
    <xf numFmtId="165" fontId="22" fillId="0" borderId="0" xfId="2" applyNumberFormat="1" applyFont="1" applyBorder="1"/>
    <xf numFmtId="166" fontId="22" fillId="0" borderId="0" xfId="1" applyNumberFormat="1" applyFont="1" applyFill="1" applyBorder="1"/>
    <xf numFmtId="165" fontId="22" fillId="0" borderId="0" xfId="2" applyNumberFormat="1" applyFont="1" applyFill="1" applyBorder="1"/>
    <xf numFmtId="166" fontId="116" fillId="0" borderId="0" xfId="1" applyNumberFormat="1" applyFont="1" applyFill="1" applyBorder="1"/>
    <xf numFmtId="177" fontId="116" fillId="0" borderId="55" xfId="1" applyNumberFormat="1" applyFont="1" applyFill="1" applyBorder="1"/>
    <xf numFmtId="177" fontId="22" fillId="0" borderId="55" xfId="1" applyNumberFormat="1" applyFont="1" applyFill="1" applyBorder="1"/>
    <xf numFmtId="165" fontId="22" fillId="0" borderId="23" xfId="2" applyNumberFormat="1" applyFont="1" applyFill="1" applyBorder="1"/>
    <xf numFmtId="166" fontId="23" fillId="0" borderId="55" xfId="1" applyNumberFormat="1" applyFont="1" applyFill="1" applyBorder="1" applyAlignment="1"/>
    <xf numFmtId="0" fontId="117" fillId="0" borderId="0" xfId="0" applyFont="1" applyAlignment="1">
      <alignment horizontal="center" vertical="top"/>
    </xf>
    <xf numFmtId="0" fontId="114" fillId="0" borderId="0" xfId="0" applyFont="1" applyFill="1" applyAlignment="1">
      <alignment vertical="top"/>
    </xf>
    <xf numFmtId="0" fontId="22" fillId="0" borderId="0" xfId="0" applyFont="1" applyAlignment="1">
      <alignment horizontal="center" vertical="top"/>
    </xf>
    <xf numFmtId="0" fontId="114" fillId="0" borderId="0" xfId="190" applyFont="1" applyFill="1"/>
    <xf numFmtId="166" fontId="20" fillId="0" borderId="0" xfId="0" applyNumberFormat="1" applyFont="1" applyFill="1" applyBorder="1" applyAlignment="1" applyProtection="1"/>
    <xf numFmtId="8" fontId="22" fillId="0" borderId="0" xfId="1025" applyNumberFormat="1" applyFont="1" applyBorder="1"/>
    <xf numFmtId="8" fontId="22" fillId="0" borderId="9" xfId="1025" applyNumberFormat="1" applyFont="1" applyBorder="1"/>
    <xf numFmtId="0" fontId="22" fillId="0" borderId="0" xfId="1025" applyFont="1"/>
    <xf numFmtId="0" fontId="20" fillId="0" borderId="0" xfId="1025" applyFont="1"/>
    <xf numFmtId="0" fontId="22" fillId="0" borderId="0" xfId="1025" applyFont="1" applyAlignment="1">
      <alignment horizontal="center"/>
    </xf>
    <xf numFmtId="0" fontId="20" fillId="0" borderId="55" xfId="1025" applyFont="1" applyBorder="1" applyAlignment="1">
      <alignment horizontal="centerContinuous"/>
    </xf>
    <xf numFmtId="8" fontId="22" fillId="0" borderId="0" xfId="1025" applyNumberFormat="1" applyFont="1"/>
    <xf numFmtId="0" fontId="20" fillId="0" borderId="0" xfId="1025" applyFont="1" applyAlignment="1">
      <alignment horizontal="center"/>
    </xf>
    <xf numFmtId="8" fontId="20" fillId="0" borderId="55" xfId="1025" applyNumberFormat="1" applyFont="1" applyBorder="1" applyAlignment="1">
      <alignment horizontal="centerContinuous"/>
    </xf>
    <xf numFmtId="8" fontId="22" fillId="0" borderId="55" xfId="1025" applyNumberFormat="1" applyFont="1" applyBorder="1" applyAlignment="1">
      <alignment horizontal="centerContinuous"/>
    </xf>
    <xf numFmtId="8" fontId="29" fillId="0" borderId="0" xfId="1025" applyNumberFormat="1" applyFont="1" applyAlignment="1">
      <alignment horizontal="center"/>
    </xf>
    <xf numFmtId="169" fontId="29" fillId="0" borderId="0" xfId="1025" applyNumberFormat="1" applyFont="1" applyAlignment="1">
      <alignment horizontal="center"/>
    </xf>
    <xf numFmtId="0" fontId="29" fillId="0" borderId="0" xfId="1025" applyFont="1" applyAlignment="1">
      <alignment horizontal="center"/>
    </xf>
    <xf numFmtId="0" fontId="29" fillId="0" borderId="0" xfId="1025" applyFont="1" applyFill="1" applyBorder="1" applyAlignment="1">
      <alignment horizontal="center"/>
    </xf>
    <xf numFmtId="8" fontId="20" fillId="0" borderId="0" xfId="1025" applyNumberFormat="1" applyFont="1"/>
    <xf numFmtId="0" fontId="22" fillId="0" borderId="0" xfId="1025" applyFont="1" applyAlignment="1">
      <alignment horizontal="right"/>
    </xf>
    <xf numFmtId="0" fontId="22" fillId="0" borderId="26" xfId="0" applyFont="1" applyFill="1" applyBorder="1"/>
    <xf numFmtId="0" fontId="22" fillId="0" borderId="20" xfId="0" applyFont="1" applyFill="1" applyBorder="1"/>
    <xf numFmtId="166" fontId="20" fillId="0" borderId="0" xfId="1" applyNumberFormat="1" applyFont="1" applyFill="1"/>
    <xf numFmtId="166" fontId="20" fillId="0" borderId="0" xfId="1" applyNumberFormat="1" applyFont="1" applyFill="1" applyAlignment="1"/>
    <xf numFmtId="8" fontId="22" fillId="0" borderId="0" xfId="1026" applyNumberFormat="1" applyFont="1" applyBorder="1"/>
    <xf numFmtId="8" fontId="22" fillId="0" borderId="9" xfId="1026" applyNumberFormat="1" applyFont="1" applyBorder="1"/>
    <xf numFmtId="0" fontId="22" fillId="0" borderId="0" xfId="1026" applyFont="1"/>
    <xf numFmtId="0" fontId="20" fillId="0" borderId="0" xfId="1026" applyFont="1"/>
    <xf numFmtId="0" fontId="22" fillId="0" borderId="0" xfId="1026" applyFont="1" applyAlignment="1">
      <alignment horizontal="center"/>
    </xf>
    <xf numFmtId="0" fontId="20" fillId="0" borderId="55" xfId="1026" applyFont="1" applyBorder="1" applyAlignment="1">
      <alignment horizontal="centerContinuous"/>
    </xf>
    <xf numFmtId="8" fontId="22" fillId="0" borderId="0" xfId="1026" applyNumberFormat="1" applyFont="1"/>
    <xf numFmtId="0" fontId="20" fillId="0" borderId="0" xfId="1026" applyFont="1" applyAlignment="1">
      <alignment horizontal="center"/>
    </xf>
    <xf numFmtId="8" fontId="20" fillId="0" borderId="55" xfId="1026" applyNumberFormat="1" applyFont="1" applyBorder="1" applyAlignment="1">
      <alignment horizontal="centerContinuous"/>
    </xf>
    <xf numFmtId="8" fontId="22" fillId="0" borderId="55" xfId="1026" applyNumberFormat="1" applyFont="1" applyBorder="1" applyAlignment="1">
      <alignment horizontal="centerContinuous"/>
    </xf>
    <xf numFmtId="8" fontId="29" fillId="0" borderId="0" xfId="1026" applyNumberFormat="1" applyFont="1" applyAlignment="1">
      <alignment horizontal="center"/>
    </xf>
    <xf numFmtId="169" fontId="29" fillId="0" borderId="0" xfId="1026" applyNumberFormat="1" applyFont="1" applyAlignment="1">
      <alignment horizontal="center"/>
    </xf>
    <xf numFmtId="0" fontId="29" fillId="0" borderId="0" xfId="1026" applyFont="1" applyAlignment="1">
      <alignment horizontal="center"/>
    </xf>
    <xf numFmtId="0" fontId="29" fillId="0" borderId="0" xfId="1026" applyFont="1" applyFill="1" applyBorder="1" applyAlignment="1">
      <alignment horizontal="center"/>
    </xf>
    <xf numFmtId="8" fontId="20" fillId="0" borderId="0" xfId="1026" applyNumberFormat="1" applyFont="1"/>
    <xf numFmtId="0" fontId="22" fillId="0" borderId="0" xfId="1026" applyFont="1" applyAlignment="1">
      <alignment horizontal="right"/>
    </xf>
    <xf numFmtId="165" fontId="22" fillId="0" borderId="0" xfId="2" applyNumberFormat="1" applyFont="1" applyFill="1"/>
    <xf numFmtId="0" fontId="22" fillId="0" borderId="55" xfId="1018" applyFont="1" applyBorder="1" applyAlignment="1">
      <alignment horizontal="center"/>
    </xf>
    <xf numFmtId="0" fontId="22" fillId="0" borderId="0" xfId="1018" quotePrefix="1" applyFont="1" applyBorder="1" applyAlignment="1">
      <alignment horizontal="center"/>
    </xf>
    <xf numFmtId="0" fontId="22" fillId="0" borderId="0" xfId="1018" quotePrefix="1" applyNumberFormat="1" applyFont="1" applyFill="1" applyBorder="1" applyAlignment="1">
      <alignment horizontal="center"/>
    </xf>
    <xf numFmtId="0" fontId="22" fillId="0" borderId="0" xfId="1018" quotePrefix="1" applyNumberFormat="1" applyFont="1" applyBorder="1" applyAlignment="1">
      <alignment horizontal="center"/>
    </xf>
    <xf numFmtId="0" fontId="22" fillId="0" borderId="0" xfId="1018" quotePrefix="1" applyFont="1" applyBorder="1" applyAlignment="1">
      <alignment horizontal="left"/>
    </xf>
    <xf numFmtId="0" fontId="20" fillId="0" borderId="0" xfId="1018" applyFont="1" applyBorder="1" applyAlignment="1">
      <alignment horizontal="left" indent="1"/>
    </xf>
    <xf numFmtId="0" fontId="20" fillId="0" borderId="0" xfId="1018" applyFont="1" applyFill="1" applyBorder="1" applyAlignment="1">
      <alignment horizontal="left" indent="1"/>
    </xf>
    <xf numFmtId="166" fontId="115" fillId="0" borderId="0" xfId="925" applyNumberFormat="1" applyFont="1" applyFill="1" applyBorder="1"/>
    <xf numFmtId="0" fontId="20" fillId="0" borderId="0" xfId="1018" applyFont="1"/>
    <xf numFmtId="0" fontId="20" fillId="0" borderId="0" xfId="1018" applyFont="1" applyFill="1"/>
    <xf numFmtId="166" fontId="115" fillId="0" borderId="55" xfId="925" applyNumberFormat="1" applyFont="1" applyFill="1" applyBorder="1"/>
    <xf numFmtId="166" fontId="20" fillId="0" borderId="0" xfId="1018" applyNumberFormat="1" applyFont="1" applyFill="1" applyBorder="1" applyAlignment="1">
      <alignment horizontal="left" indent="1"/>
    </xf>
    <xf numFmtId="166" fontId="115" fillId="0" borderId="0" xfId="1" applyNumberFormat="1" applyFont="1" applyFill="1" applyBorder="1"/>
    <xf numFmtId="166" fontId="115" fillId="0" borderId="55" xfId="1" applyNumberFormat="1" applyFont="1" applyFill="1" applyBorder="1"/>
    <xf numFmtId="166" fontId="20" fillId="0" borderId="0" xfId="1018" applyNumberFormat="1" applyFont="1"/>
    <xf numFmtId="166" fontId="20" fillId="0" borderId="0" xfId="1018" applyNumberFormat="1" applyFont="1" applyFill="1"/>
    <xf numFmtId="0" fontId="22" fillId="0" borderId="0" xfId="1018" applyFont="1" applyFill="1" applyBorder="1" applyAlignment="1">
      <alignment horizontal="left" indent="2"/>
    </xf>
    <xf numFmtId="0" fontId="22" fillId="0" borderId="60" xfId="1018" applyFont="1" applyBorder="1"/>
    <xf numFmtId="179" fontId="22" fillId="0" borderId="0" xfId="1018" applyNumberFormat="1" applyFont="1" applyFill="1" applyBorder="1"/>
    <xf numFmtId="43" fontId="22" fillId="0" borderId="0" xfId="1018" applyNumberFormat="1" applyFont="1" applyFill="1" applyBorder="1"/>
    <xf numFmtId="0" fontId="22" fillId="0" borderId="57" xfId="1018" applyFont="1" applyBorder="1" applyAlignment="1">
      <alignment horizontal="center"/>
    </xf>
    <xf numFmtId="0" fontId="20" fillId="0" borderId="0" xfId="1018" applyFont="1" applyBorder="1"/>
    <xf numFmtId="166" fontId="22" fillId="0" borderId="0" xfId="1018" applyNumberFormat="1" applyFont="1" applyFill="1"/>
    <xf numFmtId="164" fontId="22" fillId="79" borderId="55" xfId="1017" quotePrefix="1" applyNumberFormat="1" applyFont="1" applyFill="1" applyBorder="1" applyAlignment="1">
      <alignment horizontal="center"/>
    </xf>
    <xf numFmtId="0" fontId="20" fillId="79" borderId="55" xfId="1017" applyFont="1" applyFill="1" applyBorder="1"/>
    <xf numFmtId="0" fontId="22" fillId="79" borderId="55" xfId="1017" applyFont="1" applyFill="1" applyBorder="1" applyAlignment="1">
      <alignment horizontal="center"/>
    </xf>
    <xf numFmtId="0" fontId="22" fillId="0" borderId="0" xfId="1017" applyFont="1" applyBorder="1" applyAlignment="1">
      <alignment horizontal="center"/>
    </xf>
    <xf numFmtId="0" fontId="22" fillId="0" borderId="0" xfId="1017" applyFont="1" applyFill="1" applyBorder="1" applyAlignment="1">
      <alignment horizontal="center"/>
    </xf>
    <xf numFmtId="0" fontId="22" fillId="0" borderId="0" xfId="1017" applyFont="1" applyBorder="1"/>
    <xf numFmtId="0" fontId="20" fillId="0" borderId="0" xfId="1017" applyFont="1" applyBorder="1" applyAlignment="1">
      <alignment horizontal="left" indent="1"/>
    </xf>
    <xf numFmtId="0" fontId="20" fillId="0" borderId="0" xfId="1017" applyFont="1" applyFill="1" applyBorder="1" applyAlignment="1">
      <alignment horizontal="left" indent="1"/>
    </xf>
    <xf numFmtId="0" fontId="20" fillId="0" borderId="0" xfId="190" applyFont="1" applyFill="1" applyBorder="1"/>
    <xf numFmtId="0" fontId="20" fillId="0" borderId="0" xfId="1018" applyFont="1" applyFill="1" applyBorder="1" applyAlignment="1">
      <alignment horizontal="left" indent="2"/>
    </xf>
    <xf numFmtId="0" fontId="22" fillId="0" borderId="0" xfId="190" applyFont="1" applyFill="1" applyBorder="1"/>
    <xf numFmtId="0" fontId="22" fillId="0" borderId="0" xfId="190" applyFont="1" applyFill="1" applyBorder="1" applyAlignment="1">
      <alignment horizontal="left" indent="1"/>
    </xf>
    <xf numFmtId="0" fontId="20" fillId="0" borderId="0" xfId="0" applyFont="1" applyFill="1" applyBorder="1" applyAlignment="1">
      <alignment horizontal="left" indent="1"/>
    </xf>
    <xf numFmtId="0" fontId="22" fillId="0" borderId="0" xfId="190" applyFont="1" applyFill="1" applyBorder="1" applyAlignment="1"/>
    <xf numFmtId="0" fontId="22" fillId="0" borderId="60" xfId="1017" applyFont="1" applyFill="1" applyBorder="1"/>
    <xf numFmtId="0" fontId="22" fillId="0" borderId="0" xfId="1017" applyFont="1" applyFill="1" applyBorder="1" applyAlignment="1">
      <alignment horizontal="left" indent="1"/>
    </xf>
    <xf numFmtId="0" fontId="20" fillId="0" borderId="0" xfId="1017" applyFont="1" applyAlignment="1">
      <alignment horizontal="left" indent="1"/>
    </xf>
    <xf numFmtId="0" fontId="22" fillId="0" borderId="57" xfId="1017" applyFont="1" applyFill="1" applyBorder="1" applyAlignment="1">
      <alignment horizontal="left" indent="2"/>
    </xf>
    <xf numFmtId="166" fontId="20" fillId="0" borderId="55" xfId="1" applyNumberFormat="1" applyFont="1" applyFill="1" applyBorder="1"/>
    <xf numFmtId="41" fontId="20" fillId="0" borderId="0" xfId="1017" applyNumberFormat="1" applyFont="1" applyFill="1"/>
    <xf numFmtId="166" fontId="123" fillId="0" borderId="0" xfId="1" applyNumberFormat="1" applyFont="1" applyFill="1" applyBorder="1"/>
    <xf numFmtId="166" fontId="22" fillId="0" borderId="0" xfId="1" applyNumberFormat="1" applyFont="1" applyBorder="1"/>
    <xf numFmtId="166" fontId="23" fillId="0" borderId="0" xfId="1" applyNumberFormat="1" applyFont="1" applyBorder="1"/>
    <xf numFmtId="165" fontId="20" fillId="0" borderId="0" xfId="2" applyNumberFormat="1" applyFont="1" applyBorder="1"/>
    <xf numFmtId="166" fontId="22" fillId="0" borderId="15" xfId="190" applyNumberFormat="1" applyFont="1" applyFill="1" applyBorder="1" applyAlignment="1" applyProtection="1"/>
    <xf numFmtId="166" fontId="20" fillId="0" borderId="0" xfId="1" applyNumberFormat="1" applyFont="1" applyBorder="1"/>
    <xf numFmtId="166" fontId="22" fillId="0" borderId="59" xfId="190" applyNumberFormat="1" applyFont="1" applyFill="1" applyBorder="1" applyAlignment="1" applyProtection="1"/>
    <xf numFmtId="166" fontId="26" fillId="0" borderId="0" xfId="1" applyNumberFormat="1" applyFont="1" applyBorder="1"/>
    <xf numFmtId="166" fontId="22" fillId="0" borderId="59" xfId="1" applyNumberFormat="1" applyFont="1" applyBorder="1"/>
    <xf numFmtId="165" fontId="22" fillId="0" borderId="60" xfId="2" applyNumberFormat="1" applyFont="1" applyBorder="1"/>
    <xf numFmtId="166" fontId="22" fillId="0" borderId="0" xfId="1017" applyNumberFormat="1" applyFont="1" applyBorder="1"/>
    <xf numFmtId="166" fontId="20" fillId="0" borderId="0" xfId="1017" applyNumberFormat="1" applyFont="1" applyBorder="1"/>
    <xf numFmtId="0" fontId="20" fillId="0" borderId="0" xfId="1017" applyFont="1" applyBorder="1"/>
    <xf numFmtId="0" fontId="20" fillId="0" borderId="0" xfId="1017" applyFont="1" applyFill="1" applyBorder="1"/>
    <xf numFmtId="166" fontId="22" fillId="0" borderId="0" xfId="1017" applyNumberFormat="1" applyFont="1" applyFill="1" applyBorder="1"/>
    <xf numFmtId="166" fontId="20" fillId="0" borderId="0" xfId="1017" applyNumberFormat="1" applyFont="1" applyFill="1" applyBorder="1"/>
    <xf numFmtId="166" fontId="20" fillId="0" borderId="57" xfId="1017" applyNumberFormat="1" applyFont="1" applyFill="1" applyBorder="1"/>
    <xf numFmtId="43" fontId="20" fillId="0" borderId="0" xfId="1017" applyNumberFormat="1" applyFont="1" applyFill="1" applyBorder="1"/>
    <xf numFmtId="0" fontId="119" fillId="0" borderId="0" xfId="1017" applyFont="1" applyFill="1" applyAlignment="1">
      <alignment horizontal="right" vertical="top"/>
    </xf>
    <xf numFmtId="0" fontId="119" fillId="0" borderId="0" xfId="1017" quotePrefix="1" applyFont="1" applyFill="1" applyAlignment="1">
      <alignment horizontal="right" vertical="top"/>
    </xf>
    <xf numFmtId="0" fontId="20" fillId="0" borderId="0" xfId="1017" applyFont="1"/>
    <xf numFmtId="0" fontId="119" fillId="0" borderId="0" xfId="1017" applyFont="1" applyFill="1" applyAlignment="1">
      <alignment vertical="top"/>
    </xf>
    <xf numFmtId="169" fontId="20" fillId="0" borderId="0" xfId="1021" applyNumberFormat="1" applyFont="1"/>
    <xf numFmtId="0" fontId="22" fillId="0" borderId="0" xfId="1021" applyFont="1" applyAlignment="1">
      <alignment horizontal="left"/>
    </xf>
    <xf numFmtId="17" fontId="22" fillId="0" borderId="0" xfId="1021" applyNumberFormat="1" applyFont="1"/>
    <xf numFmtId="0" fontId="68" fillId="0" borderId="12" xfId="1021" applyFont="1" applyBorder="1"/>
    <xf numFmtId="8" fontId="68" fillId="0" borderId="0" xfId="1021" applyNumberFormat="1" applyFont="1" applyBorder="1"/>
    <xf numFmtId="8" fontId="68" fillId="0" borderId="13" xfId="1021" applyNumberFormat="1" applyFont="1" applyBorder="1"/>
    <xf numFmtId="169" fontId="68" fillId="0" borderId="13" xfId="1021" applyNumberFormat="1" applyFont="1" applyBorder="1"/>
    <xf numFmtId="0" fontId="68" fillId="0" borderId="16" xfId="1021" applyFont="1" applyFill="1" applyBorder="1"/>
    <xf numFmtId="8" fontId="68" fillId="0" borderId="14" xfId="1021" applyNumberFormat="1" applyFont="1" applyBorder="1"/>
    <xf numFmtId="8" fontId="68" fillId="0" borderId="17" xfId="1021" applyNumberFormat="1" applyFont="1" applyBorder="1"/>
    <xf numFmtId="0" fontId="68" fillId="0" borderId="0" xfId="1021" applyFont="1"/>
    <xf numFmtId="8" fontId="68" fillId="0" borderId="55" xfId="1021" applyNumberFormat="1" applyFont="1" applyBorder="1" applyAlignment="1">
      <alignment horizontal="centerContinuous"/>
    </xf>
    <xf numFmtId="169" fontId="68" fillId="0" borderId="55" xfId="1021" applyNumberFormat="1" applyFont="1" applyBorder="1" applyAlignment="1">
      <alignment horizontal="centerContinuous"/>
    </xf>
    <xf numFmtId="0" fontId="68" fillId="0" borderId="55" xfId="1021" applyFont="1" applyBorder="1" applyAlignment="1">
      <alignment horizontal="centerContinuous"/>
    </xf>
    <xf numFmtId="0" fontId="68" fillId="0" borderId="0" xfId="1021" applyFont="1" applyBorder="1" applyAlignment="1">
      <alignment horizontal="centerContinuous"/>
    </xf>
    <xf numFmtId="0" fontId="68" fillId="0" borderId="0" xfId="1021" applyFont="1" applyAlignment="1">
      <alignment horizontal="center"/>
    </xf>
    <xf numFmtId="14" fontId="68" fillId="0" borderId="0" xfId="1021" applyNumberFormat="1" applyFont="1"/>
    <xf numFmtId="8" fontId="68" fillId="0" borderId="0" xfId="1021" applyNumberFormat="1" applyFont="1"/>
    <xf numFmtId="169" fontId="68" fillId="0" borderId="0" xfId="1021" applyNumberFormat="1" applyFont="1"/>
    <xf numFmtId="173" fontId="68" fillId="0" borderId="0" xfId="1021" applyNumberFormat="1" applyFont="1" applyFill="1" applyBorder="1" applyProtection="1">
      <protection locked="0"/>
    </xf>
    <xf numFmtId="169" fontId="68" fillId="0" borderId="0" xfId="1021" applyNumberFormat="1" applyFont="1" applyFill="1" applyBorder="1" applyProtection="1">
      <protection locked="0"/>
    </xf>
    <xf numFmtId="8" fontId="68" fillId="0" borderId="15" xfId="1021" applyNumberFormat="1" applyFont="1" applyBorder="1"/>
    <xf numFmtId="169" fontId="68" fillId="0" borderId="0" xfId="1021" applyNumberFormat="1" applyFont="1" applyBorder="1"/>
    <xf numFmtId="169" fontId="68" fillId="0" borderId="10" xfId="1021" applyNumberFormat="1" applyFont="1" applyBorder="1"/>
    <xf numFmtId="0" fontId="68" fillId="0" borderId="11" xfId="1021" applyFont="1" applyBorder="1"/>
    <xf numFmtId="0" fontId="68" fillId="0" borderId="0" xfId="1021" applyFont="1" applyBorder="1"/>
    <xf numFmtId="8" fontId="22" fillId="0" borderId="0" xfId="1021" applyNumberFormat="1" applyFont="1" applyAlignment="1">
      <alignment horizontal="center"/>
    </xf>
    <xf numFmtId="0" fontId="68" fillId="0" borderId="0" xfId="1021" applyFont="1" applyFill="1" applyBorder="1"/>
    <xf numFmtId="4" fontId="68" fillId="0" borderId="0" xfId="1021" applyNumberFormat="1" applyFont="1"/>
    <xf numFmtId="3" fontId="68" fillId="0" borderId="0" xfId="1021" applyNumberFormat="1" applyFont="1" applyProtection="1"/>
    <xf numFmtId="169" fontId="20" fillId="0" borderId="0" xfId="1022" applyNumberFormat="1" applyFont="1"/>
    <xf numFmtId="0" fontId="22" fillId="0" borderId="0" xfId="1022" applyFont="1" applyAlignment="1">
      <alignment horizontal="left"/>
    </xf>
    <xf numFmtId="8" fontId="22" fillId="0" borderId="0" xfId="1022" applyNumberFormat="1" applyFont="1" applyAlignment="1">
      <alignment horizontal="center"/>
    </xf>
    <xf numFmtId="0" fontId="68" fillId="0" borderId="0" xfId="1022" applyFont="1" applyBorder="1"/>
    <xf numFmtId="8" fontId="68" fillId="0" borderId="0" xfId="1022" applyNumberFormat="1" applyFont="1" applyBorder="1"/>
    <xf numFmtId="17" fontId="22" fillId="0" borderId="0" xfId="1022" applyNumberFormat="1" applyFont="1"/>
    <xf numFmtId="8" fontId="68" fillId="0" borderId="0" xfId="1022" applyNumberFormat="1" applyFont="1"/>
    <xf numFmtId="169" fontId="68" fillId="0" borderId="0" xfId="1022" applyNumberFormat="1" applyFont="1"/>
    <xf numFmtId="0" fontId="68" fillId="0" borderId="0" xfId="1022" applyFont="1"/>
    <xf numFmtId="169" fontId="68" fillId="0" borderId="10" xfId="1022" applyNumberFormat="1" applyFont="1" applyBorder="1"/>
    <xf numFmtId="0" fontId="68" fillId="0" borderId="11" xfId="1022" applyFont="1" applyBorder="1"/>
    <xf numFmtId="0" fontId="68" fillId="0" borderId="12" xfId="1022" applyFont="1" applyBorder="1"/>
    <xf numFmtId="8" fontId="68" fillId="0" borderId="13" xfId="1022" applyNumberFormat="1" applyFont="1" applyBorder="1"/>
    <xf numFmtId="169" fontId="68" fillId="0" borderId="0" xfId="1022" applyNumberFormat="1" applyFont="1" applyBorder="1"/>
    <xf numFmtId="0" fontId="68" fillId="0" borderId="0" xfId="1022" applyFont="1" applyFill="1" applyBorder="1"/>
    <xf numFmtId="169" fontId="68" fillId="0" borderId="13" xfId="1022" applyNumberFormat="1" applyFont="1" applyBorder="1"/>
    <xf numFmtId="0" fontId="68" fillId="0" borderId="16" xfId="1022" applyFont="1" applyFill="1" applyBorder="1"/>
    <xf numFmtId="8" fontId="68" fillId="0" borderId="14" xfId="1022" applyNumberFormat="1" applyFont="1" applyBorder="1"/>
    <xf numFmtId="8" fontId="68" fillId="0" borderId="17" xfId="1022" applyNumberFormat="1" applyFont="1" applyBorder="1"/>
    <xf numFmtId="0" fontId="68" fillId="0" borderId="55" xfId="1022" applyFont="1" applyBorder="1" applyAlignment="1">
      <alignment horizontal="centerContinuous"/>
    </xf>
    <xf numFmtId="0" fontId="68" fillId="0" borderId="0" xfId="1022" applyFont="1" applyBorder="1" applyAlignment="1">
      <alignment horizontal="centerContinuous"/>
    </xf>
    <xf numFmtId="0" fontId="68" fillId="0" borderId="0" xfId="1022" applyFont="1" applyAlignment="1">
      <alignment horizontal="center"/>
    </xf>
    <xf numFmtId="8" fontId="68" fillId="0" borderId="55" xfId="1022" applyNumberFormat="1" applyFont="1" applyBorder="1" applyAlignment="1">
      <alignment horizontal="centerContinuous"/>
    </xf>
    <xf numFmtId="169" fontId="68" fillId="0" borderId="55" xfId="1022" applyNumberFormat="1" applyFont="1" applyBorder="1" applyAlignment="1">
      <alignment horizontal="centerContinuous"/>
    </xf>
    <xf numFmtId="14" fontId="68" fillId="0" borderId="0" xfId="1022" applyNumberFormat="1" applyFont="1"/>
    <xf numFmtId="173" fontId="68" fillId="0" borderId="0" xfId="1022" applyNumberFormat="1" applyFont="1" applyFill="1" applyBorder="1" applyProtection="1">
      <protection locked="0"/>
    </xf>
    <xf numFmtId="169" fontId="68" fillId="0" borderId="0" xfId="1022" applyNumberFormat="1" applyFont="1" applyFill="1" applyBorder="1" applyProtection="1">
      <protection locked="0"/>
    </xf>
    <xf numFmtId="4" fontId="68" fillId="0" borderId="0" xfId="1022" applyNumberFormat="1" applyFont="1"/>
    <xf numFmtId="8" fontId="68" fillId="0" borderId="15" xfId="1022" applyNumberFormat="1" applyFont="1" applyBorder="1"/>
    <xf numFmtId="169" fontId="20" fillId="0" borderId="0" xfId="1023" applyNumberFormat="1" applyFont="1"/>
    <xf numFmtId="0" fontId="22" fillId="0" borderId="0" xfId="1023" applyFont="1" applyAlignment="1">
      <alignment horizontal="left"/>
    </xf>
    <xf numFmtId="0" fontId="68" fillId="0" borderId="0" xfId="1023" applyFont="1" applyBorder="1"/>
    <xf numFmtId="8" fontId="68" fillId="0" borderId="0" xfId="1023" applyNumberFormat="1" applyFont="1" applyBorder="1"/>
    <xf numFmtId="17" fontId="22" fillId="0" borderId="0" xfId="1023" applyNumberFormat="1" applyFont="1"/>
    <xf numFmtId="8" fontId="68" fillId="0" borderId="0" xfId="1023" applyNumberFormat="1" applyFont="1"/>
    <xf numFmtId="169" fontId="68" fillId="0" borderId="0" xfId="1023" applyNumberFormat="1" applyFont="1"/>
    <xf numFmtId="0" fontId="68" fillId="0" borderId="0" xfId="1023" applyFont="1"/>
    <xf numFmtId="169" fontId="68" fillId="0" borderId="10" xfId="1023" applyNumberFormat="1" applyFont="1" applyBorder="1"/>
    <xf numFmtId="0" fontId="68" fillId="0" borderId="11" xfId="1023" applyFont="1" applyBorder="1"/>
    <xf numFmtId="0" fontId="68" fillId="0" borderId="12" xfId="1023" applyFont="1" applyBorder="1"/>
    <xf numFmtId="8" fontId="68" fillId="0" borderId="13" xfId="1023" applyNumberFormat="1" applyFont="1" applyBorder="1"/>
    <xf numFmtId="169" fontId="68" fillId="0" borderId="0" xfId="1023" applyNumberFormat="1" applyFont="1" applyBorder="1"/>
    <xf numFmtId="8" fontId="22" fillId="0" borderId="0" xfId="1023" applyNumberFormat="1" applyFont="1" applyAlignment="1">
      <alignment horizontal="center"/>
    </xf>
    <xf numFmtId="0" fontId="68" fillId="0" borderId="0" xfId="1023" applyFont="1" applyFill="1" applyBorder="1"/>
    <xf numFmtId="169" fontId="68" fillId="0" borderId="13" xfId="1023" applyNumberFormat="1" applyFont="1" applyBorder="1"/>
    <xf numFmtId="0" fontId="68" fillId="0" borderId="16" xfId="1023" applyFont="1" applyFill="1" applyBorder="1"/>
    <xf numFmtId="8" fontId="68" fillId="0" borderId="14" xfId="1023" applyNumberFormat="1" applyFont="1" applyBorder="1"/>
    <xf numFmtId="8" fontId="68" fillId="0" borderId="17" xfId="1023" applyNumberFormat="1" applyFont="1" applyBorder="1"/>
    <xf numFmtId="0" fontId="68" fillId="0" borderId="55" xfId="1023" applyFont="1" applyBorder="1" applyAlignment="1">
      <alignment horizontal="centerContinuous"/>
    </xf>
    <xf numFmtId="0" fontId="68" fillId="0" borderId="0" xfId="1023" applyFont="1" applyBorder="1" applyAlignment="1">
      <alignment horizontal="centerContinuous"/>
    </xf>
    <xf numFmtId="0" fontId="68" fillId="0" borderId="0" xfId="1023" applyFont="1" applyAlignment="1">
      <alignment horizontal="center"/>
    </xf>
    <xf numFmtId="8" fontId="68" fillId="0" borderId="55" xfId="1023" applyNumberFormat="1" applyFont="1" applyBorder="1" applyAlignment="1">
      <alignment horizontal="centerContinuous"/>
    </xf>
    <xf numFmtId="169" fontId="68" fillId="0" borderId="55" xfId="1023" applyNumberFormat="1" applyFont="1" applyBorder="1" applyAlignment="1">
      <alignment horizontal="centerContinuous"/>
    </xf>
    <xf numFmtId="14" fontId="68" fillId="0" borderId="0" xfId="1023" applyNumberFormat="1" applyFont="1"/>
    <xf numFmtId="173" fontId="68" fillId="0" borderId="0" xfId="1023" applyNumberFormat="1" applyFont="1" applyFill="1" applyBorder="1" applyProtection="1">
      <protection locked="0"/>
    </xf>
    <xf numFmtId="169" fontId="68" fillId="0" borderId="0" xfId="1023" applyNumberFormat="1" applyFont="1" applyFill="1" applyBorder="1" applyProtection="1">
      <protection locked="0"/>
    </xf>
    <xf numFmtId="8" fontId="68" fillId="0" borderId="15" xfId="1023" applyNumberFormat="1" applyFont="1" applyBorder="1"/>
    <xf numFmtId="4" fontId="68" fillId="0" borderId="0" xfId="1023" applyNumberFormat="1" applyFont="1"/>
    <xf numFmtId="169" fontId="20" fillId="0" borderId="0" xfId="1025" applyNumberFormat="1" applyFont="1"/>
    <xf numFmtId="0" fontId="22" fillId="0" borderId="0" xfId="1025" applyFont="1" applyAlignment="1">
      <alignment horizontal="left"/>
    </xf>
    <xf numFmtId="0" fontId="68" fillId="0" borderId="0" xfId="1025" applyFont="1" applyBorder="1"/>
    <xf numFmtId="8" fontId="68" fillId="0" borderId="0" xfId="1025" applyNumberFormat="1" applyFont="1" applyBorder="1"/>
    <xf numFmtId="17" fontId="22" fillId="0" borderId="0" xfId="1025" applyNumberFormat="1" applyFont="1"/>
    <xf numFmtId="8" fontId="68" fillId="0" borderId="0" xfId="1025" applyNumberFormat="1" applyFont="1"/>
    <xf numFmtId="169" fontId="68" fillId="0" borderId="0" xfId="1025" applyNumberFormat="1" applyFont="1"/>
    <xf numFmtId="0" fontId="68" fillId="0" borderId="0" xfId="1025" applyFont="1"/>
    <xf numFmtId="169" fontId="68" fillId="0" borderId="10" xfId="1025" applyNumberFormat="1" applyFont="1" applyBorder="1"/>
    <xf numFmtId="0" fontId="68" fillId="0" borderId="11" xfId="1025" applyFont="1" applyBorder="1"/>
    <xf numFmtId="0" fontId="68" fillId="0" borderId="12" xfId="1025" applyFont="1" applyBorder="1"/>
    <xf numFmtId="8" fontId="68" fillId="0" borderId="13" xfId="1025" applyNumberFormat="1" applyFont="1" applyBorder="1"/>
    <xf numFmtId="169" fontId="68" fillId="0" borderId="0" xfId="1025" applyNumberFormat="1" applyFont="1" applyBorder="1"/>
    <xf numFmtId="8" fontId="22" fillId="0" borderId="0" xfId="1025" applyNumberFormat="1" applyFont="1" applyAlignment="1">
      <alignment horizontal="center"/>
    </xf>
    <xf numFmtId="0" fontId="68" fillId="0" borderId="0" xfId="1025" applyFont="1" applyFill="1" applyBorder="1"/>
    <xf numFmtId="169" fontId="68" fillId="0" borderId="13" xfId="1025" applyNumberFormat="1" applyFont="1" applyBorder="1"/>
    <xf numFmtId="0" fontId="68" fillId="0" borderId="16" xfId="1025" applyFont="1" applyFill="1" applyBorder="1"/>
    <xf numFmtId="8" fontId="68" fillId="0" borderId="14" xfId="1025" applyNumberFormat="1" applyFont="1" applyBorder="1"/>
    <xf numFmtId="8" fontId="68" fillId="0" borderId="17" xfId="1025" applyNumberFormat="1" applyFont="1" applyBorder="1"/>
    <xf numFmtId="0" fontId="68" fillId="0" borderId="55" xfId="1025" applyFont="1" applyBorder="1" applyAlignment="1">
      <alignment horizontal="centerContinuous"/>
    </xf>
    <xf numFmtId="0" fontId="68" fillId="0" borderId="0" xfId="1025" applyFont="1" applyBorder="1" applyAlignment="1">
      <alignment horizontal="centerContinuous"/>
    </xf>
    <xf numFmtId="0" fontId="68" fillId="0" borderId="0" xfId="1025" applyFont="1" applyAlignment="1">
      <alignment horizontal="center"/>
    </xf>
    <xf numFmtId="8" fontId="68" fillId="0" borderId="55" xfId="1025" applyNumberFormat="1" applyFont="1" applyBorder="1" applyAlignment="1">
      <alignment horizontal="centerContinuous"/>
    </xf>
    <xf numFmtId="169" fontId="68" fillId="0" borderId="55" xfId="1025" applyNumberFormat="1" applyFont="1" applyBorder="1" applyAlignment="1">
      <alignment horizontal="centerContinuous"/>
    </xf>
    <xf numFmtId="14" fontId="68" fillId="0" borderId="0" xfId="1025" applyNumberFormat="1" applyFont="1"/>
    <xf numFmtId="173" fontId="68" fillId="0" borderId="0" xfId="1025" applyNumberFormat="1" applyFont="1" applyFill="1" applyBorder="1" applyProtection="1">
      <protection locked="0"/>
    </xf>
    <xf numFmtId="169" fontId="68" fillId="0" borderId="0" xfId="1025" applyNumberFormat="1" applyFont="1" applyFill="1" applyBorder="1" applyProtection="1">
      <protection locked="0"/>
    </xf>
    <xf numFmtId="8" fontId="68" fillId="0" borderId="15" xfId="1025" applyNumberFormat="1" applyFont="1" applyBorder="1"/>
    <xf numFmtId="4" fontId="68" fillId="0" borderId="0" xfId="1025" applyNumberFormat="1" applyFont="1"/>
    <xf numFmtId="169" fontId="20" fillId="0" borderId="0" xfId="1026" applyNumberFormat="1" applyFont="1"/>
    <xf numFmtId="0" fontId="22" fillId="0" borderId="0" xfId="1026" applyFont="1" applyAlignment="1">
      <alignment horizontal="left"/>
    </xf>
    <xf numFmtId="0" fontId="68" fillId="0" borderId="0" xfId="1026" applyFont="1" applyBorder="1"/>
    <xf numFmtId="8" fontId="68" fillId="0" borderId="0" xfId="1026" applyNumberFormat="1" applyFont="1" applyBorder="1"/>
    <xf numFmtId="17" fontId="22" fillId="0" borderId="0" xfId="1026" applyNumberFormat="1" applyFont="1"/>
    <xf numFmtId="8" fontId="68" fillId="0" borderId="0" xfId="1026" applyNumberFormat="1" applyFont="1"/>
    <xf numFmtId="169" fontId="68" fillId="0" borderId="0" xfId="1026" applyNumberFormat="1" applyFont="1"/>
    <xf numFmtId="0" fontId="68" fillId="0" borderId="0" xfId="1026" applyFont="1"/>
    <xf numFmtId="169" fontId="68" fillId="0" borderId="10" xfId="1026" applyNumberFormat="1" applyFont="1" applyBorder="1"/>
    <xf numFmtId="0" fontId="68" fillId="0" borderId="11" xfId="1026" applyFont="1" applyBorder="1"/>
    <xf numFmtId="0" fontId="68" fillId="0" borderId="12" xfId="1026" applyFont="1" applyBorder="1"/>
    <xf numFmtId="8" fontId="68" fillId="0" borderId="13" xfId="1026" applyNumberFormat="1" applyFont="1" applyBorder="1"/>
    <xf numFmtId="169" fontId="68" fillId="0" borderId="0" xfId="1026" applyNumberFormat="1" applyFont="1" applyBorder="1"/>
    <xf numFmtId="8" fontId="22" fillId="0" borderId="0" xfId="1026" applyNumberFormat="1" applyFont="1" applyAlignment="1">
      <alignment horizontal="center"/>
    </xf>
    <xf numFmtId="0" fontId="68" fillId="0" borderId="0" xfId="1026" applyFont="1" applyFill="1" applyBorder="1"/>
    <xf numFmtId="169" fontId="68" fillId="0" borderId="13" xfId="1026" applyNumberFormat="1" applyFont="1" applyBorder="1"/>
    <xf numFmtId="0" fontId="68" fillId="0" borderId="16" xfId="1026" applyFont="1" applyFill="1" applyBorder="1"/>
    <xf numFmtId="8" fontId="68" fillId="0" borderId="14" xfId="1026" applyNumberFormat="1" applyFont="1" applyBorder="1"/>
    <xf numFmtId="8" fontId="68" fillId="0" borderId="17" xfId="1026" applyNumberFormat="1" applyFont="1" applyBorder="1"/>
    <xf numFmtId="0" fontId="68" fillId="0" borderId="55" xfId="1026" applyFont="1" applyBorder="1" applyAlignment="1">
      <alignment horizontal="centerContinuous"/>
    </xf>
    <xf numFmtId="0" fontId="68" fillId="0" borderId="0" xfId="1026" applyFont="1" applyBorder="1" applyAlignment="1">
      <alignment horizontal="centerContinuous"/>
    </xf>
    <xf numFmtId="0" fontId="68" fillId="0" borderId="0" xfId="1026" applyFont="1" applyAlignment="1">
      <alignment horizontal="center"/>
    </xf>
    <xf numFmtId="8" fontId="68" fillId="0" borderId="55" xfId="1026" applyNumberFormat="1" applyFont="1" applyBorder="1" applyAlignment="1">
      <alignment horizontal="centerContinuous"/>
    </xf>
    <xf numFmtId="169" fontId="68" fillId="0" borderId="55" xfId="1026" applyNumberFormat="1" applyFont="1" applyBorder="1" applyAlignment="1">
      <alignment horizontal="centerContinuous"/>
    </xf>
    <xf numFmtId="14" fontId="68" fillId="0" borderId="0" xfId="1026" applyNumberFormat="1" applyFont="1"/>
    <xf numFmtId="173" fontId="68" fillId="0" borderId="0" xfId="1026" applyNumberFormat="1" applyFont="1" applyFill="1" applyBorder="1" applyProtection="1">
      <protection locked="0"/>
    </xf>
    <xf numFmtId="169" fontId="68" fillId="0" borderId="0" xfId="1026" applyNumberFormat="1" applyFont="1" applyFill="1" applyBorder="1" applyProtection="1">
      <protection locked="0"/>
    </xf>
    <xf numFmtId="4" fontId="68" fillId="0" borderId="0" xfId="1026" applyNumberFormat="1" applyFont="1"/>
    <xf numFmtId="8" fontId="68" fillId="0" borderId="15" xfId="1026" applyNumberFormat="1" applyFont="1" applyBorder="1"/>
    <xf numFmtId="172" fontId="22" fillId="79" borderId="64" xfId="0" applyNumberFormat="1" applyFont="1" applyFill="1" applyBorder="1" applyAlignment="1">
      <alignment horizontal="centerContinuous"/>
    </xf>
    <xf numFmtId="172" fontId="22" fillId="79" borderId="15" xfId="0" quotePrefix="1" applyNumberFormat="1" applyFont="1" applyFill="1" applyBorder="1" applyAlignment="1">
      <alignment horizontal="centerContinuous"/>
    </xf>
    <xf numFmtId="172" fontId="22" fillId="79" borderId="15" xfId="0" applyNumberFormat="1" applyFont="1" applyFill="1" applyBorder="1" applyAlignment="1">
      <alignment horizontal="centerContinuous"/>
    </xf>
    <xf numFmtId="166" fontId="20" fillId="0" borderId="26" xfId="0" applyNumberFormat="1" applyFont="1" applyFill="1" applyBorder="1" applyAlignment="1" applyProtection="1"/>
    <xf numFmtId="0" fontId="20" fillId="0" borderId="0" xfId="0" applyFont="1" applyBorder="1"/>
    <xf numFmtId="166" fontId="20" fillId="0" borderId="0" xfId="190" applyNumberFormat="1" applyFont="1" applyFill="1" applyBorder="1" applyAlignment="1" applyProtection="1"/>
    <xf numFmtId="166" fontId="20" fillId="0" borderId="55" xfId="190" applyNumberFormat="1" applyFont="1" applyFill="1" applyBorder="1" applyAlignment="1" applyProtection="1"/>
    <xf numFmtId="0" fontId="20" fillId="0" borderId="4" xfId="0" applyFont="1" applyFill="1" applyBorder="1"/>
    <xf numFmtId="0" fontId="20" fillId="0" borderId="56" xfId="0" applyFont="1" applyFill="1" applyBorder="1" applyAlignment="1">
      <alignment horizontal="left"/>
    </xf>
    <xf numFmtId="8" fontId="22" fillId="0" borderId="0" xfId="1027" applyNumberFormat="1" applyFont="1" applyBorder="1"/>
    <xf numFmtId="8" fontId="22" fillId="0" borderId="9" xfId="1027" applyNumberFormat="1" applyFont="1" applyBorder="1"/>
    <xf numFmtId="0" fontId="22" fillId="0" borderId="0" xfId="1027" applyFont="1"/>
    <xf numFmtId="0" fontId="20" fillId="0" borderId="0" xfId="1027" applyFont="1"/>
    <xf numFmtId="0" fontId="22" fillId="0" borderId="0" xfId="1027" applyFont="1" applyAlignment="1">
      <alignment horizontal="center"/>
    </xf>
    <xf numFmtId="0" fontId="20" fillId="0" borderId="55" xfId="1027" applyFont="1" applyBorder="1" applyAlignment="1">
      <alignment horizontal="centerContinuous"/>
    </xf>
    <xf numFmtId="8" fontId="22" fillId="0" borderId="0" xfId="1027" applyNumberFormat="1" applyFont="1"/>
    <xf numFmtId="0" fontId="20" fillId="0" borderId="0" xfId="1027" applyFont="1" applyAlignment="1">
      <alignment horizontal="center"/>
    </xf>
    <xf numFmtId="8" fontId="20" fillId="0" borderId="55" xfId="1027" applyNumberFormat="1" applyFont="1" applyBorder="1" applyAlignment="1">
      <alignment horizontal="centerContinuous"/>
    </xf>
    <xf numFmtId="8" fontId="22" fillId="0" borderId="55" xfId="1027" applyNumberFormat="1" applyFont="1" applyBorder="1" applyAlignment="1">
      <alignment horizontal="centerContinuous"/>
    </xf>
    <xf numFmtId="8" fontId="29" fillId="0" borderId="0" xfId="1027" applyNumberFormat="1" applyFont="1" applyAlignment="1">
      <alignment horizontal="center"/>
    </xf>
    <xf numFmtId="169" fontId="29" fillId="0" borderId="0" xfId="1027" applyNumberFormat="1" applyFont="1" applyAlignment="1">
      <alignment horizontal="center"/>
    </xf>
    <xf numFmtId="0" fontId="29" fillId="0" borderId="0" xfId="1027" applyFont="1" applyAlignment="1">
      <alignment horizontal="center"/>
    </xf>
    <xf numFmtId="0" fontId="29" fillId="0" borderId="0" xfId="1027" applyFont="1" applyFill="1" applyBorder="1" applyAlignment="1">
      <alignment horizontal="center"/>
    </xf>
    <xf numFmtId="8" fontId="20" fillId="0" borderId="0" xfId="1027" applyNumberFormat="1" applyFont="1"/>
    <xf numFmtId="0" fontId="22" fillId="0" borderId="0" xfId="1027" applyFont="1" applyAlignment="1">
      <alignment horizontal="right"/>
    </xf>
    <xf numFmtId="43" fontId="20" fillId="0" borderId="0" xfId="1" applyFont="1" applyFill="1" applyAlignment="1"/>
    <xf numFmtId="43" fontId="20" fillId="0" borderId="0" xfId="1" applyFont="1"/>
    <xf numFmtId="43" fontId="22" fillId="0" borderId="0" xfId="1" applyFont="1" applyBorder="1" applyAlignment="1">
      <alignment horizontal="center" wrapText="1"/>
    </xf>
    <xf numFmtId="168" fontId="20" fillId="0" borderId="0" xfId="0" applyNumberFormat="1" applyFont="1" applyFill="1" applyBorder="1" applyAlignment="1" applyProtection="1"/>
    <xf numFmtId="43" fontId="20" fillId="0" borderId="0" xfId="0" applyNumberFormat="1" applyFont="1" applyFill="1" applyBorder="1" applyAlignment="1" applyProtection="1"/>
    <xf numFmtId="8" fontId="22" fillId="0" borderId="0" xfId="1028" applyNumberFormat="1" applyFont="1" applyBorder="1"/>
    <xf numFmtId="8" fontId="22" fillId="0" borderId="9" xfId="1028" applyNumberFormat="1" applyFont="1" applyBorder="1"/>
    <xf numFmtId="166" fontId="117" fillId="0" borderId="0" xfId="1029" applyNumberFormat="1" applyFont="1" applyFill="1" applyBorder="1"/>
    <xf numFmtId="0" fontId="22" fillId="0" borderId="0" xfId="1028" applyFont="1"/>
    <xf numFmtId="0" fontId="20" fillId="0" borderId="0" xfId="1028" applyFont="1"/>
    <xf numFmtId="0" fontId="22" fillId="0" borderId="0" xfId="1028" applyFont="1" applyAlignment="1">
      <alignment horizontal="center"/>
    </xf>
    <xf numFmtId="0" fontId="20" fillId="0" borderId="55" xfId="1028" applyFont="1" applyBorder="1" applyAlignment="1">
      <alignment horizontal="centerContinuous"/>
    </xf>
    <xf numFmtId="8" fontId="22" fillId="0" borderId="0" xfId="1028" applyNumberFormat="1" applyFont="1"/>
    <xf numFmtId="0" fontId="20" fillId="0" borderId="0" xfId="1028" applyFont="1" applyAlignment="1">
      <alignment horizontal="center"/>
    </xf>
    <xf numFmtId="8" fontId="20" fillId="0" borderId="55" xfId="1028" applyNumberFormat="1" applyFont="1" applyBorder="1" applyAlignment="1">
      <alignment horizontal="centerContinuous"/>
    </xf>
    <xf numFmtId="8" fontId="22" fillId="0" borderId="55" xfId="1028" applyNumberFormat="1" applyFont="1" applyBorder="1" applyAlignment="1">
      <alignment horizontal="centerContinuous"/>
    </xf>
    <xf numFmtId="8" fontId="29" fillId="0" borderId="0" xfId="1028" applyNumberFormat="1" applyFont="1" applyAlignment="1">
      <alignment horizontal="center"/>
    </xf>
    <xf numFmtId="169" fontId="29" fillId="0" borderId="0" xfId="1028" applyNumberFormat="1" applyFont="1" applyAlignment="1">
      <alignment horizontal="center"/>
    </xf>
    <xf numFmtId="0" fontId="29" fillId="0" borderId="0" xfId="1028" applyFont="1" applyAlignment="1">
      <alignment horizontal="center"/>
    </xf>
    <xf numFmtId="0" fontId="29" fillId="0" borderId="0" xfId="1028" applyFont="1" applyFill="1" applyBorder="1" applyAlignment="1">
      <alignment horizontal="center"/>
    </xf>
    <xf numFmtId="8" fontId="20" fillId="0" borderId="0" xfId="1028" applyNumberFormat="1" applyFont="1"/>
    <xf numFmtId="0" fontId="22" fillId="0" borderId="0" xfId="1028" applyFont="1" applyAlignment="1">
      <alignment horizontal="right"/>
    </xf>
    <xf numFmtId="165" fontId="20" fillId="0" borderId="55" xfId="2" applyNumberFormat="1" applyFont="1" applyBorder="1"/>
    <xf numFmtId="0" fontId="122" fillId="0" borderId="0" xfId="1024" applyFont="1"/>
    <xf numFmtId="0" fontId="20" fillId="0" borderId="62" xfId="0" applyFont="1" applyBorder="1"/>
    <xf numFmtId="0" fontId="20" fillId="0" borderId="63" xfId="0" applyFont="1" applyBorder="1"/>
    <xf numFmtId="166" fontId="20" fillId="0" borderId="26" xfId="1" applyNumberFormat="1" applyFont="1" applyFill="1" applyBorder="1"/>
    <xf numFmtId="166" fontId="20" fillId="0" borderId="23" xfId="1" applyNumberFormat="1" applyFont="1" applyFill="1" applyBorder="1"/>
    <xf numFmtId="44" fontId="20" fillId="0" borderId="0" xfId="2" applyFont="1" applyFill="1" applyBorder="1"/>
    <xf numFmtId="0" fontId="20" fillId="0" borderId="23" xfId="0" applyFont="1" applyFill="1" applyBorder="1"/>
    <xf numFmtId="0" fontId="20" fillId="0" borderId="21" xfId="0" applyFont="1" applyFill="1" applyBorder="1"/>
    <xf numFmtId="0" fontId="20" fillId="0" borderId="22" xfId="0" applyFont="1" applyFill="1" applyBorder="1"/>
    <xf numFmtId="0" fontId="122" fillId="0" borderId="0" xfId="1024" applyFont="1" applyFill="1"/>
    <xf numFmtId="0" fontId="20" fillId="0" borderId="62" xfId="0" applyFont="1" applyFill="1" applyBorder="1"/>
    <xf numFmtId="16" fontId="20" fillId="0" borderId="62" xfId="0" applyNumberFormat="1" applyFont="1" applyFill="1" applyBorder="1"/>
    <xf numFmtId="0" fontId="20" fillId="0" borderId="8" xfId="0" applyFont="1" applyFill="1" applyBorder="1"/>
    <xf numFmtId="0" fontId="20" fillId="0" borderId="25" xfId="0" applyFont="1" applyFill="1" applyBorder="1"/>
    <xf numFmtId="0" fontId="20" fillId="0" borderId="26" xfId="0" applyFont="1" applyBorder="1"/>
    <xf numFmtId="166" fontId="20" fillId="0" borderId="20" xfId="0" applyNumberFormat="1" applyFont="1" applyBorder="1"/>
    <xf numFmtId="166" fontId="20" fillId="0" borderId="21" xfId="0" applyNumberFormat="1" applyFont="1" applyBorder="1"/>
    <xf numFmtId="0" fontId="20" fillId="0" borderId="21" xfId="0" applyFont="1" applyBorder="1"/>
    <xf numFmtId="166" fontId="20" fillId="0" borderId="22" xfId="1" applyNumberFormat="1" applyFont="1" applyBorder="1"/>
    <xf numFmtId="166" fontId="20" fillId="0" borderId="0" xfId="0" applyNumberFormat="1" applyFont="1" applyBorder="1"/>
    <xf numFmtId="166" fontId="20" fillId="0" borderId="0" xfId="0" applyNumberFormat="1" applyFont="1"/>
    <xf numFmtId="174" fontId="20" fillId="0" borderId="0" xfId="0" applyNumberFormat="1" applyFont="1" applyBorder="1"/>
    <xf numFmtId="10" fontId="20" fillId="0" borderId="0" xfId="228" applyNumberFormat="1" applyFont="1" applyBorder="1"/>
    <xf numFmtId="43" fontId="20" fillId="0" borderId="0" xfId="0" applyNumberFormat="1" applyFont="1"/>
    <xf numFmtId="0" fontId="20" fillId="0" borderId="55" xfId="0" applyFont="1" applyFill="1" applyBorder="1" applyAlignment="1">
      <alignment horizontal="left"/>
    </xf>
    <xf numFmtId="0" fontId="20" fillId="0" borderId="55" xfId="0" applyFont="1" applyFill="1" applyBorder="1"/>
    <xf numFmtId="0" fontId="20" fillId="0" borderId="19" xfId="0" applyFont="1" applyFill="1" applyBorder="1"/>
    <xf numFmtId="10" fontId="20" fillId="0" borderId="0" xfId="0" applyNumberFormat="1" applyFont="1" applyBorder="1"/>
    <xf numFmtId="0" fontId="20" fillId="0" borderId="57" xfId="0" applyFont="1" applyFill="1" applyBorder="1"/>
    <xf numFmtId="0" fontId="20" fillId="0" borderId="58" xfId="0" applyFont="1" applyFill="1" applyBorder="1"/>
    <xf numFmtId="0" fontId="20" fillId="0" borderId="0" xfId="0" applyFont="1" applyAlignment="1">
      <alignment horizontal="center"/>
    </xf>
    <xf numFmtId="166" fontId="116" fillId="0" borderId="0" xfId="1" applyNumberFormat="1" applyFont="1" applyFill="1" applyBorder="1" applyAlignment="1">
      <alignment horizontal="center"/>
    </xf>
    <xf numFmtId="0" fontId="22" fillId="0" borderId="0" xfId="1018" applyFont="1" applyBorder="1" applyAlignment="1">
      <alignment horizontal="center"/>
    </xf>
    <xf numFmtId="0" fontId="124" fillId="0" borderId="0" xfId="1018" applyFont="1" applyBorder="1"/>
    <xf numFmtId="0" fontId="20" fillId="0" borderId="0" xfId="1018" applyFont="1" applyFill="1" applyBorder="1"/>
    <xf numFmtId="0" fontId="22" fillId="0" borderId="0" xfId="1018" applyFont="1"/>
    <xf numFmtId="2" fontId="20" fillId="0" borderId="0" xfId="1018" applyNumberFormat="1" applyFont="1"/>
    <xf numFmtId="174" fontId="20" fillId="0" borderId="0" xfId="1018" applyNumberFormat="1" applyFont="1"/>
    <xf numFmtId="0" fontId="20" fillId="0" borderId="0" xfId="1017" applyFont="1" applyFill="1" applyAlignment="1">
      <alignment horizontal="centerContinuous"/>
    </xf>
    <xf numFmtId="175" fontId="22" fillId="0" borderId="0" xfId="1016" applyNumberFormat="1" applyFont="1" applyFill="1" applyBorder="1" applyAlignment="1">
      <alignment horizontal="centerContinuous" wrapText="1"/>
    </xf>
    <xf numFmtId="0" fontId="20" fillId="0" borderId="0" xfId="1017" applyFont="1" applyFill="1" applyAlignment="1"/>
    <xf numFmtId="0" fontId="20" fillId="0" borderId="0" xfId="1017" applyFont="1" applyFill="1"/>
    <xf numFmtId="175" fontId="117" fillId="0" borderId="0" xfId="1016" applyNumberFormat="1" applyFont="1" applyFill="1" applyBorder="1" applyAlignment="1">
      <alignment horizontal="centerContinuous" wrapText="1"/>
    </xf>
    <xf numFmtId="0" fontId="124" fillId="0" borderId="0" xfId="1017" applyFont="1" applyFill="1" applyBorder="1" applyAlignment="1">
      <alignment horizontal="centerContinuous"/>
    </xf>
    <xf numFmtId="175" fontId="22" fillId="0" borderId="0" xfId="1016" applyNumberFormat="1" applyFont="1" applyFill="1" applyBorder="1" applyAlignment="1">
      <alignment horizontal="left" vertical="top" wrapText="1"/>
    </xf>
    <xf numFmtId="175" fontId="114" fillId="0" borderId="0" xfId="1016" applyNumberFormat="1" applyFont="1" applyFill="1" applyBorder="1" applyAlignment="1">
      <alignment horizontal="left"/>
    </xf>
    <xf numFmtId="175" fontId="114" fillId="0" borderId="0" xfId="1016" applyNumberFormat="1" applyFont="1" applyFill="1" applyBorder="1" applyAlignment="1">
      <alignment horizontal="left" vertical="top"/>
    </xf>
    <xf numFmtId="0" fontId="124" fillId="0" borderId="0" xfId="1017" applyFont="1" applyBorder="1" applyAlignment="1">
      <alignment horizontal="centerContinuous"/>
    </xf>
    <xf numFmtId="175" fontId="22" fillId="0" borderId="0" xfId="1016" applyNumberFormat="1" applyFont="1" applyBorder="1" applyAlignment="1">
      <alignment horizontal="centerContinuous" wrapText="1"/>
    </xf>
    <xf numFmtId="0" fontId="22" fillId="79" borderId="15" xfId="1017" applyFont="1" applyFill="1" applyBorder="1" applyAlignment="1"/>
    <xf numFmtId="0" fontId="124" fillId="79" borderId="15" xfId="1017" applyFont="1" applyFill="1" applyBorder="1" applyAlignment="1">
      <alignment horizontal="centerContinuous"/>
    </xf>
    <xf numFmtId="175" fontId="22" fillId="79" borderId="15" xfId="1016" quotePrefix="1" applyNumberFormat="1" applyFont="1" applyFill="1" applyBorder="1" applyAlignment="1">
      <alignment horizontal="center"/>
    </xf>
    <xf numFmtId="175" fontId="22" fillId="79" borderId="15" xfId="1016" applyNumberFormat="1" applyFont="1" applyFill="1" applyBorder="1" applyAlignment="1">
      <alignment horizontal="centerContinuous" wrapText="1"/>
    </xf>
    <xf numFmtId="165" fontId="20" fillId="0" borderId="0" xfId="1017" applyNumberFormat="1" applyFont="1" applyFill="1"/>
    <xf numFmtId="166" fontId="117" fillId="0" borderId="0" xfId="1" quotePrefix="1" applyNumberFormat="1" applyFont="1" applyFill="1" applyAlignment="1">
      <alignment horizontal="right"/>
    </xf>
    <xf numFmtId="165" fontId="20" fillId="0" borderId="0" xfId="1017" applyNumberFormat="1" applyFont="1"/>
    <xf numFmtId="0" fontId="22" fillId="0" borderId="0" xfId="1017" applyFont="1" applyBorder="1" applyAlignment="1">
      <alignment horizontal="left" indent="2"/>
    </xf>
    <xf numFmtId="166" fontId="20" fillId="0" borderId="0" xfId="1017" applyNumberFormat="1" applyFont="1" applyFill="1"/>
    <xf numFmtId="0" fontId="22" fillId="0" borderId="0" xfId="1017" applyFont="1" applyFill="1" applyBorder="1" applyAlignment="1">
      <alignment horizontal="left" indent="2"/>
    </xf>
    <xf numFmtId="166" fontId="125" fillId="0" borderId="0" xfId="1" applyNumberFormat="1" applyFont="1" applyBorder="1"/>
    <xf numFmtId="166" fontId="125" fillId="0" borderId="0" xfId="1" applyNumberFormat="1" applyFont="1" applyFill="1" applyBorder="1"/>
    <xf numFmtId="166" fontId="123" fillId="0" borderId="0" xfId="1" applyNumberFormat="1" applyFont="1" applyBorder="1"/>
    <xf numFmtId="166" fontId="20" fillId="0" borderId="0" xfId="1017" applyNumberFormat="1" applyFont="1"/>
    <xf numFmtId="169" fontId="20" fillId="0" borderId="0" xfId="1017" applyNumberFormat="1" applyFont="1"/>
    <xf numFmtId="165" fontId="117" fillId="0" borderId="0" xfId="1017" applyNumberFormat="1" applyFont="1" applyFill="1"/>
    <xf numFmtId="0" fontId="114" fillId="0" borderId="0" xfId="1017" applyFont="1" applyFill="1" applyBorder="1"/>
    <xf numFmtId="176" fontId="20" fillId="0" borderId="0" xfId="1017" applyNumberFormat="1" applyFont="1" applyFill="1" applyBorder="1"/>
    <xf numFmtId="0" fontId="22" fillId="0" borderId="0" xfId="1017" applyFont="1" applyFill="1" applyBorder="1"/>
    <xf numFmtId="44" fontId="114" fillId="0" borderId="0" xfId="2" applyFont="1" applyFill="1" applyBorder="1"/>
    <xf numFmtId="0" fontId="117" fillId="0" borderId="0" xfId="1017" applyFont="1" applyFill="1" applyBorder="1"/>
    <xf numFmtId="165" fontId="22" fillId="0" borderId="0" xfId="1017" applyNumberFormat="1" applyFont="1" applyFill="1" applyBorder="1"/>
    <xf numFmtId="0" fontId="22" fillId="0" borderId="0" xfId="0" applyFont="1" applyFill="1" applyAlignment="1">
      <alignment horizontal="centerContinuous"/>
    </xf>
    <xf numFmtId="0" fontId="20" fillId="0" borderId="0" xfId="0" applyFont="1" applyAlignment="1">
      <alignment vertical="top"/>
    </xf>
    <xf numFmtId="0" fontId="122" fillId="0" borderId="0" xfId="1024" applyFont="1" applyFill="1" applyAlignment="1">
      <alignment vertical="top" wrapText="1"/>
    </xf>
    <xf numFmtId="0" fontId="122" fillId="0" borderId="0" xfId="1024" applyFont="1" applyAlignment="1">
      <alignment vertical="top" wrapText="1"/>
    </xf>
    <xf numFmtId="166" fontId="20" fillId="0" borderId="0" xfId="1" applyNumberFormat="1" applyFont="1" applyAlignment="1">
      <alignment vertical="top"/>
    </xf>
    <xf numFmtId="0" fontId="20" fillId="0" borderId="0" xfId="0" applyFont="1" applyFill="1" applyAlignment="1">
      <alignment vertical="top"/>
    </xf>
    <xf numFmtId="168" fontId="20" fillId="0" borderId="0" xfId="0" applyNumberFormat="1" applyFont="1" applyFill="1"/>
    <xf numFmtId="166" fontId="20" fillId="0" borderId="0" xfId="0" applyNumberFormat="1" applyFont="1" applyFill="1"/>
    <xf numFmtId="165" fontId="20" fillId="0" borderId="0" xfId="0" applyNumberFormat="1" applyFont="1" applyFill="1"/>
    <xf numFmtId="43" fontId="20" fillId="0" borderId="0" xfId="1" applyFont="1" applyFill="1"/>
    <xf numFmtId="165" fontId="20" fillId="0" borderId="0" xfId="0" applyNumberFormat="1" applyFont="1" applyFill="1" applyBorder="1"/>
    <xf numFmtId="166" fontId="20" fillId="0" borderId="0" xfId="0" applyNumberFormat="1" applyFont="1" applyFill="1" applyBorder="1"/>
    <xf numFmtId="0" fontId="20" fillId="0" borderId="0" xfId="190" applyFont="1"/>
    <xf numFmtId="0" fontId="126" fillId="0" borderId="0" xfId="190" applyFont="1"/>
    <xf numFmtId="169" fontId="20" fillId="0" borderId="0" xfId="1027" applyNumberFormat="1" applyFont="1"/>
    <xf numFmtId="0" fontId="22" fillId="0" borderId="0" xfId="1027" applyFont="1" applyAlignment="1">
      <alignment horizontal="left"/>
    </xf>
    <xf numFmtId="0" fontId="68" fillId="0" borderId="0" xfId="1027" applyFont="1" applyBorder="1"/>
    <xf numFmtId="8" fontId="68" fillId="0" borderId="0" xfId="1027" applyNumberFormat="1" applyFont="1" applyBorder="1"/>
    <xf numFmtId="17" fontId="22" fillId="0" borderId="0" xfId="1027" applyNumberFormat="1" applyFont="1"/>
    <xf numFmtId="8" fontId="68" fillId="0" borderId="0" xfId="1027" applyNumberFormat="1" applyFont="1"/>
    <xf numFmtId="169" fontId="68" fillId="0" borderId="0" xfId="1027" applyNumberFormat="1" applyFont="1"/>
    <xf numFmtId="0" fontId="68" fillId="0" borderId="0" xfId="1027" applyFont="1"/>
    <xf numFmtId="169" fontId="68" fillId="0" borderId="10" xfId="1027" applyNumberFormat="1" applyFont="1" applyBorder="1"/>
    <xf numFmtId="0" fontId="68" fillId="0" borderId="11" xfId="1027" applyFont="1" applyBorder="1"/>
    <xf numFmtId="0" fontId="68" fillId="0" borderId="12" xfId="1027" applyFont="1" applyBorder="1"/>
    <xf numFmtId="8" fontId="68" fillId="0" borderId="13" xfId="1027" applyNumberFormat="1" applyFont="1" applyBorder="1"/>
    <xf numFmtId="169" fontId="68" fillId="0" borderId="0" xfId="1027" applyNumberFormat="1" applyFont="1" applyBorder="1"/>
    <xf numFmtId="8" fontId="22" fillId="0" borderId="0" xfId="1027" applyNumberFormat="1" applyFont="1" applyAlignment="1">
      <alignment horizontal="center"/>
    </xf>
    <xf numFmtId="0" fontId="68" fillId="0" borderId="0" xfId="1027" applyFont="1" applyFill="1" applyBorder="1"/>
    <xf numFmtId="169" fontId="68" fillId="0" borderId="13" xfId="1027" applyNumberFormat="1" applyFont="1" applyBorder="1"/>
    <xf numFmtId="0" fontId="68" fillId="0" borderId="16" xfId="1027" applyFont="1" applyFill="1" applyBorder="1"/>
    <xf numFmtId="8" fontId="68" fillId="0" borderId="14" xfId="1027" applyNumberFormat="1" applyFont="1" applyBorder="1"/>
    <xf numFmtId="8" fontId="68" fillId="0" borderId="17" xfId="1027" applyNumberFormat="1" applyFont="1" applyBorder="1"/>
    <xf numFmtId="0" fontId="68" fillId="0" borderId="55" xfId="1027" applyFont="1" applyBorder="1" applyAlignment="1">
      <alignment horizontal="centerContinuous"/>
    </xf>
    <xf numFmtId="0" fontId="68" fillId="0" borderId="0" xfId="1027" applyFont="1" applyBorder="1" applyAlignment="1">
      <alignment horizontal="centerContinuous"/>
    </xf>
    <xf numFmtId="0" fontId="68" fillId="0" borderId="0" xfId="1027" applyFont="1" applyAlignment="1">
      <alignment horizontal="center"/>
    </xf>
    <xf numFmtId="8" fontId="68" fillId="0" borderId="55" xfId="1027" applyNumberFormat="1" applyFont="1" applyBorder="1" applyAlignment="1">
      <alignment horizontal="centerContinuous"/>
    </xf>
    <xf numFmtId="169" fontId="68" fillId="0" borderId="55" xfId="1027" applyNumberFormat="1" applyFont="1" applyBorder="1" applyAlignment="1">
      <alignment horizontal="centerContinuous"/>
    </xf>
    <xf numFmtId="14" fontId="68" fillId="0" borderId="0" xfId="1027" applyNumberFormat="1" applyFont="1"/>
    <xf numFmtId="173" fontId="68" fillId="0" borderId="0" xfId="1027" applyNumberFormat="1" applyFont="1" applyFill="1" applyBorder="1" applyProtection="1">
      <protection locked="0"/>
    </xf>
    <xf numFmtId="169" fontId="68" fillId="0" borderId="0" xfId="1027" applyNumberFormat="1" applyFont="1" applyFill="1" applyBorder="1" applyProtection="1">
      <protection locked="0"/>
    </xf>
    <xf numFmtId="8" fontId="68" fillId="0" borderId="15" xfId="1027" applyNumberFormat="1" applyFont="1" applyBorder="1"/>
    <xf numFmtId="4" fontId="68" fillId="0" borderId="0" xfId="1027" applyNumberFormat="1" applyFont="1"/>
    <xf numFmtId="169" fontId="20" fillId="0" borderId="0" xfId="1028" applyNumberFormat="1" applyFont="1"/>
    <xf numFmtId="0" fontId="22" fillId="0" borderId="0" xfId="1028" applyFont="1" applyAlignment="1">
      <alignment horizontal="left"/>
    </xf>
    <xf numFmtId="0" fontId="68" fillId="0" borderId="0" xfId="1028" applyFont="1" applyBorder="1"/>
    <xf numFmtId="8" fontId="68" fillId="0" borderId="0" xfId="1028" applyNumberFormat="1" applyFont="1" applyBorder="1"/>
    <xf numFmtId="17" fontId="22" fillId="0" borderId="0" xfId="1028" applyNumberFormat="1" applyFont="1"/>
    <xf numFmtId="8" fontId="68" fillId="0" borderId="0" xfId="1028" applyNumberFormat="1" applyFont="1"/>
    <xf numFmtId="169" fontId="68" fillId="0" borderId="0" xfId="1028" applyNumberFormat="1" applyFont="1"/>
    <xf numFmtId="0" fontId="68" fillId="0" borderId="0" xfId="1028" applyFont="1"/>
    <xf numFmtId="169" fontId="68" fillId="0" borderId="10" xfId="1028" applyNumberFormat="1" applyFont="1" applyBorder="1"/>
    <xf numFmtId="0" fontId="68" fillId="0" borderId="11" xfId="1028" applyFont="1" applyBorder="1"/>
    <xf numFmtId="0" fontId="68" fillId="0" borderId="12" xfId="1028" applyFont="1" applyBorder="1"/>
    <xf numFmtId="8" fontId="68" fillId="0" borderId="13" xfId="1028" applyNumberFormat="1" applyFont="1" applyBorder="1"/>
    <xf numFmtId="169" fontId="68" fillId="0" borderId="0" xfId="1028" applyNumberFormat="1" applyFont="1" applyBorder="1"/>
    <xf numFmtId="8" fontId="22" fillId="0" borderId="0" xfId="1028" applyNumberFormat="1" applyFont="1" applyAlignment="1">
      <alignment horizontal="center"/>
    </xf>
    <xf numFmtId="0" fontId="68" fillId="0" borderId="0" xfId="1028" applyFont="1" applyFill="1" applyBorder="1"/>
    <xf numFmtId="169" fontId="68" fillId="0" borderId="13" xfId="1028" applyNumberFormat="1" applyFont="1" applyBorder="1"/>
    <xf numFmtId="0" fontId="68" fillId="0" borderId="16" xfId="1028" applyFont="1" applyFill="1" applyBorder="1"/>
    <xf numFmtId="8" fontId="68" fillId="0" borderId="14" xfId="1028" applyNumberFormat="1" applyFont="1" applyBorder="1"/>
    <xf numFmtId="8" fontId="68" fillId="0" borderId="17" xfId="1028" applyNumberFormat="1" applyFont="1" applyBorder="1"/>
    <xf numFmtId="0" fontId="68" fillId="0" borderId="55" xfId="1028" applyFont="1" applyBorder="1" applyAlignment="1">
      <alignment horizontal="centerContinuous"/>
    </xf>
    <xf numFmtId="0" fontId="68" fillId="0" borderId="0" xfId="1028" applyFont="1" applyBorder="1" applyAlignment="1">
      <alignment horizontal="centerContinuous"/>
    </xf>
    <xf numFmtId="0" fontId="68" fillId="0" borderId="0" xfId="1028" applyFont="1" applyAlignment="1">
      <alignment horizontal="center"/>
    </xf>
    <xf numFmtId="8" fontId="68" fillId="0" borderId="55" xfId="1028" applyNumberFormat="1" applyFont="1" applyBorder="1" applyAlignment="1">
      <alignment horizontal="centerContinuous"/>
    </xf>
    <xf numFmtId="169" fontId="68" fillId="0" borderId="55" xfId="1028" applyNumberFormat="1" applyFont="1" applyBorder="1" applyAlignment="1">
      <alignment horizontal="centerContinuous"/>
    </xf>
    <xf numFmtId="14" fontId="68" fillId="0" borderId="0" xfId="1028" applyNumberFormat="1" applyFont="1"/>
    <xf numFmtId="173" fontId="68" fillId="0" borderId="0" xfId="1028" applyNumberFormat="1" applyFont="1" applyFill="1" applyBorder="1" applyProtection="1">
      <protection locked="0"/>
    </xf>
    <xf numFmtId="169" fontId="68" fillId="0" borderId="0" xfId="1028" applyNumberFormat="1" applyFont="1" applyFill="1" applyBorder="1" applyProtection="1">
      <protection locked="0"/>
    </xf>
    <xf numFmtId="8" fontId="68" fillId="0" borderId="15" xfId="1028" applyNumberFormat="1" applyFont="1" applyBorder="1"/>
    <xf numFmtId="4" fontId="68" fillId="0" borderId="0" xfId="1028" applyNumberFormat="1" applyFont="1"/>
    <xf numFmtId="0" fontId="20" fillId="0" borderId="56" xfId="0" applyFont="1" applyFill="1" applyBorder="1" applyAlignment="1">
      <alignment wrapText="1"/>
    </xf>
    <xf numFmtId="0" fontId="20" fillId="0" borderId="57" xfId="0" applyFont="1" applyFill="1" applyBorder="1" applyAlignment="1">
      <alignment wrapText="1"/>
    </xf>
    <xf numFmtId="0" fontId="20" fillId="0" borderId="58" xfId="0" applyFont="1" applyFill="1" applyBorder="1" applyAlignment="1">
      <alignment wrapText="1"/>
    </xf>
    <xf numFmtId="0" fontId="20" fillId="0" borderId="0" xfId="1017" applyFont="1" applyFill="1" applyBorder="1" applyAlignment="1">
      <alignment horizontal="left" vertical="top" wrapText="1"/>
    </xf>
    <xf numFmtId="0" fontId="20" fillId="0" borderId="0" xfId="1017" applyFont="1" applyFill="1" applyAlignment="1">
      <alignment horizontal="left" vertical="top" wrapText="1"/>
    </xf>
    <xf numFmtId="0" fontId="20" fillId="0" borderId="56" xfId="0" applyFont="1" applyBorder="1" applyAlignment="1">
      <alignment horizontal="left"/>
    </xf>
    <xf numFmtId="0" fontId="20" fillId="0" borderId="57" xfId="0" applyFont="1" applyBorder="1" applyAlignment="1">
      <alignment horizontal="left"/>
    </xf>
    <xf numFmtId="0" fontId="20" fillId="0" borderId="58" xfId="0" applyFont="1" applyBorder="1" applyAlignment="1">
      <alignment horizontal="left"/>
    </xf>
  </cellXfs>
  <cellStyles count="1030">
    <cellStyle name="20% - Accent1 2" xfId="9"/>
    <cellStyle name="20% - Accent1 3" xfId="10"/>
    <cellStyle name="20% - Accent1 3 2" xfId="241"/>
    <cellStyle name="20% - Accent1 3 3" xfId="876"/>
    <cellStyle name="20% - Accent1 4" xfId="242"/>
    <cellStyle name="20% - Accent1 4 2" xfId="243"/>
    <cellStyle name="20% - Accent1 4 2 2" xfId="244"/>
    <cellStyle name="20% - Accent1 4 3" xfId="245"/>
    <cellStyle name="20% - Accent1 4 3 2" xfId="246"/>
    <cellStyle name="20% - Accent1 4 4" xfId="247"/>
    <cellStyle name="20% - Accent1 4 4 2" xfId="248"/>
    <cellStyle name="20% - Accent1 4 5" xfId="249"/>
    <cellStyle name="20% - Accent1 4 6" xfId="250"/>
    <cellStyle name="20% - Accent1 4 7" xfId="877"/>
    <cellStyle name="20% - Accent1 5" xfId="251"/>
    <cellStyle name="20% - Accent1 5 2" xfId="252"/>
    <cellStyle name="20% - Accent1 5 2 2" xfId="253"/>
    <cellStyle name="20% - Accent1 5 3" xfId="254"/>
    <cellStyle name="20% - Accent1 5 3 2" xfId="255"/>
    <cellStyle name="20% - Accent1 5 4" xfId="256"/>
    <cellStyle name="20% - Accent1 5 4 2" xfId="257"/>
    <cellStyle name="20% - Accent1 5 5" xfId="258"/>
    <cellStyle name="20% - Accent1 5 6" xfId="259"/>
    <cellStyle name="20% - Accent1 5 7" xfId="878"/>
    <cellStyle name="20% - Accent1 6" xfId="260"/>
    <cellStyle name="20% - Accent2 2" xfId="11"/>
    <cellStyle name="20% - Accent2 3" xfId="12"/>
    <cellStyle name="20% - Accent2 3 2" xfId="261"/>
    <cellStyle name="20% - Accent2 3 3" xfId="879"/>
    <cellStyle name="20% - Accent2 4" xfId="262"/>
    <cellStyle name="20% - Accent2 4 2" xfId="263"/>
    <cellStyle name="20% - Accent2 4 2 2" xfId="264"/>
    <cellStyle name="20% - Accent2 4 3" xfId="265"/>
    <cellStyle name="20% - Accent2 4 3 2" xfId="266"/>
    <cellStyle name="20% - Accent2 4 4" xfId="267"/>
    <cellStyle name="20% - Accent2 4 4 2" xfId="268"/>
    <cellStyle name="20% - Accent2 4 5" xfId="269"/>
    <cellStyle name="20% - Accent2 4 6" xfId="270"/>
    <cellStyle name="20% - Accent2 4 7" xfId="880"/>
    <cellStyle name="20% - Accent2 5" xfId="271"/>
    <cellStyle name="20% - Accent2 5 2" xfId="272"/>
    <cellStyle name="20% - Accent2 5 2 2" xfId="273"/>
    <cellStyle name="20% - Accent2 5 3" xfId="274"/>
    <cellStyle name="20% - Accent2 5 3 2" xfId="275"/>
    <cellStyle name="20% - Accent2 5 4" xfId="276"/>
    <cellStyle name="20% - Accent2 5 4 2" xfId="277"/>
    <cellStyle name="20% - Accent2 5 5" xfId="278"/>
    <cellStyle name="20% - Accent2 5 6" xfId="279"/>
    <cellStyle name="20% - Accent2 5 7" xfId="881"/>
    <cellStyle name="20% - Accent2 6" xfId="280"/>
    <cellStyle name="20% - Accent3 2" xfId="13"/>
    <cellStyle name="20% - Accent3 3" xfId="14"/>
    <cellStyle name="20% - Accent3 3 2" xfId="281"/>
    <cellStyle name="20% - Accent3 3 3" xfId="882"/>
    <cellStyle name="20% - Accent3 4" xfId="282"/>
    <cellStyle name="20% - Accent3 4 2" xfId="283"/>
    <cellStyle name="20% - Accent3 4 2 2" xfId="284"/>
    <cellStyle name="20% - Accent3 4 3" xfId="285"/>
    <cellStyle name="20% - Accent3 4 3 2" xfId="286"/>
    <cellStyle name="20% - Accent3 4 4" xfId="287"/>
    <cellStyle name="20% - Accent3 4 4 2" xfId="288"/>
    <cellStyle name="20% - Accent3 4 5" xfId="289"/>
    <cellStyle name="20% - Accent3 4 6" xfId="290"/>
    <cellStyle name="20% - Accent3 4 7" xfId="883"/>
    <cellStyle name="20% - Accent3 5" xfId="291"/>
    <cellStyle name="20% - Accent3 5 2" xfId="292"/>
    <cellStyle name="20% - Accent3 5 2 2" xfId="293"/>
    <cellStyle name="20% - Accent3 5 3" xfId="294"/>
    <cellStyle name="20% - Accent3 5 3 2" xfId="295"/>
    <cellStyle name="20% - Accent3 5 4" xfId="296"/>
    <cellStyle name="20% - Accent3 5 4 2" xfId="297"/>
    <cellStyle name="20% - Accent3 5 5" xfId="298"/>
    <cellStyle name="20% - Accent3 5 6" xfId="299"/>
    <cellStyle name="20% - Accent3 5 7" xfId="884"/>
    <cellStyle name="20% - Accent3 6" xfId="300"/>
    <cellStyle name="20% - Accent4 2" xfId="15"/>
    <cellStyle name="20% - Accent4 3" xfId="16"/>
    <cellStyle name="20% - Accent4 3 2" xfId="301"/>
    <cellStyle name="20% - Accent4 3 3" xfId="885"/>
    <cellStyle name="20% - Accent4 4" xfId="302"/>
    <cellStyle name="20% - Accent4 4 2" xfId="303"/>
    <cellStyle name="20% - Accent4 4 2 2" xfId="304"/>
    <cellStyle name="20% - Accent4 4 3" xfId="305"/>
    <cellStyle name="20% - Accent4 4 3 2" xfId="306"/>
    <cellStyle name="20% - Accent4 4 4" xfId="307"/>
    <cellStyle name="20% - Accent4 4 4 2" xfId="308"/>
    <cellStyle name="20% - Accent4 4 5" xfId="309"/>
    <cellStyle name="20% - Accent4 4 6" xfId="310"/>
    <cellStyle name="20% - Accent4 4 7" xfId="886"/>
    <cellStyle name="20% - Accent4 5" xfId="311"/>
    <cellStyle name="20% - Accent4 5 2" xfId="312"/>
    <cellStyle name="20% - Accent4 5 2 2" xfId="313"/>
    <cellStyle name="20% - Accent4 5 3" xfId="314"/>
    <cellStyle name="20% - Accent4 5 3 2" xfId="315"/>
    <cellStyle name="20% - Accent4 5 4" xfId="316"/>
    <cellStyle name="20% - Accent4 5 4 2" xfId="317"/>
    <cellStyle name="20% - Accent4 5 5" xfId="318"/>
    <cellStyle name="20% - Accent4 5 6" xfId="319"/>
    <cellStyle name="20% - Accent4 5 7" xfId="887"/>
    <cellStyle name="20% - Accent4 6" xfId="320"/>
    <cellStyle name="20% - Accent5 2" xfId="17"/>
    <cellStyle name="20% - Accent5 3" xfId="18"/>
    <cellStyle name="20% - Accent5 3 2" xfId="321"/>
    <cellStyle name="20% - Accent5 3 3" xfId="888"/>
    <cellStyle name="20% - Accent5 4" xfId="322"/>
    <cellStyle name="20% - Accent5 4 2" xfId="323"/>
    <cellStyle name="20% - Accent5 4 2 2" xfId="324"/>
    <cellStyle name="20% - Accent5 4 3" xfId="325"/>
    <cellStyle name="20% - Accent5 4 3 2" xfId="326"/>
    <cellStyle name="20% - Accent5 4 4" xfId="327"/>
    <cellStyle name="20% - Accent5 4 4 2" xfId="328"/>
    <cellStyle name="20% - Accent5 4 5" xfId="329"/>
    <cellStyle name="20% - Accent5 4 6" xfId="330"/>
    <cellStyle name="20% - Accent5 4 7" xfId="889"/>
    <cellStyle name="20% - Accent5 5" xfId="331"/>
    <cellStyle name="20% - Accent5 5 2" xfId="332"/>
    <cellStyle name="20% - Accent5 5 2 2" xfId="333"/>
    <cellStyle name="20% - Accent5 5 3" xfId="334"/>
    <cellStyle name="20% - Accent5 5 3 2" xfId="335"/>
    <cellStyle name="20% - Accent5 5 4" xfId="336"/>
    <cellStyle name="20% - Accent5 5 4 2" xfId="337"/>
    <cellStyle name="20% - Accent5 5 5" xfId="338"/>
    <cellStyle name="20% - Accent5 5 6" xfId="339"/>
    <cellStyle name="20% - Accent5 5 7" xfId="890"/>
    <cellStyle name="20% - Accent5 6" xfId="340"/>
    <cellStyle name="20% - Accent6 2" xfId="19"/>
    <cellStyle name="20% - Accent6 3" xfId="20"/>
    <cellStyle name="20% - Accent6 3 2" xfId="341"/>
    <cellStyle name="20% - Accent6 3 3" xfId="891"/>
    <cellStyle name="20% - Accent6 4" xfId="342"/>
    <cellStyle name="20% - Accent6 4 2" xfId="343"/>
    <cellStyle name="20% - Accent6 4 2 2" xfId="344"/>
    <cellStyle name="20% - Accent6 4 3" xfId="345"/>
    <cellStyle name="20% - Accent6 4 3 2" xfId="346"/>
    <cellStyle name="20% - Accent6 4 4" xfId="347"/>
    <cellStyle name="20% - Accent6 4 4 2" xfId="348"/>
    <cellStyle name="20% - Accent6 4 5" xfId="349"/>
    <cellStyle name="20% - Accent6 4 6" xfId="350"/>
    <cellStyle name="20% - Accent6 4 7" xfId="892"/>
    <cellStyle name="20% - Accent6 5" xfId="351"/>
    <cellStyle name="20% - Accent6 5 2" xfId="352"/>
    <cellStyle name="20% - Accent6 5 2 2" xfId="353"/>
    <cellStyle name="20% - Accent6 5 3" xfId="354"/>
    <cellStyle name="20% - Accent6 5 3 2" xfId="355"/>
    <cellStyle name="20% - Accent6 5 4" xfId="356"/>
    <cellStyle name="20% - Accent6 5 4 2" xfId="357"/>
    <cellStyle name="20% - Accent6 5 5" xfId="358"/>
    <cellStyle name="20% - Accent6 5 6" xfId="359"/>
    <cellStyle name="20% - Accent6 5 7" xfId="893"/>
    <cellStyle name="20% - Accent6 6" xfId="360"/>
    <cellStyle name="40% - Accent1 2" xfId="21"/>
    <cellStyle name="40% - Accent1 3" xfId="22"/>
    <cellStyle name="40% - Accent1 3 2" xfId="361"/>
    <cellStyle name="40% - Accent1 3 3" xfId="894"/>
    <cellStyle name="40% - Accent1 4" xfId="362"/>
    <cellStyle name="40% - Accent1 4 2" xfId="363"/>
    <cellStyle name="40% - Accent1 4 2 2" xfId="364"/>
    <cellStyle name="40% - Accent1 4 3" xfId="365"/>
    <cellStyle name="40% - Accent1 4 3 2" xfId="366"/>
    <cellStyle name="40% - Accent1 4 4" xfId="367"/>
    <cellStyle name="40% - Accent1 4 4 2" xfId="368"/>
    <cellStyle name="40% - Accent1 4 5" xfId="369"/>
    <cellStyle name="40% - Accent1 4 6" xfId="370"/>
    <cellStyle name="40% - Accent1 4 7" xfId="895"/>
    <cellStyle name="40% - Accent1 5" xfId="371"/>
    <cellStyle name="40% - Accent1 5 2" xfId="372"/>
    <cellStyle name="40% - Accent1 5 2 2" xfId="373"/>
    <cellStyle name="40% - Accent1 5 3" xfId="374"/>
    <cellStyle name="40% - Accent1 5 3 2" xfId="375"/>
    <cellStyle name="40% - Accent1 5 4" xfId="376"/>
    <cellStyle name="40% - Accent1 5 4 2" xfId="377"/>
    <cellStyle name="40% - Accent1 5 5" xfId="378"/>
    <cellStyle name="40% - Accent1 5 6" xfId="379"/>
    <cellStyle name="40% - Accent1 5 7" xfId="896"/>
    <cellStyle name="40% - Accent1 6" xfId="380"/>
    <cellStyle name="40% - Accent2 2" xfId="23"/>
    <cellStyle name="40% - Accent2 3" xfId="24"/>
    <cellStyle name="40% - Accent2 3 2" xfId="381"/>
    <cellStyle name="40% - Accent2 3 3" xfId="897"/>
    <cellStyle name="40% - Accent2 4" xfId="382"/>
    <cellStyle name="40% - Accent2 4 2" xfId="383"/>
    <cellStyle name="40% - Accent2 4 2 2" xfId="384"/>
    <cellStyle name="40% - Accent2 4 3" xfId="385"/>
    <cellStyle name="40% - Accent2 4 3 2" xfId="386"/>
    <cellStyle name="40% - Accent2 4 4" xfId="387"/>
    <cellStyle name="40% - Accent2 4 4 2" xfId="388"/>
    <cellStyle name="40% - Accent2 4 5" xfId="389"/>
    <cellStyle name="40% - Accent2 4 6" xfId="390"/>
    <cellStyle name="40% - Accent2 4 7" xfId="898"/>
    <cellStyle name="40% - Accent2 5" xfId="391"/>
    <cellStyle name="40% - Accent2 5 2" xfId="392"/>
    <cellStyle name="40% - Accent2 5 2 2" xfId="393"/>
    <cellStyle name="40% - Accent2 5 3" xfId="394"/>
    <cellStyle name="40% - Accent2 5 3 2" xfId="395"/>
    <cellStyle name="40% - Accent2 5 4" xfId="396"/>
    <cellStyle name="40% - Accent2 5 4 2" xfId="397"/>
    <cellStyle name="40% - Accent2 5 5" xfId="398"/>
    <cellStyle name="40% - Accent2 5 6" xfId="399"/>
    <cellStyle name="40% - Accent2 5 7" xfId="899"/>
    <cellStyle name="40% - Accent2 6" xfId="400"/>
    <cellStyle name="40% - Accent3 2" xfId="25"/>
    <cellStyle name="40% - Accent3 3" xfId="26"/>
    <cellStyle name="40% - Accent3 3 2" xfId="401"/>
    <cellStyle name="40% - Accent3 3 3" xfId="900"/>
    <cellStyle name="40% - Accent3 4" xfId="402"/>
    <cellStyle name="40% - Accent3 4 2" xfId="403"/>
    <cellStyle name="40% - Accent3 4 2 2" xfId="404"/>
    <cellStyle name="40% - Accent3 4 3" xfId="405"/>
    <cellStyle name="40% - Accent3 4 3 2" xfId="406"/>
    <cellStyle name="40% - Accent3 4 4" xfId="407"/>
    <cellStyle name="40% - Accent3 4 4 2" xfId="408"/>
    <cellStyle name="40% - Accent3 4 5" xfId="409"/>
    <cellStyle name="40% - Accent3 4 6" xfId="410"/>
    <cellStyle name="40% - Accent3 4 7" xfId="901"/>
    <cellStyle name="40% - Accent3 5" xfId="411"/>
    <cellStyle name="40% - Accent3 5 2" xfId="412"/>
    <cellStyle name="40% - Accent3 5 2 2" xfId="413"/>
    <cellStyle name="40% - Accent3 5 3" xfId="414"/>
    <cellStyle name="40% - Accent3 5 3 2" xfId="415"/>
    <cellStyle name="40% - Accent3 5 4" xfId="416"/>
    <cellStyle name="40% - Accent3 5 4 2" xfId="417"/>
    <cellStyle name="40% - Accent3 5 5" xfId="418"/>
    <cellStyle name="40% - Accent3 5 6" xfId="419"/>
    <cellStyle name="40% - Accent3 5 7" xfId="902"/>
    <cellStyle name="40% - Accent3 6" xfId="420"/>
    <cellStyle name="40% - Accent4 2" xfId="27"/>
    <cellStyle name="40% - Accent4 3" xfId="28"/>
    <cellStyle name="40% - Accent4 3 2" xfId="421"/>
    <cellStyle name="40% - Accent4 3 3" xfId="903"/>
    <cellStyle name="40% - Accent4 4" xfId="422"/>
    <cellStyle name="40% - Accent4 4 2" xfId="423"/>
    <cellStyle name="40% - Accent4 4 2 2" xfId="424"/>
    <cellStyle name="40% - Accent4 4 3" xfId="425"/>
    <cellStyle name="40% - Accent4 4 3 2" xfId="426"/>
    <cellStyle name="40% - Accent4 4 4" xfId="427"/>
    <cellStyle name="40% - Accent4 4 4 2" xfId="428"/>
    <cellStyle name="40% - Accent4 4 5" xfId="429"/>
    <cellStyle name="40% - Accent4 4 6" xfId="430"/>
    <cellStyle name="40% - Accent4 4 7" xfId="904"/>
    <cellStyle name="40% - Accent4 5" xfId="431"/>
    <cellStyle name="40% - Accent4 5 2" xfId="432"/>
    <cellStyle name="40% - Accent4 5 2 2" xfId="433"/>
    <cellStyle name="40% - Accent4 5 3" xfId="434"/>
    <cellStyle name="40% - Accent4 5 3 2" xfId="435"/>
    <cellStyle name="40% - Accent4 5 4" xfId="436"/>
    <cellStyle name="40% - Accent4 5 4 2" xfId="437"/>
    <cellStyle name="40% - Accent4 5 5" xfId="438"/>
    <cellStyle name="40% - Accent4 5 6" xfId="439"/>
    <cellStyle name="40% - Accent4 5 7" xfId="905"/>
    <cellStyle name="40% - Accent4 6" xfId="440"/>
    <cellStyle name="40% - Accent5 2" xfId="29"/>
    <cellStyle name="40% - Accent5 3" xfId="30"/>
    <cellStyle name="40% - Accent5 3 2" xfId="441"/>
    <cellStyle name="40% - Accent5 3 3" xfId="906"/>
    <cellStyle name="40% - Accent5 4" xfId="442"/>
    <cellStyle name="40% - Accent5 4 2" xfId="443"/>
    <cellStyle name="40% - Accent5 4 2 2" xfId="444"/>
    <cellStyle name="40% - Accent5 4 3" xfId="445"/>
    <cellStyle name="40% - Accent5 4 3 2" xfId="446"/>
    <cellStyle name="40% - Accent5 4 4" xfId="447"/>
    <cellStyle name="40% - Accent5 4 4 2" xfId="448"/>
    <cellStyle name="40% - Accent5 4 5" xfId="449"/>
    <cellStyle name="40% - Accent5 4 6" xfId="450"/>
    <cellStyle name="40% - Accent5 4 7" xfId="907"/>
    <cellStyle name="40% - Accent5 5" xfId="451"/>
    <cellStyle name="40% - Accent5 5 2" xfId="452"/>
    <cellStyle name="40% - Accent5 5 2 2" xfId="453"/>
    <cellStyle name="40% - Accent5 5 3" xfId="454"/>
    <cellStyle name="40% - Accent5 5 3 2" xfId="455"/>
    <cellStyle name="40% - Accent5 5 4" xfId="456"/>
    <cellStyle name="40% - Accent5 5 4 2" xfId="457"/>
    <cellStyle name="40% - Accent5 5 5" xfId="458"/>
    <cellStyle name="40% - Accent5 5 6" xfId="459"/>
    <cellStyle name="40% - Accent5 5 7" xfId="908"/>
    <cellStyle name="40% - Accent5 6" xfId="460"/>
    <cellStyle name="40% - Accent6 2" xfId="31"/>
    <cellStyle name="40% - Accent6 3" xfId="32"/>
    <cellStyle name="40% - Accent6 3 2" xfId="461"/>
    <cellStyle name="40% - Accent6 3 3" xfId="909"/>
    <cellStyle name="40% - Accent6 4" xfId="462"/>
    <cellStyle name="40% - Accent6 4 2" xfId="463"/>
    <cellStyle name="40% - Accent6 4 2 2" xfId="464"/>
    <cellStyle name="40% - Accent6 4 3" xfId="465"/>
    <cellStyle name="40% - Accent6 4 3 2" xfId="466"/>
    <cellStyle name="40% - Accent6 4 4" xfId="467"/>
    <cellStyle name="40% - Accent6 4 4 2" xfId="468"/>
    <cellStyle name="40% - Accent6 4 5" xfId="469"/>
    <cellStyle name="40% - Accent6 4 6" xfId="470"/>
    <cellStyle name="40% - Accent6 4 7" xfId="910"/>
    <cellStyle name="40% - Accent6 5" xfId="471"/>
    <cellStyle name="40% - Accent6 5 2" xfId="472"/>
    <cellStyle name="40% - Accent6 5 2 2" xfId="473"/>
    <cellStyle name="40% - Accent6 5 3" xfId="474"/>
    <cellStyle name="40% - Accent6 5 3 2" xfId="475"/>
    <cellStyle name="40% - Accent6 5 4" xfId="476"/>
    <cellStyle name="40% - Accent6 5 4 2" xfId="477"/>
    <cellStyle name="40% - Accent6 5 5" xfId="478"/>
    <cellStyle name="40% - Accent6 5 6" xfId="479"/>
    <cellStyle name="40% - Accent6 5 7" xfId="911"/>
    <cellStyle name="40% - Accent6 6" xfId="480"/>
    <cellStyle name="60% - Accent1 2" xfId="33"/>
    <cellStyle name="60% - Accent1 3" xfId="481"/>
    <cellStyle name="60% - Accent1 3 2" xfId="482"/>
    <cellStyle name="60% - Accent1 3 3" xfId="483"/>
    <cellStyle name="60% - Accent1 4" xfId="484"/>
    <cellStyle name="60% - Accent2 2" xfId="34"/>
    <cellStyle name="60% - Accent2 3" xfId="485"/>
    <cellStyle name="60% - Accent2 3 2" xfId="486"/>
    <cellStyle name="60% - Accent2 3 3" xfId="487"/>
    <cellStyle name="60% - Accent2 4" xfId="488"/>
    <cellStyle name="60% - Accent3 2" xfId="35"/>
    <cellStyle name="60% - Accent3 3" xfId="489"/>
    <cellStyle name="60% - Accent3 3 2" xfId="490"/>
    <cellStyle name="60% - Accent3 3 3" xfId="491"/>
    <cellStyle name="60% - Accent3 4" xfId="492"/>
    <cellStyle name="60% - Accent4 2" xfId="36"/>
    <cellStyle name="60% - Accent4 3" xfId="493"/>
    <cellStyle name="60% - Accent4 3 2" xfId="494"/>
    <cellStyle name="60% - Accent4 3 3" xfId="495"/>
    <cellStyle name="60% - Accent4 4" xfId="496"/>
    <cellStyle name="60% - Accent5 2" xfId="37"/>
    <cellStyle name="60% - Accent5 3" xfId="497"/>
    <cellStyle name="60% - Accent5 3 2" xfId="498"/>
    <cellStyle name="60% - Accent5 3 3" xfId="499"/>
    <cellStyle name="60% - Accent5 4" xfId="500"/>
    <cellStyle name="60% - Accent6 2" xfId="38"/>
    <cellStyle name="60% - Accent6 3" xfId="501"/>
    <cellStyle name="60% - Accent6 3 2" xfId="502"/>
    <cellStyle name="60% - Accent6 3 3" xfId="503"/>
    <cellStyle name="60% - Accent6 4" xfId="504"/>
    <cellStyle name="Accent1 2" xfId="39"/>
    <cellStyle name="Accent1 3" xfId="505"/>
    <cellStyle name="Accent1 3 2" xfId="506"/>
    <cellStyle name="Accent1 3 3" xfId="507"/>
    <cellStyle name="Accent1 4" xfId="508"/>
    <cellStyle name="Accent2 2" xfId="40"/>
    <cellStyle name="Accent2 3" xfId="509"/>
    <cellStyle name="Accent2 3 2" xfId="510"/>
    <cellStyle name="Accent2 3 3" xfId="511"/>
    <cellStyle name="Accent2 4" xfId="512"/>
    <cellStyle name="Accent3 2" xfId="41"/>
    <cellStyle name="Accent3 3" xfId="513"/>
    <cellStyle name="Accent3 3 2" xfId="514"/>
    <cellStyle name="Accent3 3 3" xfId="515"/>
    <cellStyle name="Accent3 4" xfId="516"/>
    <cellStyle name="Accent4 2" xfId="42"/>
    <cellStyle name="Accent4 3" xfId="517"/>
    <cellStyle name="Accent4 3 2" xfId="518"/>
    <cellStyle name="Accent4 3 3" xfId="519"/>
    <cellStyle name="Accent4 4" xfId="520"/>
    <cellStyle name="Accent5 2" xfId="43"/>
    <cellStyle name="Accent5 3" xfId="521"/>
    <cellStyle name="Accent5 3 2" xfId="522"/>
    <cellStyle name="Accent5 3 3" xfId="523"/>
    <cellStyle name="Accent5 4" xfId="524"/>
    <cellStyle name="Accent6 2" xfId="44"/>
    <cellStyle name="Accent6 3" xfId="525"/>
    <cellStyle name="Accent6 3 2" xfId="526"/>
    <cellStyle name="Accent6 3 3" xfId="527"/>
    <cellStyle name="Accent6 4" xfId="528"/>
    <cellStyle name="Bad 2" xfId="45"/>
    <cellStyle name="Bad 3" xfId="529"/>
    <cellStyle name="Bad 3 2" xfId="530"/>
    <cellStyle name="Bad 3 3" xfId="531"/>
    <cellStyle name="Bad 4" xfId="532"/>
    <cellStyle name="Calculation 2" xfId="46"/>
    <cellStyle name="Calculation 3" xfId="533"/>
    <cellStyle name="Calculation 3 2" xfId="534"/>
    <cellStyle name="Calculation 3 3" xfId="535"/>
    <cellStyle name="Calculation 4" xfId="536"/>
    <cellStyle name="Check Cell 2" xfId="47"/>
    <cellStyle name="Check Cell 3" xfId="537"/>
    <cellStyle name="Check Cell 3 2" xfId="538"/>
    <cellStyle name="Check Cell 3 3" xfId="539"/>
    <cellStyle name="Check Cell 4" xfId="540"/>
    <cellStyle name="Comma" xfId="1" builtinId="3"/>
    <cellStyle name="Comma  - Style1" xfId="48"/>
    <cellStyle name="Comma [0] 2" xfId="49"/>
    <cellStyle name="Comma [0] 3" xfId="541"/>
    <cellStyle name="Comma 10" xfId="50"/>
    <cellStyle name="Comma 10 2" xfId="51"/>
    <cellStyle name="Comma 10 3" xfId="542"/>
    <cellStyle name="Comma 10 4" xfId="912"/>
    <cellStyle name="Comma 11" xfId="52"/>
    <cellStyle name="Comma 11 2" xfId="53"/>
    <cellStyle name="Comma 11 3" xfId="913"/>
    <cellStyle name="Comma 12" xfId="54"/>
    <cellStyle name="Comma 12 2" xfId="55"/>
    <cellStyle name="Comma 12 3" xfId="914"/>
    <cellStyle name="Comma 13" xfId="56"/>
    <cellStyle name="Comma 13 2" xfId="57"/>
    <cellStyle name="Comma 13 3" xfId="915"/>
    <cellStyle name="Comma 14" xfId="58"/>
    <cellStyle name="Comma 14 2" xfId="59"/>
    <cellStyle name="Comma 14 3" xfId="916"/>
    <cellStyle name="Comma 15" xfId="60"/>
    <cellStyle name="Comma 15 2" xfId="61"/>
    <cellStyle name="Comma 15 3" xfId="917"/>
    <cellStyle name="Comma 16" xfId="62"/>
    <cellStyle name="Comma 16 2" xfId="63"/>
    <cellStyle name="Comma 16 3" xfId="918"/>
    <cellStyle name="Comma 17" xfId="64"/>
    <cellStyle name="Comma 17 2" xfId="65"/>
    <cellStyle name="Comma 17 3" xfId="919"/>
    <cellStyle name="Comma 18" xfId="66"/>
    <cellStyle name="Comma 18 2" xfId="67"/>
    <cellStyle name="Comma 19" xfId="68"/>
    <cellStyle name="Comma 19 2" xfId="69"/>
    <cellStyle name="Comma 2" xfId="70"/>
    <cellStyle name="Comma 2 2" xfId="71"/>
    <cellStyle name="Comma 2 2 2" xfId="543"/>
    <cellStyle name="Comma 2 2 2 2" xfId="920"/>
    <cellStyle name="Comma 2 2 3" xfId="921"/>
    <cellStyle name="Comma 2 2 4" xfId="922"/>
    <cellStyle name="Comma 2 3" xfId="544"/>
    <cellStyle name="Comma 2 3 2" xfId="923"/>
    <cellStyle name="Comma 2 4" xfId="545"/>
    <cellStyle name="Comma 2 4 2" xfId="924"/>
    <cellStyle name="Comma 2 5" xfId="925"/>
    <cellStyle name="Comma 2 6" xfId="926"/>
    <cellStyle name="Comma 20" xfId="72"/>
    <cellStyle name="Comma 20 2" xfId="73"/>
    <cellStyle name="Comma 21" xfId="74"/>
    <cellStyle name="Comma 21 2" xfId="75"/>
    <cellStyle name="Comma 22" xfId="76"/>
    <cellStyle name="Comma 22 2" xfId="77"/>
    <cellStyle name="Comma 23" xfId="78"/>
    <cellStyle name="Comma 23 2" xfId="79"/>
    <cellStyle name="Comma 24" xfId="80"/>
    <cellStyle name="Comma 24 2" xfId="81"/>
    <cellStyle name="Comma 25" xfId="82"/>
    <cellStyle name="Comma 25 2" xfId="83"/>
    <cellStyle name="Comma 26" xfId="84"/>
    <cellStyle name="Comma 26 2" xfId="85"/>
    <cellStyle name="Comma 27" xfId="86"/>
    <cellStyle name="Comma 27 2" xfId="87"/>
    <cellStyle name="Comma 28" xfId="88"/>
    <cellStyle name="Comma 28 2" xfId="89"/>
    <cellStyle name="Comma 29" xfId="90"/>
    <cellStyle name="Comma 29 2" xfId="91"/>
    <cellStyle name="Comma 3" xfId="92"/>
    <cellStyle name="Comma 3 2" xfId="93"/>
    <cellStyle name="Comma 3 2 2" xfId="927"/>
    <cellStyle name="Comma 3 3" xfId="546"/>
    <cellStyle name="Comma 3 3 2" xfId="547"/>
    <cellStyle name="Comma 3 3 3" xfId="548"/>
    <cellStyle name="Comma 3 3 4" xfId="928"/>
    <cellStyle name="Comma 3 4" xfId="549"/>
    <cellStyle name="Comma 3 4 2" xfId="550"/>
    <cellStyle name="Comma 3 4 3" xfId="929"/>
    <cellStyle name="Comma 30" xfId="94"/>
    <cellStyle name="Comma 30 2" xfId="95"/>
    <cellStyle name="Comma 31" xfId="96"/>
    <cellStyle name="Comma 31 2" xfId="97"/>
    <cellStyle name="Comma 32" xfId="98"/>
    <cellStyle name="Comma 32 2" xfId="99"/>
    <cellStyle name="Comma 33" xfId="100"/>
    <cellStyle name="Comma 33 2" xfId="101"/>
    <cellStyle name="Comma 34" xfId="102"/>
    <cellStyle name="Comma 34 2" xfId="103"/>
    <cellStyle name="Comma 35" xfId="104"/>
    <cellStyle name="Comma 35 2" xfId="105"/>
    <cellStyle name="Comma 36" xfId="106"/>
    <cellStyle name="Comma 36 2" xfId="107"/>
    <cellStyle name="Comma 37" xfId="108"/>
    <cellStyle name="Comma 37 2" xfId="109"/>
    <cellStyle name="Comma 38" xfId="110"/>
    <cellStyle name="Comma 39" xfId="111"/>
    <cellStyle name="Comma 4" xfId="112"/>
    <cellStyle name="Comma 4 2" xfId="113"/>
    <cellStyle name="Comma 4 2 2" xfId="930"/>
    <cellStyle name="Comma 4 3" xfId="551"/>
    <cellStyle name="Comma 4 4" xfId="931"/>
    <cellStyle name="Comma 40" xfId="114"/>
    <cellStyle name="Comma 41" xfId="115"/>
    <cellStyle name="Comma 42" xfId="116"/>
    <cellStyle name="Comma 43" xfId="117"/>
    <cellStyle name="Comma 44" xfId="118"/>
    <cellStyle name="Comma 45" xfId="119"/>
    <cellStyle name="Comma 46" xfId="120"/>
    <cellStyle name="Comma 46 2" xfId="121"/>
    <cellStyle name="Comma 47" xfId="122"/>
    <cellStyle name="Comma 47 2" xfId="123"/>
    <cellStyle name="Comma 48" xfId="124"/>
    <cellStyle name="Comma 48 2" xfId="125"/>
    <cellStyle name="Comma 49" xfId="126"/>
    <cellStyle name="Comma 49 2" xfId="127"/>
    <cellStyle name="Comma 5" xfId="128"/>
    <cellStyle name="Comma 5 2" xfId="129"/>
    <cellStyle name="Comma 5 2 2" xfId="932"/>
    <cellStyle name="Comma 5 3" xfId="933"/>
    <cellStyle name="Comma 5 4" xfId="934"/>
    <cellStyle name="Comma 50" xfId="130"/>
    <cellStyle name="Comma 50 2" xfId="131"/>
    <cellStyle name="Comma 51" xfId="132"/>
    <cellStyle name="Comma 51 2" xfId="133"/>
    <cellStyle name="Comma 52" xfId="134"/>
    <cellStyle name="Comma 53" xfId="135"/>
    <cellStyle name="Comma 54" xfId="136"/>
    <cellStyle name="Comma 55" xfId="137"/>
    <cellStyle name="Comma 56" xfId="138"/>
    <cellStyle name="Comma 57" xfId="139"/>
    <cellStyle name="Comma 58" xfId="140"/>
    <cellStyle name="Comma 59" xfId="141"/>
    <cellStyle name="Comma 6" xfId="142"/>
    <cellStyle name="Comma 6 2" xfId="143"/>
    <cellStyle name="Comma 6 3" xfId="935"/>
    <cellStyle name="Comma 60" xfId="144"/>
    <cellStyle name="Comma 61" xfId="145"/>
    <cellStyle name="Comma 62" xfId="146"/>
    <cellStyle name="Comma 63" xfId="147"/>
    <cellStyle name="Comma 64" xfId="148"/>
    <cellStyle name="Comma 65" xfId="149"/>
    <cellStyle name="Comma 66" xfId="150"/>
    <cellStyle name="Comma 67" xfId="151"/>
    <cellStyle name="Comma 68" xfId="152"/>
    <cellStyle name="Comma 69" xfId="153"/>
    <cellStyle name="Comma 7" xfId="154"/>
    <cellStyle name="Comma 7 2" xfId="155"/>
    <cellStyle name="Comma 7 3" xfId="936"/>
    <cellStyle name="Comma 70" xfId="156"/>
    <cellStyle name="Comma 71" xfId="157"/>
    <cellStyle name="Comma 72" xfId="158"/>
    <cellStyle name="Comma 73" xfId="159"/>
    <cellStyle name="Comma 74" xfId="160"/>
    <cellStyle name="Comma 75" xfId="161"/>
    <cellStyle name="Comma 76" xfId="162"/>
    <cellStyle name="Comma 77" xfId="163"/>
    <cellStyle name="Comma 78" xfId="164"/>
    <cellStyle name="Comma 79" xfId="165"/>
    <cellStyle name="Comma 8" xfId="166"/>
    <cellStyle name="Comma 8 2" xfId="167"/>
    <cellStyle name="Comma 8 3" xfId="937"/>
    <cellStyle name="Comma 80" xfId="168"/>
    <cellStyle name="Comma 81" xfId="169"/>
    <cellStyle name="Comma 82" xfId="170"/>
    <cellStyle name="Comma 82 2" xfId="552"/>
    <cellStyle name="Comma 82 3" xfId="553"/>
    <cellStyle name="Comma 83" xfId="554"/>
    <cellStyle name="Comma 83 2" xfId="555"/>
    <cellStyle name="Comma 83 2 2" xfId="556"/>
    <cellStyle name="Comma 83 3" xfId="557"/>
    <cellStyle name="Comma 83 3 2" xfId="558"/>
    <cellStyle name="Comma 84" xfId="559"/>
    <cellStyle name="Comma 84 2" xfId="560"/>
    <cellStyle name="Comma 84 3" xfId="561"/>
    <cellStyle name="Comma 84 4" xfId="562"/>
    <cellStyle name="Comma 85" xfId="563"/>
    <cellStyle name="Comma 85 2" xfId="564"/>
    <cellStyle name="Comma 85 2 2" xfId="565"/>
    <cellStyle name="Comma 85 3" xfId="566"/>
    <cellStyle name="Comma 85 4" xfId="567"/>
    <cellStyle name="Comma 85 5" xfId="568"/>
    <cellStyle name="Comma 86" xfId="569"/>
    <cellStyle name="Comma 86 2" xfId="570"/>
    <cellStyle name="Comma 86 2 2" xfId="571"/>
    <cellStyle name="Comma 86 3" xfId="572"/>
    <cellStyle name="Comma 86 4" xfId="573"/>
    <cellStyle name="Comma 86 5" xfId="574"/>
    <cellStyle name="Comma 87" xfId="575"/>
    <cellStyle name="Comma 87 2" xfId="576"/>
    <cellStyle name="Comma 87 3" xfId="577"/>
    <cellStyle name="Comma 88" xfId="578"/>
    <cellStyle name="Comma 88 2" xfId="579"/>
    <cellStyle name="Comma 88 3" xfId="580"/>
    <cellStyle name="Comma 89" xfId="872"/>
    <cellStyle name="Comma 9" xfId="171"/>
    <cellStyle name="Comma 9 2" xfId="172"/>
    <cellStyle name="Comma 9 3" xfId="938"/>
    <cellStyle name="Comma 90" xfId="939"/>
    <cellStyle name="Comma 91" xfId="940"/>
    <cellStyle name="Comma 92" xfId="1029"/>
    <cellStyle name="Curren - Style3" xfId="173"/>
    <cellStyle name="Curren - Style4" xfId="174"/>
    <cellStyle name="Currency" xfId="2" builtinId="4"/>
    <cellStyle name="Currency 2" xfId="175"/>
    <cellStyle name="Currency 2 2" xfId="581"/>
    <cellStyle name="Currency 3" xfId="176"/>
    <cellStyle name="Currency 3 2" xfId="582"/>
    <cellStyle name="Currency 3 3" xfId="583"/>
    <cellStyle name="Currency 3 4" xfId="941"/>
    <cellStyle name="Currency 4" xfId="177"/>
    <cellStyle name="Currency 4 2" xfId="584"/>
    <cellStyle name="Currency 4 3" xfId="942"/>
    <cellStyle name="Currency 5" xfId="178"/>
    <cellStyle name="Currency 5 2" xfId="585"/>
    <cellStyle name="Currency 5 2 2" xfId="586"/>
    <cellStyle name="Currency 5 3" xfId="943"/>
    <cellStyle name="Currency 6" xfId="587"/>
    <cellStyle name="Currency 6 2" xfId="588"/>
    <cellStyle name="Currency 6 2 2" xfId="589"/>
    <cellStyle name="Currency 6 3" xfId="590"/>
    <cellStyle name="Currency 6 3 2" xfId="591"/>
    <cellStyle name="Currency 6 4" xfId="592"/>
    <cellStyle name="Currency 6 5" xfId="593"/>
    <cellStyle name="Currency 7" xfId="594"/>
    <cellStyle name="Currency 8" xfId="944"/>
    <cellStyle name="date" xfId="179"/>
    <cellStyle name="Explanatory Text 2" xfId="180"/>
    <cellStyle name="Explanatory Text 3" xfId="595"/>
    <cellStyle name="Explanatory Text 3 2" xfId="596"/>
    <cellStyle name="Explanatory Text 3 3" xfId="597"/>
    <cellStyle name="Explanatory Text 4" xfId="598"/>
    <cellStyle name="Followed Hyperlink 2" xfId="599"/>
    <cellStyle name="Good 2" xfId="181"/>
    <cellStyle name="Good 3" xfId="600"/>
    <cellStyle name="Good 3 2" xfId="601"/>
    <cellStyle name="Good 3 3" xfId="602"/>
    <cellStyle name="Good 4" xfId="603"/>
    <cellStyle name="Heading 1 2" xfId="182"/>
    <cellStyle name="Heading 1 3" xfId="604"/>
    <cellStyle name="Heading 1 3 2" xfId="605"/>
    <cellStyle name="Heading 1 3 3" xfId="606"/>
    <cellStyle name="Heading 1 4" xfId="607"/>
    <cellStyle name="Heading 2 2" xfId="183"/>
    <cellStyle name="Heading 2 3" xfId="608"/>
    <cellStyle name="Heading 2 3 2" xfId="609"/>
    <cellStyle name="Heading 2 3 3" xfId="610"/>
    <cellStyle name="Heading 2 4" xfId="611"/>
    <cellStyle name="Heading 3 2" xfId="184"/>
    <cellStyle name="Heading 3 3" xfId="612"/>
    <cellStyle name="Heading 3 3 2" xfId="613"/>
    <cellStyle name="Heading 3 3 3" xfId="614"/>
    <cellStyle name="Heading 3 4" xfId="615"/>
    <cellStyle name="Heading 4 2" xfId="185"/>
    <cellStyle name="Heading 4 3" xfId="616"/>
    <cellStyle name="Heading 4 3 2" xfId="617"/>
    <cellStyle name="Heading 4 3 3" xfId="618"/>
    <cellStyle name="Heading 4 4" xfId="619"/>
    <cellStyle name="Hyperlink" xfId="1024" builtinId="8"/>
    <cellStyle name="Hyperlink 2" xfId="620"/>
    <cellStyle name="Hyperlink 2 2" xfId="621"/>
    <cellStyle name="Input 2" xfId="186"/>
    <cellStyle name="Input 3" xfId="622"/>
    <cellStyle name="Input 3 2" xfId="623"/>
    <cellStyle name="Input 3 3" xfId="624"/>
    <cellStyle name="Input 4" xfId="625"/>
    <cellStyle name="JE152" xfId="626"/>
    <cellStyle name="Linked Cell 2" xfId="187"/>
    <cellStyle name="Linked Cell 3" xfId="627"/>
    <cellStyle name="Linked Cell 3 2" xfId="628"/>
    <cellStyle name="Linked Cell 3 3" xfId="629"/>
    <cellStyle name="Linked Cell 4" xfId="630"/>
    <cellStyle name="Neutral 2" xfId="188"/>
    <cellStyle name="Neutral 3" xfId="631"/>
    <cellStyle name="Neutral 3 2" xfId="632"/>
    <cellStyle name="Neutral 3 3" xfId="633"/>
    <cellStyle name="Neutral 4" xfId="634"/>
    <cellStyle name="Normal" xfId="0" builtinId="0"/>
    <cellStyle name="Normal - Style5" xfId="189"/>
    <cellStyle name="Normal 10" xfId="190"/>
    <cellStyle name="Normal 10 2" xfId="635"/>
    <cellStyle name="Normal 10 2 2" xfId="945"/>
    <cellStyle name="Normal 10 3" xfId="239"/>
    <cellStyle name="Normal 10 3 2" xfId="946"/>
    <cellStyle name="Normal 11" xfId="191"/>
    <cellStyle name="Normal 11 2" xfId="636"/>
    <cellStyle name="Normal 11 3" xfId="947"/>
    <cellStyle name="Normal 11 3 2" xfId="1009"/>
    <cellStyle name="Normal 12" xfId="192"/>
    <cellStyle name="Normal 12 2" xfId="948"/>
    <cellStyle name="Normal 12 3" xfId="949"/>
    <cellStyle name="Normal 13" xfId="193"/>
    <cellStyle name="Normal 13 2" xfId="950"/>
    <cellStyle name="Normal 13 3" xfId="951"/>
    <cellStyle name="Normal 14" xfId="194"/>
    <cellStyle name="Normal 14 2" xfId="952"/>
    <cellStyle name="Normal 14 3" xfId="953"/>
    <cellStyle name="Normal 15" xfId="195"/>
    <cellStyle name="Normal 15 2" xfId="954"/>
    <cellStyle name="Normal 15 3" xfId="955"/>
    <cellStyle name="Normal 16" xfId="196"/>
    <cellStyle name="Normal 16 2" xfId="956"/>
    <cellStyle name="Normal 16 3" xfId="957"/>
    <cellStyle name="Normal 17" xfId="197"/>
    <cellStyle name="Normal 17 2" xfId="958"/>
    <cellStyle name="Normal 18" xfId="198"/>
    <cellStyle name="Normal 18 2" xfId="959"/>
    <cellStyle name="Normal 18 3" xfId="960"/>
    <cellStyle name="Normal 19" xfId="199"/>
    <cellStyle name="Normal 19 2" xfId="961"/>
    <cellStyle name="Normal 19 3" xfId="962"/>
    <cellStyle name="Normal 19 4" xfId="963"/>
    <cellStyle name="Normal 19 5" xfId="964"/>
    <cellStyle name="Normal 2" xfId="3"/>
    <cellStyle name="Normal 2 2" xfId="6"/>
    <cellStyle name="Normal 2 2 2" xfId="637"/>
    <cellStyle name="Normal 2 2 2 2" xfId="965"/>
    <cellStyle name="Normal 2 2 3" xfId="638"/>
    <cellStyle name="Normal 2 2 3 2" xfId="966"/>
    <cellStyle name="Normal 2 2 4" xfId="967"/>
    <cellStyle name="Normal 2 3" xfId="8"/>
    <cellStyle name="Normal 2 3 2" xfId="639"/>
    <cellStyle name="Normal 2 3 3" xfId="968"/>
    <cellStyle name="Normal 2 4" xfId="640"/>
    <cellStyle name="Normal 2 4 2" xfId="969"/>
    <cellStyle name="Normal 2 5" xfId="641"/>
    <cellStyle name="Normal 2 5 2" xfId="642"/>
    <cellStyle name="Normal 2 5 2 2" xfId="643"/>
    <cellStyle name="Normal 2 5 3" xfId="644"/>
    <cellStyle name="Normal 2 5 3 2" xfId="645"/>
    <cellStyle name="Normal 2 5 4" xfId="646"/>
    <cellStyle name="Normal 2 5 5" xfId="970"/>
    <cellStyle name="Normal 2 6" xfId="647"/>
    <cellStyle name="Normal 2_Employee Benefits - AmerenUE Gas" xfId="648"/>
    <cellStyle name="Normal 20" xfId="200"/>
    <cellStyle name="Normal 20 2" xfId="971"/>
    <cellStyle name="Normal 20 3" xfId="972"/>
    <cellStyle name="Normal 21" xfId="201"/>
    <cellStyle name="Normal 21 2" xfId="973"/>
    <cellStyle name="Normal 22" xfId="202"/>
    <cellStyle name="Normal 22 2" xfId="974"/>
    <cellStyle name="Normal 23" xfId="203"/>
    <cellStyle name="Normal 23 2" xfId="975"/>
    <cellStyle name="Normal 24" xfId="204"/>
    <cellStyle name="Normal 24 2" xfId="976"/>
    <cellStyle name="Normal 25" xfId="205"/>
    <cellStyle name="Normal 25 2" xfId="977"/>
    <cellStyle name="Normal 26" xfId="206"/>
    <cellStyle name="Normal 26 2" xfId="978"/>
    <cellStyle name="Normal 27" xfId="207"/>
    <cellStyle name="Normal 27 2" xfId="979"/>
    <cellStyle name="Normal 28" xfId="208"/>
    <cellStyle name="Normal 29" xfId="209"/>
    <cellStyle name="Normal 3" xfId="7"/>
    <cellStyle name="Normal 3 2" xfId="649"/>
    <cellStyle name="Normal 3 2 2" xfId="650"/>
    <cellStyle name="Normal 3 2 2 2" xfId="980"/>
    <cellStyle name="Normal 3 3" xfId="981"/>
    <cellStyle name="Normal 3 4" xfId="982"/>
    <cellStyle name="Normal 30" xfId="210"/>
    <cellStyle name="Normal 31" xfId="211"/>
    <cellStyle name="Normal 32" xfId="212"/>
    <cellStyle name="Normal 33" xfId="213"/>
    <cellStyle name="Normal 34" xfId="214"/>
    <cellStyle name="Normal 35" xfId="215"/>
    <cellStyle name="Normal 36" xfId="216"/>
    <cellStyle name="Normal 37" xfId="217"/>
    <cellStyle name="Normal 38" xfId="651"/>
    <cellStyle name="Normal 38 2" xfId="652"/>
    <cellStyle name="Normal 38 3" xfId="653"/>
    <cellStyle name="Normal 39" xfId="654"/>
    <cellStyle name="Normal 39 2" xfId="655"/>
    <cellStyle name="Normal 39 2 2" xfId="656"/>
    <cellStyle name="Normal 39 3" xfId="657"/>
    <cellStyle name="Normal 39 3 2" xfId="658"/>
    <cellStyle name="Normal 39 4" xfId="659"/>
    <cellStyle name="Normal 39 5" xfId="660"/>
    <cellStyle name="Normal 39 6" xfId="983"/>
    <cellStyle name="Normal 4" xfId="218"/>
    <cellStyle name="Normal 4 2" xfId="661"/>
    <cellStyle name="Normal 4 2 2" xfId="984"/>
    <cellStyle name="Normal 4 2 3" xfId="985"/>
    <cellStyle name="Normal 4 3" xfId="662"/>
    <cellStyle name="Normal 4 4" xfId="663"/>
    <cellStyle name="Normal 4 5" xfId="986"/>
    <cellStyle name="Normal 40" xfId="664"/>
    <cellStyle name="Normal 40 2" xfId="665"/>
    <cellStyle name="Normal 40 3" xfId="666"/>
    <cellStyle name="Normal 40 4" xfId="667"/>
    <cellStyle name="Normal 41" xfId="668"/>
    <cellStyle name="Normal 41 2" xfId="669"/>
    <cellStyle name="Normal 41 2 2" xfId="670"/>
    <cellStyle name="Normal 41 3" xfId="671"/>
    <cellStyle name="Normal 41 3 2" xfId="672"/>
    <cellStyle name="Normal 41 4" xfId="673"/>
    <cellStyle name="Normal 41 5" xfId="674"/>
    <cellStyle name="Normal 41 6" xfId="675"/>
    <cellStyle name="Normal 42" xfId="676"/>
    <cellStyle name="Normal 42 2" xfId="677"/>
    <cellStyle name="Normal 43" xfId="678"/>
    <cellStyle name="Normal 43 2" xfId="679"/>
    <cellStyle name="Normal 44" xfId="680"/>
    <cellStyle name="Normal 44 2" xfId="681"/>
    <cellStyle name="Normal 44 2 2" xfId="682"/>
    <cellStyle name="Normal 44 3" xfId="683"/>
    <cellStyle name="Normal 45" xfId="684"/>
    <cellStyle name="Normal 45 2" xfId="685"/>
    <cellStyle name="Normal 45 2 2" xfId="686"/>
    <cellStyle name="Normal 45 3" xfId="687"/>
    <cellStyle name="Normal 46" xfId="688"/>
    <cellStyle name="Normal 47" xfId="689"/>
    <cellStyle name="Normal 47 2" xfId="690"/>
    <cellStyle name="Normal 47 2 2" xfId="691"/>
    <cellStyle name="Normal 48" xfId="692"/>
    <cellStyle name="Normal 49" xfId="693"/>
    <cellStyle name="Normal 49 2" xfId="694"/>
    <cellStyle name="Normal 5" xfId="219"/>
    <cellStyle name="Normal 5 2" xfId="695"/>
    <cellStyle name="Normal 5 2 2" xfId="696"/>
    <cellStyle name="Normal 5 2 3" xfId="697"/>
    <cellStyle name="Normal 5 2 4" xfId="987"/>
    <cellStyle name="Normal 5 3" xfId="698"/>
    <cellStyle name="Normal 5 3 2" xfId="699"/>
    <cellStyle name="Normal 5 3 3" xfId="988"/>
    <cellStyle name="Normal 5 4" xfId="989"/>
    <cellStyle name="Normal 50" xfId="700"/>
    <cellStyle name="Normal 51" xfId="701"/>
    <cellStyle name="Normal 52" xfId="702"/>
    <cellStyle name="Normal 53" xfId="703"/>
    <cellStyle name="Normal 54" xfId="704"/>
    <cellStyle name="Normal 55" xfId="705"/>
    <cellStyle name="Normal 56" xfId="706"/>
    <cellStyle name="Normal 57" xfId="707"/>
    <cellStyle name="Normal 58" xfId="708"/>
    <cellStyle name="Normal 59" xfId="709"/>
    <cellStyle name="Normal 6" xfId="220"/>
    <cellStyle name="Normal 6 2" xfId="710"/>
    <cellStyle name="Normal 6 2 2" xfId="711"/>
    <cellStyle name="Normal 6 2 3" xfId="712"/>
    <cellStyle name="Normal 6 2 4" xfId="990"/>
    <cellStyle name="Normal 6 3" xfId="713"/>
    <cellStyle name="Normal 6 3 2" xfId="714"/>
    <cellStyle name="Normal 6 3 3" xfId="991"/>
    <cellStyle name="Normal 60" xfId="715"/>
    <cellStyle name="Normal 61" xfId="716"/>
    <cellStyle name="Normal 62" xfId="717"/>
    <cellStyle name="Normal 63" xfId="718"/>
    <cellStyle name="Normal 64" xfId="719"/>
    <cellStyle name="Normal 65" xfId="720"/>
    <cellStyle name="Normal 66" xfId="721"/>
    <cellStyle name="Normal 67" xfId="722"/>
    <cellStyle name="Normal 68" xfId="723"/>
    <cellStyle name="Normal 69" xfId="724"/>
    <cellStyle name="Normal 7" xfId="221"/>
    <cellStyle name="Normal 7 2" xfId="725"/>
    <cellStyle name="Normal 7 3" xfId="992"/>
    <cellStyle name="Normal 7 4" xfId="993"/>
    <cellStyle name="Normal 70" xfId="726"/>
    <cellStyle name="Normal 71" xfId="727"/>
    <cellStyle name="Normal 72" xfId="728"/>
    <cellStyle name="Normal 73" xfId="729"/>
    <cellStyle name="Normal 74" xfId="730"/>
    <cellStyle name="Normal 74 2" xfId="731"/>
    <cellStyle name="Normal 75" xfId="732"/>
    <cellStyle name="Normal 76" xfId="240"/>
    <cellStyle name="Normal 77" xfId="870"/>
    <cellStyle name="Normal 78" xfId="871"/>
    <cellStyle name="Normal 79" xfId="874"/>
    <cellStyle name="Normal 8" xfId="222"/>
    <cellStyle name="Normal 8 2" xfId="733"/>
    <cellStyle name="Normal 8 2 2" xfId="994"/>
    <cellStyle name="Normal 8 3" xfId="995"/>
    <cellStyle name="Normal 80" xfId="996"/>
    <cellStyle name="Normal 81" xfId="875"/>
    <cellStyle name="Normal 82" xfId="1010"/>
    <cellStyle name="Normal 83" xfId="1011"/>
    <cellStyle name="Normal 84" xfId="1012"/>
    <cellStyle name="Normal 85" xfId="1013"/>
    <cellStyle name="Normal 86" xfId="1014"/>
    <cellStyle name="Normal 87" xfId="1015"/>
    <cellStyle name="Normal 87 2" xfId="1019"/>
    <cellStyle name="Normal 88" xfId="1021"/>
    <cellStyle name="Normal 89" xfId="1020"/>
    <cellStyle name="Normal 9" xfId="223"/>
    <cellStyle name="Normal 9 2" xfId="734"/>
    <cellStyle name="Normal 9 3" xfId="997"/>
    <cellStyle name="Normal 9 4" xfId="998"/>
    <cellStyle name="Normal 90" xfId="1022"/>
    <cellStyle name="Normal 91" xfId="1023"/>
    <cellStyle name="Normal 92" xfId="1025"/>
    <cellStyle name="Normal 93" xfId="1026"/>
    <cellStyle name="Normal 94" xfId="1027"/>
    <cellStyle name="Normal 95" xfId="1028"/>
    <cellStyle name="Normal_4 CSR 240-3.161 (7)(B)-RP1" xfId="1017"/>
    <cellStyle name="Normal_FAC components Jun10 7-9-10 2" xfId="1018"/>
    <cellStyle name="Normal_OLE" xfId="1016"/>
    <cellStyle name="Note 2" xfId="224"/>
    <cellStyle name="Note 2 2" xfId="735"/>
    <cellStyle name="Note 2 2 2" xfId="736"/>
    <cellStyle name="Note 2 2 3" xfId="999"/>
    <cellStyle name="Note 2 3" xfId="737"/>
    <cellStyle name="Note 2 3 2" xfId="1000"/>
    <cellStyle name="Note 2 4" xfId="738"/>
    <cellStyle name="Note 2 4 2" xfId="1001"/>
    <cellStyle name="Note 3" xfId="225"/>
    <cellStyle name="Note 3 2" xfId="1002"/>
    <cellStyle name="Note 4" xfId="226"/>
    <cellStyle name="Note 4 2" xfId="739"/>
    <cellStyle name="Note 4 3" xfId="1003"/>
    <cellStyle name="Note 5" xfId="740"/>
    <cellStyle name="Note 5 2" xfId="741"/>
    <cellStyle name="Note 5 2 2" xfId="742"/>
    <cellStyle name="Note 5 3" xfId="743"/>
    <cellStyle name="Note 5 3 2" xfId="744"/>
    <cellStyle name="Note 5 4" xfId="745"/>
    <cellStyle name="Note 5 4 2" xfId="746"/>
    <cellStyle name="Note 5 5" xfId="747"/>
    <cellStyle name="Note 5 6" xfId="748"/>
    <cellStyle name="Note 6" xfId="749"/>
    <cellStyle name="Note 6 2" xfId="750"/>
    <cellStyle name="Note 6 2 2" xfId="751"/>
    <cellStyle name="Note 6 3" xfId="752"/>
    <cellStyle name="Note 6 3 2" xfId="753"/>
    <cellStyle name="Note 6 4" xfId="754"/>
    <cellStyle name="Note 6 4 2" xfId="755"/>
    <cellStyle name="Note 6 5" xfId="756"/>
    <cellStyle name="Note 6 6" xfId="757"/>
    <cellStyle name="Output 2" xfId="227"/>
    <cellStyle name="Output 3" xfId="758"/>
    <cellStyle name="Output 3 2" xfId="759"/>
    <cellStyle name="Output 3 3" xfId="760"/>
    <cellStyle name="Output 4" xfId="761"/>
    <cellStyle name="Percent 10" xfId="873"/>
    <cellStyle name="Percent 2" xfId="4"/>
    <cellStyle name="Percent 2 2" xfId="228"/>
    <cellStyle name="Percent 2 2 2" xfId="762"/>
    <cellStyle name="Percent 2 3" xfId="763"/>
    <cellStyle name="Percent 2 3 2" xfId="764"/>
    <cellStyle name="Percent 2 3 3" xfId="1004"/>
    <cellStyle name="Percent 2 4" xfId="765"/>
    <cellStyle name="Percent 3" xfId="5"/>
    <cellStyle name="Percent 3 2" xfId="229"/>
    <cellStyle name="Percent 3 3" xfId="230"/>
    <cellStyle name="Percent 3 4" xfId="1005"/>
    <cellStyle name="Percent 4" xfId="231"/>
    <cellStyle name="Percent 4 2" xfId="232"/>
    <cellStyle name="Percent 4 3" xfId="1006"/>
    <cellStyle name="Percent 5" xfId="233"/>
    <cellStyle name="Percent 5 2" xfId="1007"/>
    <cellStyle name="Percent 6" xfId="234"/>
    <cellStyle name="Percent 6 2" xfId="766"/>
    <cellStyle name="Percent 7" xfId="767"/>
    <cellStyle name="Percent 7 2" xfId="768"/>
    <cellStyle name="Percent 7 2 2" xfId="769"/>
    <cellStyle name="Percent 8" xfId="770"/>
    <cellStyle name="Percent 8 2" xfId="771"/>
    <cellStyle name="Percent 8 2 2" xfId="772"/>
    <cellStyle name="Percent 8 3" xfId="773"/>
    <cellStyle name="Percent 8 3 2" xfId="774"/>
    <cellStyle name="Percent 8 4" xfId="775"/>
    <cellStyle name="Percent 8 5" xfId="776"/>
    <cellStyle name="Percent 9" xfId="777"/>
    <cellStyle name="PSChar" xfId="778"/>
    <cellStyle name="PSDate" xfId="779"/>
    <cellStyle name="PSDec" xfId="780"/>
    <cellStyle name="PSHeading" xfId="781"/>
    <cellStyle name="PSHeading 2" xfId="782"/>
    <cellStyle name="PSHeading 2 2" xfId="783"/>
    <cellStyle name="PSHeading_Employee Benefits - AmerenUE Gas" xfId="784"/>
    <cellStyle name="PSInt" xfId="785"/>
    <cellStyle name="PSSpacer" xfId="786"/>
    <cellStyle name="SAPBEXaggData" xfId="787"/>
    <cellStyle name="SAPBEXaggDataEmph" xfId="788"/>
    <cellStyle name="SAPBEXaggExc1" xfId="789"/>
    <cellStyle name="SAPBEXaggExc1Emph" xfId="790"/>
    <cellStyle name="SAPBEXaggExc2" xfId="791"/>
    <cellStyle name="SAPBEXaggExc2Emph" xfId="792"/>
    <cellStyle name="SAPBEXaggItem" xfId="793"/>
    <cellStyle name="SAPBEXbackground" xfId="794"/>
    <cellStyle name="SAPBEXbackground 2" xfId="795"/>
    <cellStyle name="SAPBEXbackground 2 2" xfId="796"/>
    <cellStyle name="SAPBEXbackground 3" xfId="797"/>
    <cellStyle name="SAPBEXbackground_Employee Benefits - AmerenUE Gas" xfId="798"/>
    <cellStyle name="SAPBEXchaText" xfId="799"/>
    <cellStyle name="SAPBEXexcBad7" xfId="800"/>
    <cellStyle name="SAPBEXexcBad8" xfId="801"/>
    <cellStyle name="SAPBEXexcBad9" xfId="802"/>
    <cellStyle name="SAPBEXexcCritical4" xfId="803"/>
    <cellStyle name="SAPBEXexcCritical5" xfId="804"/>
    <cellStyle name="SAPBEXexcCritical6" xfId="805"/>
    <cellStyle name="SAPBEXexcGood1" xfId="806"/>
    <cellStyle name="SAPBEXexcGood2" xfId="807"/>
    <cellStyle name="SAPBEXexcGood3" xfId="808"/>
    <cellStyle name="SAPBEXfilterDrill" xfId="809"/>
    <cellStyle name="SAPBEXfilterItem" xfId="810"/>
    <cellStyle name="SAPBEXfilterText" xfId="811"/>
    <cellStyle name="SAPBEXformats" xfId="812"/>
    <cellStyle name="SAPBEXheaderData" xfId="813"/>
    <cellStyle name="SAPBEXheaderItem" xfId="814"/>
    <cellStyle name="SAPBEXheaderItem 2" xfId="815"/>
    <cellStyle name="SAPBEXheaderRowOne" xfId="816"/>
    <cellStyle name="SAPBEXheaderRowOne 2" xfId="817"/>
    <cellStyle name="SAPBEXheaderRowOne 2 2" xfId="818"/>
    <cellStyle name="SAPBEXheaderRowOne 3" xfId="819"/>
    <cellStyle name="SAPBEXheaderRowOne_Employee Benefits - AmerenUE Gas" xfId="820"/>
    <cellStyle name="SAPBEXheaderRowThree" xfId="821"/>
    <cellStyle name="SAPBEXheaderRowThree 2" xfId="822"/>
    <cellStyle name="SAPBEXheaderRowThree 2 2" xfId="823"/>
    <cellStyle name="SAPBEXheaderRowThree 3" xfId="824"/>
    <cellStyle name="SAPBEXheaderRowTwo" xfId="825"/>
    <cellStyle name="SAPBEXheaderSingleRow" xfId="826"/>
    <cellStyle name="SAPBEXheaderSingleRow 2" xfId="827"/>
    <cellStyle name="SAPBEXheaderSingleRow 2 2" xfId="828"/>
    <cellStyle name="SAPBEXheaderSingleRow 3" xfId="829"/>
    <cellStyle name="SAPBEXheaderText" xfId="830"/>
    <cellStyle name="SAPBEXheaderText 2" xfId="831"/>
    <cellStyle name="SAPBEXresData" xfId="832"/>
    <cellStyle name="SAPBEXresDataEmph" xfId="833"/>
    <cellStyle name="SAPBEXresExc1" xfId="834"/>
    <cellStyle name="SAPBEXresExc1Emph" xfId="835"/>
    <cellStyle name="SAPBEXresExc2" xfId="836"/>
    <cellStyle name="SAPBEXresExc2Emph" xfId="837"/>
    <cellStyle name="SAPBEXresItem" xfId="838"/>
    <cellStyle name="SAPBEXstdData" xfId="839"/>
    <cellStyle name="SAPBEXstdDataEmph" xfId="840"/>
    <cellStyle name="SAPBEXstdExc1" xfId="841"/>
    <cellStyle name="SAPBEXstdExc1Emph" xfId="842"/>
    <cellStyle name="SAPBEXstdExc2" xfId="843"/>
    <cellStyle name="SAPBEXstdExc2Emph" xfId="844"/>
    <cellStyle name="SAPBEXstdItem" xfId="845"/>
    <cellStyle name="SAPBEXstdItemHeader" xfId="846"/>
    <cellStyle name="SAPBEXstdItemLeft" xfId="847"/>
    <cellStyle name="SAPBEXstdItemLeftChart" xfId="848"/>
    <cellStyle name="SAPBEXsubData" xfId="849"/>
    <cellStyle name="SAPBEXsubDataEmph" xfId="850"/>
    <cellStyle name="SAPBEXsubExc1" xfId="851"/>
    <cellStyle name="SAPBEXsubExc1Emph" xfId="852"/>
    <cellStyle name="SAPBEXsubExc2" xfId="853"/>
    <cellStyle name="SAPBEXsubExc2Emph" xfId="854"/>
    <cellStyle name="SAPBEXsubItem" xfId="855"/>
    <cellStyle name="SAPBEXtitle" xfId="856"/>
    <cellStyle name="SAPBEXundefined" xfId="857"/>
    <cellStyle name="SSN" xfId="235"/>
    <cellStyle name="Style 28" xfId="858"/>
    <cellStyle name="styTitle1" xfId="859"/>
    <cellStyle name="styTitle2" xfId="860"/>
    <cellStyle name="Title 2" xfId="236"/>
    <cellStyle name="Title 3" xfId="861"/>
    <cellStyle name="Title 3 2" xfId="1008"/>
    <cellStyle name="Total 2" xfId="237"/>
    <cellStyle name="Total 3" xfId="862"/>
    <cellStyle name="Total 3 2" xfId="863"/>
    <cellStyle name="Total 3 3" xfId="864"/>
    <cellStyle name="Total 4" xfId="865"/>
    <cellStyle name="Warning Text 2" xfId="238"/>
    <cellStyle name="Warning Text 3" xfId="866"/>
    <cellStyle name="Warning Text 3 2" xfId="867"/>
    <cellStyle name="Warning Text 3 3" xfId="868"/>
    <cellStyle name="Warning Text 4" xfId="86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123825</xdr:rowOff>
    </xdr:from>
    <xdr:to>
      <xdr:col>12</xdr:col>
      <xdr:colOff>333375</xdr:colOff>
      <xdr:row>22</xdr:row>
      <xdr:rowOff>35718</xdr:rowOff>
    </xdr:to>
    <xdr:sp macro="" textlink="">
      <xdr:nvSpPr>
        <xdr:cNvPr id="2" name="TextBox 1"/>
        <xdr:cNvSpPr txBox="1"/>
      </xdr:nvSpPr>
      <xdr:spPr>
        <a:xfrm>
          <a:off x="738188" y="790575"/>
          <a:ext cx="7012781" cy="2936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Arial" panose="020B0604020202020204" pitchFamily="34" charset="0"/>
              <a:ea typeface="+mn-ea"/>
              <a:cs typeface="Arial" panose="020B0604020202020204" pitchFamily="34" charset="0"/>
            </a:rPr>
            <a:t>The monthly short-term borrowing analysis schedules contained in</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b="0" baseline="0">
              <a:solidFill>
                <a:sysClr val="windowText" lastClr="000000"/>
              </a:solidFill>
              <a:effectLst/>
              <a:latin typeface="Arial" panose="020B0604020202020204" pitchFamily="34" charset="0"/>
              <a:ea typeface="+mn-ea"/>
              <a:cs typeface="Arial" panose="020B0604020202020204" pitchFamily="34" charset="0"/>
            </a:rPr>
            <a:t>tabs 9(A).2(D).II herein </a:t>
          </a:r>
          <a:r>
            <a:rPr lang="en-US" sz="1000" baseline="0">
              <a:solidFill>
                <a:schemeClr val="dk1"/>
              </a:solidFill>
              <a:effectLst/>
              <a:latin typeface="Arial" panose="020B0604020202020204" pitchFamily="34" charset="0"/>
              <a:ea typeface="+mn-ea"/>
              <a:cs typeface="Arial" panose="020B0604020202020204" pitchFamily="34" charset="0"/>
            </a:rPr>
            <a:t>are</a:t>
          </a:r>
          <a:r>
            <a:rPr lang="en-US" sz="1000">
              <a:solidFill>
                <a:schemeClr val="dk1"/>
              </a:solidFill>
              <a:effectLst/>
              <a:latin typeface="Arial" panose="020B0604020202020204" pitchFamily="34" charset="0"/>
              <a:ea typeface="+mn-ea"/>
              <a:cs typeface="Arial" panose="020B0604020202020204" pitchFamily="34" charset="0"/>
            </a:rPr>
            <a:t> developed monthly by the</a:t>
          </a:r>
          <a:r>
            <a:rPr lang="en-US" sz="1000" baseline="0">
              <a:solidFill>
                <a:schemeClr val="dk1"/>
              </a:solidFill>
              <a:effectLst/>
              <a:latin typeface="Arial" panose="020B0604020202020204" pitchFamily="34" charset="0"/>
              <a:ea typeface="+mn-ea"/>
              <a:cs typeface="Arial" panose="020B0604020202020204" pitchFamily="34" charset="0"/>
            </a:rPr>
            <a:t> Treasury Department</a:t>
          </a:r>
          <a:r>
            <a:rPr lang="en-US" sz="1000">
              <a:solidFill>
                <a:schemeClr val="dk1"/>
              </a:solidFill>
              <a:effectLst/>
              <a:latin typeface="Arial" panose="020B0604020202020204" pitchFamily="34" charset="0"/>
              <a:ea typeface="+mn-ea"/>
              <a:cs typeface="Arial" panose="020B0604020202020204" pitchFamily="34" charset="0"/>
            </a:rPr>
            <a:t>.  These schedules identify the short-term borrowing balance outstanding at month end, the average daily short-term borrowing balance for the month, the weighted average short-term borrowing rate for the month, and the peak short-term borrowing amount for the month.  These schedules are completed for Union Electric Company (d/b/a "Ameren Missouri") and Ameren Corporation</a:t>
          </a:r>
          <a:r>
            <a:rPr lang="en-US" sz="1000" baseline="0">
              <a:solidFill>
                <a:schemeClr val="dk1"/>
              </a:solidFill>
              <a:effectLst/>
              <a:latin typeface="Arial" panose="020B0604020202020204" pitchFamily="34" charset="0"/>
              <a:ea typeface="+mn-ea"/>
              <a:cs typeface="Arial" panose="020B0604020202020204" pitchFamily="34" charset="0"/>
            </a:rPr>
            <a:t> separately.</a:t>
          </a:r>
          <a:r>
            <a:rPr lang="en-US" sz="1000">
              <a:solidFill>
                <a:schemeClr val="dk1"/>
              </a:solidFill>
              <a:effectLst/>
              <a:latin typeface="Arial" panose="020B0604020202020204" pitchFamily="34" charset="0"/>
              <a:ea typeface="+mn-ea"/>
              <a:cs typeface="Arial" panose="020B0604020202020204" pitchFamily="34" charset="0"/>
            </a:rPr>
            <a:t> </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short-term borrowing instruments for each of the above companies may include one or more of the following:</a:t>
          </a:r>
        </a:p>
        <a:p>
          <a:pPr lvl="0"/>
          <a:r>
            <a:rPr lang="en-US" sz="1000">
              <a:solidFill>
                <a:schemeClr val="dk1"/>
              </a:solidFill>
              <a:effectLst/>
              <a:latin typeface="Arial" panose="020B0604020202020204" pitchFamily="34" charset="0"/>
              <a:ea typeface="+mn-ea"/>
              <a:cs typeface="Arial" panose="020B0604020202020204" pitchFamily="34" charset="0"/>
            </a:rPr>
            <a:t>- Commercial paper</a:t>
          </a:r>
        </a:p>
        <a:p>
          <a:pPr lvl="0"/>
          <a:r>
            <a:rPr lang="en-US" sz="1000">
              <a:solidFill>
                <a:schemeClr val="dk1"/>
              </a:solidFill>
              <a:effectLst/>
              <a:latin typeface="Arial" panose="020B0604020202020204" pitchFamily="34" charset="0"/>
              <a:ea typeface="+mn-ea"/>
              <a:cs typeface="Arial" panose="020B0604020202020204" pitchFamily="34" charset="0"/>
            </a:rPr>
            <a:t>- Revolver (Credit Agreement) loans</a:t>
          </a:r>
        </a:p>
        <a:p>
          <a:pPr lvl="0"/>
          <a:r>
            <a:rPr lang="en-US" sz="1000">
              <a:solidFill>
                <a:schemeClr val="dk1"/>
              </a:solidFill>
              <a:effectLst/>
              <a:latin typeface="Arial" panose="020B0604020202020204" pitchFamily="34" charset="0"/>
              <a:ea typeface="+mn-ea"/>
              <a:cs typeface="Arial" panose="020B0604020202020204" pitchFamily="34" charset="0"/>
            </a:rPr>
            <a:t>- Term loans</a:t>
          </a:r>
        </a:p>
        <a:p>
          <a:pPr lvl="0"/>
          <a:r>
            <a:rPr lang="en-US" sz="1000">
              <a:solidFill>
                <a:schemeClr val="dk1"/>
              </a:solidFill>
              <a:effectLst/>
              <a:latin typeface="Arial" panose="020B0604020202020204" pitchFamily="34" charset="0"/>
              <a:ea typeface="+mn-ea"/>
              <a:cs typeface="Arial" panose="020B0604020202020204" pitchFamily="34" charset="0"/>
            </a:rPr>
            <a:t>- Regulated money-pool loans (Ameren Missouri Only)</a:t>
          </a:r>
        </a:p>
        <a:p>
          <a:pPr lvl="0"/>
          <a:r>
            <a:rPr lang="en-US" sz="1000">
              <a:solidFill>
                <a:schemeClr val="dk1"/>
              </a:solidFill>
              <a:effectLst/>
              <a:latin typeface="Arial" panose="020B0604020202020204" pitchFamily="34" charset="0"/>
              <a:ea typeface="+mn-ea"/>
              <a:cs typeface="Arial" panose="020B0604020202020204" pitchFamily="34" charset="0"/>
            </a:rPr>
            <a:t>- Non-regulated money pool loans (Ameren Corporation only)</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weighted average short-term borrowing rate is calculated for each company based on the short-term borrowing balance for each instrument times the instrument's interest rate to calculate the daily interest.  The average of the daily interest of all instruments is then divided by the average daily short-term borrowing balance of all instruments and multiplied by 360 days.  In the event Ameren Missouri has no short-term</a:t>
          </a:r>
          <a:r>
            <a:rPr lang="en-US" sz="1000" baseline="0">
              <a:solidFill>
                <a:schemeClr val="dk1"/>
              </a:solidFill>
              <a:effectLst/>
              <a:latin typeface="Arial" panose="020B0604020202020204" pitchFamily="34" charset="0"/>
              <a:ea typeface="+mn-ea"/>
              <a:cs typeface="Arial" panose="020B0604020202020204" pitchFamily="34" charset="0"/>
            </a:rPr>
            <a:t> borrowings for the month, then Ameren Corporation's weighted average short-term borrowing rate is used.</a:t>
          </a:r>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20279\Local%20Settings\Temporary%20Internet%20Files\OLK3\Ameren%20ER-2008-0318\Company%20Workpapers\Cooper%20and%20Pozzo\jpozzo\detail%20200701%20200712%202007%20rates%20re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l01\SYS3\AMEREN_05590\03RET\5YearForecasts\AmerenCilco03Forecast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ATA\Ameren\CILCO\CILCO%20Proj%20-%20B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ee\Dutch%20Auctions\CIPS%20Dutch_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e20279\Local%20Settings\Temporary%20Internet%20Files\OLK3\Ameren%20ER-2008-0318\Copy%20of%20report%20235%20200701%202008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MEREN_05590\04RET\2004Valuation\Reports\AgeSvc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usiness%20Pricing%20&amp;%20Costing\PSG\DLM%20Rate%20Case.WACC%20Base.Mar%2030%2004.DLM.v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rim month pivot"/>
      <sheetName val="sa 235 pivot"/>
      <sheetName val="Res"/>
      <sheetName val="SGS"/>
      <sheetName val="LGS"/>
      <sheetName val="SPS"/>
      <sheetName val="LPS"/>
      <sheetName val="12m"/>
      <sheetName val="Lighting data"/>
      <sheetName val="MSD"/>
      <sheetName val="Rate impact"/>
      <sheetName val="Summary"/>
      <sheetName val="Rate definitions"/>
    </sheetNames>
    <sheetDataSet>
      <sheetData sheetId="0" refreshError="1"/>
      <sheetData sheetId="1" refreshError="1"/>
      <sheetData sheetId="2" refreshError="1"/>
      <sheetData sheetId="3"/>
      <sheetData sheetId="4"/>
      <sheetData sheetId="5"/>
      <sheetData sheetId="6">
        <row r="40">
          <cell r="S40">
            <v>217.25</v>
          </cell>
        </row>
        <row r="41">
          <cell r="S41">
            <v>7.2599999999999998E-2</v>
          </cell>
        </row>
        <row r="42">
          <cell r="S42">
            <v>5.4699999999999999E-2</v>
          </cell>
        </row>
        <row r="43">
          <cell r="S43">
            <v>3.6799999999999999E-2</v>
          </cell>
        </row>
        <row r="44">
          <cell r="S44">
            <v>2.91</v>
          </cell>
        </row>
        <row r="45">
          <cell r="S45">
            <v>4.5699999999999998E-2</v>
          </cell>
        </row>
        <row r="46">
          <cell r="S46">
            <v>3.4000000000000002E-2</v>
          </cell>
        </row>
        <row r="47">
          <cell r="S47">
            <v>2.6700000000000002E-2</v>
          </cell>
        </row>
        <row r="48">
          <cell r="S48">
            <v>2.6700000000000002E-2</v>
          </cell>
        </row>
        <row r="49">
          <cell r="S49">
            <v>1.06</v>
          </cell>
        </row>
        <row r="50">
          <cell r="S50">
            <v>0.25</v>
          </cell>
        </row>
        <row r="52">
          <cell r="S52">
            <v>6.4999999999999997E-3</v>
          </cell>
        </row>
        <row r="53">
          <cell r="S53">
            <v>-3.5999999999999999E-3</v>
          </cell>
        </row>
        <row r="54">
          <cell r="S54">
            <v>2.3999999999999998E-3</v>
          </cell>
        </row>
        <row r="55">
          <cell r="S55">
            <v>-1.2999999999999999E-3</v>
          </cell>
        </row>
        <row r="57">
          <cell r="S57">
            <v>-0.83</v>
          </cell>
        </row>
      </sheetData>
      <sheetData sheetId="7"/>
      <sheetData sheetId="8"/>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Funding"/>
      <sheetName val="Pension Expense"/>
      <sheetName val="Ret Med Expense"/>
      <sheetName val="Assumption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ptions"/>
      <sheetName val="StocAct"/>
      <sheetName val="Scenarios"/>
      <sheetName val="CL Rates"/>
      <sheetName val="Summary"/>
      <sheetName val="ERISA Summary"/>
      <sheetName val="FAS Summary"/>
      <sheetName val="PBGC Summary"/>
      <sheetName val="A.L &amp; FFL"/>
      <sheetName val="Additional Funding Charge"/>
      <sheetName val="MRC"/>
      <sheetName val="E Assets"/>
      <sheetName val="F Assets"/>
      <sheetName val="F Bases"/>
      <sheetName val="F Results"/>
      <sheetName val="P VP"/>
      <sheetName val="P Contr"/>
      <sheetName val="E Data"/>
      <sheetName val="E Sens"/>
      <sheetName val="E Input"/>
      <sheetName val="F Data"/>
      <sheetName val="P Input"/>
    </sheetNames>
    <sheetDataSet>
      <sheetData sheetId="0">
        <row r="1">
          <cell r="A1" t="str">
            <v>Central Illinois Light Company</v>
          </cell>
        </row>
        <row r="2">
          <cell r="A2" t="str">
            <v>BRP</v>
          </cell>
        </row>
        <row r="8">
          <cell r="D8">
            <v>36892</v>
          </cell>
        </row>
        <row r="68">
          <cell r="D68">
            <v>5328459</v>
          </cell>
        </row>
        <row r="69">
          <cell r="D69">
            <v>2097</v>
          </cell>
        </row>
      </sheetData>
      <sheetData sheetId="1">
        <row r="8">
          <cell r="C8">
            <v>5</v>
          </cell>
        </row>
      </sheetData>
      <sheetData sheetId="2"/>
      <sheetData sheetId="3">
        <row r="17">
          <cell r="A17">
            <v>1</v>
          </cell>
          <cell r="B17" t="str">
            <v>Baseline</v>
          </cell>
          <cell r="C17" t="str">
            <v>1Aa</v>
          </cell>
          <cell r="D17" t="str">
            <v>Aa</v>
          </cell>
          <cell r="E17">
            <v>7.4099999999999999E-2</v>
          </cell>
          <cell r="F17">
            <v>7.0000000000000007E-2</v>
          </cell>
          <cell r="G17">
            <v>6.7500000000000004E-2</v>
          </cell>
          <cell r="H17">
            <v>6.7500000000000004E-2</v>
          </cell>
          <cell r="I17">
            <v>6.7500000000000004E-2</v>
          </cell>
          <cell r="J17">
            <v>6.7500000000000004E-2</v>
          </cell>
          <cell r="K17">
            <v>6.7500000000000004E-2</v>
          </cell>
          <cell r="L17">
            <v>6.7500000000000004E-2</v>
          </cell>
          <cell r="M17">
            <v>6.7500000000000004E-2</v>
          </cell>
          <cell r="N17">
            <v>6.7500000000000004E-2</v>
          </cell>
          <cell r="O17">
            <v>6.7500000000000004E-2</v>
          </cell>
          <cell r="P17">
            <v>6.7500000000000004E-2</v>
          </cell>
          <cell r="Q17">
            <v>6.7500000000000004E-2</v>
          </cell>
          <cell r="R17">
            <v>6.7500000000000004E-2</v>
          </cell>
          <cell r="S17">
            <v>6.7500000000000004E-2</v>
          </cell>
          <cell r="T17">
            <v>6.7500000000000004E-2</v>
          </cell>
          <cell r="U17">
            <v>6.7500000000000004E-2</v>
          </cell>
          <cell r="V17">
            <v>6.7500000000000004E-2</v>
          </cell>
          <cell r="W17">
            <v>6.7500000000000004E-2</v>
          </cell>
          <cell r="X17">
            <v>6.7500000000000004E-2</v>
          </cell>
          <cell r="Y17">
            <v>6.7500000000000004E-2</v>
          </cell>
        </row>
        <row r="18">
          <cell r="C18" t="str">
            <v>1R</v>
          </cell>
          <cell r="D18" t="str">
            <v>Return</v>
          </cell>
          <cell r="E18">
            <v>0</v>
          </cell>
          <cell r="F18">
            <v>-0.1</v>
          </cell>
          <cell r="G18">
            <v>0.09</v>
          </cell>
          <cell r="H18">
            <v>0.09</v>
          </cell>
          <cell r="I18">
            <v>0.09</v>
          </cell>
          <cell r="J18">
            <v>0.09</v>
          </cell>
          <cell r="K18">
            <v>0.09</v>
          </cell>
          <cell r="L18">
            <v>0.09</v>
          </cell>
          <cell r="M18">
            <v>0.09</v>
          </cell>
          <cell r="N18">
            <v>0.09</v>
          </cell>
          <cell r="O18">
            <v>0.09</v>
          </cell>
          <cell r="P18">
            <v>0.09</v>
          </cell>
          <cell r="Q18">
            <v>0.09</v>
          </cell>
          <cell r="R18">
            <v>0.09</v>
          </cell>
          <cell r="S18">
            <v>0.09</v>
          </cell>
          <cell r="T18">
            <v>0.09</v>
          </cell>
          <cell r="U18">
            <v>0.09</v>
          </cell>
          <cell r="V18">
            <v>0.09</v>
          </cell>
          <cell r="W18">
            <v>0.09</v>
          </cell>
          <cell r="X18">
            <v>0.09</v>
          </cell>
          <cell r="Y18">
            <v>0.09</v>
          </cell>
        </row>
        <row r="19">
          <cell r="C19" t="str">
            <v>1GL</v>
          </cell>
          <cell r="D19" t="str">
            <v>G/L</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row>
        <row r="20">
          <cell r="C20" t="str">
            <v>1PC</v>
          </cell>
          <cell r="D20" t="str">
            <v>PC</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1">
          <cell r="C21" t="str">
            <v>1BP</v>
          </cell>
          <cell r="D21" t="str">
            <v>BP</v>
          </cell>
          <cell r="E21">
            <v>3.5000000000000003E-2</v>
          </cell>
          <cell r="F21">
            <v>3.5000000000000003E-2</v>
          </cell>
          <cell r="G21">
            <v>3.5000000000000003E-2</v>
          </cell>
          <cell r="H21">
            <v>3.5000000000000003E-2</v>
          </cell>
          <cell r="I21">
            <v>3.5000000000000003E-2</v>
          </cell>
          <cell r="J21">
            <v>3.5000000000000003E-2</v>
          </cell>
          <cell r="K21">
            <v>3.5000000000000003E-2</v>
          </cell>
          <cell r="L21">
            <v>3.5000000000000003E-2</v>
          </cell>
          <cell r="M21">
            <v>3.5000000000000003E-2</v>
          </cell>
          <cell r="N21">
            <v>3.5000000000000003E-2</v>
          </cell>
          <cell r="O21">
            <v>3.5000000000000003E-2</v>
          </cell>
          <cell r="P21">
            <v>3.5000000000000003E-2</v>
          </cell>
          <cell r="Q21">
            <v>3.5000000000000003E-2</v>
          </cell>
          <cell r="R21">
            <v>3.5000000000000003E-2</v>
          </cell>
          <cell r="S21">
            <v>3.5000000000000003E-2</v>
          </cell>
          <cell r="T21">
            <v>3.5000000000000003E-2</v>
          </cell>
          <cell r="U21">
            <v>3.5000000000000003E-2</v>
          </cell>
          <cell r="V21">
            <v>3.5000000000000003E-2</v>
          </cell>
          <cell r="W21">
            <v>3.5000000000000003E-2</v>
          </cell>
          <cell r="X21">
            <v>3.5000000000000003E-2</v>
          </cell>
          <cell r="Y21">
            <v>3.5000000000000003E-2</v>
          </cell>
        </row>
        <row r="22">
          <cell r="A22">
            <v>2</v>
          </cell>
          <cell r="C22" t="str">
            <v>2Aa</v>
          </cell>
          <cell r="D22" t="str">
            <v>Aa</v>
          </cell>
          <cell r="E22">
            <v>7.4099999999999999E-2</v>
          </cell>
        </row>
        <row r="23">
          <cell r="C23" t="str">
            <v>2R</v>
          </cell>
          <cell r="D23" t="str">
            <v>Return</v>
          </cell>
        </row>
        <row r="24">
          <cell r="C24" t="str">
            <v>2GL</v>
          </cell>
          <cell r="D24" t="str">
            <v>G/L</v>
          </cell>
        </row>
        <row r="25">
          <cell r="C25" t="str">
            <v>2PC</v>
          </cell>
          <cell r="D25" t="str">
            <v>PC</v>
          </cell>
        </row>
        <row r="26">
          <cell r="C26" t="str">
            <v>2BP</v>
          </cell>
          <cell r="D26" t="str">
            <v>BP</v>
          </cell>
        </row>
        <row r="27">
          <cell r="A27">
            <v>3</v>
          </cell>
          <cell r="C27" t="str">
            <v>3Aa</v>
          </cell>
          <cell r="D27" t="str">
            <v>Aa</v>
          </cell>
          <cell r="E27">
            <v>7.4099999999999999E-2</v>
          </cell>
        </row>
        <row r="28">
          <cell r="C28" t="str">
            <v>3R</v>
          </cell>
          <cell r="D28" t="str">
            <v>Return</v>
          </cell>
        </row>
        <row r="29">
          <cell r="C29" t="str">
            <v>3GL</v>
          </cell>
          <cell r="D29" t="str">
            <v>G/L</v>
          </cell>
        </row>
        <row r="30">
          <cell r="C30" t="str">
            <v>3PC</v>
          </cell>
          <cell r="D30" t="str">
            <v>PC</v>
          </cell>
        </row>
        <row r="31">
          <cell r="C31" t="str">
            <v>3BP</v>
          </cell>
          <cell r="D31" t="str">
            <v>BP</v>
          </cell>
        </row>
        <row r="32">
          <cell r="A32">
            <v>4</v>
          </cell>
          <cell r="C32" t="str">
            <v>4Aa</v>
          </cell>
          <cell r="D32" t="str">
            <v>Aa</v>
          </cell>
          <cell r="E32">
            <v>7.4099999999999999E-2</v>
          </cell>
        </row>
        <row r="33">
          <cell r="C33" t="str">
            <v>4R</v>
          </cell>
          <cell r="D33" t="str">
            <v>Return</v>
          </cell>
        </row>
        <row r="34">
          <cell r="C34" t="str">
            <v>4GL</v>
          </cell>
          <cell r="D34" t="str">
            <v>G/L</v>
          </cell>
        </row>
        <row r="35">
          <cell r="C35" t="str">
            <v>4PC</v>
          </cell>
          <cell r="D35" t="str">
            <v>PC</v>
          </cell>
        </row>
        <row r="36">
          <cell r="C36" t="str">
            <v>4BP</v>
          </cell>
          <cell r="D36" t="str">
            <v>BP</v>
          </cell>
        </row>
        <row r="37">
          <cell r="A37">
            <v>5</v>
          </cell>
          <cell r="C37" t="str">
            <v>5Aa</v>
          </cell>
          <cell r="D37" t="str">
            <v>Aa</v>
          </cell>
          <cell r="E37">
            <v>7.4099999999999999E-2</v>
          </cell>
        </row>
        <row r="38">
          <cell r="C38" t="str">
            <v>5R</v>
          </cell>
          <cell r="D38" t="str">
            <v>Return</v>
          </cell>
        </row>
        <row r="39">
          <cell r="C39" t="str">
            <v>5GL</v>
          </cell>
          <cell r="D39" t="str">
            <v>G/L</v>
          </cell>
        </row>
        <row r="40">
          <cell r="C40" t="str">
            <v>5PC</v>
          </cell>
          <cell r="D40" t="str">
            <v>PC</v>
          </cell>
        </row>
        <row r="41">
          <cell r="C41" t="str">
            <v>5BP</v>
          </cell>
          <cell r="D41" t="str">
            <v>BP</v>
          </cell>
        </row>
      </sheetData>
      <sheetData sheetId="4"/>
      <sheetData sheetId="5">
        <row r="2">
          <cell r="M2">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 Data"/>
      <sheetName val="Auction Report"/>
      <sheetName val="Payment Memo"/>
      <sheetName val="DR_Form"/>
    </sheetNames>
    <sheetDataSet>
      <sheetData sheetId="0"/>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r08"/>
      <sheetName val="feb08"/>
      <sheetName val="jan08"/>
      <sheetName val="dec07"/>
      <sheetName val="nov07"/>
      <sheetName val="oct07"/>
      <sheetName val="sep07"/>
      <sheetName val="aug07"/>
      <sheetName val="jul07"/>
      <sheetName val="jun07"/>
      <sheetName val="may07"/>
      <sheetName val="apr07"/>
      <sheetName val="mar07"/>
      <sheetName val="feb07"/>
      <sheetName val="jan07"/>
      <sheetName val="Rates"/>
      <sheetName val=" Summary 2007"/>
    </sheetNames>
    <sheetDataSet>
      <sheetData sheetId="0">
        <row r="2">
          <cell r="D2" t="str">
            <v>440 011 001-Rate 1M Res Elect Service - Postca</v>
          </cell>
          <cell r="E2" t="str">
            <v>1m</v>
          </cell>
        </row>
        <row r="3">
          <cell r="D3" t="str">
            <v>440 011 002-Rate 1M Res Elect Service TOU - Po</v>
          </cell>
          <cell r="E3" t="str">
            <v>1tou</v>
          </cell>
        </row>
        <row r="4">
          <cell r="D4" t="str">
            <v>440 011 065-Rate 8M Private Ornamental Ltg Met</v>
          </cell>
          <cell r="E4" t="str">
            <v>5m</v>
          </cell>
        </row>
        <row r="5">
          <cell r="D5" t="str">
            <v>440 011 279-Rate 1M Res Elect Svc - Space Heat</v>
          </cell>
          <cell r="E5" t="str">
            <v>1m</v>
          </cell>
        </row>
        <row r="6">
          <cell r="D6" t="str">
            <v>456 011 001-Rate 1M Res Elect Service - Postca</v>
          </cell>
          <cell r="E6" t="str">
            <v>1m</v>
          </cell>
        </row>
        <row r="7">
          <cell r="D7" t="str">
            <v>TOTAL: Residential</v>
          </cell>
        </row>
        <row r="8">
          <cell r="D8" t="str">
            <v>TARIFF TYPE:  Commercial</v>
          </cell>
        </row>
        <row r="9">
          <cell r="D9" t="str">
            <v>442 021 004-Rate 2M Sm Gen Svc - 1 Ph w/Dmd</v>
          </cell>
          <cell r="E9" t="str">
            <v>2m1</v>
          </cell>
        </row>
        <row r="10">
          <cell r="D10" t="str">
            <v>442 021 005-Rate 2M Sm Gen Svc - TOU - 1 Phase</v>
          </cell>
          <cell r="E10" t="str">
            <v>2m1tou</v>
          </cell>
        </row>
        <row r="11">
          <cell r="D11" t="str">
            <v>442 021 006-Rate 3M Large General Service</v>
          </cell>
          <cell r="E11" t="str">
            <v>3m</v>
          </cell>
        </row>
        <row r="12">
          <cell r="D12" t="str">
            <v>442 021 007-Rate 3M Lg Gen Svc TOU Demand &amp; En</v>
          </cell>
          <cell r="E12" t="str">
            <v>3mtou</v>
          </cell>
        </row>
        <row r="13">
          <cell r="D13" t="str">
            <v>442 021 008-Rate 4M Sm Primary Elect Service-S</v>
          </cell>
          <cell r="E13" t="str">
            <v>4mSUBDISC</v>
          </cell>
        </row>
        <row r="14">
          <cell r="D14" t="str">
            <v>442 021 009-Rate 4M Sm Primary Srvc TOU - Subs</v>
          </cell>
          <cell r="E14" t="str">
            <v>4mtouSUBDISC</v>
          </cell>
        </row>
        <row r="15">
          <cell r="D15" t="str">
            <v>442 021 016-Rate 11M Lg Primary Service - Subs</v>
          </cell>
          <cell r="E15" t="str">
            <v>11m</v>
          </cell>
        </row>
        <row r="16">
          <cell r="D16" t="str">
            <v>442 021 061-Rate 6M Cust-Own Ltg Metered-Franc</v>
          </cell>
          <cell r="E16" t="str">
            <v>5m</v>
          </cell>
        </row>
        <row r="17">
          <cell r="D17" t="str">
            <v>442 021 062-Rate 6M Cust-Own Ltg Metered-Priva</v>
          </cell>
          <cell r="E17" t="str">
            <v>5m</v>
          </cell>
        </row>
        <row r="18">
          <cell r="D18" t="str">
            <v>442 021 065-Rate 8M Private Ornamental Ltg Met</v>
          </cell>
          <cell r="E18" t="str">
            <v>5m</v>
          </cell>
        </row>
        <row r="19">
          <cell r="D19" t="str">
            <v>442 021 076-Rate 2M Sm Gen Svc - 3 Ph w/Dmd</v>
          </cell>
          <cell r="E19" t="str">
            <v>2m3</v>
          </cell>
        </row>
        <row r="20">
          <cell r="D20" t="str">
            <v>442 021 077-Rate 2M Sm Gen Svc - TOU - 3 Phase</v>
          </cell>
          <cell r="E20" t="str">
            <v>2m3tou</v>
          </cell>
        </row>
        <row r="21">
          <cell r="D21" t="str">
            <v>442 021 080-MO Annual Recurring Service - Sing</v>
          </cell>
          <cell r="E21" t="str">
            <v>2m1</v>
          </cell>
        </row>
        <row r="22">
          <cell r="D22" t="str">
            <v>442 021 081-MO Annual Recurring Service - Thre</v>
          </cell>
          <cell r="E22" t="str">
            <v>2m3</v>
          </cell>
        </row>
        <row r="23">
          <cell r="D23" t="str">
            <v>442 021 086-Rate 4M Small Primary Electric Ser</v>
          </cell>
          <cell r="E23" t="str">
            <v>4m</v>
          </cell>
        </row>
        <row r="24">
          <cell r="D24" t="str">
            <v>442 021 087-Rate 4M Small Primary Service TOU</v>
          </cell>
          <cell r="E24" t="str">
            <v>4mtou</v>
          </cell>
        </row>
        <row r="25">
          <cell r="D25" t="str">
            <v>442 021 091-MO Annual Recurring Service - 3Ph</v>
          </cell>
          <cell r="E25" t="str">
            <v>2m3</v>
          </cell>
        </row>
        <row r="26">
          <cell r="D26" t="str">
            <v>442 021 092-Rate 11M Lg Primary Electric Servi</v>
          </cell>
          <cell r="E26" t="str">
            <v>11m</v>
          </cell>
        </row>
        <row r="27">
          <cell r="D27" t="str">
            <v>442 021 093-Rate 11M Lg Primary Service TOU</v>
          </cell>
          <cell r="E27" t="str">
            <v>11mtou</v>
          </cell>
        </row>
        <row r="28">
          <cell r="D28" t="str">
            <v>442 021 103-Rate 2M Sm Gen Svc - Unmetered - P</v>
          </cell>
          <cell r="E28" t="str">
            <v>2munm</v>
          </cell>
        </row>
        <row r="29">
          <cell r="D29" t="str">
            <v>442 021 104-Rate 2M Sm Gen Svc - Unmt w/o Cust</v>
          </cell>
          <cell r="E29" t="str">
            <v>2munmnocust</v>
          </cell>
        </row>
        <row r="30">
          <cell r="D30" t="str">
            <v>442 021 233-Rate 2M Sm Gen Svc - TOU - 3 Ph-No</v>
          </cell>
          <cell r="E30" t="str">
            <v>2m3tou</v>
          </cell>
        </row>
        <row r="31">
          <cell r="D31" t="str">
            <v>442 021 234-Rate 2M Sm Gen Svc - TOU - 1 Ph-No</v>
          </cell>
          <cell r="E31" t="str">
            <v>2m1tou</v>
          </cell>
        </row>
        <row r="32">
          <cell r="D32" t="str">
            <v>442 021 235-Rate 2M Sm Gen Svc - 3 Ph - No Dmd</v>
          </cell>
          <cell r="E32" t="str">
            <v>2m3</v>
          </cell>
        </row>
        <row r="33">
          <cell r="D33" t="str">
            <v>442 021 236-Rate 2M Sm Gen Svc - 1 Ph - No Dmd</v>
          </cell>
          <cell r="E33" t="str">
            <v>2m1</v>
          </cell>
        </row>
        <row r="34">
          <cell r="D34" t="str">
            <v>442 021 600-Rate 2M Sm Gen Svc-Spc Ht-3 Ph-No</v>
          </cell>
          <cell r="E34" t="str">
            <v>2m3</v>
          </cell>
        </row>
        <row r="35">
          <cell r="D35" t="str">
            <v>442 021 601-Rate 2M Sm Gen Svc-Spc Ht-1 Ph-No</v>
          </cell>
          <cell r="E35" t="str">
            <v>2m1</v>
          </cell>
        </row>
        <row r="36">
          <cell r="D36" t="str">
            <v>442 021 602-Rate 2M Sm Gen Svc-Spc Ht-1 Ph w/D</v>
          </cell>
          <cell r="E36" t="str">
            <v>2m1</v>
          </cell>
        </row>
        <row r="37">
          <cell r="D37" t="str">
            <v>442 021 603-Rate 2M Sm Gen Svc-Spc Ht-3 Ph w/D</v>
          </cell>
          <cell r="E37" t="str">
            <v>2m3</v>
          </cell>
        </row>
        <row r="38">
          <cell r="D38" t="str">
            <v>442 021 604-Rate 2M Sm Gen Svc-Spc Ht-3 Ph w/D</v>
          </cell>
          <cell r="E38" t="str">
            <v>2m3</v>
          </cell>
        </row>
        <row r="39">
          <cell r="D39" t="str">
            <v>456 011 006-Rate 3M Large General Service</v>
          </cell>
          <cell r="E39" t="str">
            <v>3m</v>
          </cell>
        </row>
        <row r="40">
          <cell r="D40" t="str">
            <v>456 011 235-Rate 2M Sm Gen Svc - 3 Ph - No Dmd</v>
          </cell>
          <cell r="E40" t="str">
            <v>2m3</v>
          </cell>
        </row>
        <row r="41">
          <cell r="D41" t="str">
            <v>456 011 236-Rate 2M Sm Gen Svc - 1 Ph - No Dmd</v>
          </cell>
          <cell r="E41" t="str">
            <v>2m1</v>
          </cell>
        </row>
        <row r="42">
          <cell r="D42" t="str">
            <v>ZZZ ZZZ 279-Rate 1M Res Elect Svc - Space Heat</v>
          </cell>
          <cell r="E42" t="str">
            <v>1m</v>
          </cell>
        </row>
        <row r="43">
          <cell r="D43" t="str">
            <v>TOTAL: Commercial</v>
          </cell>
        </row>
        <row r="44">
          <cell r="D44" t="str">
            <v>TARIFF TYPE:  Industrial</v>
          </cell>
        </row>
        <row r="45">
          <cell r="D45" t="str">
            <v>442 031 004-Rate 2M Sm Gen Svc - 1 Ph w/Dmd</v>
          </cell>
          <cell r="E45" t="str">
            <v>2m1</v>
          </cell>
        </row>
        <row r="46">
          <cell r="D46" t="str">
            <v>442 031 006-Rate 3M Large General Service</v>
          </cell>
          <cell r="E46" t="str">
            <v>3m</v>
          </cell>
        </row>
        <row r="47">
          <cell r="D47" t="str">
            <v>442 031 007-Rate 3M Lg Gen Svc TOU Demand &amp; En</v>
          </cell>
          <cell r="E47" t="str">
            <v>3mtou</v>
          </cell>
        </row>
        <row r="48">
          <cell r="D48" t="str">
            <v>442 031 008-Rate 4M Sm Primary Elect Service-S</v>
          </cell>
          <cell r="E48" t="str">
            <v>4mSUBDISC</v>
          </cell>
        </row>
        <row r="49">
          <cell r="D49" t="str">
            <v>442 031 009-Rate 4M Sm Primary Srvc TOU - Subs</v>
          </cell>
          <cell r="E49" t="str">
            <v>4mtouSUBDISC</v>
          </cell>
        </row>
        <row r="50">
          <cell r="D50" t="str">
            <v>442 031 016-Rate 11M Lg Primary Service - Subs</v>
          </cell>
          <cell r="E50" t="str">
            <v>11m</v>
          </cell>
        </row>
        <row r="51">
          <cell r="D51" t="str">
            <v>442 031 017-Rate 11M Lg Primary Srvc TOU - Sub</v>
          </cell>
          <cell r="E51" t="str">
            <v>11mtou</v>
          </cell>
        </row>
        <row r="52">
          <cell r="D52" t="str">
            <v>442 031 062-Rate 6M Cust-Own Ltg Metered-Priva</v>
          </cell>
          <cell r="E52" t="str">
            <v>5m</v>
          </cell>
        </row>
        <row r="53">
          <cell r="D53" t="str">
            <v>442 031 076-Rate 2M Sm Gen Svc - 3 Ph w/Dmd</v>
          </cell>
          <cell r="E53" t="str">
            <v>2m3</v>
          </cell>
        </row>
        <row r="54">
          <cell r="D54" t="str">
            <v>442 031 080-MO Annual Recurring Service - Sing</v>
          </cell>
          <cell r="E54" t="str">
            <v>2m1</v>
          </cell>
        </row>
        <row r="55">
          <cell r="D55" t="str">
            <v>442 031 083-Rate 2M Sm Gen Svc - 3 Ph - Sub Ds</v>
          </cell>
          <cell r="E55" t="str">
            <v>2m3</v>
          </cell>
        </row>
        <row r="56">
          <cell r="D56" t="str">
            <v>442 031 086-Rate 4M Small Primary Electric Ser</v>
          </cell>
          <cell r="E56" t="str">
            <v>4m</v>
          </cell>
        </row>
        <row r="57">
          <cell r="D57" t="str">
            <v>442 031 087-Rate 4M Small Primary Service TOU</v>
          </cell>
          <cell r="E57" t="str">
            <v>4mtou</v>
          </cell>
        </row>
        <row r="58">
          <cell r="D58" t="str">
            <v>442 031 092-Rate 11M Lg Primary Electric Servi</v>
          </cell>
          <cell r="E58" t="str">
            <v>11m</v>
          </cell>
        </row>
        <row r="59">
          <cell r="D59" t="str">
            <v>442 031 093-Rate 11M Lg Primary Service TOU</v>
          </cell>
          <cell r="E59" t="str">
            <v>11mtou</v>
          </cell>
        </row>
        <row r="60">
          <cell r="D60" t="str">
            <v>442 031 103-Rate 2M Sm Gen Svc - Unmetered - P</v>
          </cell>
          <cell r="E60" t="str">
            <v>2munm</v>
          </cell>
        </row>
        <row r="61">
          <cell r="D61" t="str">
            <v>442 031 235-Rate 2M Sm Gen Svc - 3 Ph - No Dmd</v>
          </cell>
          <cell r="E61" t="str">
            <v>2m3</v>
          </cell>
        </row>
        <row r="62">
          <cell r="D62" t="str">
            <v>442 031 236-Rate 2M Sm Gen Svc - 1 Ph - No Dmd</v>
          </cell>
          <cell r="E62" t="str">
            <v>2m1</v>
          </cell>
        </row>
        <row r="63">
          <cell r="D63" t="str">
            <v>442 031 600-Rate 2M Sm Gen Svc-Spc Ht-3 Ph-No</v>
          </cell>
          <cell r="E63" t="str">
            <v>2m3</v>
          </cell>
        </row>
        <row r="64">
          <cell r="D64" t="str">
            <v>442 031 601-Rate 2M Sm Gen Svc-Spc Ht-1 Ph-No</v>
          </cell>
          <cell r="E64" t="str">
            <v>2m1</v>
          </cell>
        </row>
        <row r="65">
          <cell r="D65" t="str">
            <v>442 031 603-Rate 2M Sm Gen Svc-Spc Ht-3 Ph w/D</v>
          </cell>
          <cell r="E65" t="str">
            <v>2m3</v>
          </cell>
        </row>
        <row r="66">
          <cell r="D66" t="str">
            <v>442 035 243-Rate 12M Lg Transmission Service</v>
          </cell>
          <cell r="E66" t="str">
            <v>12m</v>
          </cell>
        </row>
        <row r="67">
          <cell r="D67" t="str">
            <v>TOTAL: Industrial</v>
          </cell>
        </row>
        <row r="68">
          <cell r="D68" t="str">
            <v>TARIFF TYPE:  Street and Highway Light</v>
          </cell>
        </row>
        <row r="69">
          <cell r="D69" t="str">
            <v>444 011 063-Rate 6M Cust-Owned Lighting Metere</v>
          </cell>
        </row>
        <row r="70">
          <cell r="D70" t="str">
            <v>444 011 064-Rate 7M Municipal Incandescent Ltg</v>
          </cell>
        </row>
        <row r="71">
          <cell r="D71" t="str">
            <v>444 011 268-Rate 6M Cust Own Ltg Metrd - Muni</v>
          </cell>
        </row>
        <row r="72">
          <cell r="D72" t="str">
            <v>TOTAL: Street and Highway</v>
          </cell>
        </row>
        <row r="73">
          <cell r="D73" t="str">
            <v>TARIFF TYPE:  Sales to Public Authority</v>
          </cell>
        </row>
        <row r="74">
          <cell r="D74" t="str">
            <v>445 011 166-Metropolitan Sewer District</v>
          </cell>
        </row>
        <row r="75">
          <cell r="D75" t="str">
            <v>TOTAL: Sales to Public Au</v>
          </cell>
        </row>
        <row r="76">
          <cell r="D76" t="str">
            <v>TARIFF TYPE:  Wholesale</v>
          </cell>
        </row>
        <row r="77">
          <cell r="D77" t="str">
            <v>447 031 165-UE - Market Based Rate Power Sales</v>
          </cell>
        </row>
        <row r="78">
          <cell r="D78" t="str">
            <v>TOTAL: Wholesale</v>
          </cell>
        </row>
        <row r="79">
          <cell r="D79" t="str">
            <v>TARIFF TYPE:  Commercial - Blended Tax</v>
          </cell>
        </row>
        <row r="80">
          <cell r="D80" t="str">
            <v>442 021 006-Rate 3M Large General Service</v>
          </cell>
          <cell r="E80" t="str">
            <v>3m</v>
          </cell>
        </row>
        <row r="81">
          <cell r="D81" t="str">
            <v>442 021 086-Rate 4M Small Primary Electric Ser</v>
          </cell>
          <cell r="E81" t="str">
            <v>4m</v>
          </cell>
        </row>
        <row r="82">
          <cell r="D82" t="str">
            <v>TOTAL: Commercial - Blend</v>
          </cell>
        </row>
        <row r="83">
          <cell r="D83" t="str">
            <v>Report ID: CURST235</v>
          </cell>
        </row>
        <row r="88">
          <cell r="D88" t="str">
            <v>TYPE OF SERVICE:   Bundled</v>
          </cell>
        </row>
        <row r="89">
          <cell r="D89" t="str">
            <v>GL</v>
          </cell>
        </row>
        <row r="90">
          <cell r="D90" t="str">
            <v>MAJ MIN               TARIFF</v>
          </cell>
        </row>
        <row r="91">
          <cell r="D91" t="str">
            <v>COMPANY TOTAL:</v>
          </cell>
        </row>
        <row r="92">
          <cell r="D92" t="str">
            <v>Report ID: CURST235</v>
          </cell>
        </row>
        <row r="97">
          <cell r="D97" t="str">
            <v>TYPE OF SERVICE:   Bundled</v>
          </cell>
        </row>
        <row r="98">
          <cell r="D98" t="str">
            <v>TARIFF TYPE:  Residential</v>
          </cell>
        </row>
        <row r="99">
          <cell r="D99" t="str">
            <v>GL</v>
          </cell>
        </row>
        <row r="100">
          <cell r="D100" t="str">
            <v>MAJ MIN               TARIFF</v>
          </cell>
        </row>
        <row r="101">
          <cell r="D101" t="str">
            <v>440 011 231-Rate 5M Private Area Lighting - Po</v>
          </cell>
        </row>
        <row r="102">
          <cell r="D102" t="str">
            <v>440 011 259-Rate 5M/6M Private Area Lighting -</v>
          </cell>
        </row>
        <row r="103">
          <cell r="D103" t="str">
            <v>TOTAL: Residential</v>
          </cell>
        </row>
        <row r="104">
          <cell r="D104" t="str">
            <v>TARIFF TYPE:  Commercial</v>
          </cell>
        </row>
        <row r="105">
          <cell r="D105" t="str">
            <v>442 021 011-Rate 6M Cust-Own Lighting Unmtred</v>
          </cell>
        </row>
        <row r="106">
          <cell r="D106" t="str">
            <v>442 021 231-Rate 5M Private Area Lighting - Po</v>
          </cell>
        </row>
        <row r="107">
          <cell r="D107" t="str">
            <v>442 021 232-Rate 5M Private Area Lighting</v>
          </cell>
        </row>
        <row r="108">
          <cell r="D108" t="str">
            <v>442 021 259-Rate 5M/6M Private Area Lighting -</v>
          </cell>
        </row>
        <row r="109">
          <cell r="D109" t="str">
            <v>TOTAL: Commercial</v>
          </cell>
        </row>
        <row r="110">
          <cell r="D110" t="str">
            <v>TARIFF TYPE:  Industrial</v>
          </cell>
        </row>
        <row r="111">
          <cell r="D111" t="str">
            <v>442 031 231-Rate 5M Private Area Lighting - Po</v>
          </cell>
        </row>
        <row r="112">
          <cell r="D112" t="str">
            <v>442 031 232-Rate 5M Private Area Lighting</v>
          </cell>
        </row>
        <row r="113">
          <cell r="D113" t="str">
            <v>442 031 259-Rate 5M/6M Private Area Lighting -</v>
          </cell>
        </row>
        <row r="114">
          <cell r="D114" t="str">
            <v>TOTAL: Industrial</v>
          </cell>
        </row>
        <row r="115">
          <cell r="D115" t="str">
            <v>TARIFF TYPE:  Street and Highway Light</v>
          </cell>
        </row>
        <row r="116">
          <cell r="D116" t="str">
            <v>444 011 010-Rate 5M Company-Owned Lighting-Mun</v>
          </cell>
        </row>
        <row r="117">
          <cell r="D117" t="str">
            <v>444 011 011-Rate 6M Cust-Own Lighting Unmtred</v>
          </cell>
        </row>
        <row r="118">
          <cell r="D118" t="str">
            <v>444 011 012-Rate 7M Municipal Incandescent Ltg</v>
          </cell>
        </row>
        <row r="119">
          <cell r="D119" t="str">
            <v>444 011 231-Rate 5M Private Area Lighting - Po</v>
          </cell>
        </row>
        <row r="120">
          <cell r="D120" t="str">
            <v>444 011 232-Rate 5M Private Area Lighting</v>
          </cell>
        </row>
        <row r="121">
          <cell r="D121" t="str">
            <v>444 011 259-Rate 5M/6M Private Area Lighting -</v>
          </cell>
        </row>
        <row r="122">
          <cell r="D122" t="str">
            <v>TOTAL: Street and Highway</v>
          </cell>
        </row>
        <row r="123">
          <cell r="D123" t="str">
            <v>COMPANY TOTAL: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MAJ MIN               TARIFF</v>
          </cell>
          <cell r="B1" t="str">
            <v>Rate</v>
          </cell>
        </row>
        <row r="2">
          <cell r="A2" t="str">
            <v>440 011 001-Rate 1M Res Elect Service - Postca</v>
          </cell>
          <cell r="B2" t="str">
            <v>1m</v>
          </cell>
        </row>
        <row r="3">
          <cell r="A3" t="str">
            <v>440 011 002-Rate 1M Res Elect Service TOU - Po</v>
          </cell>
          <cell r="B3" t="str">
            <v>1m</v>
          </cell>
        </row>
        <row r="4">
          <cell r="A4" t="str">
            <v>440 011 065-Rate 8M Private Ornamental Ltg Met</v>
          </cell>
          <cell r="B4" t="str">
            <v>5m</v>
          </cell>
        </row>
        <row r="5">
          <cell r="A5" t="str">
            <v>440 011 263-Residential Electric TOU Pilot</v>
          </cell>
          <cell r="B5" t="str">
            <v>1m</v>
          </cell>
        </row>
        <row r="6">
          <cell r="A6" t="str">
            <v>440 011 264-Residential Electric TOU Pilot w/C</v>
          </cell>
          <cell r="B6" t="str">
            <v>1m</v>
          </cell>
        </row>
        <row r="7">
          <cell r="A7" t="str">
            <v>440 011 279-Rate 1M Res Elect Svc - Space Heat</v>
          </cell>
          <cell r="B7" t="str">
            <v>1m</v>
          </cell>
        </row>
        <row r="8">
          <cell r="A8" t="str">
            <v>ZZZ ZZZ 000-Conversion Default</v>
          </cell>
        </row>
        <row r="9">
          <cell r="A9" t="str">
            <v>ZZZ ZZZ 001-Rate 1M Res Elect Service - Postca</v>
          </cell>
          <cell r="B9" t="str">
            <v>1m</v>
          </cell>
        </row>
        <row r="10">
          <cell r="A10" t="str">
            <v>TOTAL: Residential</v>
          </cell>
        </row>
        <row r="11">
          <cell r="A11" t="str">
            <v>TARIFF TYPE:  Commercial</v>
          </cell>
        </row>
        <row r="12">
          <cell r="A12" t="str">
            <v>442 021 004-Rate 2M Sm Gen Svc - 1 Ph w/Dmd</v>
          </cell>
          <cell r="B12" t="str">
            <v>2m</v>
          </cell>
        </row>
        <row r="13">
          <cell r="A13" t="str">
            <v>442 021 005-Rate 2M Sm Gen Svc - TOU - 1 Phase</v>
          </cell>
          <cell r="B13" t="str">
            <v>2m</v>
          </cell>
        </row>
        <row r="14">
          <cell r="A14" t="str">
            <v>442 021 006-Rate 3M Large General Service</v>
          </cell>
          <cell r="B14" t="str">
            <v>3m</v>
          </cell>
        </row>
        <row r="15">
          <cell r="A15" t="str">
            <v>442 021 007-Rate 3M Lg Gen Svc TOU Demand &amp; En</v>
          </cell>
          <cell r="B15" t="str">
            <v>3m</v>
          </cell>
        </row>
        <row r="16">
          <cell r="A16" t="str">
            <v>442 021 008-Rate 4M Sm Primary Elect Service-S</v>
          </cell>
          <cell r="B16" t="str">
            <v>4m</v>
          </cell>
        </row>
        <row r="17">
          <cell r="A17" t="str">
            <v>442 021 009-Rate 4M Sm Primary Srvc TOU - Subs</v>
          </cell>
          <cell r="B17" t="str">
            <v>4m</v>
          </cell>
        </row>
        <row r="18">
          <cell r="A18" t="str">
            <v>442 021 016-Rate 11M Lg Primary Service - Subs</v>
          </cell>
          <cell r="B18" t="str">
            <v>11m</v>
          </cell>
        </row>
        <row r="19">
          <cell r="A19" t="str">
            <v>442 021 061-Rate 6M Cust-Own Ltg Metered-Franc</v>
          </cell>
          <cell r="B19" t="str">
            <v>5m</v>
          </cell>
        </row>
        <row r="20">
          <cell r="A20" t="str">
            <v>442 021 062-Rate 6M Cust-Own Ltg Metered-Priva</v>
          </cell>
          <cell r="B20" t="str">
            <v>5m</v>
          </cell>
        </row>
        <row r="21">
          <cell r="A21" t="str">
            <v>442 021 065-Rate 8M Private Ornamental Ltg Met</v>
          </cell>
          <cell r="B21" t="str">
            <v>5m</v>
          </cell>
        </row>
        <row r="22">
          <cell r="A22" t="str">
            <v>442 021 076-Rate 2M Sm Gen Svc - 3 Ph w/Dmd</v>
          </cell>
          <cell r="B22" t="str">
            <v>2m</v>
          </cell>
        </row>
        <row r="23">
          <cell r="A23" t="str">
            <v>442 021 077-Rate 2M Sm Gen Svc - TOU - 3 Phase</v>
          </cell>
          <cell r="B23" t="str">
            <v>2m</v>
          </cell>
        </row>
        <row r="24">
          <cell r="A24" t="str">
            <v>442 021 080-MO Annual Recurring Service - Sing</v>
          </cell>
          <cell r="B24" t="str">
            <v>2m</v>
          </cell>
        </row>
        <row r="25">
          <cell r="A25" t="str">
            <v>442 021 081-MO Annual Recurring Service - Thre</v>
          </cell>
          <cell r="B25" t="str">
            <v>2m</v>
          </cell>
        </row>
        <row r="26">
          <cell r="A26" t="str">
            <v>442 021 086-Rate 4M Small Primary Electric Ser</v>
          </cell>
          <cell r="B26" t="str">
            <v>4m</v>
          </cell>
        </row>
        <row r="27">
          <cell r="A27" t="str">
            <v>442 021 087-Rate 4M Small Primary Service TOU</v>
          </cell>
          <cell r="B27" t="str">
            <v>4m</v>
          </cell>
        </row>
        <row r="28">
          <cell r="A28" t="str">
            <v>442 021 091-MO Annual Recurring Service - 3Ph</v>
          </cell>
          <cell r="B28" t="str">
            <v>2m</v>
          </cell>
        </row>
        <row r="29">
          <cell r="A29" t="str">
            <v>Report ID: CURST235</v>
          </cell>
        </row>
        <row r="34">
          <cell r="A34" t="str">
            <v>TYPE OF SERVICE:   Bundled</v>
          </cell>
        </row>
        <row r="35">
          <cell r="A35" t="str">
            <v>TARIFF TYPE:  Commercial                 (Conti</v>
          </cell>
        </row>
        <row r="36">
          <cell r="A36" t="str">
            <v>GL</v>
          </cell>
        </row>
        <row r="37">
          <cell r="A37" t="str">
            <v>MAJ MIN               TARIFF</v>
          </cell>
        </row>
        <row r="38">
          <cell r="A38" t="str">
            <v>442 021 092-Rate 11M Lg Primary Electric Servi</v>
          </cell>
          <cell r="B38" t="str">
            <v>11m</v>
          </cell>
        </row>
        <row r="39">
          <cell r="A39" t="str">
            <v>442 021 093-Rate 11M Lg Primary Service TOU</v>
          </cell>
          <cell r="B39" t="str">
            <v>11m</v>
          </cell>
        </row>
        <row r="40">
          <cell r="A40" t="str">
            <v>442 021 103-Rate 2M Sm Gen Svc - Unmetered - P</v>
          </cell>
          <cell r="B40" t="str">
            <v>2m</v>
          </cell>
        </row>
        <row r="41">
          <cell r="A41" t="str">
            <v>442 021 104-Rate 2M Sm Gen Svc - Unmt w/o Cust</v>
          </cell>
          <cell r="B41" t="str">
            <v>2m</v>
          </cell>
        </row>
        <row r="42">
          <cell r="A42" t="str">
            <v>442 021 233-Rate 2M Sm Gen Svc - TOU - 3 Ph-No</v>
          </cell>
          <cell r="B42" t="str">
            <v>2m</v>
          </cell>
        </row>
        <row r="43">
          <cell r="A43" t="str">
            <v>442 021 234-Rate 2M Sm Gen Svc - TOU - 1 Ph-No</v>
          </cell>
          <cell r="B43" t="str">
            <v>2m</v>
          </cell>
        </row>
        <row r="44">
          <cell r="A44" t="str">
            <v>442 021 235-Rate 2M Sm Gen Svc - 3 Ph - No Dmd</v>
          </cell>
          <cell r="B44" t="str">
            <v>2m</v>
          </cell>
        </row>
        <row r="45">
          <cell r="A45" t="str">
            <v>442 021 236-Rate 2M Sm Gen Svc - 1 Ph - No Dmd</v>
          </cell>
          <cell r="B45" t="str">
            <v>2m</v>
          </cell>
        </row>
        <row r="46">
          <cell r="A46" t="str">
            <v>442 021 600-Rate 2M Sm Gen Svc-Spc Ht-3 Ph-No</v>
          </cell>
          <cell r="B46" t="str">
            <v>2m</v>
          </cell>
        </row>
        <row r="47">
          <cell r="A47" t="str">
            <v>442 021 601-Rate 2M Sm Gen Svc-Spc Ht-1 Ph-No</v>
          </cell>
          <cell r="B47" t="str">
            <v>2m</v>
          </cell>
        </row>
        <row r="48">
          <cell r="A48" t="str">
            <v>442 021 602-Rate 2M Sm Gen Svc-Spc Ht-1 Ph w/D</v>
          </cell>
          <cell r="B48" t="str">
            <v>2m</v>
          </cell>
        </row>
        <row r="49">
          <cell r="A49" t="str">
            <v>442 021 603-Rate 2M Sm Gen Svc-Spc Ht-3 Ph w/D</v>
          </cell>
          <cell r="B49" t="str">
            <v>2m</v>
          </cell>
        </row>
        <row r="50">
          <cell r="A50" t="str">
            <v>442 021 604-Rate 2M Sm Gen Svc-Spc Ht-3 Ph w/D</v>
          </cell>
          <cell r="B50" t="str">
            <v>2m</v>
          </cell>
        </row>
        <row r="51">
          <cell r="A51" t="str">
            <v>442 031 087-Rate 4M Small Primary Service TOU</v>
          </cell>
          <cell r="B51" t="str">
            <v>4m</v>
          </cell>
        </row>
        <row r="52">
          <cell r="A52" t="str">
            <v>ZZZ ZZZ 064-Rate 7M Municipal Incandescent Ltg</v>
          </cell>
          <cell r="B52" t="str">
            <v>5m</v>
          </cell>
        </row>
        <row r="53">
          <cell r="A53" t="str">
            <v>TOTAL: Commercial</v>
          </cell>
        </row>
        <row r="54">
          <cell r="A54" t="str">
            <v>TARIFF TYPE:  Industrial</v>
          </cell>
        </row>
        <row r="55">
          <cell r="A55" t="str">
            <v>442 021 092-Rate 11M Lg Primary Electric Servi</v>
          </cell>
          <cell r="B55" t="str">
            <v>11m</v>
          </cell>
        </row>
        <row r="56">
          <cell r="A56" t="str">
            <v>442 031 004-Rate 2M Sm Gen Svc - 1 Ph w/Dmd</v>
          </cell>
          <cell r="B56" t="str">
            <v>2m</v>
          </cell>
        </row>
        <row r="57">
          <cell r="A57" t="str">
            <v>442 031 006-Rate 3M Large General Service</v>
          </cell>
          <cell r="B57" t="str">
            <v>3m</v>
          </cell>
        </row>
        <row r="58">
          <cell r="A58" t="str">
            <v>442 031 007-Rate 3M Lg Gen Svc TOU Demand &amp; En</v>
          </cell>
          <cell r="B58" t="str">
            <v>3m</v>
          </cell>
        </row>
        <row r="59">
          <cell r="A59" t="str">
            <v>442 031 008-Rate 4M Sm Primary Elect Service-S</v>
          </cell>
          <cell r="B59" t="str">
            <v>4m</v>
          </cell>
        </row>
        <row r="60">
          <cell r="A60" t="str">
            <v>442 031 016-Rate 11M Lg Primary Service - Subs</v>
          </cell>
          <cell r="B60" t="str">
            <v>11m</v>
          </cell>
        </row>
        <row r="61">
          <cell r="A61" t="str">
            <v>442 031 017-Rate 11M Lg Primary Srvc TOU - Sub</v>
          </cell>
          <cell r="B61" t="str">
            <v>11m</v>
          </cell>
        </row>
        <row r="62">
          <cell r="A62" t="str">
            <v>442 031 062-Rate 6M Cust-Own Ltg Metered-Priva</v>
          </cell>
          <cell r="B62" t="str">
            <v>5m</v>
          </cell>
        </row>
        <row r="63">
          <cell r="A63" t="str">
            <v>442 031 076-Rate 2M Sm Gen Svc - 3 Ph w/Dmd</v>
          </cell>
          <cell r="B63" t="str">
            <v>2m</v>
          </cell>
        </row>
        <row r="64">
          <cell r="A64" t="str">
            <v>442 031 077-Rate 2M Sm Gen Svc - TOU - 3 Phase</v>
          </cell>
          <cell r="B64" t="str">
            <v>2m</v>
          </cell>
        </row>
        <row r="65">
          <cell r="A65" t="str">
            <v>442 031 083-Rate 2M Sm Gen Svc - 3 Ph - Sub Ds</v>
          </cell>
          <cell r="B65" t="str">
            <v>2m</v>
          </cell>
        </row>
        <row r="66">
          <cell r="A66" t="str">
            <v>442 031 086-Rate 4M Small Primary Electric Ser</v>
          </cell>
          <cell r="B66" t="str">
            <v>4m</v>
          </cell>
        </row>
        <row r="67">
          <cell r="A67" t="str">
            <v>Report ID: CURST235</v>
          </cell>
        </row>
        <row r="72">
          <cell r="A72" t="str">
            <v>TYPE OF SERVICE:   Bundled</v>
          </cell>
        </row>
        <row r="73">
          <cell r="A73" t="str">
            <v>TARIFF TYPE:  Industrial                 (Conti</v>
          </cell>
        </row>
        <row r="74">
          <cell r="A74" t="str">
            <v>GL</v>
          </cell>
        </row>
        <row r="75">
          <cell r="A75" t="str">
            <v>MAJ MIN               TARIFF</v>
          </cell>
        </row>
        <row r="76">
          <cell r="A76" t="str">
            <v>442 031 087-Rate 4M Small Primary Service TOU</v>
          </cell>
          <cell r="B76" t="str">
            <v>4m</v>
          </cell>
        </row>
        <row r="77">
          <cell r="A77" t="str">
            <v>442 031 092-Rate 11M Lg Primary Electric Servi</v>
          </cell>
          <cell r="B77" t="str">
            <v>11m</v>
          </cell>
        </row>
        <row r="78">
          <cell r="A78" t="str">
            <v>442 031 093-Rate 11M Lg Primary Service TOU</v>
          </cell>
          <cell r="B78" t="str">
            <v>11m</v>
          </cell>
        </row>
        <row r="79">
          <cell r="A79" t="str">
            <v>442 031 103-Rate 2M Sm Gen Svc - Unmetered - P</v>
          </cell>
          <cell r="B79" t="str">
            <v>2m</v>
          </cell>
        </row>
        <row r="80">
          <cell r="A80" t="str">
            <v>442 031 235-Rate 2M Sm Gen Svc - 3 Ph - No Dmd</v>
          </cell>
          <cell r="B80" t="str">
            <v>2m</v>
          </cell>
        </row>
        <row r="81">
          <cell r="A81" t="str">
            <v>442 031 236-Rate 2M Sm Gen Svc - 1 Ph - No Dmd</v>
          </cell>
          <cell r="B81" t="str">
            <v>2m</v>
          </cell>
        </row>
        <row r="82">
          <cell r="A82" t="str">
            <v>442 031 600-Rate 2M Sm Gen Svc-Spc Ht-3 Ph-No</v>
          </cell>
          <cell r="B82" t="str">
            <v>2m</v>
          </cell>
        </row>
        <row r="83">
          <cell r="A83" t="str">
            <v>442 031 601-Rate 2M Sm Gen Svc-Spc Ht-1 Ph-No</v>
          </cell>
          <cell r="B83" t="str">
            <v>2m</v>
          </cell>
        </row>
        <row r="84">
          <cell r="A84" t="str">
            <v>442 031 602-Rate 2M Sm Gen Svc-Spc Ht-1 Ph w/D</v>
          </cell>
          <cell r="B84" t="str">
            <v>2m</v>
          </cell>
        </row>
        <row r="85">
          <cell r="A85" t="str">
            <v>442 031 603-Rate 2M Sm Gen Svc-Spc Ht-3 Ph w/D</v>
          </cell>
          <cell r="B85" t="str">
            <v>2m</v>
          </cell>
        </row>
        <row r="86">
          <cell r="A86" t="str">
            <v>442 035 243-Rate 12M Lg Transmission Service</v>
          </cell>
          <cell r="B86" t="str">
            <v>12m</v>
          </cell>
        </row>
        <row r="87">
          <cell r="A87" t="str">
            <v>TOTAL: Industrial</v>
          </cell>
        </row>
        <row r="88">
          <cell r="A88" t="str">
            <v>TARIFF TYPE:  Street and Highway Light</v>
          </cell>
        </row>
        <row r="89">
          <cell r="A89" t="str">
            <v>444 011 063-Rate 6M Cust-Owned Lighting Metere</v>
          </cell>
          <cell r="B89" t="str">
            <v>5m</v>
          </cell>
        </row>
        <row r="90">
          <cell r="A90" t="str">
            <v>444 011 064-Rate 7M Municipal Incandescent Ltg</v>
          </cell>
          <cell r="B90" t="str">
            <v>5m</v>
          </cell>
        </row>
        <row r="91">
          <cell r="A91" t="str">
            <v>444 011 268-Rate 6M Cust Own Ltg Metrd - Muni</v>
          </cell>
          <cell r="B91" t="str">
            <v>5m</v>
          </cell>
        </row>
        <row r="92">
          <cell r="A92" t="str">
            <v>ZZZ ZZZ 063-Rate 6M Cust-Owned Lighting Metere</v>
          </cell>
          <cell r="B92" t="str">
            <v>5m</v>
          </cell>
        </row>
        <row r="93">
          <cell r="A93" t="str">
            <v>TOTAL: Street and Highway</v>
          </cell>
        </row>
        <row r="94">
          <cell r="A94" t="str">
            <v>TARIFF TYPE:  Sales to Public Authority</v>
          </cell>
        </row>
        <row r="95">
          <cell r="A95" t="str">
            <v>445 011 166-Metropolitan Sewer District</v>
          </cell>
          <cell r="B95" t="str">
            <v>msd</v>
          </cell>
        </row>
        <row r="96">
          <cell r="A96" t="str">
            <v>TOTAL: Sales to Public Au</v>
          </cell>
        </row>
        <row r="97">
          <cell r="A97" t="str">
            <v>TARIFF TYPE:  Wholesale</v>
          </cell>
        </row>
        <row r="98">
          <cell r="A98" t="str">
            <v>447 031 165-UE - Market Based Rate Power Sales</v>
          </cell>
          <cell r="B98" t="str">
            <v>whl</v>
          </cell>
        </row>
        <row r="99">
          <cell r="A99" t="str">
            <v>TOTAL: Wholesale</v>
          </cell>
        </row>
        <row r="100">
          <cell r="A100" t="str">
            <v>TARIFF TYPE:  Commercial - Blended Tax</v>
          </cell>
        </row>
        <row r="101">
          <cell r="A101" t="str">
            <v>Report ID: CURST235</v>
          </cell>
        </row>
        <row r="106">
          <cell r="A106" t="str">
            <v>TYPE OF SERVICE:   Bundled</v>
          </cell>
        </row>
        <row r="107">
          <cell r="A107" t="str">
            <v>TARIFF TYPE:  Commercial - Blended Tax   (Conti</v>
          </cell>
        </row>
        <row r="108">
          <cell r="A108" t="str">
            <v>GL</v>
          </cell>
        </row>
        <row r="109">
          <cell r="A109" t="str">
            <v>MAJ MIN               TARIFF</v>
          </cell>
        </row>
        <row r="110">
          <cell r="A110" t="str">
            <v>442 021 006-Rate 3M Large General Service</v>
          </cell>
          <cell r="B110" t="str">
            <v>3m</v>
          </cell>
        </row>
        <row r="111">
          <cell r="A111" t="str">
            <v>442 021 086-Rate 4M Small Primary Electric Ser</v>
          </cell>
          <cell r="B111" t="str">
            <v>4m</v>
          </cell>
        </row>
        <row r="112">
          <cell r="A112" t="str">
            <v>TOTAL: Commercial - Blend</v>
          </cell>
        </row>
        <row r="113">
          <cell r="A113" t="str">
            <v>COMPANY TOTAL:</v>
          </cell>
        </row>
        <row r="114">
          <cell r="A114" t="str">
            <v>Report ID: CURST235</v>
          </cell>
        </row>
        <row r="119">
          <cell r="A119" t="str">
            <v>TYPE OF SERVICE:   Bundled</v>
          </cell>
        </row>
        <row r="120">
          <cell r="A120" t="str">
            <v>TARIFF TYPE:  Residential</v>
          </cell>
        </row>
        <row r="121">
          <cell r="A121" t="str">
            <v>GL</v>
          </cell>
        </row>
        <row r="122">
          <cell r="A122" t="str">
            <v>MAJ MIN               TARIFF</v>
          </cell>
        </row>
        <row r="123">
          <cell r="A123" t="str">
            <v>440 011 231-Rate 5M Private Area Lighting - Po</v>
          </cell>
          <cell r="B123" t="str">
            <v>5m</v>
          </cell>
        </row>
        <row r="124">
          <cell r="A124" t="str">
            <v>440 011 259-Rate 5M/6M Private Area Lighting -</v>
          </cell>
          <cell r="B124" t="str">
            <v>5m</v>
          </cell>
        </row>
        <row r="125">
          <cell r="A125" t="str">
            <v>442 021 231-Rate 5M Private Area Lighting - Po</v>
          </cell>
          <cell r="B125" t="str">
            <v>5m</v>
          </cell>
        </row>
        <row r="126">
          <cell r="A126" t="str">
            <v>481 011 231-Rate 5M Private Area Lighting - Po</v>
          </cell>
          <cell r="B126" t="str">
            <v>5m</v>
          </cell>
        </row>
        <row r="127">
          <cell r="A127" t="str">
            <v>481 031 231-Rate 5M Private Area Lighting - Po</v>
          </cell>
          <cell r="B127" t="str">
            <v>5m</v>
          </cell>
        </row>
        <row r="128">
          <cell r="A128" t="str">
            <v>481 033 231-Rate 5M Private Area Lighting - Po</v>
          </cell>
          <cell r="B128" t="str">
            <v>5m</v>
          </cell>
        </row>
        <row r="129">
          <cell r="A129" t="str">
            <v>489     231-Rate 5M Private Area Lighting - Po</v>
          </cell>
          <cell r="B129" t="str">
            <v>5m</v>
          </cell>
        </row>
        <row r="130">
          <cell r="A130" t="str">
            <v>ZZZ ZZZ 231-Rate 5M Private Area Lighting - Po</v>
          </cell>
          <cell r="B130" t="str">
            <v>5m</v>
          </cell>
        </row>
        <row r="131">
          <cell r="A131" t="str">
            <v>TOTAL: Residential</v>
          </cell>
        </row>
        <row r="132">
          <cell r="A132" t="str">
            <v>TARIFF TYPE:  Commercial</v>
          </cell>
        </row>
        <row r="133">
          <cell r="A133" t="str">
            <v>440 011 231-Rate 5M Private Area Lighting - Po</v>
          </cell>
          <cell r="B133" t="str">
            <v>5m</v>
          </cell>
        </row>
        <row r="134">
          <cell r="A134" t="str">
            <v>442 021 011-Rate 6M Cust-Own Lighting Unmtred</v>
          </cell>
          <cell r="B134" t="str">
            <v>5m</v>
          </cell>
        </row>
        <row r="135">
          <cell r="A135" t="str">
            <v>442 021 231-Rate 5M Private Area Lighting - Po</v>
          </cell>
          <cell r="B135" t="str">
            <v>5m</v>
          </cell>
        </row>
        <row r="136">
          <cell r="A136" t="str">
            <v>442 021 232-Rate 5M Private Area Lighting</v>
          </cell>
          <cell r="B136" t="str">
            <v>5m</v>
          </cell>
        </row>
        <row r="137">
          <cell r="A137" t="str">
            <v>442 021 259-Rate 5M/6M Private Area Lighting -</v>
          </cell>
          <cell r="B137" t="str">
            <v>5m</v>
          </cell>
        </row>
        <row r="138">
          <cell r="A138" t="str">
            <v>444 011 011-Rate 6M Cust-Own Lighting Unmtred</v>
          </cell>
          <cell r="B138" t="str">
            <v>5m</v>
          </cell>
        </row>
        <row r="139">
          <cell r="A139" t="str">
            <v>444 011 232-Rate 5M Private Area Lighting</v>
          </cell>
          <cell r="B139" t="str">
            <v>5m</v>
          </cell>
        </row>
        <row r="140">
          <cell r="A140" t="str">
            <v>TOTAL: Commercial</v>
          </cell>
        </row>
        <row r="141">
          <cell r="A141" t="str">
            <v>TARIFF TYPE:  Industrial</v>
          </cell>
        </row>
        <row r="142">
          <cell r="A142" t="str">
            <v>442 021 231-Rate 5M Private Area Lighting - Po</v>
          </cell>
          <cell r="B142" t="str">
            <v>5m</v>
          </cell>
        </row>
        <row r="143">
          <cell r="A143" t="str">
            <v>442 021 232-Rate 5M Private Area Lighting</v>
          </cell>
          <cell r="B143" t="str">
            <v>5m</v>
          </cell>
        </row>
        <row r="144">
          <cell r="A144" t="str">
            <v>442 031 231-Rate 5M Private Area Lighting - Po</v>
          </cell>
          <cell r="B144" t="str">
            <v>5m</v>
          </cell>
        </row>
        <row r="145">
          <cell r="A145" t="str">
            <v>442 031 232-Rate 5M Private Area Lighting</v>
          </cell>
          <cell r="B145" t="str">
            <v>5m</v>
          </cell>
        </row>
        <row r="146">
          <cell r="A146" t="str">
            <v>TOTAL: Industrial</v>
          </cell>
        </row>
        <row r="147">
          <cell r="A147" t="str">
            <v>Report ID: CURST235</v>
          </cell>
        </row>
        <row r="152">
          <cell r="A152" t="str">
            <v>TYPE OF SERVICE:   Bundled</v>
          </cell>
        </row>
        <row r="153">
          <cell r="A153" t="str">
            <v>TARIFF TYPE:  Street and Highway Light</v>
          </cell>
        </row>
        <row r="154">
          <cell r="A154" t="str">
            <v>GL</v>
          </cell>
        </row>
        <row r="155">
          <cell r="A155" t="str">
            <v>MAJ MIN               TARIFF</v>
          </cell>
        </row>
        <row r="156">
          <cell r="A156" t="str">
            <v>442 021 232-Rate 5M Private Area Lighting</v>
          </cell>
          <cell r="B156" t="str">
            <v>5m</v>
          </cell>
        </row>
        <row r="157">
          <cell r="A157" t="str">
            <v>442 021 259-Rate 5M/6M Private Area Lighting -</v>
          </cell>
          <cell r="B157" t="str">
            <v>5m</v>
          </cell>
        </row>
        <row r="158">
          <cell r="A158" t="str">
            <v>442 031 010-Rate 5M Company-Owned Lighting-Mun</v>
          </cell>
          <cell r="B158" t="str">
            <v>5m</v>
          </cell>
        </row>
        <row r="159">
          <cell r="A159" t="str">
            <v>442 031 232-Rate 5M Private Area Lighting</v>
          </cell>
          <cell r="B159" t="str">
            <v>5m</v>
          </cell>
        </row>
        <row r="160">
          <cell r="A160" t="str">
            <v>444 011 010-Rate 5M Company-Owned Lighting-Mun</v>
          </cell>
          <cell r="B160" t="str">
            <v>5m</v>
          </cell>
        </row>
        <row r="161">
          <cell r="A161" t="str">
            <v>444 011 011-Rate 6M Cust-Own Lighting Unmtred</v>
          </cell>
          <cell r="B161" t="str">
            <v>5m</v>
          </cell>
        </row>
        <row r="162">
          <cell r="A162" t="str">
            <v>444 011 012-Rate 7M Municipal Incandescent Ltg</v>
          </cell>
          <cell r="B162" t="str">
            <v>5m</v>
          </cell>
        </row>
        <row r="163">
          <cell r="A163" t="str">
            <v>444 011 231-Rate 5M Private Area Lighting - Po</v>
          </cell>
          <cell r="B163" t="str">
            <v>5m</v>
          </cell>
        </row>
        <row r="164">
          <cell r="A164" t="str">
            <v>444 011 232-Rate 5M Private Area Lighting</v>
          </cell>
          <cell r="B164" t="str">
            <v>5m</v>
          </cell>
        </row>
        <row r="165">
          <cell r="A165" t="str">
            <v>444 011 259-Rate 5M/6M Private Area Lighting -</v>
          </cell>
          <cell r="B165" t="str">
            <v>5m</v>
          </cell>
        </row>
        <row r="166">
          <cell r="A166" t="str">
            <v>ERR ERR 064-Rate 7M Municipal Incandescent Ltg</v>
          </cell>
          <cell r="B166" t="str">
            <v>5m</v>
          </cell>
        </row>
        <row r="167">
          <cell r="A167" t="str">
            <v>ERR ERR 236-Rate 2M Sm Gen Svc - 1 Ph - No Dmd</v>
          </cell>
          <cell r="B167" t="str">
            <v>2m</v>
          </cell>
        </row>
        <row r="168">
          <cell r="A168" t="str">
            <v>ERR ERR 065-Rate 8M Private Ornamental Ltg Met</v>
          </cell>
          <cell r="B168" t="str">
            <v>5m</v>
          </cell>
        </row>
        <row r="169">
          <cell r="A169" t="str">
            <v>442 021 085-Rate 3M Lg Gen Svc TOU Dem/Enrgy-S</v>
          </cell>
          <cell r="B169" t="str">
            <v>3m</v>
          </cell>
        </row>
        <row r="170">
          <cell r="A170" t="str">
            <v>ERR ERR 279-Rate 1M Res Elect Svc - Space Heat</v>
          </cell>
          <cell r="B170" t="str">
            <v>1m</v>
          </cell>
        </row>
        <row r="171">
          <cell r="A171" t="str">
            <v>442 031 604-Rate 2M Sm Gen Svc-Spc Ht-3 Ph w/D</v>
          </cell>
          <cell r="B171" t="str">
            <v>2m</v>
          </cell>
        </row>
        <row r="172">
          <cell r="A172" t="str">
            <v>ERR ERR 063-Rate 6M Cust-Owned Lighting Metere</v>
          </cell>
          <cell r="B172" t="str">
            <v>5m</v>
          </cell>
        </row>
        <row r="173">
          <cell r="A173" t="str">
            <v>447 031 165-UE - Market Based Rate Power Sales</v>
          </cell>
          <cell r="B173" t="str">
            <v>mark</v>
          </cell>
        </row>
        <row r="174">
          <cell r="A174" t="str">
            <v>447 031 179-UE Boundary Line Tariff</v>
          </cell>
          <cell r="B174" t="str">
            <v>bl</v>
          </cell>
        </row>
        <row r="175">
          <cell r="A175" t="str">
            <v>442 031 259-Rate 5M/6M Private Area Lighting -</v>
          </cell>
          <cell r="B175" t="str">
            <v>5m</v>
          </cell>
        </row>
        <row r="176">
          <cell r="A176" t="str">
            <v>ERR ERR 010-Rate 5M Company-Owned Lighting-Mun</v>
          </cell>
          <cell r="B176" t="str">
            <v>5m</v>
          </cell>
        </row>
        <row r="177">
          <cell r="A177" t="str">
            <v>ERR ERR 013-Rate 8M Private Ornamental Ltg Unm</v>
          </cell>
          <cell r="B177" t="str">
            <v>5m</v>
          </cell>
        </row>
        <row r="178">
          <cell r="A178" t="str">
            <v>447 031 165-UE - Market Based Rate Power Sales</v>
          </cell>
          <cell r="B178" t="str">
            <v>mark</v>
          </cell>
        </row>
        <row r="179">
          <cell r="A179" t="str">
            <v>447 031 165-UE - Market Based Rate Power Sales</v>
          </cell>
          <cell r="B179" t="str">
            <v>mark</v>
          </cell>
        </row>
        <row r="180">
          <cell r="A180" t="str">
            <v>ERR ERR 001-Rate 1M Res Elect Service - Postca</v>
          </cell>
          <cell r="B180" t="str">
            <v>1m</v>
          </cell>
        </row>
        <row r="181">
          <cell r="A181" t="str">
            <v>442 031 009-Rate 4M Sm Primary Srvc TOU - Subs</v>
          </cell>
          <cell r="B181" t="str">
            <v>4m</v>
          </cell>
        </row>
        <row r="182">
          <cell r="A182" t="str">
            <v>456 011 006-Rate 3M Large General Service</v>
          </cell>
          <cell r="B182" t="str">
            <v>3m</v>
          </cell>
        </row>
        <row r="183">
          <cell r="A183" t="str">
            <v>456 011 235-Rate 2M Sm Gen Svc - 3 Ph - No Dmd</v>
          </cell>
          <cell r="B183" t="str">
            <v>2m</v>
          </cell>
        </row>
        <row r="184">
          <cell r="A184" t="str">
            <v>456 011 236-Rate 2M Sm Gen Svc - 1 Ph - No Dmd</v>
          </cell>
          <cell r="B184" t="str">
            <v>2m</v>
          </cell>
        </row>
        <row r="185">
          <cell r="A185" t="str">
            <v>ZZZ ZZZ 279-Rate 1M Res Elect Svc - Space Heat</v>
          </cell>
          <cell r="B185" t="str">
            <v>1m</v>
          </cell>
        </row>
        <row r="186">
          <cell r="A186" t="str">
            <v>442 031 080-MO Annual Recurring Service - Sing</v>
          </cell>
          <cell r="B186" t="str">
            <v>2m</v>
          </cell>
        </row>
      </sheetData>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 Age Svc"/>
      <sheetName val="IP Tables"/>
      <sheetName val="IP Actives"/>
    </sheetNames>
    <sheetDataSet>
      <sheetData sheetId="0" refreshError="1"/>
      <sheetData sheetId="1">
        <row r="5">
          <cell r="A5">
            <v>1</v>
          </cell>
          <cell r="B5" t="str">
            <v>20-24</v>
          </cell>
          <cell r="C5">
            <v>13</v>
          </cell>
        </row>
        <row r="6">
          <cell r="A6">
            <v>2</v>
          </cell>
          <cell r="B6" t="str">
            <v>25-29</v>
          </cell>
          <cell r="C6">
            <v>38</v>
          </cell>
          <cell r="I6">
            <v>29</v>
          </cell>
        </row>
        <row r="7">
          <cell r="A7">
            <v>3</v>
          </cell>
          <cell r="B7" t="str">
            <v>30-34</v>
          </cell>
          <cell r="C7">
            <v>30</v>
          </cell>
          <cell r="D7">
            <v>32</v>
          </cell>
          <cell r="E7">
            <v>3</v>
          </cell>
          <cell r="I7">
            <v>54</v>
          </cell>
        </row>
        <row r="8">
          <cell r="A8">
            <v>4</v>
          </cell>
          <cell r="B8" t="str">
            <v>35-39</v>
          </cell>
          <cell r="C8">
            <v>33</v>
          </cell>
          <cell r="D8">
            <v>45</v>
          </cell>
          <cell r="E8">
            <v>59</v>
          </cell>
          <cell r="F8">
            <v>1</v>
          </cell>
          <cell r="I8">
            <v>51</v>
          </cell>
        </row>
        <row r="9">
          <cell r="A9">
            <v>5</v>
          </cell>
          <cell r="B9" t="str">
            <v>40-44</v>
          </cell>
          <cell r="C9">
            <v>24</v>
          </cell>
          <cell r="D9">
            <v>72</v>
          </cell>
          <cell r="E9">
            <v>102</v>
          </cell>
          <cell r="F9">
            <v>56</v>
          </cell>
          <cell r="G9">
            <v>12</v>
          </cell>
          <cell r="I9">
            <v>61</v>
          </cell>
        </row>
        <row r="10">
          <cell r="A10">
            <v>6</v>
          </cell>
          <cell r="B10" t="str">
            <v>45-49</v>
          </cell>
          <cell r="C10">
            <v>19</v>
          </cell>
          <cell r="D10">
            <v>56</v>
          </cell>
          <cell r="E10">
            <v>86</v>
          </cell>
          <cell r="F10">
            <v>87</v>
          </cell>
          <cell r="G10">
            <v>87</v>
          </cell>
          <cell r="H10">
            <v>3</v>
          </cell>
          <cell r="I10">
            <v>38</v>
          </cell>
        </row>
        <row r="11">
          <cell r="A11">
            <v>7</v>
          </cell>
          <cell r="B11" t="str">
            <v>50-54</v>
          </cell>
          <cell r="C11">
            <v>8</v>
          </cell>
          <cell r="D11">
            <v>35</v>
          </cell>
          <cell r="E11">
            <v>55</v>
          </cell>
          <cell r="F11">
            <v>52</v>
          </cell>
          <cell r="G11">
            <v>93</v>
          </cell>
          <cell r="H11">
            <v>81</v>
          </cell>
          <cell r="I11">
            <v>24</v>
          </cell>
          <cell r="J11">
            <v>13</v>
          </cell>
        </row>
        <row r="12">
          <cell r="A12">
            <v>8</v>
          </cell>
          <cell r="B12" t="str">
            <v>55-59</v>
          </cell>
          <cell r="C12">
            <v>6</v>
          </cell>
          <cell r="D12">
            <v>14</v>
          </cell>
          <cell r="E12">
            <v>23</v>
          </cell>
          <cell r="F12">
            <v>27</v>
          </cell>
          <cell r="G12">
            <v>35</v>
          </cell>
          <cell r="H12">
            <v>84</v>
          </cell>
          <cell r="I12">
            <v>6</v>
          </cell>
          <cell r="J12">
            <v>53</v>
          </cell>
        </row>
        <row r="13">
          <cell r="A13">
            <v>9</v>
          </cell>
          <cell r="B13" t="str">
            <v>60-64</v>
          </cell>
          <cell r="D13">
            <v>7</v>
          </cell>
          <cell r="E13">
            <v>8</v>
          </cell>
          <cell r="F13">
            <v>3</v>
          </cell>
          <cell r="G13">
            <v>7</v>
          </cell>
          <cell r="H13">
            <v>16</v>
          </cell>
          <cell r="I13">
            <v>2</v>
          </cell>
          <cell r="J13">
            <v>24</v>
          </cell>
        </row>
        <row r="14">
          <cell r="A14">
            <v>10</v>
          </cell>
          <cell r="B14" t="str">
            <v>Over 64</v>
          </cell>
          <cell r="J14">
            <v>3</v>
          </cell>
        </row>
        <row r="15">
          <cell r="A15">
            <v>11</v>
          </cell>
          <cell r="B15" t="str">
            <v>(blank)</v>
          </cell>
        </row>
        <row r="16">
          <cell r="A16">
            <v>12</v>
          </cell>
          <cell r="B16" t="str">
            <v>Grand Total</v>
          </cell>
          <cell r="C16">
            <v>171</v>
          </cell>
          <cell r="D16">
            <v>261</v>
          </cell>
          <cell r="E16">
            <v>336</v>
          </cell>
          <cell r="F16">
            <v>226</v>
          </cell>
          <cell r="G16">
            <v>234</v>
          </cell>
          <cell r="H16">
            <v>184</v>
          </cell>
          <cell r="I16">
            <v>265</v>
          </cell>
          <cell r="J16">
            <v>93</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sheetName val="WACC"/>
      <sheetName val="Common Stock Equity"/>
      <sheetName val="Preferred"/>
      <sheetName val="Debt Summary"/>
      <sheetName val="TFI Summary"/>
      <sheetName val="TFTd12-08"/>
      <sheetName val="TFT -Cost"/>
      <sheetName val="STD"/>
      <sheetName val="6.75d3-05"/>
      <sheetName val="7.5d7-25"/>
      <sheetName val="PQRd4-32"/>
      <sheetName val="Sd3-28"/>
      <sheetName val="Td3-28"/>
      <sheetName val="7.5d6-09"/>
      <sheetName val="Ud2-24"/>
      <sheetName val="Vd12-24"/>
      <sheetName val="AdjWd11-28"/>
      <sheetName val="AdjXd3-17"/>
      <sheetName val="11.5d12-10"/>
      <sheetName val="6.5d8-03"/>
      <sheetName val="6.0d9-03"/>
      <sheetName val="Template"/>
      <sheetName val="Summary by Test Year"/>
      <sheetName val="Summary by Month"/>
      <sheetName val="189002"/>
      <sheetName val="189012"/>
      <sheetName val="189013"/>
      <sheetName val="189015"/>
      <sheetName val="189015 Secur"/>
      <sheetName val="189017"/>
      <sheetName val="189018"/>
      <sheetName val="189019"/>
      <sheetName val="189021"/>
      <sheetName val="189022"/>
      <sheetName val="189023"/>
      <sheetName val="189024"/>
      <sheetName val="189025"/>
      <sheetName val="189026 Secur"/>
      <sheetName val="189027 Secur"/>
      <sheetName val="189028 Secur"/>
      <sheetName val="189040"/>
      <sheetName val="189999"/>
      <sheetName val="257033"/>
      <sheetName val="257033 Secur"/>
    </sheetNames>
    <sheetDataSet>
      <sheetData sheetId="0"/>
      <sheetData sheetId="1">
        <row r="5">
          <cell r="B5">
            <v>37986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58"/>
  <sheetViews>
    <sheetView tabSelected="1" zoomScale="80" zoomScaleNormal="80" workbookViewId="0">
      <selection activeCell="D25" sqref="D25"/>
    </sheetView>
  </sheetViews>
  <sheetFormatPr defaultRowHeight="12.75"/>
  <cols>
    <col min="1" max="1" width="48.42578125" style="84" bestFit="1" customWidth="1"/>
    <col min="2" max="2" width="14.140625" style="84" customWidth="1"/>
    <col min="3" max="3" width="15" style="84" customWidth="1"/>
    <col min="4" max="4" width="21.5703125" style="84" bestFit="1" customWidth="1"/>
    <col min="5" max="5" width="21.42578125" style="84" customWidth="1"/>
    <col min="6" max="16384" width="9.140625" style="84"/>
  </cols>
  <sheetData>
    <row r="1" spans="1:4">
      <c r="A1" s="57" t="s">
        <v>0</v>
      </c>
      <c r="B1" s="90"/>
      <c r="C1" s="90"/>
    </row>
    <row r="2" spans="1:4">
      <c r="A2" s="57" t="s">
        <v>1</v>
      </c>
      <c r="B2" s="90"/>
      <c r="C2" s="90"/>
      <c r="D2" s="110"/>
    </row>
    <row r="3" spans="1:4">
      <c r="A3" s="57" t="s">
        <v>228</v>
      </c>
      <c r="B3" s="90"/>
      <c r="C3" s="90"/>
      <c r="D3" s="110"/>
    </row>
    <row r="4" spans="1:4">
      <c r="D4" s="110"/>
    </row>
    <row r="5" spans="1:4">
      <c r="A5" s="90" t="s">
        <v>232</v>
      </c>
      <c r="B5" s="90"/>
      <c r="C5" s="90"/>
      <c r="D5" s="110"/>
    </row>
    <row r="6" spans="1:4" s="110" customFormat="1">
      <c r="A6" s="104" t="s">
        <v>243</v>
      </c>
      <c r="B6" s="104"/>
      <c r="C6" s="104"/>
    </row>
    <row r="7" spans="1:4">
      <c r="D7" s="110"/>
    </row>
    <row r="8" spans="1:4">
      <c r="B8" s="110"/>
      <c r="D8" s="110"/>
    </row>
    <row r="9" spans="1:4">
      <c r="A9" s="88" t="s">
        <v>2</v>
      </c>
      <c r="B9" s="131">
        <f>'9(A).2(C)'!C42</f>
        <v>-8650929</v>
      </c>
      <c r="C9" s="126"/>
      <c r="D9" s="110"/>
    </row>
    <row r="10" spans="1:4" s="110" customFormat="1">
      <c r="A10" s="105" t="s">
        <v>229</v>
      </c>
      <c r="B10" s="41">
        <f>'9(A).2(C)'!E16</f>
        <v>15060</v>
      </c>
      <c r="D10" s="95"/>
    </row>
    <row r="11" spans="1:4" s="110" customFormat="1">
      <c r="A11" s="105" t="s">
        <v>230</v>
      </c>
      <c r="B11" s="41">
        <f>'9(A).2(C)'!K42</f>
        <v>-449314</v>
      </c>
      <c r="D11" s="95"/>
    </row>
    <row r="12" spans="1:4" s="110" customFormat="1">
      <c r="A12" s="105" t="s">
        <v>231</v>
      </c>
      <c r="B12" s="41">
        <f>'9(A).2(C)'!I42</f>
        <v>-203408</v>
      </c>
      <c r="C12" s="126"/>
    </row>
    <row r="13" spans="1:4">
      <c r="A13" s="88" t="s">
        <v>3</v>
      </c>
      <c r="B13" s="338">
        <f>'9(A).2(C)'!M42</f>
        <v>8742996.3200000003</v>
      </c>
      <c r="C13" s="126"/>
    </row>
    <row r="14" spans="1:4">
      <c r="A14" s="88" t="s">
        <v>4</v>
      </c>
      <c r="B14" s="296">
        <f>SUM(B9:B13)</f>
        <v>-545594.6799999997</v>
      </c>
    </row>
    <row r="16" spans="1:4">
      <c r="A16" s="91" t="s">
        <v>5</v>
      </c>
      <c r="B16" s="555">
        <f>B12+B11</f>
        <v>-652722</v>
      </c>
      <c r="D16" s="49"/>
    </row>
    <row r="17" spans="1:2">
      <c r="A17" s="88" t="s">
        <v>6</v>
      </c>
      <c r="B17" s="89">
        <f>+B14-B16</f>
        <v>107127.3200000003</v>
      </c>
    </row>
    <row r="20" spans="1:2">
      <c r="B20" s="49"/>
    </row>
    <row r="26" spans="1:2">
      <c r="B26" s="49"/>
    </row>
    <row r="28" spans="1:2">
      <c r="A28" s="84" t="s">
        <v>7</v>
      </c>
    </row>
    <row r="33" spans="4:4">
      <c r="D33" s="121"/>
    </row>
    <row r="57" spans="3:3">
      <c r="C57" s="88"/>
    </row>
    <row r="58" spans="3:3">
      <c r="C58" s="88"/>
    </row>
  </sheetData>
  <printOptions horizontalCentered="1"/>
  <pageMargins left="0.7" right="0.7" top="0.75" bottom="0.75" header="0.3" footer="0.3"/>
  <pageSetup orientation="portrait" r:id="rId1"/>
  <headerFooter>
    <oddFooter>&amp;CSchedule MA-TU
&amp;RConfidential
20 CSR 4240-2.135(2)(A)8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zoomScale="80" zoomScaleNormal="80" workbookViewId="0">
      <selection activeCell="AI18" sqref="AI18"/>
    </sheetView>
  </sheetViews>
  <sheetFormatPr defaultColWidth="9.140625" defaultRowHeight="12.75"/>
  <cols>
    <col min="1" max="1" width="16.42578125" style="372" customWidth="1"/>
    <col min="2" max="2" width="15.5703125" style="379" hidden="1" customWidth="1"/>
    <col min="3" max="3" width="15.42578125" style="380" hidden="1" customWidth="1"/>
    <col min="4" max="4" width="15.42578125" style="372" hidden="1" customWidth="1"/>
    <col min="5" max="5" width="25.28515625" style="379" bestFit="1" customWidth="1"/>
    <col min="6" max="6" width="12.42578125" style="380" bestFit="1" customWidth="1"/>
    <col min="7" max="7" width="18.140625" style="372" bestFit="1" customWidth="1"/>
    <col min="8" max="8" width="15.42578125" style="379" hidden="1" customWidth="1"/>
    <col min="9" max="9" width="10.28515625" style="380" hidden="1" customWidth="1"/>
    <col min="10" max="10" width="13.42578125" style="372" hidden="1" customWidth="1"/>
    <col min="11" max="11" width="14.42578125" style="379" hidden="1" customWidth="1"/>
    <col min="12" max="12" width="10.28515625" style="380" hidden="1" customWidth="1"/>
    <col min="13" max="13" width="11.7109375" style="372" hidden="1" customWidth="1"/>
    <col min="14" max="14" width="14.42578125" style="379" hidden="1" customWidth="1"/>
    <col min="15" max="15" width="10.28515625" style="380" hidden="1" customWidth="1"/>
    <col min="16" max="16" width="11.7109375" style="372" hidden="1" customWidth="1"/>
    <col min="17" max="17" width="15.42578125" style="379" hidden="1" customWidth="1"/>
    <col min="18" max="18" width="10.28515625" style="380" hidden="1" customWidth="1"/>
    <col min="19" max="19" width="11.7109375" style="372" hidden="1" customWidth="1"/>
    <col min="20" max="20" width="15.42578125" style="379" hidden="1" customWidth="1"/>
    <col min="21" max="21" width="10.28515625" style="380" hidden="1" customWidth="1"/>
    <col min="22" max="22" width="11.7109375" style="372" hidden="1" customWidth="1"/>
    <col min="23" max="23" width="15.42578125" style="379" hidden="1" customWidth="1"/>
    <col min="24" max="24" width="10.28515625" style="380" hidden="1" customWidth="1"/>
    <col min="25" max="25" width="11.7109375" style="372" hidden="1" customWidth="1"/>
    <col min="26" max="26" width="15.42578125" style="379" hidden="1" customWidth="1"/>
    <col min="27" max="27" width="10.28515625" style="380" hidden="1" customWidth="1"/>
    <col min="28" max="28" width="11.7109375" style="372" hidden="1" customWidth="1"/>
    <col min="29" max="29" width="15.42578125" style="379" hidden="1" customWidth="1"/>
    <col min="30" max="30" width="10.28515625" style="380" hidden="1" customWidth="1"/>
    <col min="31" max="31" width="11.7109375" style="372" hidden="1" customWidth="1"/>
    <col min="32" max="32" width="14.42578125" style="379" hidden="1" customWidth="1"/>
    <col min="33" max="33" width="10.28515625" style="380" hidden="1" customWidth="1"/>
    <col min="34" max="34" width="10.7109375" style="372" hidden="1" customWidth="1"/>
    <col min="35" max="35" width="14.42578125" style="379" customWidth="1"/>
    <col min="36" max="36" width="12.140625" style="380" bestFit="1" customWidth="1"/>
    <col min="37" max="37" width="12.7109375" style="372" bestFit="1" customWidth="1"/>
    <col min="38" max="38" width="14.42578125" style="379" customWidth="1"/>
    <col min="39" max="39" width="12.140625" style="380" bestFit="1" customWidth="1"/>
    <col min="40" max="40" width="12.7109375" style="372" bestFit="1" customWidth="1"/>
    <col min="41" max="41" width="15.5703125" style="379" bestFit="1" customWidth="1"/>
    <col min="42" max="42" width="12.42578125" style="380" bestFit="1" customWidth="1"/>
    <col min="43" max="43" width="13.85546875" style="372" bestFit="1" customWidth="1"/>
    <col min="44" max="44" width="15.5703125" style="379" bestFit="1" customWidth="1"/>
    <col min="45" max="45" width="12.140625" style="380" bestFit="1" customWidth="1"/>
    <col min="46" max="46" width="14.28515625" style="372" bestFit="1" customWidth="1"/>
    <col min="47" max="47" width="14.42578125" style="379" customWidth="1"/>
    <col min="48" max="48" width="12.140625" style="380" bestFit="1" customWidth="1"/>
    <col min="49" max="49" width="13.42578125" style="372" bestFit="1" customWidth="1"/>
    <col min="50" max="50" width="14.42578125" style="379" hidden="1" customWidth="1"/>
    <col min="51" max="51" width="10.28515625" style="380" hidden="1" customWidth="1"/>
    <col min="52" max="52" width="10.7109375" style="372" hidden="1" customWidth="1"/>
    <col min="53" max="53" width="14.42578125" style="379" hidden="1" customWidth="1"/>
    <col min="54" max="54" width="10.28515625" style="380" hidden="1" customWidth="1"/>
    <col min="55" max="55" width="10.7109375" style="372" hidden="1" customWidth="1"/>
    <col min="56" max="56" width="14.42578125" style="379" hidden="1" customWidth="1"/>
    <col min="57" max="57" width="10.28515625" style="380" hidden="1" customWidth="1"/>
    <col min="58" max="58" width="10.7109375" style="372" hidden="1" customWidth="1"/>
    <col min="59" max="59" width="14.42578125" style="379" hidden="1" customWidth="1"/>
    <col min="60" max="60" width="10.28515625" style="380" hidden="1" customWidth="1"/>
    <col min="61" max="61" width="10.7109375" style="372" hidden="1" customWidth="1"/>
    <col min="62" max="62" width="14.42578125" style="379" hidden="1" customWidth="1"/>
    <col min="63" max="63" width="10.28515625" style="380" hidden="1" customWidth="1"/>
    <col min="64" max="64" width="10.7109375" style="372" hidden="1" customWidth="1"/>
    <col min="65" max="65" width="14.42578125" style="379" hidden="1" customWidth="1"/>
    <col min="66" max="66" width="10.28515625" style="380" hidden="1" customWidth="1"/>
    <col min="67" max="67" width="10.7109375" style="372" hidden="1" customWidth="1"/>
    <col min="68" max="68" width="14.42578125" style="379" hidden="1" customWidth="1"/>
    <col min="69" max="69" width="10.28515625" style="380" hidden="1" customWidth="1"/>
    <col min="70" max="70" width="10.7109375" style="372" hidden="1" customWidth="1"/>
    <col min="71" max="71" width="14.42578125" style="379" hidden="1" customWidth="1"/>
    <col min="72" max="72" width="10.28515625" style="380" hidden="1" customWidth="1"/>
    <col min="73" max="73" width="10.7109375" style="372" hidden="1" customWidth="1"/>
    <col min="74" max="74" width="14.42578125" style="379" hidden="1" customWidth="1"/>
    <col min="75" max="75" width="10.28515625" style="380" hidden="1" customWidth="1"/>
    <col min="76" max="76" width="10.7109375" style="372" hidden="1" customWidth="1"/>
    <col min="77" max="77" width="14.42578125" style="379" hidden="1" customWidth="1"/>
    <col min="78" max="78" width="10.28515625" style="380" hidden="1" customWidth="1"/>
    <col min="79" max="79" width="10.7109375" style="372" hidden="1" customWidth="1"/>
    <col min="80" max="80" width="14.42578125" style="379" hidden="1" customWidth="1"/>
    <col min="81" max="81" width="10.28515625" style="380" hidden="1" customWidth="1"/>
    <col min="82" max="82" width="10.7109375" style="372" hidden="1" customWidth="1"/>
    <col min="83" max="83" width="14.42578125" style="379" hidden="1" customWidth="1"/>
    <col min="84" max="84" width="10.28515625" style="380" hidden="1" customWidth="1"/>
    <col min="85" max="85" width="10.7109375" style="372" hidden="1" customWidth="1"/>
    <col min="86" max="86" width="14.42578125" style="379" hidden="1" customWidth="1"/>
    <col min="87" max="87" width="10.28515625" style="380" hidden="1" customWidth="1"/>
    <col min="88" max="88" width="10.7109375" style="372" hidden="1" customWidth="1"/>
    <col min="89" max="89" width="14.42578125" style="379" hidden="1" customWidth="1"/>
    <col min="90" max="90" width="10.28515625" style="380" hidden="1" customWidth="1"/>
    <col min="91" max="91" width="10.7109375" style="372" hidden="1" customWidth="1"/>
    <col min="92" max="92" width="14.42578125" style="379" hidden="1" customWidth="1"/>
    <col min="93" max="93" width="10.28515625" style="380" hidden="1" customWidth="1"/>
    <col min="94" max="94" width="10.7109375" style="372" hidden="1" customWidth="1"/>
    <col min="95" max="95" width="14.42578125" style="379" hidden="1" customWidth="1"/>
    <col min="96" max="96" width="10.28515625" style="380" hidden="1" customWidth="1"/>
    <col min="97" max="97" width="10.7109375" style="372" hidden="1" customWidth="1"/>
    <col min="98" max="98" width="14.42578125" style="379" hidden="1" customWidth="1"/>
    <col min="99" max="99" width="10.28515625" style="380" hidden="1" customWidth="1"/>
    <col min="100" max="100" width="10.7109375" style="372" hidden="1" customWidth="1"/>
    <col min="101" max="101" width="14.42578125" style="379" hidden="1" customWidth="1"/>
    <col min="102" max="102" width="10.28515625" style="380" hidden="1" customWidth="1"/>
    <col min="103" max="103" width="10.7109375" style="372" hidden="1" customWidth="1"/>
    <col min="104" max="104" width="14.42578125" style="379" hidden="1" customWidth="1"/>
    <col min="105" max="105" width="10.28515625" style="380" hidden="1" customWidth="1"/>
    <col min="106" max="106" width="10.7109375" style="372" hidden="1" customWidth="1"/>
    <col min="107" max="107" width="14.42578125" style="379" hidden="1" customWidth="1"/>
    <col min="108" max="108" width="10.28515625" style="380" hidden="1" customWidth="1"/>
    <col min="109" max="109" width="10.7109375" style="372" hidden="1" customWidth="1"/>
    <col min="110" max="110" width="14.42578125" style="379" hidden="1" customWidth="1"/>
    <col min="111" max="111" width="10.28515625" style="380" hidden="1" customWidth="1"/>
    <col min="112" max="112" width="10.7109375" style="372" hidden="1" customWidth="1"/>
    <col min="113" max="113" width="14.42578125" style="379" hidden="1" customWidth="1"/>
    <col min="114" max="114" width="10.28515625" style="380" hidden="1" customWidth="1"/>
    <col min="115" max="115" width="10.7109375" style="372" hidden="1" customWidth="1"/>
    <col min="116" max="116" width="14.42578125" style="379" hidden="1" customWidth="1"/>
    <col min="117" max="117" width="10.28515625" style="380" hidden="1" customWidth="1"/>
    <col min="118" max="118" width="10.7109375" style="372" hidden="1" customWidth="1"/>
    <col min="119" max="119" width="14.42578125" style="379" hidden="1" customWidth="1"/>
    <col min="120" max="120" width="10.28515625" style="380" hidden="1" customWidth="1"/>
    <col min="121" max="121" width="10.7109375" style="372" hidden="1" customWidth="1"/>
    <col min="122" max="122" width="14.42578125" style="379" hidden="1" customWidth="1"/>
    <col min="123" max="123" width="10.28515625" style="380" hidden="1" customWidth="1"/>
    <col min="124" max="124" width="10.7109375" style="372" hidden="1" customWidth="1"/>
    <col min="125" max="125" width="14.42578125" style="379" hidden="1" customWidth="1"/>
    <col min="126" max="126" width="10.28515625" style="380" hidden="1" customWidth="1"/>
    <col min="127" max="127" width="10.7109375" style="372" hidden="1" customWidth="1"/>
    <col min="128" max="128" width="14.42578125" style="379" hidden="1" customWidth="1"/>
    <col min="129" max="129" width="10.28515625" style="380" hidden="1" customWidth="1"/>
    <col min="130" max="130" width="10.7109375" style="372" hidden="1" customWidth="1"/>
    <col min="131" max="131" width="2.7109375" style="372" customWidth="1"/>
    <col min="132" max="132" width="25.28515625" style="372" bestFit="1" customWidth="1"/>
    <col min="133" max="133" width="15.42578125" style="372" hidden="1" customWidth="1"/>
    <col min="134" max="134" width="15" style="372" bestFit="1" customWidth="1"/>
    <col min="135" max="135" width="17.85546875" style="372" bestFit="1" customWidth="1"/>
    <col min="136" max="136" width="2.7109375" style="372" customWidth="1"/>
    <col min="137" max="137" width="15.42578125" style="372" hidden="1" customWidth="1"/>
    <col min="138" max="138" width="14.42578125" style="372" hidden="1" customWidth="1"/>
    <col min="139" max="139" width="12.42578125" style="372" hidden="1" customWidth="1"/>
    <col min="140" max="140" width="2.7109375" style="372" hidden="1" customWidth="1"/>
    <col min="141" max="141" width="17.85546875" style="372" bestFit="1" customWidth="1"/>
    <col min="142" max="142" width="15.42578125" style="372" hidden="1" customWidth="1"/>
    <col min="143" max="143" width="15.5703125" style="372" bestFit="1" customWidth="1"/>
    <col min="144" max="144" width="18.5703125" style="372" bestFit="1" customWidth="1"/>
    <col min="145" max="145" width="43" style="372" bestFit="1" customWidth="1"/>
    <col min="146" max="146" width="21.7109375" style="372" bestFit="1" customWidth="1"/>
    <col min="147" max="147" width="22.140625" style="372" bestFit="1" customWidth="1"/>
    <col min="148" max="16384" width="9.140625" style="372"/>
  </cols>
  <sheetData>
    <row r="1" spans="1:147" s="196" customFormat="1">
      <c r="A1" s="195" t="s">
        <v>111</v>
      </c>
      <c r="B1" s="190"/>
      <c r="C1" s="362"/>
      <c r="E1" s="190"/>
      <c r="F1" s="362"/>
      <c r="H1" s="190"/>
      <c r="I1" s="362"/>
      <c r="K1" s="190"/>
      <c r="L1" s="362"/>
      <c r="N1" s="190"/>
      <c r="O1" s="362"/>
      <c r="Q1" s="190"/>
      <c r="R1" s="362"/>
      <c r="T1" s="190"/>
      <c r="U1" s="362"/>
      <c r="W1" s="190"/>
      <c r="X1" s="362"/>
      <c r="Z1" s="190"/>
      <c r="AA1" s="362"/>
      <c r="AC1" s="190"/>
      <c r="AD1" s="362"/>
      <c r="AF1" s="190"/>
      <c r="AG1" s="362"/>
      <c r="AI1" s="190"/>
      <c r="AJ1" s="362"/>
      <c r="AL1" s="190"/>
      <c r="AM1" s="362"/>
      <c r="AO1" s="190"/>
      <c r="AP1" s="362"/>
      <c r="AR1" s="190"/>
      <c r="AS1" s="362"/>
      <c r="AU1" s="190"/>
      <c r="AV1" s="362"/>
      <c r="AX1" s="190"/>
      <c r="AY1" s="362"/>
      <c r="BA1" s="190"/>
      <c r="BB1" s="362"/>
      <c r="BD1" s="190"/>
      <c r="BE1" s="362"/>
      <c r="BG1" s="190"/>
      <c r="BH1" s="362"/>
      <c r="BJ1" s="190"/>
      <c r="BK1" s="362"/>
      <c r="BM1" s="190"/>
      <c r="BN1" s="362"/>
      <c r="BP1" s="190"/>
      <c r="BQ1" s="362"/>
      <c r="BS1" s="190"/>
      <c r="BT1" s="362"/>
      <c r="BV1" s="190"/>
      <c r="BW1" s="362"/>
      <c r="BY1" s="190"/>
      <c r="BZ1" s="362"/>
      <c r="CB1" s="190"/>
      <c r="CC1" s="362"/>
      <c r="CE1" s="190"/>
      <c r="CF1" s="362"/>
      <c r="CH1" s="190"/>
      <c r="CI1" s="362"/>
      <c r="CK1" s="190"/>
      <c r="CL1" s="362"/>
      <c r="CN1" s="190"/>
      <c r="CO1" s="362"/>
      <c r="CQ1" s="190"/>
      <c r="CR1" s="362"/>
      <c r="CT1" s="190"/>
      <c r="CU1" s="362"/>
      <c r="CW1" s="190"/>
      <c r="CX1" s="362"/>
      <c r="CZ1" s="190"/>
      <c r="DA1" s="362"/>
      <c r="DC1" s="190"/>
      <c r="DD1" s="362"/>
      <c r="DF1" s="190"/>
      <c r="DG1" s="362"/>
      <c r="DI1" s="190"/>
      <c r="DJ1" s="362"/>
      <c r="DL1" s="190"/>
      <c r="DM1" s="362"/>
      <c r="DO1" s="190"/>
      <c r="DP1" s="362"/>
      <c r="DR1" s="190"/>
      <c r="DS1" s="362"/>
      <c r="DU1" s="190"/>
      <c r="DV1" s="362"/>
      <c r="DX1" s="190"/>
      <c r="DY1" s="362"/>
      <c r="DZ1" s="181"/>
      <c r="ED1" s="193"/>
      <c r="EE1" s="363" t="s">
        <v>118</v>
      </c>
      <c r="EI1" s="193" t="s">
        <v>59</v>
      </c>
      <c r="EM1" s="193"/>
      <c r="EN1" s="193" t="s">
        <v>120</v>
      </c>
      <c r="EO1" s="195" t="s">
        <v>121</v>
      </c>
      <c r="EP1" s="195" t="s">
        <v>122</v>
      </c>
      <c r="EQ1" s="195" t="s">
        <v>123</v>
      </c>
    </row>
    <row r="2" spans="1:147" s="196" customFormat="1" ht="13.5" thickBot="1">
      <c r="A2" s="195" t="s">
        <v>49</v>
      </c>
      <c r="B2" s="190"/>
      <c r="C2" s="362"/>
      <c r="F2" s="362"/>
      <c r="G2" s="388"/>
      <c r="H2" s="190"/>
      <c r="I2" s="362"/>
      <c r="K2" s="190"/>
      <c r="L2" s="362"/>
      <c r="N2" s="190"/>
      <c r="O2" s="362"/>
      <c r="Q2" s="190"/>
      <c r="R2" s="362"/>
      <c r="T2" s="190"/>
      <c r="U2" s="362"/>
      <c r="W2" s="190"/>
      <c r="X2" s="362"/>
      <c r="Z2" s="190"/>
      <c r="AA2" s="362"/>
      <c r="AC2" s="190"/>
      <c r="AD2" s="362"/>
      <c r="AF2" s="190"/>
      <c r="AG2" s="362"/>
      <c r="AI2" s="190"/>
      <c r="AJ2" s="362"/>
      <c r="AL2" s="190"/>
      <c r="AM2" s="362"/>
      <c r="AO2" s="190"/>
      <c r="AP2" s="362"/>
      <c r="AR2" s="190"/>
      <c r="AS2" s="362"/>
      <c r="AU2" s="190"/>
      <c r="AV2" s="362"/>
      <c r="AX2" s="190"/>
      <c r="AY2" s="362"/>
      <c r="BA2" s="190"/>
      <c r="BB2" s="362"/>
      <c r="BD2" s="190"/>
      <c r="BE2" s="362"/>
      <c r="BG2" s="190"/>
      <c r="BH2" s="362"/>
      <c r="BJ2" s="190"/>
      <c r="BK2" s="362"/>
      <c r="BM2" s="190"/>
      <c r="BN2" s="362"/>
      <c r="BP2" s="190"/>
      <c r="BQ2" s="362"/>
      <c r="BS2" s="190"/>
      <c r="BT2" s="362"/>
      <c r="BV2" s="190"/>
      <c r="BW2" s="362"/>
      <c r="BY2" s="190"/>
      <c r="BZ2" s="362"/>
      <c r="CB2" s="190"/>
      <c r="CC2" s="362"/>
      <c r="CE2" s="190"/>
      <c r="CF2" s="362"/>
      <c r="CH2" s="190"/>
      <c r="CI2" s="362"/>
      <c r="CK2" s="190"/>
      <c r="CL2" s="362"/>
      <c r="CN2" s="190"/>
      <c r="CO2" s="362"/>
      <c r="CQ2" s="190"/>
      <c r="CR2" s="362"/>
      <c r="CT2" s="190"/>
      <c r="CU2" s="362"/>
      <c r="CW2" s="190"/>
      <c r="CX2" s="362"/>
      <c r="CZ2" s="190"/>
      <c r="DA2" s="362"/>
      <c r="DC2" s="190"/>
      <c r="DD2" s="362"/>
      <c r="DF2" s="190"/>
      <c r="DG2" s="362"/>
      <c r="DI2" s="190"/>
      <c r="DJ2" s="362"/>
      <c r="DL2" s="190"/>
      <c r="DM2" s="362"/>
      <c r="DO2" s="190"/>
      <c r="DP2" s="362"/>
      <c r="DR2" s="190"/>
      <c r="DS2" s="362"/>
      <c r="DU2" s="190"/>
      <c r="DV2" s="362"/>
      <c r="DX2" s="190"/>
      <c r="DY2" s="362"/>
      <c r="EB2" s="387" t="s">
        <v>51</v>
      </c>
      <c r="EC2" s="387"/>
      <c r="ED2" s="366"/>
      <c r="EE2" s="366">
        <f>EB41</f>
        <v>546014791.98000002</v>
      </c>
      <c r="EI2" s="366">
        <f>EG40</f>
        <v>0</v>
      </c>
      <c r="EM2" s="366"/>
      <c r="EN2" s="366">
        <f>EK41</f>
        <v>496475000</v>
      </c>
      <c r="EO2" s="190">
        <v>-195685</v>
      </c>
      <c r="EP2" s="190">
        <f>EN2+EO2</f>
        <v>496279315</v>
      </c>
      <c r="EQ2" s="190">
        <f>EE2+EO2</f>
        <v>545819106.98000002</v>
      </c>
    </row>
    <row r="3" spans="1:147" ht="13.5" thickTop="1">
      <c r="A3" s="364" t="s">
        <v>119</v>
      </c>
      <c r="E3" s="182" t="s">
        <v>50</v>
      </c>
      <c r="F3" s="385"/>
      <c r="G3" s="386"/>
      <c r="EB3" s="387" t="s">
        <v>52</v>
      </c>
      <c r="EC3" s="387"/>
      <c r="ED3" s="366"/>
      <c r="EE3" s="366">
        <f>AVERAGE(EB11:EB41)</f>
        <v>547133393.64354837</v>
      </c>
      <c r="EI3" s="366">
        <f>AVERAGE(EG11:EG40)</f>
        <v>0</v>
      </c>
      <c r="EM3" s="366"/>
      <c r="EN3" s="366">
        <f>AVERAGE(EK11:EK41)</f>
        <v>498559677.41935486</v>
      </c>
    </row>
    <row r="4" spans="1:147">
      <c r="D4" s="387"/>
      <c r="E4" s="365" t="s">
        <v>51</v>
      </c>
      <c r="F4" s="366"/>
      <c r="G4" s="367">
        <f>EQ2</f>
        <v>545819106.98000002</v>
      </c>
      <c r="AI4" s="195" t="s">
        <v>198</v>
      </c>
      <c r="EB4" s="387" t="s">
        <v>53</v>
      </c>
      <c r="EC4" s="387"/>
      <c r="ED4" s="384"/>
      <c r="EE4" s="384">
        <f>IF(EE3=0,0,360*(AVERAGE(ED11:ED41)/EE3))</f>
        <v>2.347168902846854E-2</v>
      </c>
      <c r="EI4" s="384">
        <f>IF(EI3=0,0,360*(AVERAGE(EH11:EH40)/EI3))</f>
        <v>0</v>
      </c>
      <c r="EM4" s="384"/>
      <c r="EN4" s="384">
        <f>IF(EN3=0,0,360*(AVERAGE(EM11:EM41)/EN3))</f>
        <v>2.3853508655578805E-2</v>
      </c>
      <c r="EO4" s="196" t="s">
        <v>199</v>
      </c>
      <c r="EQ4" s="193"/>
    </row>
    <row r="5" spans="1:147">
      <c r="D5" s="387"/>
      <c r="E5" s="365" t="s">
        <v>52</v>
      </c>
      <c r="F5" s="366"/>
      <c r="G5" s="367">
        <f>EE3</f>
        <v>547133393.64354837</v>
      </c>
      <c r="AI5" s="388" t="s">
        <v>120</v>
      </c>
      <c r="EB5" s="389" t="s">
        <v>57</v>
      </c>
      <c r="EC5" s="389"/>
      <c r="ED5" s="366"/>
      <c r="EE5" s="366">
        <f>MAX(EB11:EB41)</f>
        <v>549928156.43000007</v>
      </c>
      <c r="EI5" s="366">
        <f>MAX(EG11:EG40)</f>
        <v>0</v>
      </c>
      <c r="EM5" s="366"/>
      <c r="EN5" s="366">
        <f>MAX(EK11:EK41)</f>
        <v>525700000</v>
      </c>
    </row>
    <row r="6" spans="1:147">
      <c r="D6" s="387"/>
      <c r="E6" s="365" t="s">
        <v>53</v>
      </c>
      <c r="F6" s="366"/>
      <c r="G6" s="368">
        <f>EE4</f>
        <v>2.347168902846854E-2</v>
      </c>
    </row>
    <row r="7" spans="1:147" ht="13.5" thickBot="1">
      <c r="D7" s="387"/>
      <c r="E7" s="369" t="s">
        <v>57</v>
      </c>
      <c r="F7" s="370"/>
      <c r="G7" s="371">
        <f>EE5</f>
        <v>549928156.43000007</v>
      </c>
      <c r="AI7" s="388" t="s">
        <v>120</v>
      </c>
      <c r="EB7" s="183" t="s">
        <v>54</v>
      </c>
      <c r="EC7" s="183"/>
      <c r="ED7" s="375"/>
      <c r="EE7" s="375"/>
      <c r="EG7" s="183" t="s">
        <v>55</v>
      </c>
      <c r="EH7" s="375"/>
      <c r="EI7" s="375"/>
      <c r="EJ7" s="376"/>
      <c r="EK7" s="183" t="s">
        <v>56</v>
      </c>
      <c r="EL7" s="183"/>
      <c r="EM7" s="375"/>
      <c r="EN7" s="375"/>
    </row>
    <row r="8" spans="1:147" ht="13.5" thickTop="1">
      <c r="AI8" s="192" t="s">
        <v>112</v>
      </c>
      <c r="AL8" s="192" t="s">
        <v>112</v>
      </c>
      <c r="AO8" s="192" t="s">
        <v>112</v>
      </c>
      <c r="AR8" s="192" t="s">
        <v>112</v>
      </c>
      <c r="AU8" s="192" t="s">
        <v>112</v>
      </c>
      <c r="AX8" s="192" t="s">
        <v>112</v>
      </c>
      <c r="BA8" s="192" t="s">
        <v>112</v>
      </c>
      <c r="BD8" s="192" t="s">
        <v>112</v>
      </c>
      <c r="BG8" s="192" t="s">
        <v>112</v>
      </c>
      <c r="BJ8" s="192" t="s">
        <v>112</v>
      </c>
      <c r="BM8" s="192" t="s">
        <v>112</v>
      </c>
      <c r="BP8" s="192" t="s">
        <v>112</v>
      </c>
      <c r="BS8" s="192" t="s">
        <v>112</v>
      </c>
      <c r="BV8" s="192" t="s">
        <v>112</v>
      </c>
      <c r="BY8" s="192" t="s">
        <v>112</v>
      </c>
      <c r="CB8" s="192" t="s">
        <v>112</v>
      </c>
      <c r="CE8" s="192" t="s">
        <v>112</v>
      </c>
      <c r="CH8" s="192" t="s">
        <v>112</v>
      </c>
      <c r="CK8" s="192" t="s">
        <v>112</v>
      </c>
      <c r="CN8" s="192" t="s">
        <v>112</v>
      </c>
      <c r="CQ8" s="192" t="s">
        <v>112</v>
      </c>
      <c r="CT8" s="192" t="s">
        <v>112</v>
      </c>
      <c r="CW8" s="192" t="s">
        <v>112</v>
      </c>
      <c r="CZ8" s="192" t="s">
        <v>112</v>
      </c>
      <c r="DC8" s="192" t="s">
        <v>112</v>
      </c>
      <c r="DF8" s="192" t="s">
        <v>112</v>
      </c>
      <c r="DI8" s="192" t="s">
        <v>112</v>
      </c>
      <c r="DL8" s="192" t="s">
        <v>112</v>
      </c>
      <c r="DO8" s="192" t="s">
        <v>112</v>
      </c>
      <c r="DR8" s="192" t="s">
        <v>112</v>
      </c>
      <c r="EB8" s="377"/>
      <c r="EC8" s="377"/>
      <c r="ED8" s="377"/>
      <c r="EE8" s="377" t="s">
        <v>58</v>
      </c>
      <c r="EG8" s="377"/>
      <c r="EH8" s="184" t="s">
        <v>59</v>
      </c>
      <c r="EI8" s="377" t="s">
        <v>58</v>
      </c>
      <c r="EJ8" s="377"/>
      <c r="EK8" s="193" t="s">
        <v>113</v>
      </c>
      <c r="EL8" s="193" t="s">
        <v>114</v>
      </c>
      <c r="EM8" s="184" t="s">
        <v>60</v>
      </c>
      <c r="EN8" s="377" t="s">
        <v>58</v>
      </c>
    </row>
    <row r="9" spans="1:147">
      <c r="B9" s="373" t="s">
        <v>61</v>
      </c>
      <c r="C9" s="374"/>
      <c r="D9" s="375"/>
      <c r="E9" s="373" t="s">
        <v>62</v>
      </c>
      <c r="F9" s="374"/>
      <c r="G9" s="375"/>
      <c r="H9" s="373" t="s">
        <v>63</v>
      </c>
      <c r="I9" s="374"/>
      <c r="J9" s="375"/>
      <c r="K9" s="373" t="s">
        <v>64</v>
      </c>
      <c r="L9" s="374"/>
      <c r="M9" s="375"/>
      <c r="N9" s="373" t="s">
        <v>65</v>
      </c>
      <c r="O9" s="374"/>
      <c r="P9" s="375"/>
      <c r="Q9" s="373" t="s">
        <v>66</v>
      </c>
      <c r="R9" s="374"/>
      <c r="S9" s="375"/>
      <c r="T9" s="373" t="s">
        <v>67</v>
      </c>
      <c r="U9" s="374"/>
      <c r="V9" s="375"/>
      <c r="W9" s="373" t="s">
        <v>68</v>
      </c>
      <c r="X9" s="374"/>
      <c r="Y9" s="375"/>
      <c r="Z9" s="373" t="s">
        <v>69</v>
      </c>
      <c r="AA9" s="374"/>
      <c r="AB9" s="375"/>
      <c r="AC9" s="185" t="s">
        <v>70</v>
      </c>
      <c r="AD9" s="374"/>
      <c r="AE9" s="375"/>
      <c r="AF9" s="185" t="s">
        <v>71</v>
      </c>
      <c r="AG9" s="374"/>
      <c r="AH9" s="375"/>
      <c r="AI9" s="373" t="s">
        <v>72</v>
      </c>
      <c r="AJ9" s="374"/>
      <c r="AK9" s="375"/>
      <c r="AL9" s="373" t="s">
        <v>73</v>
      </c>
      <c r="AM9" s="374"/>
      <c r="AN9" s="375"/>
      <c r="AO9" s="373" t="s">
        <v>74</v>
      </c>
      <c r="AP9" s="374"/>
      <c r="AQ9" s="375"/>
      <c r="AR9" s="373" t="s">
        <v>75</v>
      </c>
      <c r="AS9" s="374"/>
      <c r="AT9" s="375"/>
      <c r="AU9" s="373" t="s">
        <v>76</v>
      </c>
      <c r="AV9" s="374"/>
      <c r="AW9" s="375"/>
      <c r="AX9" s="373" t="s">
        <v>77</v>
      </c>
      <c r="AY9" s="374"/>
      <c r="AZ9" s="375"/>
      <c r="BA9" s="373" t="s">
        <v>78</v>
      </c>
      <c r="BB9" s="374"/>
      <c r="BC9" s="375"/>
      <c r="BD9" s="373" t="s">
        <v>79</v>
      </c>
      <c r="BE9" s="374"/>
      <c r="BF9" s="375"/>
      <c r="BG9" s="373" t="s">
        <v>80</v>
      </c>
      <c r="BH9" s="374"/>
      <c r="BI9" s="375"/>
      <c r="BJ9" s="373" t="s">
        <v>81</v>
      </c>
      <c r="BK9" s="374"/>
      <c r="BL9" s="375"/>
      <c r="BM9" s="373" t="s">
        <v>82</v>
      </c>
      <c r="BN9" s="374"/>
      <c r="BO9" s="375"/>
      <c r="BP9" s="373" t="s">
        <v>83</v>
      </c>
      <c r="BQ9" s="374"/>
      <c r="BR9" s="375"/>
      <c r="BS9" s="373" t="s">
        <v>84</v>
      </c>
      <c r="BT9" s="374"/>
      <c r="BU9" s="375"/>
      <c r="BV9" s="373" t="s">
        <v>85</v>
      </c>
      <c r="BW9" s="374"/>
      <c r="BX9" s="375"/>
      <c r="BY9" s="373" t="s">
        <v>86</v>
      </c>
      <c r="BZ9" s="374"/>
      <c r="CA9" s="375"/>
      <c r="CB9" s="373" t="s">
        <v>87</v>
      </c>
      <c r="CC9" s="374"/>
      <c r="CD9" s="375"/>
      <c r="CE9" s="373" t="s">
        <v>88</v>
      </c>
      <c r="CF9" s="374"/>
      <c r="CG9" s="375"/>
      <c r="CH9" s="373" t="s">
        <v>89</v>
      </c>
      <c r="CI9" s="374"/>
      <c r="CJ9" s="375"/>
      <c r="CK9" s="373" t="s">
        <v>90</v>
      </c>
      <c r="CL9" s="374"/>
      <c r="CM9" s="375"/>
      <c r="CN9" s="373" t="s">
        <v>91</v>
      </c>
      <c r="CO9" s="374"/>
      <c r="CP9" s="375"/>
      <c r="CQ9" s="373" t="s">
        <v>92</v>
      </c>
      <c r="CR9" s="374"/>
      <c r="CS9" s="375"/>
      <c r="CT9" s="373" t="s">
        <v>93</v>
      </c>
      <c r="CU9" s="374"/>
      <c r="CV9" s="375"/>
      <c r="CW9" s="373" t="s">
        <v>94</v>
      </c>
      <c r="CX9" s="374"/>
      <c r="CY9" s="375"/>
      <c r="CZ9" s="373" t="s">
        <v>95</v>
      </c>
      <c r="DA9" s="374"/>
      <c r="DB9" s="375"/>
      <c r="DC9" s="373" t="s">
        <v>96</v>
      </c>
      <c r="DD9" s="374"/>
      <c r="DE9" s="375"/>
      <c r="DF9" s="373" t="s">
        <v>97</v>
      </c>
      <c r="DG9" s="374"/>
      <c r="DH9" s="375"/>
      <c r="DI9" s="373" t="s">
        <v>98</v>
      </c>
      <c r="DJ9" s="374"/>
      <c r="DK9" s="375"/>
      <c r="DL9" s="373" t="s">
        <v>99</v>
      </c>
      <c r="DM9" s="374"/>
      <c r="DN9" s="375"/>
      <c r="DO9" s="373" t="s">
        <v>100</v>
      </c>
      <c r="DP9" s="374"/>
      <c r="DQ9" s="375"/>
      <c r="DR9" s="373" t="s">
        <v>101</v>
      </c>
      <c r="DS9" s="374"/>
      <c r="DT9" s="375"/>
      <c r="DU9" s="373" t="s">
        <v>102</v>
      </c>
      <c r="DV9" s="374"/>
      <c r="DW9" s="375"/>
      <c r="DX9" s="194" t="s">
        <v>115</v>
      </c>
      <c r="DY9" s="374"/>
      <c r="DZ9" s="375"/>
      <c r="EA9" s="376"/>
      <c r="EB9" s="193" t="s">
        <v>116</v>
      </c>
      <c r="EC9" s="193" t="s">
        <v>117</v>
      </c>
      <c r="ED9" s="377" t="s">
        <v>103</v>
      </c>
      <c r="EE9" s="377" t="s">
        <v>104</v>
      </c>
      <c r="EG9" s="184" t="s">
        <v>105</v>
      </c>
      <c r="EH9" s="377" t="s">
        <v>103</v>
      </c>
      <c r="EI9" s="377" t="s">
        <v>104</v>
      </c>
      <c r="EJ9" s="377"/>
      <c r="EK9" s="184" t="s">
        <v>60</v>
      </c>
      <c r="EL9" s="184" t="s">
        <v>60</v>
      </c>
      <c r="EM9" s="377" t="s">
        <v>103</v>
      </c>
      <c r="EN9" s="377" t="s">
        <v>104</v>
      </c>
    </row>
    <row r="10" spans="1:147">
      <c r="A10" s="377" t="s">
        <v>106</v>
      </c>
      <c r="B10" s="186" t="s">
        <v>107</v>
      </c>
      <c r="C10" s="187" t="s">
        <v>108</v>
      </c>
      <c r="D10" s="188" t="s">
        <v>109</v>
      </c>
      <c r="E10" s="186" t="s">
        <v>107</v>
      </c>
      <c r="F10" s="187" t="s">
        <v>108</v>
      </c>
      <c r="G10" s="188" t="s">
        <v>109</v>
      </c>
      <c r="H10" s="186" t="s">
        <v>107</v>
      </c>
      <c r="I10" s="187" t="s">
        <v>108</v>
      </c>
      <c r="J10" s="188" t="s">
        <v>109</v>
      </c>
      <c r="K10" s="186" t="s">
        <v>107</v>
      </c>
      <c r="L10" s="187" t="s">
        <v>108</v>
      </c>
      <c r="M10" s="188" t="s">
        <v>109</v>
      </c>
      <c r="N10" s="186" t="s">
        <v>107</v>
      </c>
      <c r="O10" s="187" t="s">
        <v>108</v>
      </c>
      <c r="P10" s="188" t="s">
        <v>109</v>
      </c>
      <c r="Q10" s="186" t="s">
        <v>107</v>
      </c>
      <c r="R10" s="187" t="s">
        <v>108</v>
      </c>
      <c r="S10" s="188" t="s">
        <v>109</v>
      </c>
      <c r="T10" s="186" t="s">
        <v>107</v>
      </c>
      <c r="U10" s="187" t="s">
        <v>108</v>
      </c>
      <c r="V10" s="188" t="s">
        <v>109</v>
      </c>
      <c r="W10" s="186" t="s">
        <v>107</v>
      </c>
      <c r="X10" s="187" t="s">
        <v>108</v>
      </c>
      <c r="Y10" s="188" t="s">
        <v>109</v>
      </c>
      <c r="Z10" s="186" t="s">
        <v>107</v>
      </c>
      <c r="AA10" s="187" t="s">
        <v>108</v>
      </c>
      <c r="AB10" s="188" t="s">
        <v>109</v>
      </c>
      <c r="AC10" s="186" t="s">
        <v>107</v>
      </c>
      <c r="AD10" s="187" t="s">
        <v>108</v>
      </c>
      <c r="AE10" s="188" t="s">
        <v>109</v>
      </c>
      <c r="AF10" s="186" t="s">
        <v>107</v>
      </c>
      <c r="AG10" s="187" t="s">
        <v>108</v>
      </c>
      <c r="AH10" s="188" t="s">
        <v>109</v>
      </c>
      <c r="AI10" s="186" t="s">
        <v>107</v>
      </c>
      <c r="AJ10" s="187" t="s">
        <v>108</v>
      </c>
      <c r="AK10" s="188" t="s">
        <v>109</v>
      </c>
      <c r="AL10" s="186" t="s">
        <v>107</v>
      </c>
      <c r="AM10" s="187" t="s">
        <v>108</v>
      </c>
      <c r="AN10" s="188" t="s">
        <v>109</v>
      </c>
      <c r="AO10" s="186" t="s">
        <v>107</v>
      </c>
      <c r="AP10" s="187" t="s">
        <v>108</v>
      </c>
      <c r="AQ10" s="188" t="s">
        <v>109</v>
      </c>
      <c r="AR10" s="186" t="s">
        <v>107</v>
      </c>
      <c r="AS10" s="187" t="s">
        <v>108</v>
      </c>
      <c r="AT10" s="188" t="s">
        <v>109</v>
      </c>
      <c r="AU10" s="186" t="s">
        <v>107</v>
      </c>
      <c r="AV10" s="187" t="s">
        <v>108</v>
      </c>
      <c r="AW10" s="188" t="s">
        <v>109</v>
      </c>
      <c r="AX10" s="186" t="s">
        <v>107</v>
      </c>
      <c r="AY10" s="187" t="s">
        <v>108</v>
      </c>
      <c r="AZ10" s="188" t="s">
        <v>109</v>
      </c>
      <c r="BA10" s="186" t="s">
        <v>107</v>
      </c>
      <c r="BB10" s="187" t="s">
        <v>108</v>
      </c>
      <c r="BC10" s="188" t="s">
        <v>109</v>
      </c>
      <c r="BD10" s="186" t="s">
        <v>107</v>
      </c>
      <c r="BE10" s="187" t="s">
        <v>108</v>
      </c>
      <c r="BF10" s="188" t="s">
        <v>109</v>
      </c>
      <c r="BG10" s="186" t="s">
        <v>107</v>
      </c>
      <c r="BH10" s="187" t="s">
        <v>108</v>
      </c>
      <c r="BI10" s="188" t="s">
        <v>109</v>
      </c>
      <c r="BJ10" s="186" t="s">
        <v>107</v>
      </c>
      <c r="BK10" s="187" t="s">
        <v>108</v>
      </c>
      <c r="BL10" s="188" t="s">
        <v>109</v>
      </c>
      <c r="BM10" s="186" t="s">
        <v>107</v>
      </c>
      <c r="BN10" s="187" t="s">
        <v>108</v>
      </c>
      <c r="BO10" s="188" t="s">
        <v>109</v>
      </c>
      <c r="BP10" s="186" t="s">
        <v>107</v>
      </c>
      <c r="BQ10" s="187" t="s">
        <v>108</v>
      </c>
      <c r="BR10" s="188" t="s">
        <v>109</v>
      </c>
      <c r="BS10" s="186" t="s">
        <v>107</v>
      </c>
      <c r="BT10" s="187" t="s">
        <v>108</v>
      </c>
      <c r="BU10" s="188" t="s">
        <v>109</v>
      </c>
      <c r="BV10" s="186" t="s">
        <v>107</v>
      </c>
      <c r="BW10" s="187" t="s">
        <v>108</v>
      </c>
      <c r="BX10" s="188" t="s">
        <v>109</v>
      </c>
      <c r="BY10" s="186" t="s">
        <v>107</v>
      </c>
      <c r="BZ10" s="187" t="s">
        <v>108</v>
      </c>
      <c r="CA10" s="188" t="s">
        <v>109</v>
      </c>
      <c r="CB10" s="186" t="s">
        <v>107</v>
      </c>
      <c r="CC10" s="187" t="s">
        <v>108</v>
      </c>
      <c r="CD10" s="188" t="s">
        <v>109</v>
      </c>
      <c r="CE10" s="186" t="s">
        <v>107</v>
      </c>
      <c r="CF10" s="187" t="s">
        <v>108</v>
      </c>
      <c r="CG10" s="188" t="s">
        <v>109</v>
      </c>
      <c r="CH10" s="186" t="s">
        <v>107</v>
      </c>
      <c r="CI10" s="187" t="s">
        <v>108</v>
      </c>
      <c r="CJ10" s="188" t="s">
        <v>109</v>
      </c>
      <c r="CK10" s="186" t="s">
        <v>107</v>
      </c>
      <c r="CL10" s="187" t="s">
        <v>108</v>
      </c>
      <c r="CM10" s="188" t="s">
        <v>109</v>
      </c>
      <c r="CN10" s="186" t="s">
        <v>107</v>
      </c>
      <c r="CO10" s="187" t="s">
        <v>108</v>
      </c>
      <c r="CP10" s="188" t="s">
        <v>109</v>
      </c>
      <c r="CQ10" s="186" t="s">
        <v>107</v>
      </c>
      <c r="CR10" s="187" t="s">
        <v>108</v>
      </c>
      <c r="CS10" s="188" t="s">
        <v>109</v>
      </c>
      <c r="CT10" s="186" t="s">
        <v>107</v>
      </c>
      <c r="CU10" s="187" t="s">
        <v>108</v>
      </c>
      <c r="CV10" s="188" t="s">
        <v>109</v>
      </c>
      <c r="CW10" s="186" t="s">
        <v>107</v>
      </c>
      <c r="CX10" s="187" t="s">
        <v>108</v>
      </c>
      <c r="CY10" s="188" t="s">
        <v>109</v>
      </c>
      <c r="CZ10" s="186" t="s">
        <v>107</v>
      </c>
      <c r="DA10" s="187" t="s">
        <v>108</v>
      </c>
      <c r="DB10" s="188" t="s">
        <v>109</v>
      </c>
      <c r="DC10" s="186" t="s">
        <v>107</v>
      </c>
      <c r="DD10" s="187" t="s">
        <v>108</v>
      </c>
      <c r="DE10" s="188" t="s">
        <v>109</v>
      </c>
      <c r="DF10" s="186" t="s">
        <v>107</v>
      </c>
      <c r="DG10" s="187" t="s">
        <v>108</v>
      </c>
      <c r="DH10" s="188" t="s">
        <v>109</v>
      </c>
      <c r="DI10" s="186" t="s">
        <v>107</v>
      </c>
      <c r="DJ10" s="187" t="s">
        <v>108</v>
      </c>
      <c r="DK10" s="188" t="s">
        <v>109</v>
      </c>
      <c r="DL10" s="186" t="s">
        <v>107</v>
      </c>
      <c r="DM10" s="187" t="s">
        <v>108</v>
      </c>
      <c r="DN10" s="188" t="s">
        <v>109</v>
      </c>
      <c r="DO10" s="186" t="s">
        <v>107</v>
      </c>
      <c r="DP10" s="187" t="s">
        <v>108</v>
      </c>
      <c r="DQ10" s="188" t="s">
        <v>109</v>
      </c>
      <c r="DR10" s="186" t="s">
        <v>107</v>
      </c>
      <c r="DS10" s="187" t="s">
        <v>108</v>
      </c>
      <c r="DT10" s="188" t="s">
        <v>109</v>
      </c>
      <c r="DU10" s="186" t="s">
        <v>107</v>
      </c>
      <c r="DV10" s="187" t="s">
        <v>108</v>
      </c>
      <c r="DW10" s="188" t="s">
        <v>109</v>
      </c>
      <c r="DX10" s="186" t="s">
        <v>107</v>
      </c>
      <c r="DY10" s="187"/>
      <c r="DZ10" s="188"/>
      <c r="EA10" s="188"/>
      <c r="EB10" s="188" t="s">
        <v>110</v>
      </c>
      <c r="EC10" s="188" t="s">
        <v>110</v>
      </c>
      <c r="ED10" s="188" t="s">
        <v>109</v>
      </c>
      <c r="EE10" s="189" t="s">
        <v>108</v>
      </c>
      <c r="EG10" s="188" t="s">
        <v>110</v>
      </c>
      <c r="EH10" s="188" t="s">
        <v>109</v>
      </c>
      <c r="EI10" s="189" t="s">
        <v>108</v>
      </c>
      <c r="EJ10" s="189"/>
      <c r="EK10" s="188" t="s">
        <v>110</v>
      </c>
      <c r="EL10" s="188" t="s">
        <v>110</v>
      </c>
      <c r="EM10" s="188" t="s">
        <v>109</v>
      </c>
      <c r="EN10" s="189" t="s">
        <v>108</v>
      </c>
    </row>
    <row r="11" spans="1:147">
      <c r="A11" s="378">
        <v>43282</v>
      </c>
      <c r="D11" s="379">
        <f>(B11*C11)/360</f>
        <v>0</v>
      </c>
      <c r="E11" s="379">
        <v>41270445.960000001</v>
      </c>
      <c r="F11" s="380">
        <v>0.02</v>
      </c>
      <c r="G11" s="379">
        <f>(E11*F11)/360</f>
        <v>2292.8025533333334</v>
      </c>
      <c r="J11" s="379">
        <f>(H11*I11)/360</f>
        <v>0</v>
      </c>
      <c r="M11" s="379">
        <f>(K11*L11)/360</f>
        <v>0</v>
      </c>
      <c r="P11" s="379">
        <f>(N11*O11)/360</f>
        <v>0</v>
      </c>
      <c r="S11" s="379">
        <f>(Q11*R11)/360</f>
        <v>0</v>
      </c>
      <c r="V11" s="379">
        <f>(T11*U11)/360</f>
        <v>0</v>
      </c>
      <c r="Y11" s="379">
        <f>(W11*X11)/360</f>
        <v>0</v>
      </c>
      <c r="AB11" s="379">
        <f>(Z11*AA11)/360</f>
        <v>0</v>
      </c>
      <c r="AE11" s="379">
        <v>0</v>
      </c>
      <c r="AH11" s="379">
        <v>0</v>
      </c>
      <c r="AI11" s="381">
        <f>50000000+50000000+50000000+25225000</f>
        <v>175225000</v>
      </c>
      <c r="AJ11" s="382">
        <v>2.3E-2</v>
      </c>
      <c r="AK11" s="379">
        <f>(AI11*AJ11)/360</f>
        <v>11194.930555555555</v>
      </c>
      <c r="AL11" s="381">
        <f>24900000+35000000+31000000+38400000+10000000+49000000+32200000+60000000</f>
        <v>280500000</v>
      </c>
      <c r="AM11" s="382">
        <v>2.3199999999999998E-2</v>
      </c>
      <c r="AN11" s="379">
        <f>(AL11*AM11)/360</f>
        <v>18076.666666666668</v>
      </c>
      <c r="AO11" s="381">
        <f t="shared" ref="AO11:AO33" si="0">50000000</f>
        <v>50000000</v>
      </c>
      <c r="AP11" s="382">
        <v>2.4E-2</v>
      </c>
      <c r="AQ11" s="379">
        <f>(AO11*AP11)/360</f>
        <v>3333.3333333333335</v>
      </c>
      <c r="AR11" s="381"/>
      <c r="AS11" s="382"/>
      <c r="AT11" s="379">
        <f>(AR11*AS11)/360</f>
        <v>0</v>
      </c>
      <c r="AU11" s="381"/>
      <c r="AV11" s="382"/>
      <c r="AW11" s="379">
        <f>(AU11*AV11)/360</f>
        <v>0</v>
      </c>
      <c r="AZ11" s="379">
        <f>(AX11*AY11)/360</f>
        <v>0</v>
      </c>
      <c r="BC11" s="379">
        <f>(BA11*BB11)/360</f>
        <v>0</v>
      </c>
      <c r="BF11" s="379">
        <f>(BD11*BE11)/360</f>
        <v>0</v>
      </c>
      <c r="BI11" s="379">
        <f>(BG11*BH11)/360</f>
        <v>0</v>
      </c>
      <c r="BL11" s="379">
        <f>(BJ11*BK11)/360</f>
        <v>0</v>
      </c>
      <c r="BO11" s="379">
        <f>(BM11*BN11)/360</f>
        <v>0</v>
      </c>
      <c r="BR11" s="379">
        <f>(BP11*BQ11)/360</f>
        <v>0</v>
      </c>
      <c r="BU11" s="379">
        <f>(BS11*BT11)/360</f>
        <v>0</v>
      </c>
      <c r="BX11" s="379">
        <f>(BV11*BW11)/360</f>
        <v>0</v>
      </c>
      <c r="CA11" s="379">
        <f>(BY11*BZ11)/360</f>
        <v>0</v>
      </c>
      <c r="CD11" s="379">
        <f>(CB11*CC11)/360</f>
        <v>0</v>
      </c>
      <c r="CG11" s="379">
        <f>(CE11*CF11)/360</f>
        <v>0</v>
      </c>
      <c r="CJ11" s="379">
        <f>(CH11*CI11)/360</f>
        <v>0</v>
      </c>
      <c r="CM11" s="379">
        <f>(CK11*CL11)/360</f>
        <v>0</v>
      </c>
      <c r="CP11" s="379">
        <f>(CN11*CO11)/360</f>
        <v>0</v>
      </c>
      <c r="CS11" s="379">
        <f>(CQ11*CR11)/360</f>
        <v>0</v>
      </c>
      <c r="CV11" s="379">
        <f>(CT11*CU11)/360</f>
        <v>0</v>
      </c>
      <c r="CY11" s="379">
        <f>(CW11*CX11)/360</f>
        <v>0</v>
      </c>
      <c r="DB11" s="379">
        <f>(CZ11*DA11)/360</f>
        <v>0</v>
      </c>
      <c r="DE11" s="379">
        <f>(DC11*DD11)/360</f>
        <v>0</v>
      </c>
      <c r="DH11" s="379">
        <f>(DF11*DG11)/360</f>
        <v>0</v>
      </c>
      <c r="DK11" s="379">
        <f>(DI11*DJ11)/360</f>
        <v>0</v>
      </c>
      <c r="DN11" s="379">
        <f>(DL11*DM11)/360</f>
        <v>0</v>
      </c>
      <c r="DQ11" s="379">
        <f>(DO11*DP11)/360</f>
        <v>0</v>
      </c>
      <c r="DT11" s="379">
        <f>(DR11*DS11)/360</f>
        <v>0</v>
      </c>
      <c r="DW11" s="379">
        <f>(DU11*DV11)/360</f>
        <v>0</v>
      </c>
      <c r="DY11" s="384"/>
      <c r="DZ11" s="366"/>
      <c r="EA11" s="379"/>
      <c r="EB11" s="190">
        <f>B11+E11+H11+K11+N11+Q11+T11+W11+Z11+AC11+AF11+AL11+AO11+AR11+AU11+AX11+BA11+BD11+BG11+DU11+AI11+DR11+DO11+DL11+DI11+DF11+DC11+CZ11+CW11+CT11+CQ11+CN11+CK11+CH11+CE11+CB11+BY11+BV11+BS11+BP11+BM11+BJ11</f>
        <v>546995445.96000004</v>
      </c>
      <c r="EC11" s="190">
        <f>EB11-EK11+EL11</f>
        <v>41270445.960000038</v>
      </c>
      <c r="ED11" s="379">
        <f>D11+G11+J11+M11+P11+S11+V11+Y11+AB11+AE11+AH11+AK11+AN11+AQ11+AT11+AW11+AZ11+BC11+BF11+BI11+DW11+DT11+DQ11+DN11+DK11+DH11+DE11+DB11+CY11+CV11+CS11+CP11+CM11+CJ11+CG11+CD11+CA11+BX11+BU11+BR11+BO11+BL11</f>
        <v>34897.73310888889</v>
      </c>
      <c r="EE11" s="380">
        <f>IF(EB11&lt;&gt;0,((ED11/EB11)*360),0)</f>
        <v>2.2967620684942056E-2</v>
      </c>
      <c r="EG11" s="190">
        <f>Q11+T11+W11+Z11+AC11+AF11</f>
        <v>0</v>
      </c>
      <c r="EH11" s="379">
        <f>S11+V11+Y11+AB11+AE11+AH11</f>
        <v>0</v>
      </c>
      <c r="EI11" s="380">
        <f>IF(EG11&lt;&gt;0,((EH11/EG11)*360),0)</f>
        <v>0</v>
      </c>
      <c r="EJ11" s="380"/>
      <c r="EK11" s="190">
        <f>DR11+DL11+DI11+DF11+DC11+CZ11+CW11+CT11+CQ11+CN11+CK11+CH11+CE11+CB11+BY11+BV11+BS11+BP11+BM11+BJ11+BG11+BD11+BA11+AX11+AU11+AR11+AO11+AL11+AI11+DO11</f>
        <v>505725000</v>
      </c>
      <c r="EL11" s="190">
        <f>DX11</f>
        <v>0</v>
      </c>
      <c r="EM11" s="190">
        <f>DT11+DQ11+DN11+DK11+DH11+DE11+DB11+CY11+CV11+CS11+CP11+CM11+CJ11+CG11+CD11+CA11+BX11+BU11+BR11+BO11+BL11+BI11+BF11+BC11+AZ11+AW11+AT11+AQ11+AN11+AK11</f>
        <v>32604.930555555555</v>
      </c>
      <c r="EN11" s="380">
        <f>IF(EK11&lt;&gt;0,((EM11/EK11)*360),0)</f>
        <v>2.3209797815018043E-2</v>
      </c>
    </row>
    <row r="12" spans="1:147">
      <c r="A12" s="378">
        <f>1+A11</f>
        <v>43283</v>
      </c>
      <c r="D12" s="379">
        <f t="shared" ref="D12:D41" si="1">(B12*C12)/360</f>
        <v>0</v>
      </c>
      <c r="E12" s="379">
        <v>40119723.390000001</v>
      </c>
      <c r="F12" s="380">
        <v>1.9799999999999998E-2</v>
      </c>
      <c r="G12" s="379">
        <f t="shared" ref="G12:G41" si="2">(E12*F12)/360</f>
        <v>2206.5847864499997</v>
      </c>
      <c r="J12" s="379">
        <f t="shared" ref="J12:J41" si="3">(H12*I12)/360</f>
        <v>0</v>
      </c>
      <c r="M12" s="379">
        <f t="shared" ref="M12:M41" si="4">(K12*L12)/360</f>
        <v>0</v>
      </c>
      <c r="P12" s="379">
        <f t="shared" ref="P12:P41" si="5">(N12*O12)/360</f>
        <v>0</v>
      </c>
      <c r="S12" s="379">
        <f t="shared" ref="S12:S41" si="6">(Q12*R12)/360</f>
        <v>0</v>
      </c>
      <c r="V12" s="379">
        <f t="shared" ref="V12:V41" si="7">(T12*U12)/360</f>
        <v>0</v>
      </c>
      <c r="Y12" s="379">
        <f t="shared" ref="Y12:Y41" si="8">(W12*X12)/360</f>
        <v>0</v>
      </c>
      <c r="AB12" s="379">
        <f t="shared" ref="AB12:AB41" si="9">(Z12*AA12)/360</f>
        <v>0</v>
      </c>
      <c r="AE12" s="379">
        <v>0</v>
      </c>
      <c r="AH12" s="379">
        <v>0</v>
      </c>
      <c r="AI12" s="381">
        <f>34050000</f>
        <v>34050000</v>
      </c>
      <c r="AJ12" s="382">
        <v>2.3E-2</v>
      </c>
      <c r="AK12" s="379">
        <f t="shared" ref="AK12:AK41" si="10">(AI12*AJ12)/360</f>
        <v>2175.4166666666665</v>
      </c>
      <c r="AL12" s="381">
        <f>24900000+35000000+31000000+38400000+10000000+49000000</f>
        <v>188300000</v>
      </c>
      <c r="AM12" s="382">
        <v>2.3199999999999998E-2</v>
      </c>
      <c r="AN12" s="379">
        <f t="shared" ref="AN12:AN41" si="11">(AL12*AM12)/360</f>
        <v>12134.888888888889</v>
      </c>
      <c r="AO12" s="381">
        <f t="shared" si="0"/>
        <v>50000000</v>
      </c>
      <c r="AP12" s="382">
        <v>2.4E-2</v>
      </c>
      <c r="AQ12" s="379">
        <f t="shared" ref="AQ12:AQ41" si="12">(AO12*AP12)/360</f>
        <v>3333.3333333333335</v>
      </c>
      <c r="AR12" s="381">
        <f t="shared" ref="AR12:AR41" si="13">40000000+40000000+30000000+50000000+25000000+50000000</f>
        <v>235000000</v>
      </c>
      <c r="AS12" s="382">
        <v>2.4E-2</v>
      </c>
      <c r="AT12" s="379">
        <f t="shared" ref="AT12:AT41" si="14">(AR12*AS12)/360</f>
        <v>15666.666666666666</v>
      </c>
      <c r="AU12" s="381"/>
      <c r="AV12" s="382"/>
      <c r="AW12" s="379">
        <f t="shared" ref="AW12:AW41" si="15">(AU12*AV12)/360</f>
        <v>0</v>
      </c>
      <c r="AZ12" s="379">
        <f t="shared" ref="AZ12:AZ41" si="16">(AX12*AY12)/360</f>
        <v>0</v>
      </c>
      <c r="BC12" s="379">
        <f t="shared" ref="BC12:BC41" si="17">(BA12*BB12)/360</f>
        <v>0</v>
      </c>
      <c r="BF12" s="379">
        <f t="shared" ref="BF12:BF41" si="18">(BD12*BE12)/360</f>
        <v>0</v>
      </c>
      <c r="BI12" s="379">
        <f t="shared" ref="BI12:BI41" si="19">(BG12*BH12)/360</f>
        <v>0</v>
      </c>
      <c r="BL12" s="379">
        <f t="shared" ref="BL12:BL41" si="20">(BJ12*BK12)/360</f>
        <v>0</v>
      </c>
      <c r="BO12" s="379">
        <f t="shared" ref="BO12:BO41" si="21">(BM12*BN12)/360</f>
        <v>0</v>
      </c>
      <c r="BR12" s="379">
        <f t="shared" ref="BR12:BR41" si="22">(BP12*BQ12)/360</f>
        <v>0</v>
      </c>
      <c r="BU12" s="379">
        <f t="shared" ref="BU12:BU41" si="23">(BS12*BT12)/360</f>
        <v>0</v>
      </c>
      <c r="BX12" s="379">
        <f t="shared" ref="BX12:BX41" si="24">(BV12*BW12)/360</f>
        <v>0</v>
      </c>
      <c r="CA12" s="379">
        <f t="shared" ref="CA12:CA41" si="25">(BY12*BZ12)/360</f>
        <v>0</v>
      </c>
      <c r="CD12" s="379">
        <f t="shared" ref="CD12:CD41" si="26">(CB12*CC12)/360</f>
        <v>0</v>
      </c>
      <c r="CG12" s="379">
        <f t="shared" ref="CG12:CG41" si="27">(CE12*CF12)/360</f>
        <v>0</v>
      </c>
      <c r="CJ12" s="379">
        <f t="shared" ref="CJ12:CJ41" si="28">(CH12*CI12)/360</f>
        <v>0</v>
      </c>
      <c r="CM12" s="379">
        <f t="shared" ref="CM12:CM41" si="29">(CK12*CL12)/360</f>
        <v>0</v>
      </c>
      <c r="CP12" s="379">
        <f t="shared" ref="CP12:CP41" si="30">(CN12*CO12)/360</f>
        <v>0</v>
      </c>
      <c r="CS12" s="379">
        <f t="shared" ref="CS12:CS41" si="31">(CQ12*CR12)/360</f>
        <v>0</v>
      </c>
      <c r="CV12" s="379">
        <f t="shared" ref="CV12:CV41" si="32">(CT12*CU12)/360</f>
        <v>0</v>
      </c>
      <c r="CY12" s="379">
        <f t="shared" ref="CY12:CY41" si="33">(CW12*CX12)/360</f>
        <v>0</v>
      </c>
      <c r="DB12" s="379">
        <f t="shared" ref="DB12:DB41" si="34">(CZ12*DA12)/360</f>
        <v>0</v>
      </c>
      <c r="DE12" s="379">
        <f t="shared" ref="DE12:DE41" si="35">(DC12*DD12)/360</f>
        <v>0</v>
      </c>
      <c r="DH12" s="379">
        <f t="shared" ref="DH12:DH41" si="36">(DF12*DG12)/360</f>
        <v>0</v>
      </c>
      <c r="DK12" s="379">
        <f t="shared" ref="DK12:DK41" si="37">(DI12*DJ12)/360</f>
        <v>0</v>
      </c>
      <c r="DN12" s="379">
        <f t="shared" ref="DN12:DN41" si="38">(DL12*DM12)/360</f>
        <v>0</v>
      </c>
      <c r="DQ12" s="379">
        <f t="shared" ref="DQ12:DQ41" si="39">(DO12*DP12)/360</f>
        <v>0</v>
      </c>
      <c r="DT12" s="379">
        <f t="shared" ref="DT12:DT41" si="40">(DR12*DS12)/360</f>
        <v>0</v>
      </c>
      <c r="DW12" s="379">
        <f t="shared" ref="DW12:DW41" si="41">(DU12*DV12)/360</f>
        <v>0</v>
      </c>
      <c r="DY12" s="384"/>
      <c r="DZ12" s="366"/>
      <c r="EA12" s="379"/>
      <c r="EB12" s="190">
        <f t="shared" ref="EB12:EB41" si="42">B12+E12+H12+K12+N12+Q12+T12+W12+Z12+AC12+AF12+AL12+AO12+AR12+AU12+AX12+BA12+BD12+BG12+DU12+AI12+DR12+DO12+DL12+DI12+DF12+DC12+CZ12+CW12+CT12+CQ12+CN12+CK12+CH12+CE12+CB12+BY12+BV12+BS12+BP12+BM12+BJ12</f>
        <v>547469723.38999999</v>
      </c>
      <c r="EC12" s="190">
        <f t="shared" ref="EC12:EC41" si="43">EB12-EK12+EL12</f>
        <v>40119723.389999986</v>
      </c>
      <c r="ED12" s="379">
        <f t="shared" ref="ED12:ED41" si="44">D12+G12+J12+M12+P12+S12+V12+Y12+AB12+AE12+AH12+AK12+AN12+AQ12+AT12+AW12+AZ12+BC12+BF12+BI12+DW12+DT12+DQ12+DN12+DK12+DH12+DE12+DB12+CY12+CV12+CS12+CP12+CM12+CJ12+CG12+CD12+CA12+BX12+BU12+BR12+BO12+BL12</f>
        <v>35516.89034200555</v>
      </c>
      <c r="EE12" s="380">
        <f t="shared" ref="EE12:EE41" si="45">IF(EB12&lt;&gt;0,((ED12/EB12)*360),0)</f>
        <v>2.3354863249695369E-2</v>
      </c>
      <c r="EG12" s="190">
        <f t="shared" ref="EG12:EG41" si="46">Q12+T12+W12+Z12+AC12+AF12</f>
        <v>0</v>
      </c>
      <c r="EH12" s="379">
        <f t="shared" ref="EH12:EH41" si="47">S12+V12+Y12+AB12+AE12+AH12</f>
        <v>0</v>
      </c>
      <c r="EI12" s="380">
        <f t="shared" ref="EI12:EI41" si="48">IF(EG12&lt;&gt;0,((EH12/EG12)*360),0)</f>
        <v>0</v>
      </c>
      <c r="EJ12" s="380"/>
      <c r="EK12" s="190">
        <f t="shared" ref="EK12:EK41" si="49">DR12+DL12+DI12+DF12+DC12+CZ12+CW12+CT12+CQ12+CN12+CK12+CH12+CE12+CB12+BY12+BV12+BS12+BP12+BM12+BJ12+BG12+BD12+BA12+AX12+AU12+AR12+AO12+AL12+AI12+DO12</f>
        <v>507350000</v>
      </c>
      <c r="EL12" s="190">
        <f t="shared" ref="EL12:EL41" si="50">DX12</f>
        <v>0</v>
      </c>
      <c r="EM12" s="190">
        <f t="shared" ref="EM12:EM41" si="51">DT12+DQ12+DN12+DK12+DH12+DE12+DB12+CY12+CV12+CS12+CP12+CM12+CJ12+CG12+CD12+CA12+BX12+BU12+BR12+BO12+BL12+BI12+BF12+BC12+AZ12+AW12+AT12+AQ12+AN12+AK12</f>
        <v>33310.305555555555</v>
      </c>
      <c r="EN12" s="380">
        <f t="shared" ref="EN12:EN41" si="52">IF(EK12&lt;&gt;0,((EM12/EK12)*360),0)</f>
        <v>2.3635971223021583E-2</v>
      </c>
    </row>
    <row r="13" spans="1:147">
      <c r="A13" s="378">
        <f t="shared" ref="A13:A41" si="53">1+A12</f>
        <v>43284</v>
      </c>
      <c r="D13" s="379">
        <f t="shared" si="1"/>
        <v>0</v>
      </c>
      <c r="E13" s="379">
        <v>41849143.869999997</v>
      </c>
      <c r="F13" s="380">
        <v>1.9400000000000001E-2</v>
      </c>
      <c r="G13" s="379">
        <f t="shared" si="2"/>
        <v>2255.2038641055556</v>
      </c>
      <c r="J13" s="379">
        <f t="shared" si="3"/>
        <v>0</v>
      </c>
      <c r="M13" s="379">
        <f t="shared" si="4"/>
        <v>0</v>
      </c>
      <c r="P13" s="379">
        <f t="shared" si="5"/>
        <v>0</v>
      </c>
      <c r="S13" s="379">
        <f t="shared" si="6"/>
        <v>0</v>
      </c>
      <c r="V13" s="379">
        <f t="shared" si="7"/>
        <v>0</v>
      </c>
      <c r="Y13" s="379">
        <f t="shared" si="8"/>
        <v>0</v>
      </c>
      <c r="AB13" s="379">
        <f t="shared" si="9"/>
        <v>0</v>
      </c>
      <c r="AE13" s="379">
        <v>0</v>
      </c>
      <c r="AH13" s="379">
        <v>0</v>
      </c>
      <c r="AI13" s="381">
        <f>32575000</f>
        <v>32575000</v>
      </c>
      <c r="AJ13" s="382">
        <v>2.3E-2</v>
      </c>
      <c r="AK13" s="379">
        <f t="shared" si="10"/>
        <v>2081.1805555555557</v>
      </c>
      <c r="AL13" s="381">
        <f>24900000+35000000+31000000+38400000+10000000+49000000</f>
        <v>188300000</v>
      </c>
      <c r="AM13" s="382">
        <v>2.3199999999999998E-2</v>
      </c>
      <c r="AN13" s="379">
        <f t="shared" si="11"/>
        <v>12134.888888888889</v>
      </c>
      <c r="AO13" s="381">
        <f t="shared" si="0"/>
        <v>50000000</v>
      </c>
      <c r="AP13" s="382">
        <v>2.4E-2</v>
      </c>
      <c r="AQ13" s="379">
        <f t="shared" si="12"/>
        <v>3333.3333333333335</v>
      </c>
      <c r="AR13" s="381">
        <f t="shared" si="13"/>
        <v>235000000</v>
      </c>
      <c r="AS13" s="382">
        <v>2.4E-2</v>
      </c>
      <c r="AT13" s="379">
        <f t="shared" si="14"/>
        <v>15666.666666666666</v>
      </c>
      <c r="AU13" s="381"/>
      <c r="AV13" s="382"/>
      <c r="AW13" s="379">
        <f t="shared" si="15"/>
        <v>0</v>
      </c>
      <c r="AZ13" s="379">
        <f t="shared" si="16"/>
        <v>0</v>
      </c>
      <c r="BC13" s="379">
        <f t="shared" si="17"/>
        <v>0</v>
      </c>
      <c r="BF13" s="379">
        <f t="shared" si="18"/>
        <v>0</v>
      </c>
      <c r="BI13" s="379">
        <f t="shared" si="19"/>
        <v>0</v>
      </c>
      <c r="BL13" s="379">
        <f t="shared" si="20"/>
        <v>0</v>
      </c>
      <c r="BO13" s="379">
        <f t="shared" si="21"/>
        <v>0</v>
      </c>
      <c r="BR13" s="379">
        <f t="shared" si="22"/>
        <v>0</v>
      </c>
      <c r="BU13" s="379">
        <f t="shared" si="23"/>
        <v>0</v>
      </c>
      <c r="BX13" s="379">
        <f t="shared" si="24"/>
        <v>0</v>
      </c>
      <c r="CA13" s="379">
        <f t="shared" si="25"/>
        <v>0</v>
      </c>
      <c r="CD13" s="379">
        <f t="shared" si="26"/>
        <v>0</v>
      </c>
      <c r="CG13" s="379">
        <f t="shared" si="27"/>
        <v>0</v>
      </c>
      <c r="CJ13" s="379">
        <f t="shared" si="28"/>
        <v>0</v>
      </c>
      <c r="CM13" s="379">
        <f t="shared" si="29"/>
        <v>0</v>
      </c>
      <c r="CP13" s="379">
        <f t="shared" si="30"/>
        <v>0</v>
      </c>
      <c r="CS13" s="379">
        <f t="shared" si="31"/>
        <v>0</v>
      </c>
      <c r="CV13" s="379">
        <f t="shared" si="32"/>
        <v>0</v>
      </c>
      <c r="CY13" s="379">
        <f t="shared" si="33"/>
        <v>0</v>
      </c>
      <c r="DB13" s="379">
        <f t="shared" si="34"/>
        <v>0</v>
      </c>
      <c r="DE13" s="379">
        <f t="shared" si="35"/>
        <v>0</v>
      </c>
      <c r="DH13" s="379">
        <f t="shared" si="36"/>
        <v>0</v>
      </c>
      <c r="DK13" s="379">
        <f t="shared" si="37"/>
        <v>0</v>
      </c>
      <c r="DN13" s="379">
        <f t="shared" si="38"/>
        <v>0</v>
      </c>
      <c r="DQ13" s="379">
        <f t="shared" si="39"/>
        <v>0</v>
      </c>
      <c r="DT13" s="379">
        <f t="shared" si="40"/>
        <v>0</v>
      </c>
      <c r="DW13" s="379">
        <f t="shared" si="41"/>
        <v>0</v>
      </c>
      <c r="DY13" s="384"/>
      <c r="DZ13" s="366"/>
      <c r="EA13" s="379"/>
      <c r="EB13" s="190">
        <f t="shared" si="42"/>
        <v>547724143.87</v>
      </c>
      <c r="EC13" s="190">
        <f t="shared" si="43"/>
        <v>41849143.870000005</v>
      </c>
      <c r="ED13" s="379">
        <f t="shared" si="44"/>
        <v>35471.27330855</v>
      </c>
      <c r="EE13" s="380">
        <f t="shared" si="45"/>
        <v>2.3314032317167353E-2</v>
      </c>
      <c r="EG13" s="190">
        <f t="shared" si="46"/>
        <v>0</v>
      </c>
      <c r="EH13" s="379">
        <f t="shared" si="47"/>
        <v>0</v>
      </c>
      <c r="EI13" s="380">
        <f t="shared" si="48"/>
        <v>0</v>
      </c>
      <c r="EJ13" s="380"/>
      <c r="EK13" s="190">
        <f t="shared" si="49"/>
        <v>505875000</v>
      </c>
      <c r="EL13" s="190">
        <f t="shared" si="50"/>
        <v>0</v>
      </c>
      <c r="EM13" s="190">
        <f t="shared" si="51"/>
        <v>33216.069444444445</v>
      </c>
      <c r="EN13" s="380">
        <f t="shared" si="52"/>
        <v>2.3637825549789968E-2</v>
      </c>
    </row>
    <row r="14" spans="1:147">
      <c r="A14" s="378">
        <f t="shared" si="53"/>
        <v>43285</v>
      </c>
      <c r="D14" s="379">
        <f t="shared" si="1"/>
        <v>0</v>
      </c>
      <c r="E14" s="379">
        <v>41849143.869999997</v>
      </c>
      <c r="F14" s="380">
        <v>1.9400000000000001E-2</v>
      </c>
      <c r="G14" s="379">
        <f t="shared" si="2"/>
        <v>2255.2038641055556</v>
      </c>
      <c r="J14" s="379">
        <f t="shared" si="3"/>
        <v>0</v>
      </c>
      <c r="M14" s="379">
        <f t="shared" si="4"/>
        <v>0</v>
      </c>
      <c r="P14" s="379">
        <f t="shared" si="5"/>
        <v>0</v>
      </c>
      <c r="S14" s="379">
        <f t="shared" si="6"/>
        <v>0</v>
      </c>
      <c r="V14" s="379">
        <f t="shared" si="7"/>
        <v>0</v>
      </c>
      <c r="Y14" s="379">
        <f t="shared" si="8"/>
        <v>0</v>
      </c>
      <c r="AB14" s="379">
        <f t="shared" si="9"/>
        <v>0</v>
      </c>
      <c r="AE14" s="379">
        <v>0</v>
      </c>
      <c r="AH14" s="379">
        <v>0</v>
      </c>
      <c r="AI14" s="381">
        <f>32575000</f>
        <v>32575000</v>
      </c>
      <c r="AJ14" s="382">
        <v>2.3E-2</v>
      </c>
      <c r="AK14" s="379">
        <f t="shared" si="10"/>
        <v>2081.1805555555557</v>
      </c>
      <c r="AL14" s="381">
        <f>24900000+35000000+31000000+38400000+10000000+49000000</f>
        <v>188300000</v>
      </c>
      <c r="AM14" s="382">
        <v>2.3199999999999998E-2</v>
      </c>
      <c r="AN14" s="379">
        <f t="shared" si="11"/>
        <v>12134.888888888889</v>
      </c>
      <c r="AO14" s="381">
        <f t="shared" si="0"/>
        <v>50000000</v>
      </c>
      <c r="AP14" s="382">
        <v>2.4E-2</v>
      </c>
      <c r="AQ14" s="379">
        <f t="shared" si="12"/>
        <v>3333.3333333333335</v>
      </c>
      <c r="AR14" s="381">
        <f t="shared" si="13"/>
        <v>235000000</v>
      </c>
      <c r="AS14" s="382">
        <v>2.4E-2</v>
      </c>
      <c r="AT14" s="379">
        <f t="shared" si="14"/>
        <v>15666.666666666666</v>
      </c>
      <c r="AU14" s="381"/>
      <c r="AV14" s="382"/>
      <c r="AW14" s="379">
        <f t="shared" si="15"/>
        <v>0</v>
      </c>
      <c r="AZ14" s="379">
        <f t="shared" si="16"/>
        <v>0</v>
      </c>
      <c r="BC14" s="379">
        <f t="shared" si="17"/>
        <v>0</v>
      </c>
      <c r="BF14" s="379">
        <f t="shared" si="18"/>
        <v>0</v>
      </c>
      <c r="BI14" s="379">
        <f t="shared" si="19"/>
        <v>0</v>
      </c>
      <c r="BL14" s="379">
        <f t="shared" si="20"/>
        <v>0</v>
      </c>
      <c r="BO14" s="379">
        <f t="shared" si="21"/>
        <v>0</v>
      </c>
      <c r="BR14" s="379">
        <f t="shared" si="22"/>
        <v>0</v>
      </c>
      <c r="BU14" s="379">
        <f t="shared" si="23"/>
        <v>0</v>
      </c>
      <c r="BX14" s="379">
        <f t="shared" si="24"/>
        <v>0</v>
      </c>
      <c r="CA14" s="379">
        <f t="shared" si="25"/>
        <v>0</v>
      </c>
      <c r="CD14" s="379">
        <f t="shared" si="26"/>
        <v>0</v>
      </c>
      <c r="CG14" s="379">
        <f t="shared" si="27"/>
        <v>0</v>
      </c>
      <c r="CJ14" s="379">
        <f t="shared" si="28"/>
        <v>0</v>
      </c>
      <c r="CM14" s="379">
        <f t="shared" si="29"/>
        <v>0</v>
      </c>
      <c r="CP14" s="379">
        <f t="shared" si="30"/>
        <v>0</v>
      </c>
      <c r="CS14" s="379">
        <f t="shared" si="31"/>
        <v>0</v>
      </c>
      <c r="CV14" s="379">
        <f t="shared" si="32"/>
        <v>0</v>
      </c>
      <c r="CY14" s="379">
        <f t="shared" si="33"/>
        <v>0</v>
      </c>
      <c r="DB14" s="379">
        <f t="shared" si="34"/>
        <v>0</v>
      </c>
      <c r="DE14" s="379">
        <f t="shared" si="35"/>
        <v>0</v>
      </c>
      <c r="DH14" s="379">
        <f t="shared" si="36"/>
        <v>0</v>
      </c>
      <c r="DK14" s="379">
        <f t="shared" si="37"/>
        <v>0</v>
      </c>
      <c r="DN14" s="379">
        <f t="shared" si="38"/>
        <v>0</v>
      </c>
      <c r="DQ14" s="379">
        <f t="shared" si="39"/>
        <v>0</v>
      </c>
      <c r="DT14" s="379">
        <f t="shared" si="40"/>
        <v>0</v>
      </c>
      <c r="DW14" s="379">
        <f t="shared" si="41"/>
        <v>0</v>
      </c>
      <c r="DY14" s="384"/>
      <c r="DZ14" s="366"/>
      <c r="EA14" s="379"/>
      <c r="EB14" s="190">
        <f t="shared" si="42"/>
        <v>547724143.87</v>
      </c>
      <c r="EC14" s="190">
        <f t="shared" si="43"/>
        <v>41849143.870000005</v>
      </c>
      <c r="ED14" s="379">
        <f t="shared" si="44"/>
        <v>35471.27330855</v>
      </c>
      <c r="EE14" s="380">
        <f t="shared" si="45"/>
        <v>2.3314032317167353E-2</v>
      </c>
      <c r="EG14" s="190">
        <f t="shared" si="46"/>
        <v>0</v>
      </c>
      <c r="EH14" s="379">
        <f t="shared" si="47"/>
        <v>0</v>
      </c>
      <c r="EI14" s="380">
        <f t="shared" si="48"/>
        <v>0</v>
      </c>
      <c r="EJ14" s="380"/>
      <c r="EK14" s="190">
        <f t="shared" si="49"/>
        <v>505875000</v>
      </c>
      <c r="EL14" s="190">
        <f t="shared" si="50"/>
        <v>0</v>
      </c>
      <c r="EM14" s="190">
        <f t="shared" si="51"/>
        <v>33216.069444444445</v>
      </c>
      <c r="EN14" s="380">
        <f t="shared" si="52"/>
        <v>2.3637825549789968E-2</v>
      </c>
    </row>
    <row r="15" spans="1:147">
      <c r="A15" s="378">
        <f t="shared" si="53"/>
        <v>43286</v>
      </c>
      <c r="D15" s="379">
        <f t="shared" si="1"/>
        <v>0</v>
      </c>
      <c r="E15" s="379">
        <v>33247247.870000001</v>
      </c>
      <c r="F15" s="380">
        <v>1.95E-2</v>
      </c>
      <c r="G15" s="379">
        <f t="shared" si="2"/>
        <v>1800.8925929583334</v>
      </c>
      <c r="J15" s="379">
        <f t="shared" si="3"/>
        <v>0</v>
      </c>
      <c r="M15" s="379">
        <f t="shared" si="4"/>
        <v>0</v>
      </c>
      <c r="P15" s="379">
        <f t="shared" si="5"/>
        <v>0</v>
      </c>
      <c r="S15" s="379">
        <f t="shared" si="6"/>
        <v>0</v>
      </c>
      <c r="V15" s="379">
        <f t="shared" si="7"/>
        <v>0</v>
      </c>
      <c r="Y15" s="379">
        <f t="shared" si="8"/>
        <v>0</v>
      </c>
      <c r="AB15" s="379">
        <f t="shared" si="9"/>
        <v>0</v>
      </c>
      <c r="AE15" s="379">
        <v>0</v>
      </c>
      <c r="AH15" s="379">
        <v>0</v>
      </c>
      <c r="AI15" s="381"/>
      <c r="AJ15" s="382"/>
      <c r="AK15" s="379">
        <f t="shared" si="10"/>
        <v>0</v>
      </c>
      <c r="AL15" s="381">
        <f>24900000+35000000+31000000</f>
        <v>90900000</v>
      </c>
      <c r="AM15" s="382">
        <v>2.3199999999999998E-2</v>
      </c>
      <c r="AN15" s="379">
        <f t="shared" si="11"/>
        <v>5858</v>
      </c>
      <c r="AO15" s="381">
        <f t="shared" si="0"/>
        <v>50000000</v>
      </c>
      <c r="AP15" s="382">
        <v>2.4E-2</v>
      </c>
      <c r="AQ15" s="379">
        <f t="shared" si="12"/>
        <v>3333.3333333333335</v>
      </c>
      <c r="AR15" s="381">
        <f t="shared" si="13"/>
        <v>235000000</v>
      </c>
      <c r="AS15" s="382">
        <v>2.4E-2</v>
      </c>
      <c r="AT15" s="379">
        <f t="shared" si="14"/>
        <v>15666.666666666666</v>
      </c>
      <c r="AU15" s="381">
        <f>25000000+25000000+45000000+44750000</f>
        <v>139750000</v>
      </c>
      <c r="AV15" s="382">
        <v>2.4E-2</v>
      </c>
      <c r="AW15" s="379">
        <f t="shared" si="15"/>
        <v>9316.6666666666661</v>
      </c>
      <c r="AZ15" s="379">
        <f t="shared" si="16"/>
        <v>0</v>
      </c>
      <c r="BC15" s="379">
        <f t="shared" si="17"/>
        <v>0</v>
      </c>
      <c r="BF15" s="379">
        <f t="shared" si="18"/>
        <v>0</v>
      </c>
      <c r="BI15" s="379">
        <f t="shared" si="19"/>
        <v>0</v>
      </c>
      <c r="BL15" s="379">
        <f t="shared" si="20"/>
        <v>0</v>
      </c>
      <c r="BO15" s="379">
        <f t="shared" si="21"/>
        <v>0</v>
      </c>
      <c r="BR15" s="379">
        <f t="shared" si="22"/>
        <v>0</v>
      </c>
      <c r="BU15" s="379">
        <f t="shared" si="23"/>
        <v>0</v>
      </c>
      <c r="BX15" s="379">
        <f t="shared" si="24"/>
        <v>0</v>
      </c>
      <c r="CA15" s="379">
        <f t="shared" si="25"/>
        <v>0</v>
      </c>
      <c r="CD15" s="379">
        <f t="shared" si="26"/>
        <v>0</v>
      </c>
      <c r="CG15" s="379">
        <f t="shared" si="27"/>
        <v>0</v>
      </c>
      <c r="CJ15" s="379">
        <f t="shared" si="28"/>
        <v>0</v>
      </c>
      <c r="CM15" s="379">
        <f t="shared" si="29"/>
        <v>0</v>
      </c>
      <c r="CP15" s="379">
        <f t="shared" si="30"/>
        <v>0</v>
      </c>
      <c r="CS15" s="379">
        <f t="shared" si="31"/>
        <v>0</v>
      </c>
      <c r="CV15" s="379">
        <f t="shared" si="32"/>
        <v>0</v>
      </c>
      <c r="CY15" s="379">
        <f t="shared" si="33"/>
        <v>0</v>
      </c>
      <c r="DB15" s="379">
        <f t="shared" si="34"/>
        <v>0</v>
      </c>
      <c r="DE15" s="379">
        <f t="shared" si="35"/>
        <v>0</v>
      </c>
      <c r="DH15" s="379">
        <f t="shared" si="36"/>
        <v>0</v>
      </c>
      <c r="DK15" s="379">
        <f t="shared" si="37"/>
        <v>0</v>
      </c>
      <c r="DN15" s="379">
        <f t="shared" si="38"/>
        <v>0</v>
      </c>
      <c r="DQ15" s="379">
        <f t="shared" si="39"/>
        <v>0</v>
      </c>
      <c r="DT15" s="379">
        <f t="shared" si="40"/>
        <v>0</v>
      </c>
      <c r="DW15" s="379">
        <f t="shared" si="41"/>
        <v>0</v>
      </c>
      <c r="DY15" s="384"/>
      <c r="DZ15" s="366"/>
      <c r="EA15" s="379"/>
      <c r="EB15" s="190">
        <f t="shared" si="42"/>
        <v>548897247.87</v>
      </c>
      <c r="EC15" s="190">
        <f t="shared" si="43"/>
        <v>33247247.870000005</v>
      </c>
      <c r="ED15" s="379">
        <f t="shared" si="44"/>
        <v>35975.559259624999</v>
      </c>
      <c r="EE15" s="380">
        <f t="shared" si="45"/>
        <v>2.3594946747724159E-2</v>
      </c>
      <c r="EG15" s="190">
        <f t="shared" si="46"/>
        <v>0</v>
      </c>
      <c r="EH15" s="379">
        <f t="shared" si="47"/>
        <v>0</v>
      </c>
      <c r="EI15" s="380">
        <f t="shared" si="48"/>
        <v>0</v>
      </c>
      <c r="EJ15" s="380"/>
      <c r="EK15" s="190">
        <f t="shared" si="49"/>
        <v>515650000</v>
      </c>
      <c r="EL15" s="190">
        <f t="shared" si="50"/>
        <v>0</v>
      </c>
      <c r="EM15" s="190">
        <f t="shared" si="51"/>
        <v>34174.666666666664</v>
      </c>
      <c r="EN15" s="380">
        <f t="shared" si="52"/>
        <v>2.3858974110346164E-2</v>
      </c>
    </row>
    <row r="16" spans="1:147">
      <c r="A16" s="378">
        <f t="shared" si="53"/>
        <v>43287</v>
      </c>
      <c r="D16" s="379">
        <f t="shared" si="1"/>
        <v>0</v>
      </c>
      <c r="E16" s="379">
        <v>35731010.869999997</v>
      </c>
      <c r="F16" s="380">
        <v>1.9599999999999999E-2</v>
      </c>
      <c r="G16" s="379">
        <f t="shared" si="2"/>
        <v>1945.3550362555552</v>
      </c>
      <c r="J16" s="379">
        <f t="shared" si="3"/>
        <v>0</v>
      </c>
      <c r="M16" s="379">
        <f t="shared" si="4"/>
        <v>0</v>
      </c>
      <c r="P16" s="379">
        <f t="shared" si="5"/>
        <v>0</v>
      </c>
      <c r="S16" s="379">
        <f t="shared" si="6"/>
        <v>0</v>
      </c>
      <c r="V16" s="379">
        <f t="shared" si="7"/>
        <v>0</v>
      </c>
      <c r="Y16" s="379">
        <f t="shared" si="8"/>
        <v>0</v>
      </c>
      <c r="AB16" s="379">
        <f t="shared" si="9"/>
        <v>0</v>
      </c>
      <c r="AE16" s="379">
        <v>0</v>
      </c>
      <c r="AH16" s="379">
        <v>0</v>
      </c>
      <c r="AI16" s="381"/>
      <c r="AJ16" s="382"/>
      <c r="AK16" s="379">
        <f t="shared" si="10"/>
        <v>0</v>
      </c>
      <c r="AL16" s="381">
        <f>24900000+35000000</f>
        <v>59900000</v>
      </c>
      <c r="AM16" s="382">
        <v>2.3199999999999998E-2</v>
      </c>
      <c r="AN16" s="379">
        <f t="shared" si="11"/>
        <v>3860.2222222222222</v>
      </c>
      <c r="AO16" s="381">
        <f t="shared" si="0"/>
        <v>50000000</v>
      </c>
      <c r="AP16" s="382">
        <v>2.4E-2</v>
      </c>
      <c r="AQ16" s="379">
        <f t="shared" si="12"/>
        <v>3333.3333333333335</v>
      </c>
      <c r="AR16" s="381">
        <f t="shared" si="13"/>
        <v>235000000</v>
      </c>
      <c r="AS16" s="382">
        <v>2.4E-2</v>
      </c>
      <c r="AT16" s="379">
        <f t="shared" si="14"/>
        <v>15666.666666666666</v>
      </c>
      <c r="AU16" s="381">
        <f t="shared" ref="AU16:AU41" si="54">25000000+25000000+45000000+44750000+28825000</f>
        <v>168575000</v>
      </c>
      <c r="AV16" s="382">
        <v>2.4E-2</v>
      </c>
      <c r="AW16" s="379">
        <f t="shared" si="15"/>
        <v>11238.333333333334</v>
      </c>
      <c r="AZ16" s="379">
        <f t="shared" si="16"/>
        <v>0</v>
      </c>
      <c r="BC16" s="379">
        <f t="shared" si="17"/>
        <v>0</v>
      </c>
      <c r="BF16" s="379">
        <f t="shared" si="18"/>
        <v>0</v>
      </c>
      <c r="BI16" s="379">
        <f t="shared" si="19"/>
        <v>0</v>
      </c>
      <c r="BL16" s="379">
        <f t="shared" si="20"/>
        <v>0</v>
      </c>
      <c r="BO16" s="379">
        <f t="shared" si="21"/>
        <v>0</v>
      </c>
      <c r="BR16" s="379">
        <f t="shared" si="22"/>
        <v>0</v>
      </c>
      <c r="BU16" s="379">
        <f t="shared" si="23"/>
        <v>0</v>
      </c>
      <c r="BX16" s="379">
        <f t="shared" si="24"/>
        <v>0</v>
      </c>
      <c r="CA16" s="379">
        <f t="shared" si="25"/>
        <v>0</v>
      </c>
      <c r="CD16" s="379">
        <f t="shared" si="26"/>
        <v>0</v>
      </c>
      <c r="CG16" s="379">
        <f t="shared" si="27"/>
        <v>0</v>
      </c>
      <c r="CJ16" s="379">
        <f t="shared" si="28"/>
        <v>0</v>
      </c>
      <c r="CM16" s="379">
        <f t="shared" si="29"/>
        <v>0</v>
      </c>
      <c r="CP16" s="379">
        <f t="shared" si="30"/>
        <v>0</v>
      </c>
      <c r="CS16" s="379">
        <f t="shared" si="31"/>
        <v>0</v>
      </c>
      <c r="CV16" s="379">
        <f t="shared" si="32"/>
        <v>0</v>
      </c>
      <c r="CY16" s="379">
        <f t="shared" si="33"/>
        <v>0</v>
      </c>
      <c r="DB16" s="379">
        <f t="shared" si="34"/>
        <v>0</v>
      </c>
      <c r="DE16" s="379">
        <f t="shared" si="35"/>
        <v>0</v>
      </c>
      <c r="DH16" s="379">
        <f t="shared" si="36"/>
        <v>0</v>
      </c>
      <c r="DK16" s="379">
        <f t="shared" si="37"/>
        <v>0</v>
      </c>
      <c r="DN16" s="379">
        <f t="shared" si="38"/>
        <v>0</v>
      </c>
      <c r="DQ16" s="379">
        <f t="shared" si="39"/>
        <v>0</v>
      </c>
      <c r="DT16" s="379">
        <f t="shared" si="40"/>
        <v>0</v>
      </c>
      <c r="DW16" s="379">
        <f t="shared" si="41"/>
        <v>0</v>
      </c>
      <c r="DY16" s="384"/>
      <c r="DZ16" s="366"/>
      <c r="EA16" s="379"/>
      <c r="EB16" s="190">
        <f t="shared" si="42"/>
        <v>549206010.87</v>
      </c>
      <c r="EC16" s="190">
        <f t="shared" si="43"/>
        <v>35731010.870000005</v>
      </c>
      <c r="ED16" s="379">
        <f t="shared" si="44"/>
        <v>36043.910591811109</v>
      </c>
      <c r="EE16" s="380">
        <f t="shared" si="45"/>
        <v>2.3626485428476934E-2</v>
      </c>
      <c r="EG16" s="190">
        <f t="shared" si="46"/>
        <v>0</v>
      </c>
      <c r="EH16" s="379">
        <f t="shared" si="47"/>
        <v>0</v>
      </c>
      <c r="EI16" s="380">
        <f t="shared" si="48"/>
        <v>0</v>
      </c>
      <c r="EJ16" s="380"/>
      <c r="EK16" s="190">
        <f t="shared" si="49"/>
        <v>513475000</v>
      </c>
      <c r="EL16" s="190">
        <f t="shared" si="50"/>
        <v>0</v>
      </c>
      <c r="EM16" s="190">
        <f t="shared" si="51"/>
        <v>34098.555555555555</v>
      </c>
      <c r="EN16" s="380">
        <f t="shared" si="52"/>
        <v>2.3906675105896103E-2</v>
      </c>
    </row>
    <row r="17" spans="1:144">
      <c r="A17" s="378">
        <f t="shared" si="53"/>
        <v>43288</v>
      </c>
      <c r="D17" s="379">
        <f t="shared" si="1"/>
        <v>0</v>
      </c>
      <c r="E17" s="379">
        <v>35731010.869999997</v>
      </c>
      <c r="F17" s="380">
        <v>1.9599999999999999E-2</v>
      </c>
      <c r="G17" s="379">
        <f t="shared" si="2"/>
        <v>1945.3550362555552</v>
      </c>
      <c r="J17" s="379">
        <f t="shared" si="3"/>
        <v>0</v>
      </c>
      <c r="M17" s="379">
        <f t="shared" si="4"/>
        <v>0</v>
      </c>
      <c r="P17" s="379">
        <f t="shared" si="5"/>
        <v>0</v>
      </c>
      <c r="S17" s="379">
        <f t="shared" si="6"/>
        <v>0</v>
      </c>
      <c r="V17" s="379">
        <f t="shared" si="7"/>
        <v>0</v>
      </c>
      <c r="Y17" s="379">
        <f t="shared" si="8"/>
        <v>0</v>
      </c>
      <c r="AB17" s="379">
        <f t="shared" si="9"/>
        <v>0</v>
      </c>
      <c r="AE17" s="379">
        <v>0</v>
      </c>
      <c r="AH17" s="379">
        <v>0</v>
      </c>
      <c r="AI17" s="381"/>
      <c r="AJ17" s="382"/>
      <c r="AK17" s="379">
        <f t="shared" si="10"/>
        <v>0</v>
      </c>
      <c r="AL17" s="381">
        <f>24900000+35000000</f>
        <v>59900000</v>
      </c>
      <c r="AM17" s="382">
        <v>2.3199999999999998E-2</v>
      </c>
      <c r="AN17" s="379">
        <f t="shared" si="11"/>
        <v>3860.2222222222222</v>
      </c>
      <c r="AO17" s="381">
        <f t="shared" si="0"/>
        <v>50000000</v>
      </c>
      <c r="AP17" s="382">
        <v>2.4E-2</v>
      </c>
      <c r="AQ17" s="379">
        <f t="shared" si="12"/>
        <v>3333.3333333333335</v>
      </c>
      <c r="AR17" s="381">
        <f t="shared" si="13"/>
        <v>235000000</v>
      </c>
      <c r="AS17" s="382">
        <v>2.4E-2</v>
      </c>
      <c r="AT17" s="379">
        <f t="shared" si="14"/>
        <v>15666.666666666666</v>
      </c>
      <c r="AU17" s="381">
        <f t="shared" si="54"/>
        <v>168575000</v>
      </c>
      <c r="AV17" s="382">
        <v>2.4E-2</v>
      </c>
      <c r="AW17" s="379">
        <f t="shared" si="15"/>
        <v>11238.333333333334</v>
      </c>
      <c r="AZ17" s="379">
        <f t="shared" si="16"/>
        <v>0</v>
      </c>
      <c r="BC17" s="379">
        <f t="shared" si="17"/>
        <v>0</v>
      </c>
      <c r="BF17" s="379">
        <f t="shared" si="18"/>
        <v>0</v>
      </c>
      <c r="BI17" s="379">
        <f t="shared" si="19"/>
        <v>0</v>
      </c>
      <c r="BL17" s="379">
        <f t="shared" si="20"/>
        <v>0</v>
      </c>
      <c r="BO17" s="379">
        <f t="shared" si="21"/>
        <v>0</v>
      </c>
      <c r="BR17" s="379">
        <f t="shared" si="22"/>
        <v>0</v>
      </c>
      <c r="BU17" s="379">
        <f t="shared" si="23"/>
        <v>0</v>
      </c>
      <c r="BX17" s="379">
        <f t="shared" si="24"/>
        <v>0</v>
      </c>
      <c r="CA17" s="379">
        <f t="shared" si="25"/>
        <v>0</v>
      </c>
      <c r="CD17" s="379">
        <f t="shared" si="26"/>
        <v>0</v>
      </c>
      <c r="CG17" s="379">
        <f t="shared" si="27"/>
        <v>0</v>
      </c>
      <c r="CJ17" s="379">
        <f t="shared" si="28"/>
        <v>0</v>
      </c>
      <c r="CM17" s="379">
        <f t="shared" si="29"/>
        <v>0</v>
      </c>
      <c r="CP17" s="379">
        <f t="shared" si="30"/>
        <v>0</v>
      </c>
      <c r="CS17" s="379">
        <f t="shared" si="31"/>
        <v>0</v>
      </c>
      <c r="CV17" s="379">
        <f t="shared" si="32"/>
        <v>0</v>
      </c>
      <c r="CY17" s="379">
        <f t="shared" si="33"/>
        <v>0</v>
      </c>
      <c r="DB17" s="379">
        <f t="shared" si="34"/>
        <v>0</v>
      </c>
      <c r="DE17" s="379">
        <f t="shared" si="35"/>
        <v>0</v>
      </c>
      <c r="DH17" s="379">
        <f t="shared" si="36"/>
        <v>0</v>
      </c>
      <c r="DK17" s="379">
        <f t="shared" si="37"/>
        <v>0</v>
      </c>
      <c r="DN17" s="379">
        <f t="shared" si="38"/>
        <v>0</v>
      </c>
      <c r="DQ17" s="379">
        <f t="shared" si="39"/>
        <v>0</v>
      </c>
      <c r="DT17" s="379">
        <f t="shared" si="40"/>
        <v>0</v>
      </c>
      <c r="DW17" s="379">
        <f t="shared" si="41"/>
        <v>0</v>
      </c>
      <c r="DY17" s="384"/>
      <c r="DZ17" s="366"/>
      <c r="EA17" s="379"/>
      <c r="EB17" s="190">
        <f t="shared" si="42"/>
        <v>549206010.87</v>
      </c>
      <c r="EC17" s="190">
        <f t="shared" si="43"/>
        <v>35731010.870000005</v>
      </c>
      <c r="ED17" s="379">
        <f t="shared" si="44"/>
        <v>36043.910591811109</v>
      </c>
      <c r="EE17" s="380">
        <f t="shared" si="45"/>
        <v>2.3626485428476934E-2</v>
      </c>
      <c r="EG17" s="190">
        <f t="shared" si="46"/>
        <v>0</v>
      </c>
      <c r="EH17" s="379">
        <f t="shared" si="47"/>
        <v>0</v>
      </c>
      <c r="EI17" s="380">
        <f t="shared" si="48"/>
        <v>0</v>
      </c>
      <c r="EJ17" s="380"/>
      <c r="EK17" s="190">
        <f t="shared" si="49"/>
        <v>513475000</v>
      </c>
      <c r="EL17" s="190">
        <f t="shared" si="50"/>
        <v>0</v>
      </c>
      <c r="EM17" s="190">
        <f t="shared" si="51"/>
        <v>34098.555555555555</v>
      </c>
      <c r="EN17" s="380">
        <f t="shared" si="52"/>
        <v>2.3906675105896103E-2</v>
      </c>
    </row>
    <row r="18" spans="1:144">
      <c r="A18" s="378">
        <f t="shared" si="53"/>
        <v>43289</v>
      </c>
      <c r="D18" s="379">
        <f t="shared" si="1"/>
        <v>0</v>
      </c>
      <c r="E18" s="379">
        <v>35731010.869999997</v>
      </c>
      <c r="F18" s="380">
        <v>1.9599999999999999E-2</v>
      </c>
      <c r="G18" s="379">
        <f t="shared" si="2"/>
        <v>1945.3550362555552</v>
      </c>
      <c r="J18" s="379">
        <f t="shared" si="3"/>
        <v>0</v>
      </c>
      <c r="M18" s="379">
        <f t="shared" si="4"/>
        <v>0</v>
      </c>
      <c r="P18" s="379">
        <f t="shared" si="5"/>
        <v>0</v>
      </c>
      <c r="S18" s="379">
        <f t="shared" si="6"/>
        <v>0</v>
      </c>
      <c r="V18" s="379">
        <f t="shared" si="7"/>
        <v>0</v>
      </c>
      <c r="Y18" s="379">
        <f t="shared" si="8"/>
        <v>0</v>
      </c>
      <c r="AB18" s="379">
        <f t="shared" si="9"/>
        <v>0</v>
      </c>
      <c r="AE18" s="379">
        <v>0</v>
      </c>
      <c r="AH18" s="379">
        <v>0</v>
      </c>
      <c r="AI18" s="381"/>
      <c r="AJ18" s="382"/>
      <c r="AK18" s="379">
        <f t="shared" si="10"/>
        <v>0</v>
      </c>
      <c r="AL18" s="381">
        <f>24900000+35000000</f>
        <v>59900000</v>
      </c>
      <c r="AM18" s="382">
        <v>2.3199999999999998E-2</v>
      </c>
      <c r="AN18" s="379">
        <f t="shared" si="11"/>
        <v>3860.2222222222222</v>
      </c>
      <c r="AO18" s="381">
        <f t="shared" si="0"/>
        <v>50000000</v>
      </c>
      <c r="AP18" s="382">
        <v>2.4E-2</v>
      </c>
      <c r="AQ18" s="379">
        <f t="shared" si="12"/>
        <v>3333.3333333333335</v>
      </c>
      <c r="AR18" s="381">
        <f t="shared" si="13"/>
        <v>235000000</v>
      </c>
      <c r="AS18" s="382">
        <v>2.4E-2</v>
      </c>
      <c r="AT18" s="379">
        <f t="shared" si="14"/>
        <v>15666.666666666666</v>
      </c>
      <c r="AU18" s="381">
        <f t="shared" si="54"/>
        <v>168575000</v>
      </c>
      <c r="AV18" s="382">
        <v>2.4E-2</v>
      </c>
      <c r="AW18" s="379">
        <f t="shared" si="15"/>
        <v>11238.333333333334</v>
      </c>
      <c r="AZ18" s="379">
        <f t="shared" si="16"/>
        <v>0</v>
      </c>
      <c r="BC18" s="379">
        <f t="shared" si="17"/>
        <v>0</v>
      </c>
      <c r="BF18" s="379">
        <f t="shared" si="18"/>
        <v>0</v>
      </c>
      <c r="BI18" s="379">
        <f t="shared" si="19"/>
        <v>0</v>
      </c>
      <c r="BL18" s="379">
        <f t="shared" si="20"/>
        <v>0</v>
      </c>
      <c r="BO18" s="379">
        <f t="shared" si="21"/>
        <v>0</v>
      </c>
      <c r="BR18" s="379">
        <f t="shared" si="22"/>
        <v>0</v>
      </c>
      <c r="BU18" s="379">
        <f t="shared" si="23"/>
        <v>0</v>
      </c>
      <c r="BX18" s="379">
        <f t="shared" si="24"/>
        <v>0</v>
      </c>
      <c r="CA18" s="379">
        <f t="shared" si="25"/>
        <v>0</v>
      </c>
      <c r="CD18" s="379">
        <f t="shared" si="26"/>
        <v>0</v>
      </c>
      <c r="CG18" s="379">
        <f t="shared" si="27"/>
        <v>0</v>
      </c>
      <c r="CJ18" s="379">
        <f t="shared" si="28"/>
        <v>0</v>
      </c>
      <c r="CM18" s="379">
        <f t="shared" si="29"/>
        <v>0</v>
      </c>
      <c r="CP18" s="379">
        <f t="shared" si="30"/>
        <v>0</v>
      </c>
      <c r="CS18" s="379">
        <f t="shared" si="31"/>
        <v>0</v>
      </c>
      <c r="CV18" s="379">
        <f t="shared" si="32"/>
        <v>0</v>
      </c>
      <c r="CY18" s="379">
        <f t="shared" si="33"/>
        <v>0</v>
      </c>
      <c r="DB18" s="379">
        <f t="shared" si="34"/>
        <v>0</v>
      </c>
      <c r="DE18" s="379">
        <f t="shared" si="35"/>
        <v>0</v>
      </c>
      <c r="DH18" s="379">
        <f t="shared" si="36"/>
        <v>0</v>
      </c>
      <c r="DK18" s="379">
        <f t="shared" si="37"/>
        <v>0</v>
      </c>
      <c r="DN18" s="379">
        <f t="shared" si="38"/>
        <v>0</v>
      </c>
      <c r="DQ18" s="379">
        <f t="shared" si="39"/>
        <v>0</v>
      </c>
      <c r="DT18" s="379">
        <f t="shared" si="40"/>
        <v>0</v>
      </c>
      <c r="DW18" s="379">
        <f t="shared" si="41"/>
        <v>0</v>
      </c>
      <c r="DY18" s="384"/>
      <c r="DZ18" s="366"/>
      <c r="EA18" s="379"/>
      <c r="EB18" s="190">
        <f t="shared" si="42"/>
        <v>549206010.87</v>
      </c>
      <c r="EC18" s="190">
        <f t="shared" si="43"/>
        <v>35731010.870000005</v>
      </c>
      <c r="ED18" s="379">
        <f t="shared" si="44"/>
        <v>36043.910591811109</v>
      </c>
      <c r="EE18" s="380">
        <f t="shared" si="45"/>
        <v>2.3626485428476934E-2</v>
      </c>
      <c r="EG18" s="190">
        <f t="shared" si="46"/>
        <v>0</v>
      </c>
      <c r="EH18" s="379">
        <f t="shared" si="47"/>
        <v>0</v>
      </c>
      <c r="EI18" s="380">
        <f t="shared" si="48"/>
        <v>0</v>
      </c>
      <c r="EJ18" s="380"/>
      <c r="EK18" s="190">
        <f t="shared" si="49"/>
        <v>513475000</v>
      </c>
      <c r="EL18" s="190">
        <f t="shared" si="50"/>
        <v>0</v>
      </c>
      <c r="EM18" s="190">
        <f t="shared" si="51"/>
        <v>34098.555555555555</v>
      </c>
      <c r="EN18" s="380">
        <f t="shared" si="52"/>
        <v>2.3906675105896103E-2</v>
      </c>
    </row>
    <row r="19" spans="1:144">
      <c r="A19" s="378">
        <f t="shared" si="53"/>
        <v>43290</v>
      </c>
      <c r="D19" s="379">
        <f t="shared" si="1"/>
        <v>0</v>
      </c>
      <c r="E19" s="379">
        <v>31676359.879999999</v>
      </c>
      <c r="F19" s="380">
        <v>1.9099999999999999E-2</v>
      </c>
      <c r="G19" s="379">
        <f t="shared" si="2"/>
        <v>1680.6068714111109</v>
      </c>
      <c r="J19" s="379">
        <f t="shared" si="3"/>
        <v>0</v>
      </c>
      <c r="M19" s="379">
        <f t="shared" si="4"/>
        <v>0</v>
      </c>
      <c r="P19" s="379">
        <f t="shared" si="5"/>
        <v>0</v>
      </c>
      <c r="S19" s="379">
        <f t="shared" si="6"/>
        <v>0</v>
      </c>
      <c r="V19" s="379">
        <f t="shared" si="7"/>
        <v>0</v>
      </c>
      <c r="Y19" s="379">
        <f t="shared" si="8"/>
        <v>0</v>
      </c>
      <c r="AB19" s="379">
        <f t="shared" si="9"/>
        <v>0</v>
      </c>
      <c r="AE19" s="379">
        <v>0</v>
      </c>
      <c r="AH19" s="379">
        <v>0</v>
      </c>
      <c r="AI19" s="381">
        <f>37000000+27275000</f>
        <v>64275000</v>
      </c>
      <c r="AJ19" s="382">
        <v>2.3E-2</v>
      </c>
      <c r="AK19" s="379">
        <f t="shared" si="10"/>
        <v>4106.458333333333</v>
      </c>
      <c r="AL19" s="381"/>
      <c r="AM19" s="382"/>
      <c r="AN19" s="379">
        <f t="shared" si="11"/>
        <v>0</v>
      </c>
      <c r="AO19" s="381">
        <f t="shared" si="0"/>
        <v>50000000</v>
      </c>
      <c r="AP19" s="382">
        <v>2.4E-2</v>
      </c>
      <c r="AQ19" s="379">
        <f t="shared" si="12"/>
        <v>3333.3333333333335</v>
      </c>
      <c r="AR19" s="381">
        <f t="shared" si="13"/>
        <v>235000000</v>
      </c>
      <c r="AS19" s="382">
        <v>2.4E-2</v>
      </c>
      <c r="AT19" s="379">
        <f t="shared" si="14"/>
        <v>15666.666666666666</v>
      </c>
      <c r="AU19" s="381">
        <f t="shared" si="54"/>
        <v>168575000</v>
      </c>
      <c r="AV19" s="382">
        <v>2.4E-2</v>
      </c>
      <c r="AW19" s="379">
        <f t="shared" si="15"/>
        <v>11238.333333333334</v>
      </c>
      <c r="AZ19" s="379">
        <f t="shared" si="16"/>
        <v>0</v>
      </c>
      <c r="BC19" s="379">
        <f t="shared" si="17"/>
        <v>0</v>
      </c>
      <c r="BF19" s="379">
        <f t="shared" si="18"/>
        <v>0</v>
      </c>
      <c r="BI19" s="379">
        <f t="shared" si="19"/>
        <v>0</v>
      </c>
      <c r="BL19" s="379">
        <f t="shared" si="20"/>
        <v>0</v>
      </c>
      <c r="BO19" s="379">
        <f t="shared" si="21"/>
        <v>0</v>
      </c>
      <c r="BR19" s="379">
        <f t="shared" si="22"/>
        <v>0</v>
      </c>
      <c r="BU19" s="379">
        <f t="shared" si="23"/>
        <v>0</v>
      </c>
      <c r="BX19" s="379">
        <f t="shared" si="24"/>
        <v>0</v>
      </c>
      <c r="CA19" s="379">
        <f t="shared" si="25"/>
        <v>0</v>
      </c>
      <c r="CD19" s="379">
        <f t="shared" si="26"/>
        <v>0</v>
      </c>
      <c r="CG19" s="379">
        <f t="shared" si="27"/>
        <v>0</v>
      </c>
      <c r="CJ19" s="379">
        <f t="shared" si="28"/>
        <v>0</v>
      </c>
      <c r="CM19" s="379">
        <f t="shared" si="29"/>
        <v>0</v>
      </c>
      <c r="CP19" s="379">
        <f t="shared" si="30"/>
        <v>0</v>
      </c>
      <c r="CS19" s="379">
        <f t="shared" si="31"/>
        <v>0</v>
      </c>
      <c r="CV19" s="379">
        <f t="shared" si="32"/>
        <v>0</v>
      </c>
      <c r="CY19" s="379">
        <f t="shared" si="33"/>
        <v>0</v>
      </c>
      <c r="DB19" s="379">
        <f t="shared" si="34"/>
        <v>0</v>
      </c>
      <c r="DE19" s="379">
        <f t="shared" si="35"/>
        <v>0</v>
      </c>
      <c r="DH19" s="379">
        <f t="shared" si="36"/>
        <v>0</v>
      </c>
      <c r="DK19" s="379">
        <f t="shared" si="37"/>
        <v>0</v>
      </c>
      <c r="DN19" s="379">
        <f t="shared" si="38"/>
        <v>0</v>
      </c>
      <c r="DQ19" s="379">
        <f t="shared" si="39"/>
        <v>0</v>
      </c>
      <c r="DT19" s="379">
        <f t="shared" si="40"/>
        <v>0</v>
      </c>
      <c r="DW19" s="379">
        <f t="shared" si="41"/>
        <v>0</v>
      </c>
      <c r="DY19" s="384"/>
      <c r="DZ19" s="366"/>
      <c r="EA19" s="379"/>
      <c r="EB19" s="190">
        <f t="shared" si="42"/>
        <v>549526359.88</v>
      </c>
      <c r="EC19" s="190">
        <f t="shared" si="43"/>
        <v>31676359.879999995</v>
      </c>
      <c r="ED19" s="379">
        <f t="shared" si="44"/>
        <v>36025.398538077781</v>
      </c>
      <c r="EE19" s="380">
        <f t="shared" si="45"/>
        <v>2.360058483189063E-2</v>
      </c>
      <c r="EG19" s="190">
        <f t="shared" si="46"/>
        <v>0</v>
      </c>
      <c r="EH19" s="379">
        <f t="shared" si="47"/>
        <v>0</v>
      </c>
      <c r="EI19" s="380">
        <f t="shared" si="48"/>
        <v>0</v>
      </c>
      <c r="EJ19" s="380"/>
      <c r="EK19" s="190">
        <f t="shared" si="49"/>
        <v>517850000</v>
      </c>
      <c r="EL19" s="190">
        <f t="shared" si="50"/>
        <v>0</v>
      </c>
      <c r="EM19" s="190">
        <f t="shared" si="51"/>
        <v>34344.791666666664</v>
      </c>
      <c r="EN19" s="380">
        <f t="shared" si="52"/>
        <v>2.3875881046635124E-2</v>
      </c>
    </row>
    <row r="20" spans="1:144">
      <c r="A20" s="378">
        <f t="shared" si="53"/>
        <v>43291</v>
      </c>
      <c r="D20" s="379">
        <f t="shared" si="1"/>
        <v>0</v>
      </c>
      <c r="E20" s="379">
        <v>35258981.799999997</v>
      </c>
      <c r="F20" s="380">
        <v>1.9799999999999998E-2</v>
      </c>
      <c r="G20" s="379">
        <f t="shared" si="2"/>
        <v>1939.2439989999998</v>
      </c>
      <c r="J20" s="379">
        <f t="shared" si="3"/>
        <v>0</v>
      </c>
      <c r="M20" s="379">
        <f t="shared" si="4"/>
        <v>0</v>
      </c>
      <c r="P20" s="379">
        <f t="shared" si="5"/>
        <v>0</v>
      </c>
      <c r="S20" s="379">
        <f t="shared" si="6"/>
        <v>0</v>
      </c>
      <c r="V20" s="379">
        <f t="shared" si="7"/>
        <v>0</v>
      </c>
      <c r="Y20" s="379">
        <f t="shared" si="8"/>
        <v>0</v>
      </c>
      <c r="AB20" s="379">
        <f t="shared" si="9"/>
        <v>0</v>
      </c>
      <c r="AE20" s="379">
        <v>0</v>
      </c>
      <c r="AH20" s="379">
        <v>0</v>
      </c>
      <c r="AI20" s="381">
        <f>35000000+25975000</f>
        <v>60975000</v>
      </c>
      <c r="AJ20" s="382">
        <v>2.2800000000000001E-2</v>
      </c>
      <c r="AK20" s="379">
        <f t="shared" si="10"/>
        <v>3861.75</v>
      </c>
      <c r="AL20" s="381"/>
      <c r="AM20" s="382"/>
      <c r="AN20" s="379">
        <f t="shared" si="11"/>
        <v>0</v>
      </c>
      <c r="AO20" s="381">
        <f t="shared" si="0"/>
        <v>50000000</v>
      </c>
      <c r="AP20" s="382">
        <v>2.4E-2</v>
      </c>
      <c r="AQ20" s="379">
        <f t="shared" si="12"/>
        <v>3333.3333333333335</v>
      </c>
      <c r="AR20" s="381">
        <f t="shared" si="13"/>
        <v>235000000</v>
      </c>
      <c r="AS20" s="382">
        <v>2.4E-2</v>
      </c>
      <c r="AT20" s="379">
        <f t="shared" si="14"/>
        <v>15666.666666666666</v>
      </c>
      <c r="AU20" s="381">
        <f t="shared" si="54"/>
        <v>168575000</v>
      </c>
      <c r="AV20" s="382">
        <v>2.4E-2</v>
      </c>
      <c r="AW20" s="379">
        <f t="shared" si="15"/>
        <v>11238.333333333334</v>
      </c>
      <c r="AZ20" s="379">
        <f t="shared" si="16"/>
        <v>0</v>
      </c>
      <c r="BC20" s="379">
        <f t="shared" si="17"/>
        <v>0</v>
      </c>
      <c r="BF20" s="379">
        <f t="shared" si="18"/>
        <v>0</v>
      </c>
      <c r="BI20" s="379">
        <f t="shared" si="19"/>
        <v>0</v>
      </c>
      <c r="BL20" s="379">
        <f t="shared" si="20"/>
        <v>0</v>
      </c>
      <c r="BO20" s="379">
        <f t="shared" si="21"/>
        <v>0</v>
      </c>
      <c r="BR20" s="379">
        <f t="shared" si="22"/>
        <v>0</v>
      </c>
      <c r="BU20" s="379">
        <f t="shared" si="23"/>
        <v>0</v>
      </c>
      <c r="BX20" s="379">
        <f t="shared" si="24"/>
        <v>0</v>
      </c>
      <c r="CA20" s="379">
        <f t="shared" si="25"/>
        <v>0</v>
      </c>
      <c r="CD20" s="379">
        <f t="shared" si="26"/>
        <v>0</v>
      </c>
      <c r="CG20" s="379">
        <f t="shared" si="27"/>
        <v>0</v>
      </c>
      <c r="CJ20" s="379">
        <f t="shared" si="28"/>
        <v>0</v>
      </c>
      <c r="CM20" s="379">
        <f t="shared" si="29"/>
        <v>0</v>
      </c>
      <c r="CP20" s="379">
        <f t="shared" si="30"/>
        <v>0</v>
      </c>
      <c r="CS20" s="379">
        <f t="shared" si="31"/>
        <v>0</v>
      </c>
      <c r="CV20" s="379">
        <f t="shared" si="32"/>
        <v>0</v>
      </c>
      <c r="CY20" s="379">
        <f t="shared" si="33"/>
        <v>0</v>
      </c>
      <c r="DB20" s="379">
        <f t="shared" si="34"/>
        <v>0</v>
      </c>
      <c r="DE20" s="379">
        <f t="shared" si="35"/>
        <v>0</v>
      </c>
      <c r="DH20" s="379">
        <f t="shared" si="36"/>
        <v>0</v>
      </c>
      <c r="DK20" s="379">
        <f t="shared" si="37"/>
        <v>0</v>
      </c>
      <c r="DN20" s="379">
        <f t="shared" si="38"/>
        <v>0</v>
      </c>
      <c r="DQ20" s="379">
        <f t="shared" si="39"/>
        <v>0</v>
      </c>
      <c r="DT20" s="379">
        <f t="shared" si="40"/>
        <v>0</v>
      </c>
      <c r="DW20" s="379">
        <f t="shared" si="41"/>
        <v>0</v>
      </c>
      <c r="DY20" s="384"/>
      <c r="DZ20" s="366"/>
      <c r="EA20" s="379"/>
      <c r="EB20" s="190">
        <f t="shared" si="42"/>
        <v>549808981.79999995</v>
      </c>
      <c r="EC20" s="190">
        <f t="shared" si="43"/>
        <v>35258981.799999952</v>
      </c>
      <c r="ED20" s="379">
        <f t="shared" si="44"/>
        <v>36039.327332333334</v>
      </c>
      <c r="EE20" s="380">
        <f t="shared" si="45"/>
        <v>2.3597573464813851E-2</v>
      </c>
      <c r="EG20" s="190">
        <f t="shared" si="46"/>
        <v>0</v>
      </c>
      <c r="EH20" s="379">
        <f t="shared" si="47"/>
        <v>0</v>
      </c>
      <c r="EI20" s="380">
        <f t="shared" si="48"/>
        <v>0</v>
      </c>
      <c r="EJ20" s="380"/>
      <c r="EK20" s="190">
        <f t="shared" si="49"/>
        <v>514550000</v>
      </c>
      <c r="EL20" s="190">
        <f t="shared" si="50"/>
        <v>0</v>
      </c>
      <c r="EM20" s="190">
        <f t="shared" si="51"/>
        <v>34100.083333333328</v>
      </c>
      <c r="EN20" s="380">
        <f t="shared" si="52"/>
        <v>2.3857798075988725E-2</v>
      </c>
    </row>
    <row r="21" spans="1:144">
      <c r="A21" s="378">
        <f t="shared" si="53"/>
        <v>43292</v>
      </c>
      <c r="D21" s="379">
        <f t="shared" si="1"/>
        <v>0</v>
      </c>
      <c r="E21" s="379">
        <v>27428156.43</v>
      </c>
      <c r="F21" s="380">
        <v>1.9699999999999999E-2</v>
      </c>
      <c r="G21" s="379">
        <f t="shared" si="2"/>
        <v>1500.9296713083334</v>
      </c>
      <c r="J21" s="379">
        <f t="shared" si="3"/>
        <v>0</v>
      </c>
      <c r="M21" s="379">
        <f t="shared" si="4"/>
        <v>0</v>
      </c>
      <c r="P21" s="379">
        <f t="shared" si="5"/>
        <v>0</v>
      </c>
      <c r="S21" s="379">
        <f t="shared" si="6"/>
        <v>0</v>
      </c>
      <c r="V21" s="379">
        <f t="shared" si="7"/>
        <v>0</v>
      </c>
      <c r="Y21" s="379">
        <f t="shared" si="8"/>
        <v>0</v>
      </c>
      <c r="AB21" s="379">
        <f t="shared" si="9"/>
        <v>0</v>
      </c>
      <c r="AE21" s="379">
        <v>0</v>
      </c>
      <c r="AH21" s="379">
        <v>0</v>
      </c>
      <c r="AI21" s="381">
        <f>40000000+28925000</f>
        <v>68925000</v>
      </c>
      <c r="AJ21" s="382">
        <v>2.2800000000000001E-2</v>
      </c>
      <c r="AK21" s="379">
        <f t="shared" si="10"/>
        <v>4365.25</v>
      </c>
      <c r="AL21" s="381"/>
      <c r="AM21" s="382"/>
      <c r="AN21" s="379">
        <f t="shared" si="11"/>
        <v>0</v>
      </c>
      <c r="AO21" s="381">
        <f t="shared" si="0"/>
        <v>50000000</v>
      </c>
      <c r="AP21" s="382">
        <v>2.4E-2</v>
      </c>
      <c r="AQ21" s="379">
        <f t="shared" si="12"/>
        <v>3333.3333333333335</v>
      </c>
      <c r="AR21" s="381">
        <f t="shared" si="13"/>
        <v>235000000</v>
      </c>
      <c r="AS21" s="382">
        <v>2.4E-2</v>
      </c>
      <c r="AT21" s="379">
        <f t="shared" si="14"/>
        <v>15666.666666666666</v>
      </c>
      <c r="AU21" s="381">
        <f t="shared" si="54"/>
        <v>168575000</v>
      </c>
      <c r="AV21" s="382">
        <v>2.4E-2</v>
      </c>
      <c r="AW21" s="379">
        <f t="shared" si="15"/>
        <v>11238.333333333334</v>
      </c>
      <c r="AZ21" s="379">
        <f t="shared" si="16"/>
        <v>0</v>
      </c>
      <c r="BC21" s="379">
        <f t="shared" si="17"/>
        <v>0</v>
      </c>
      <c r="BF21" s="379">
        <f t="shared" si="18"/>
        <v>0</v>
      </c>
      <c r="BI21" s="379">
        <f t="shared" si="19"/>
        <v>0</v>
      </c>
      <c r="BL21" s="379">
        <f t="shared" si="20"/>
        <v>0</v>
      </c>
      <c r="BO21" s="379">
        <f t="shared" si="21"/>
        <v>0</v>
      </c>
      <c r="BR21" s="379">
        <f t="shared" si="22"/>
        <v>0</v>
      </c>
      <c r="BU21" s="379">
        <f t="shared" si="23"/>
        <v>0</v>
      </c>
      <c r="BX21" s="379">
        <f t="shared" si="24"/>
        <v>0</v>
      </c>
      <c r="CA21" s="379">
        <f t="shared" si="25"/>
        <v>0</v>
      </c>
      <c r="CD21" s="379">
        <f t="shared" si="26"/>
        <v>0</v>
      </c>
      <c r="CG21" s="379">
        <f t="shared" si="27"/>
        <v>0</v>
      </c>
      <c r="CJ21" s="379">
        <f t="shared" si="28"/>
        <v>0</v>
      </c>
      <c r="CM21" s="379">
        <f t="shared" si="29"/>
        <v>0</v>
      </c>
      <c r="CP21" s="379">
        <f t="shared" si="30"/>
        <v>0</v>
      </c>
      <c r="CS21" s="379">
        <f t="shared" si="31"/>
        <v>0</v>
      </c>
      <c r="CV21" s="379">
        <f t="shared" si="32"/>
        <v>0</v>
      </c>
      <c r="CY21" s="379">
        <f t="shared" si="33"/>
        <v>0</v>
      </c>
      <c r="DB21" s="379">
        <f t="shared" si="34"/>
        <v>0</v>
      </c>
      <c r="DE21" s="379">
        <f t="shared" si="35"/>
        <v>0</v>
      </c>
      <c r="DH21" s="379">
        <f t="shared" si="36"/>
        <v>0</v>
      </c>
      <c r="DK21" s="379">
        <f t="shared" si="37"/>
        <v>0</v>
      </c>
      <c r="DN21" s="379">
        <f t="shared" si="38"/>
        <v>0</v>
      </c>
      <c r="DQ21" s="379">
        <f t="shared" si="39"/>
        <v>0</v>
      </c>
      <c r="DT21" s="379">
        <f t="shared" si="40"/>
        <v>0</v>
      </c>
      <c r="DW21" s="379">
        <f t="shared" si="41"/>
        <v>0</v>
      </c>
      <c r="DY21" s="384"/>
      <c r="DZ21" s="366"/>
      <c r="EA21" s="379"/>
      <c r="EB21" s="190">
        <f t="shared" si="42"/>
        <v>549928156.43000007</v>
      </c>
      <c r="EC21" s="190">
        <f t="shared" si="43"/>
        <v>27428156.430000067</v>
      </c>
      <c r="ED21" s="379">
        <f t="shared" si="44"/>
        <v>36104.513004641667</v>
      </c>
      <c r="EE21" s="380">
        <f t="shared" si="45"/>
        <v>2.3635132207174878E-2</v>
      </c>
      <c r="EG21" s="190">
        <f t="shared" si="46"/>
        <v>0</v>
      </c>
      <c r="EH21" s="379">
        <f t="shared" si="47"/>
        <v>0</v>
      </c>
      <c r="EI21" s="380">
        <f t="shared" si="48"/>
        <v>0</v>
      </c>
      <c r="EJ21" s="380"/>
      <c r="EK21" s="190">
        <f t="shared" si="49"/>
        <v>522500000</v>
      </c>
      <c r="EL21" s="190">
        <f t="shared" si="50"/>
        <v>0</v>
      </c>
      <c r="EM21" s="190">
        <f t="shared" si="51"/>
        <v>34603.583333333328</v>
      </c>
      <c r="EN21" s="380">
        <f t="shared" si="52"/>
        <v>2.3841703349282293E-2</v>
      </c>
    </row>
    <row r="22" spans="1:144">
      <c r="A22" s="378">
        <f t="shared" si="53"/>
        <v>43293</v>
      </c>
      <c r="D22" s="379">
        <f t="shared" si="1"/>
        <v>0</v>
      </c>
      <c r="E22" s="379">
        <v>25872007.02</v>
      </c>
      <c r="F22" s="380">
        <v>1.9699999999999999E-2</v>
      </c>
      <c r="G22" s="379">
        <f t="shared" si="2"/>
        <v>1415.7737174833333</v>
      </c>
      <c r="J22" s="379">
        <f t="shared" si="3"/>
        <v>0</v>
      </c>
      <c r="M22" s="379">
        <f t="shared" si="4"/>
        <v>0</v>
      </c>
      <c r="P22" s="379">
        <f t="shared" si="5"/>
        <v>0</v>
      </c>
      <c r="S22" s="379">
        <f t="shared" si="6"/>
        <v>0</v>
      </c>
      <c r="V22" s="379">
        <f t="shared" si="7"/>
        <v>0</v>
      </c>
      <c r="Y22" s="379">
        <f t="shared" si="8"/>
        <v>0</v>
      </c>
      <c r="AB22" s="379">
        <f t="shared" si="9"/>
        <v>0</v>
      </c>
      <c r="AE22" s="379">
        <v>0</v>
      </c>
      <c r="AH22" s="379">
        <v>0</v>
      </c>
      <c r="AI22" s="381">
        <f>40000000+28300000</f>
        <v>68300000</v>
      </c>
      <c r="AJ22" s="382">
        <v>2.2800000000000001E-2</v>
      </c>
      <c r="AK22" s="379">
        <f t="shared" si="10"/>
        <v>4325.666666666667</v>
      </c>
      <c r="AL22" s="381"/>
      <c r="AM22" s="382"/>
      <c r="AN22" s="379">
        <f t="shared" si="11"/>
        <v>0</v>
      </c>
      <c r="AO22" s="381">
        <f t="shared" si="0"/>
        <v>50000000</v>
      </c>
      <c r="AP22" s="382">
        <v>2.4E-2</v>
      </c>
      <c r="AQ22" s="379">
        <f t="shared" si="12"/>
        <v>3333.3333333333335</v>
      </c>
      <c r="AR22" s="381">
        <f t="shared" si="13"/>
        <v>235000000</v>
      </c>
      <c r="AS22" s="382">
        <v>2.4E-2</v>
      </c>
      <c r="AT22" s="379">
        <f t="shared" si="14"/>
        <v>15666.666666666666</v>
      </c>
      <c r="AU22" s="381">
        <f t="shared" si="54"/>
        <v>168575000</v>
      </c>
      <c r="AV22" s="382">
        <v>2.4E-2</v>
      </c>
      <c r="AW22" s="379">
        <f t="shared" si="15"/>
        <v>11238.333333333334</v>
      </c>
      <c r="AZ22" s="379">
        <f t="shared" si="16"/>
        <v>0</v>
      </c>
      <c r="BC22" s="379">
        <f t="shared" si="17"/>
        <v>0</v>
      </c>
      <c r="BF22" s="379">
        <f t="shared" si="18"/>
        <v>0</v>
      </c>
      <c r="BI22" s="379">
        <f t="shared" si="19"/>
        <v>0</v>
      </c>
      <c r="BL22" s="379">
        <f t="shared" si="20"/>
        <v>0</v>
      </c>
      <c r="BO22" s="379">
        <f t="shared" si="21"/>
        <v>0</v>
      </c>
      <c r="BR22" s="379">
        <f t="shared" si="22"/>
        <v>0</v>
      </c>
      <c r="BU22" s="379">
        <f t="shared" si="23"/>
        <v>0</v>
      </c>
      <c r="BX22" s="379">
        <f t="shared" si="24"/>
        <v>0</v>
      </c>
      <c r="CA22" s="379">
        <f t="shared" si="25"/>
        <v>0</v>
      </c>
      <c r="CD22" s="379">
        <f t="shared" si="26"/>
        <v>0</v>
      </c>
      <c r="CG22" s="379">
        <f t="shared" si="27"/>
        <v>0</v>
      </c>
      <c r="CJ22" s="379">
        <f t="shared" si="28"/>
        <v>0</v>
      </c>
      <c r="CM22" s="379">
        <f t="shared" si="29"/>
        <v>0</v>
      </c>
      <c r="CP22" s="379">
        <f t="shared" si="30"/>
        <v>0</v>
      </c>
      <c r="CS22" s="379">
        <f t="shared" si="31"/>
        <v>0</v>
      </c>
      <c r="CV22" s="379">
        <f t="shared" si="32"/>
        <v>0</v>
      </c>
      <c r="CY22" s="379">
        <f t="shared" si="33"/>
        <v>0</v>
      </c>
      <c r="DB22" s="379">
        <f t="shared" si="34"/>
        <v>0</v>
      </c>
      <c r="DE22" s="379">
        <f t="shared" si="35"/>
        <v>0</v>
      </c>
      <c r="DH22" s="379">
        <f t="shared" si="36"/>
        <v>0</v>
      </c>
      <c r="DK22" s="379">
        <f t="shared" si="37"/>
        <v>0</v>
      </c>
      <c r="DN22" s="379">
        <f t="shared" si="38"/>
        <v>0</v>
      </c>
      <c r="DQ22" s="379">
        <f t="shared" si="39"/>
        <v>0</v>
      </c>
      <c r="DT22" s="379">
        <f t="shared" si="40"/>
        <v>0</v>
      </c>
      <c r="DW22" s="379">
        <f t="shared" si="41"/>
        <v>0</v>
      </c>
      <c r="DY22" s="384"/>
      <c r="DZ22" s="366"/>
      <c r="EA22" s="379"/>
      <c r="EB22" s="190">
        <f t="shared" si="42"/>
        <v>547747007.01999998</v>
      </c>
      <c r="EC22" s="190">
        <f t="shared" si="43"/>
        <v>25872007.019999981</v>
      </c>
      <c r="ED22" s="379">
        <f t="shared" si="44"/>
        <v>35979.773717483338</v>
      </c>
      <c r="EE22" s="380">
        <f t="shared" si="45"/>
        <v>2.3647264836302532E-2</v>
      </c>
      <c r="EG22" s="190">
        <f t="shared" si="46"/>
        <v>0</v>
      </c>
      <c r="EH22" s="379">
        <f t="shared" si="47"/>
        <v>0</v>
      </c>
      <c r="EI22" s="380">
        <f t="shared" si="48"/>
        <v>0</v>
      </c>
      <c r="EJ22" s="380"/>
      <c r="EK22" s="190">
        <f t="shared" si="49"/>
        <v>521875000</v>
      </c>
      <c r="EL22" s="190">
        <f t="shared" si="50"/>
        <v>0</v>
      </c>
      <c r="EM22" s="190">
        <f t="shared" si="51"/>
        <v>34564</v>
      </c>
      <c r="EN22" s="380">
        <f t="shared" si="52"/>
        <v>2.3842950898203593E-2</v>
      </c>
    </row>
    <row r="23" spans="1:144">
      <c r="A23" s="378">
        <f t="shared" si="53"/>
        <v>43294</v>
      </c>
      <c r="D23" s="379">
        <f t="shared" si="1"/>
        <v>0</v>
      </c>
      <c r="E23" s="379">
        <v>22097298.760000002</v>
      </c>
      <c r="F23" s="380">
        <v>1.9699999999999999E-2</v>
      </c>
      <c r="G23" s="379">
        <f t="shared" si="2"/>
        <v>1209.2132932555555</v>
      </c>
      <c r="J23" s="379">
        <f t="shared" si="3"/>
        <v>0</v>
      </c>
      <c r="M23" s="379">
        <f t="shared" si="4"/>
        <v>0</v>
      </c>
      <c r="P23" s="379">
        <f t="shared" si="5"/>
        <v>0</v>
      </c>
      <c r="S23" s="379">
        <f t="shared" si="6"/>
        <v>0</v>
      </c>
      <c r="V23" s="379">
        <f t="shared" si="7"/>
        <v>0</v>
      </c>
      <c r="Y23" s="379">
        <f t="shared" si="8"/>
        <v>0</v>
      </c>
      <c r="AB23" s="379">
        <f t="shared" si="9"/>
        <v>0</v>
      </c>
      <c r="AE23" s="379">
        <v>0</v>
      </c>
      <c r="AH23" s="379">
        <v>0</v>
      </c>
      <c r="AI23" s="381">
        <f>40000000+32125000</f>
        <v>72125000</v>
      </c>
      <c r="AJ23" s="382">
        <v>2.2800000000000001E-2</v>
      </c>
      <c r="AK23" s="379">
        <f t="shared" si="10"/>
        <v>4567.916666666667</v>
      </c>
      <c r="AL23" s="381"/>
      <c r="AM23" s="382"/>
      <c r="AN23" s="379">
        <f t="shared" si="11"/>
        <v>0</v>
      </c>
      <c r="AO23" s="381">
        <f t="shared" si="0"/>
        <v>50000000</v>
      </c>
      <c r="AP23" s="382">
        <v>2.4E-2</v>
      </c>
      <c r="AQ23" s="379">
        <f t="shared" si="12"/>
        <v>3333.3333333333335</v>
      </c>
      <c r="AR23" s="381">
        <f t="shared" si="13"/>
        <v>235000000</v>
      </c>
      <c r="AS23" s="382">
        <v>2.4E-2</v>
      </c>
      <c r="AT23" s="379">
        <f t="shared" si="14"/>
        <v>15666.666666666666</v>
      </c>
      <c r="AU23" s="381">
        <f t="shared" si="54"/>
        <v>168575000</v>
      </c>
      <c r="AV23" s="382">
        <v>2.4E-2</v>
      </c>
      <c r="AW23" s="379">
        <f t="shared" si="15"/>
        <v>11238.333333333334</v>
      </c>
      <c r="AZ23" s="379">
        <f t="shared" si="16"/>
        <v>0</v>
      </c>
      <c r="BC23" s="379">
        <f t="shared" si="17"/>
        <v>0</v>
      </c>
      <c r="BF23" s="379">
        <f t="shared" si="18"/>
        <v>0</v>
      </c>
      <c r="BI23" s="379">
        <f t="shared" si="19"/>
        <v>0</v>
      </c>
      <c r="BL23" s="379">
        <f t="shared" si="20"/>
        <v>0</v>
      </c>
      <c r="BO23" s="379">
        <f t="shared" si="21"/>
        <v>0</v>
      </c>
      <c r="BR23" s="379">
        <f t="shared" si="22"/>
        <v>0</v>
      </c>
      <c r="BU23" s="379">
        <f t="shared" si="23"/>
        <v>0</v>
      </c>
      <c r="BX23" s="379">
        <f t="shared" si="24"/>
        <v>0</v>
      </c>
      <c r="CA23" s="379">
        <f t="shared" si="25"/>
        <v>0</v>
      </c>
      <c r="CD23" s="379">
        <f t="shared" si="26"/>
        <v>0</v>
      </c>
      <c r="CG23" s="379">
        <f t="shared" si="27"/>
        <v>0</v>
      </c>
      <c r="CJ23" s="379">
        <f t="shared" si="28"/>
        <v>0</v>
      </c>
      <c r="CM23" s="379">
        <f t="shared" si="29"/>
        <v>0</v>
      </c>
      <c r="CP23" s="379">
        <f t="shared" si="30"/>
        <v>0</v>
      </c>
      <c r="CS23" s="379">
        <f t="shared" si="31"/>
        <v>0</v>
      </c>
      <c r="CV23" s="379">
        <f t="shared" si="32"/>
        <v>0</v>
      </c>
      <c r="CY23" s="379">
        <f t="shared" si="33"/>
        <v>0</v>
      </c>
      <c r="DB23" s="379">
        <f t="shared" si="34"/>
        <v>0</v>
      </c>
      <c r="DE23" s="379">
        <f t="shared" si="35"/>
        <v>0</v>
      </c>
      <c r="DH23" s="379">
        <f t="shared" si="36"/>
        <v>0</v>
      </c>
      <c r="DK23" s="379">
        <f t="shared" si="37"/>
        <v>0</v>
      </c>
      <c r="DN23" s="379">
        <f t="shared" si="38"/>
        <v>0</v>
      </c>
      <c r="DQ23" s="379">
        <f t="shared" si="39"/>
        <v>0</v>
      </c>
      <c r="DT23" s="379">
        <f t="shared" si="40"/>
        <v>0</v>
      </c>
      <c r="DW23" s="379">
        <f t="shared" si="41"/>
        <v>0</v>
      </c>
      <c r="DY23" s="384"/>
      <c r="DZ23" s="366"/>
      <c r="EA23" s="379"/>
      <c r="EB23" s="190">
        <f t="shared" si="42"/>
        <v>547797298.75999999</v>
      </c>
      <c r="EC23" s="190">
        <f t="shared" si="43"/>
        <v>22097298.75999999</v>
      </c>
      <c r="ED23" s="379">
        <f t="shared" si="44"/>
        <v>36015.463293255554</v>
      </c>
      <c r="EE23" s="380">
        <f t="shared" si="45"/>
        <v>2.3668548229282983E-2</v>
      </c>
      <c r="EG23" s="190">
        <f t="shared" si="46"/>
        <v>0</v>
      </c>
      <c r="EH23" s="379">
        <f t="shared" si="47"/>
        <v>0</v>
      </c>
      <c r="EI23" s="380">
        <f t="shared" si="48"/>
        <v>0</v>
      </c>
      <c r="EJ23" s="380"/>
      <c r="EK23" s="190">
        <f t="shared" si="49"/>
        <v>525700000</v>
      </c>
      <c r="EL23" s="190">
        <f t="shared" si="50"/>
        <v>0</v>
      </c>
      <c r="EM23" s="190">
        <f t="shared" si="51"/>
        <v>34806.25</v>
      </c>
      <c r="EN23" s="380">
        <f t="shared" si="52"/>
        <v>2.3835362373977553E-2</v>
      </c>
    </row>
    <row r="24" spans="1:144">
      <c r="A24" s="378">
        <f t="shared" si="53"/>
        <v>43295</v>
      </c>
      <c r="D24" s="379">
        <f t="shared" si="1"/>
        <v>0</v>
      </c>
      <c r="E24" s="379">
        <v>22097298.760000002</v>
      </c>
      <c r="F24" s="380">
        <v>1.9699999999999999E-2</v>
      </c>
      <c r="G24" s="379">
        <f t="shared" si="2"/>
        <v>1209.2132932555555</v>
      </c>
      <c r="J24" s="379">
        <f t="shared" si="3"/>
        <v>0</v>
      </c>
      <c r="M24" s="379">
        <f t="shared" si="4"/>
        <v>0</v>
      </c>
      <c r="P24" s="379">
        <f t="shared" si="5"/>
        <v>0</v>
      </c>
      <c r="S24" s="379">
        <f t="shared" si="6"/>
        <v>0</v>
      </c>
      <c r="V24" s="379">
        <f t="shared" si="7"/>
        <v>0</v>
      </c>
      <c r="Y24" s="379">
        <f t="shared" si="8"/>
        <v>0</v>
      </c>
      <c r="AB24" s="379">
        <f t="shared" si="9"/>
        <v>0</v>
      </c>
      <c r="AE24" s="379">
        <v>0</v>
      </c>
      <c r="AH24" s="379">
        <v>0</v>
      </c>
      <c r="AI24" s="381">
        <f>40000000+32125000</f>
        <v>72125000</v>
      </c>
      <c r="AJ24" s="382">
        <v>2.2800000000000001E-2</v>
      </c>
      <c r="AK24" s="379">
        <f t="shared" si="10"/>
        <v>4567.916666666667</v>
      </c>
      <c r="AL24" s="381"/>
      <c r="AM24" s="382"/>
      <c r="AN24" s="379">
        <f t="shared" si="11"/>
        <v>0</v>
      </c>
      <c r="AO24" s="381">
        <f t="shared" si="0"/>
        <v>50000000</v>
      </c>
      <c r="AP24" s="382">
        <v>2.4E-2</v>
      </c>
      <c r="AQ24" s="379">
        <f t="shared" si="12"/>
        <v>3333.3333333333335</v>
      </c>
      <c r="AR24" s="381">
        <f t="shared" si="13"/>
        <v>235000000</v>
      </c>
      <c r="AS24" s="382">
        <v>2.4E-2</v>
      </c>
      <c r="AT24" s="379">
        <f t="shared" si="14"/>
        <v>15666.666666666666</v>
      </c>
      <c r="AU24" s="381">
        <f t="shared" si="54"/>
        <v>168575000</v>
      </c>
      <c r="AV24" s="382">
        <v>2.4E-2</v>
      </c>
      <c r="AW24" s="379">
        <f t="shared" si="15"/>
        <v>11238.333333333334</v>
      </c>
      <c r="AZ24" s="379">
        <f t="shared" si="16"/>
        <v>0</v>
      </c>
      <c r="BC24" s="379">
        <f t="shared" si="17"/>
        <v>0</v>
      </c>
      <c r="BF24" s="379">
        <f t="shared" si="18"/>
        <v>0</v>
      </c>
      <c r="BI24" s="379">
        <f t="shared" si="19"/>
        <v>0</v>
      </c>
      <c r="BL24" s="379">
        <f t="shared" si="20"/>
        <v>0</v>
      </c>
      <c r="BO24" s="379">
        <f t="shared" si="21"/>
        <v>0</v>
      </c>
      <c r="BR24" s="379">
        <f t="shared" si="22"/>
        <v>0</v>
      </c>
      <c r="BU24" s="379">
        <f t="shared" si="23"/>
        <v>0</v>
      </c>
      <c r="BX24" s="379">
        <f t="shared" si="24"/>
        <v>0</v>
      </c>
      <c r="CA24" s="379">
        <f t="shared" si="25"/>
        <v>0</v>
      </c>
      <c r="CD24" s="379">
        <f t="shared" si="26"/>
        <v>0</v>
      </c>
      <c r="CG24" s="379">
        <f t="shared" si="27"/>
        <v>0</v>
      </c>
      <c r="CJ24" s="379">
        <f t="shared" si="28"/>
        <v>0</v>
      </c>
      <c r="CM24" s="379">
        <f t="shared" si="29"/>
        <v>0</v>
      </c>
      <c r="CP24" s="379">
        <f t="shared" si="30"/>
        <v>0</v>
      </c>
      <c r="CS24" s="379">
        <f t="shared" si="31"/>
        <v>0</v>
      </c>
      <c r="CV24" s="379">
        <f t="shared" si="32"/>
        <v>0</v>
      </c>
      <c r="CY24" s="379">
        <f t="shared" si="33"/>
        <v>0</v>
      </c>
      <c r="DB24" s="379">
        <f t="shared" si="34"/>
        <v>0</v>
      </c>
      <c r="DE24" s="379">
        <f t="shared" si="35"/>
        <v>0</v>
      </c>
      <c r="DH24" s="379">
        <f t="shared" si="36"/>
        <v>0</v>
      </c>
      <c r="DK24" s="379">
        <f t="shared" si="37"/>
        <v>0</v>
      </c>
      <c r="DN24" s="379">
        <f t="shared" si="38"/>
        <v>0</v>
      </c>
      <c r="DQ24" s="379">
        <f t="shared" si="39"/>
        <v>0</v>
      </c>
      <c r="DT24" s="379">
        <f t="shared" si="40"/>
        <v>0</v>
      </c>
      <c r="DW24" s="379">
        <f t="shared" si="41"/>
        <v>0</v>
      </c>
      <c r="DY24" s="384"/>
      <c r="DZ24" s="366"/>
      <c r="EA24" s="379"/>
      <c r="EB24" s="190">
        <f t="shared" si="42"/>
        <v>547797298.75999999</v>
      </c>
      <c r="EC24" s="190">
        <f t="shared" si="43"/>
        <v>22097298.75999999</v>
      </c>
      <c r="ED24" s="379">
        <f t="shared" si="44"/>
        <v>36015.463293255554</v>
      </c>
      <c r="EE24" s="380">
        <f t="shared" si="45"/>
        <v>2.3668548229282983E-2</v>
      </c>
      <c r="EG24" s="190">
        <f t="shared" si="46"/>
        <v>0</v>
      </c>
      <c r="EH24" s="379">
        <f t="shared" si="47"/>
        <v>0</v>
      </c>
      <c r="EI24" s="380">
        <f t="shared" si="48"/>
        <v>0</v>
      </c>
      <c r="EJ24" s="380"/>
      <c r="EK24" s="190">
        <f t="shared" si="49"/>
        <v>525700000</v>
      </c>
      <c r="EL24" s="190">
        <f t="shared" si="50"/>
        <v>0</v>
      </c>
      <c r="EM24" s="190">
        <f t="shared" si="51"/>
        <v>34806.25</v>
      </c>
      <c r="EN24" s="380">
        <f t="shared" si="52"/>
        <v>2.3835362373977553E-2</v>
      </c>
    </row>
    <row r="25" spans="1:144">
      <c r="A25" s="378">
        <f t="shared" si="53"/>
        <v>43296</v>
      </c>
      <c r="D25" s="379">
        <f t="shared" si="1"/>
        <v>0</v>
      </c>
      <c r="E25" s="379">
        <v>22097298.760000002</v>
      </c>
      <c r="F25" s="380">
        <v>1.9699999999999999E-2</v>
      </c>
      <c r="G25" s="379">
        <f t="shared" si="2"/>
        <v>1209.2132932555555</v>
      </c>
      <c r="J25" s="379">
        <f t="shared" si="3"/>
        <v>0</v>
      </c>
      <c r="M25" s="379">
        <f t="shared" si="4"/>
        <v>0</v>
      </c>
      <c r="P25" s="379">
        <f t="shared" si="5"/>
        <v>0</v>
      </c>
      <c r="S25" s="379">
        <f t="shared" si="6"/>
        <v>0</v>
      </c>
      <c r="V25" s="379">
        <f t="shared" si="7"/>
        <v>0</v>
      </c>
      <c r="Y25" s="379">
        <f t="shared" si="8"/>
        <v>0</v>
      </c>
      <c r="AB25" s="379">
        <f t="shared" si="9"/>
        <v>0</v>
      </c>
      <c r="AE25" s="379">
        <v>0</v>
      </c>
      <c r="AH25" s="379">
        <v>0</v>
      </c>
      <c r="AI25" s="381">
        <f>40000000+32125000</f>
        <v>72125000</v>
      </c>
      <c r="AJ25" s="382">
        <v>2.2800000000000001E-2</v>
      </c>
      <c r="AK25" s="379">
        <f t="shared" si="10"/>
        <v>4567.916666666667</v>
      </c>
      <c r="AL25" s="381"/>
      <c r="AM25" s="382"/>
      <c r="AN25" s="379">
        <f t="shared" si="11"/>
        <v>0</v>
      </c>
      <c r="AO25" s="381">
        <f t="shared" si="0"/>
        <v>50000000</v>
      </c>
      <c r="AP25" s="382">
        <v>2.4E-2</v>
      </c>
      <c r="AQ25" s="379">
        <f t="shared" si="12"/>
        <v>3333.3333333333335</v>
      </c>
      <c r="AR25" s="381">
        <f t="shared" si="13"/>
        <v>235000000</v>
      </c>
      <c r="AS25" s="382">
        <v>2.4E-2</v>
      </c>
      <c r="AT25" s="379">
        <f t="shared" si="14"/>
        <v>15666.666666666666</v>
      </c>
      <c r="AU25" s="381">
        <f t="shared" si="54"/>
        <v>168575000</v>
      </c>
      <c r="AV25" s="382">
        <v>2.4E-2</v>
      </c>
      <c r="AW25" s="379">
        <f t="shared" si="15"/>
        <v>11238.333333333334</v>
      </c>
      <c r="AZ25" s="379">
        <f t="shared" si="16"/>
        <v>0</v>
      </c>
      <c r="BC25" s="379">
        <f t="shared" si="17"/>
        <v>0</v>
      </c>
      <c r="BF25" s="379">
        <f t="shared" si="18"/>
        <v>0</v>
      </c>
      <c r="BI25" s="379">
        <f t="shared" si="19"/>
        <v>0</v>
      </c>
      <c r="BL25" s="379">
        <f t="shared" si="20"/>
        <v>0</v>
      </c>
      <c r="BO25" s="379">
        <f t="shared" si="21"/>
        <v>0</v>
      </c>
      <c r="BR25" s="379">
        <f t="shared" si="22"/>
        <v>0</v>
      </c>
      <c r="BU25" s="379">
        <f t="shared" si="23"/>
        <v>0</v>
      </c>
      <c r="BX25" s="379">
        <f t="shared" si="24"/>
        <v>0</v>
      </c>
      <c r="CA25" s="379">
        <f t="shared" si="25"/>
        <v>0</v>
      </c>
      <c r="CD25" s="379">
        <f t="shared" si="26"/>
        <v>0</v>
      </c>
      <c r="CG25" s="379">
        <f t="shared" si="27"/>
        <v>0</v>
      </c>
      <c r="CJ25" s="379">
        <f t="shared" si="28"/>
        <v>0</v>
      </c>
      <c r="CM25" s="379">
        <f t="shared" si="29"/>
        <v>0</v>
      </c>
      <c r="CP25" s="379">
        <f t="shared" si="30"/>
        <v>0</v>
      </c>
      <c r="CS25" s="379">
        <f t="shared" si="31"/>
        <v>0</v>
      </c>
      <c r="CV25" s="379">
        <f t="shared" si="32"/>
        <v>0</v>
      </c>
      <c r="CY25" s="379">
        <f t="shared" si="33"/>
        <v>0</v>
      </c>
      <c r="DB25" s="379">
        <f t="shared" si="34"/>
        <v>0</v>
      </c>
      <c r="DE25" s="379">
        <f t="shared" si="35"/>
        <v>0</v>
      </c>
      <c r="DH25" s="379">
        <f t="shared" si="36"/>
        <v>0</v>
      </c>
      <c r="DK25" s="379">
        <f t="shared" si="37"/>
        <v>0</v>
      </c>
      <c r="DN25" s="379">
        <f t="shared" si="38"/>
        <v>0</v>
      </c>
      <c r="DQ25" s="379">
        <f t="shared" si="39"/>
        <v>0</v>
      </c>
      <c r="DT25" s="379">
        <f t="shared" si="40"/>
        <v>0</v>
      </c>
      <c r="DW25" s="379">
        <f t="shared" si="41"/>
        <v>0</v>
      </c>
      <c r="DY25" s="384"/>
      <c r="DZ25" s="366"/>
      <c r="EA25" s="379"/>
      <c r="EB25" s="190">
        <f t="shared" si="42"/>
        <v>547797298.75999999</v>
      </c>
      <c r="EC25" s="190">
        <f t="shared" si="43"/>
        <v>22097298.75999999</v>
      </c>
      <c r="ED25" s="379">
        <f t="shared" si="44"/>
        <v>36015.463293255554</v>
      </c>
      <c r="EE25" s="380">
        <f t="shared" si="45"/>
        <v>2.3668548229282983E-2</v>
      </c>
      <c r="EG25" s="190">
        <f t="shared" si="46"/>
        <v>0</v>
      </c>
      <c r="EH25" s="379">
        <f t="shared" si="47"/>
        <v>0</v>
      </c>
      <c r="EI25" s="380">
        <f t="shared" si="48"/>
        <v>0</v>
      </c>
      <c r="EJ25" s="380"/>
      <c r="EK25" s="190">
        <f t="shared" si="49"/>
        <v>525700000</v>
      </c>
      <c r="EL25" s="190">
        <f t="shared" si="50"/>
        <v>0</v>
      </c>
      <c r="EM25" s="190">
        <f t="shared" si="51"/>
        <v>34806.25</v>
      </c>
      <c r="EN25" s="380">
        <f t="shared" si="52"/>
        <v>2.3835362373977553E-2</v>
      </c>
    </row>
    <row r="26" spans="1:144">
      <c r="A26" s="378">
        <f t="shared" si="53"/>
        <v>43297</v>
      </c>
      <c r="D26" s="379">
        <f t="shared" si="1"/>
        <v>0</v>
      </c>
      <c r="E26" s="379">
        <v>23154672.57</v>
      </c>
      <c r="F26" s="380">
        <v>1.9699999999999999E-2</v>
      </c>
      <c r="G26" s="379">
        <f t="shared" si="2"/>
        <v>1267.0751378583332</v>
      </c>
      <c r="J26" s="379">
        <f t="shared" si="3"/>
        <v>0</v>
      </c>
      <c r="M26" s="379">
        <f t="shared" si="4"/>
        <v>0</v>
      </c>
      <c r="P26" s="379">
        <f t="shared" si="5"/>
        <v>0</v>
      </c>
      <c r="S26" s="379">
        <f t="shared" si="6"/>
        <v>0</v>
      </c>
      <c r="V26" s="379">
        <f t="shared" si="7"/>
        <v>0</v>
      </c>
      <c r="Y26" s="379">
        <f t="shared" si="8"/>
        <v>0</v>
      </c>
      <c r="AB26" s="379">
        <f t="shared" si="9"/>
        <v>0</v>
      </c>
      <c r="AE26" s="379">
        <v>0</v>
      </c>
      <c r="AH26" s="379">
        <v>0</v>
      </c>
      <c r="AI26" s="381">
        <f>40000000+31150000</f>
        <v>71150000</v>
      </c>
      <c r="AJ26" s="382">
        <v>2.2800000000000001E-2</v>
      </c>
      <c r="AK26" s="379">
        <f t="shared" si="10"/>
        <v>4506.166666666667</v>
      </c>
      <c r="AL26" s="381"/>
      <c r="AM26" s="382"/>
      <c r="AN26" s="379">
        <f t="shared" si="11"/>
        <v>0</v>
      </c>
      <c r="AO26" s="381">
        <f t="shared" si="0"/>
        <v>50000000</v>
      </c>
      <c r="AP26" s="382">
        <v>2.4E-2</v>
      </c>
      <c r="AQ26" s="379">
        <f t="shared" si="12"/>
        <v>3333.3333333333335</v>
      </c>
      <c r="AR26" s="381">
        <f t="shared" si="13"/>
        <v>235000000</v>
      </c>
      <c r="AS26" s="382">
        <v>2.4E-2</v>
      </c>
      <c r="AT26" s="379">
        <f t="shared" si="14"/>
        <v>15666.666666666666</v>
      </c>
      <c r="AU26" s="381">
        <f t="shared" si="54"/>
        <v>168575000</v>
      </c>
      <c r="AV26" s="382">
        <v>2.4E-2</v>
      </c>
      <c r="AW26" s="379">
        <f t="shared" si="15"/>
        <v>11238.333333333334</v>
      </c>
      <c r="AZ26" s="379">
        <f t="shared" si="16"/>
        <v>0</v>
      </c>
      <c r="BC26" s="379">
        <f t="shared" si="17"/>
        <v>0</v>
      </c>
      <c r="BF26" s="379">
        <f t="shared" si="18"/>
        <v>0</v>
      </c>
      <c r="BI26" s="379">
        <f t="shared" si="19"/>
        <v>0</v>
      </c>
      <c r="BL26" s="379">
        <f t="shared" si="20"/>
        <v>0</v>
      </c>
      <c r="BO26" s="379">
        <f t="shared" si="21"/>
        <v>0</v>
      </c>
      <c r="BR26" s="379">
        <f t="shared" si="22"/>
        <v>0</v>
      </c>
      <c r="BU26" s="379">
        <f t="shared" si="23"/>
        <v>0</v>
      </c>
      <c r="BX26" s="379">
        <f t="shared" si="24"/>
        <v>0</v>
      </c>
      <c r="CA26" s="379">
        <f t="shared" si="25"/>
        <v>0</v>
      </c>
      <c r="CD26" s="379">
        <f t="shared" si="26"/>
        <v>0</v>
      </c>
      <c r="CG26" s="379">
        <f t="shared" si="27"/>
        <v>0</v>
      </c>
      <c r="CJ26" s="379">
        <f t="shared" si="28"/>
        <v>0</v>
      </c>
      <c r="CM26" s="379">
        <f t="shared" si="29"/>
        <v>0</v>
      </c>
      <c r="CP26" s="379">
        <f t="shared" si="30"/>
        <v>0</v>
      </c>
      <c r="CS26" s="379">
        <f t="shared" si="31"/>
        <v>0</v>
      </c>
      <c r="CV26" s="379">
        <f t="shared" si="32"/>
        <v>0</v>
      </c>
      <c r="CY26" s="379">
        <f t="shared" si="33"/>
        <v>0</v>
      </c>
      <c r="DB26" s="379">
        <f t="shared" si="34"/>
        <v>0</v>
      </c>
      <c r="DE26" s="379">
        <f t="shared" si="35"/>
        <v>0</v>
      </c>
      <c r="DH26" s="379">
        <f t="shared" si="36"/>
        <v>0</v>
      </c>
      <c r="DK26" s="379">
        <f t="shared" si="37"/>
        <v>0</v>
      </c>
      <c r="DN26" s="379">
        <f t="shared" si="38"/>
        <v>0</v>
      </c>
      <c r="DQ26" s="379">
        <f t="shared" si="39"/>
        <v>0</v>
      </c>
      <c r="DT26" s="379">
        <f t="shared" si="40"/>
        <v>0</v>
      </c>
      <c r="DW26" s="379">
        <f t="shared" si="41"/>
        <v>0</v>
      </c>
      <c r="DY26" s="384"/>
      <c r="DZ26" s="366"/>
      <c r="EA26" s="379"/>
      <c r="EB26" s="190">
        <f t="shared" si="42"/>
        <v>547879672.56999993</v>
      </c>
      <c r="EC26" s="190">
        <f t="shared" si="43"/>
        <v>23154672.569999933</v>
      </c>
      <c r="ED26" s="379">
        <f t="shared" si="44"/>
        <v>36011.575137858337</v>
      </c>
      <c r="EE26" s="380">
        <f t="shared" si="45"/>
        <v>2.3662434835036945E-2</v>
      </c>
      <c r="EG26" s="190">
        <f t="shared" si="46"/>
        <v>0</v>
      </c>
      <c r="EH26" s="379">
        <f t="shared" si="47"/>
        <v>0</v>
      </c>
      <c r="EI26" s="380">
        <f t="shared" si="48"/>
        <v>0</v>
      </c>
      <c r="EJ26" s="380"/>
      <c r="EK26" s="190">
        <f t="shared" si="49"/>
        <v>524725000</v>
      </c>
      <c r="EL26" s="190">
        <f t="shared" si="50"/>
        <v>0</v>
      </c>
      <c r="EM26" s="190">
        <f t="shared" si="51"/>
        <v>34744.5</v>
      </c>
      <c r="EN26" s="380">
        <f t="shared" si="52"/>
        <v>2.3837286197532039E-2</v>
      </c>
    </row>
    <row r="27" spans="1:144">
      <c r="A27" s="378">
        <f t="shared" si="53"/>
        <v>43298</v>
      </c>
      <c r="D27" s="379">
        <f t="shared" si="1"/>
        <v>0</v>
      </c>
      <c r="E27" s="379">
        <v>76821164.540000007</v>
      </c>
      <c r="F27" s="380">
        <v>1.9699999999999999E-2</v>
      </c>
      <c r="G27" s="379">
        <f t="shared" si="2"/>
        <v>4203.8248373277775</v>
      </c>
      <c r="J27" s="379">
        <f t="shared" si="3"/>
        <v>0</v>
      </c>
      <c r="M27" s="379">
        <f t="shared" si="4"/>
        <v>0</v>
      </c>
      <c r="P27" s="379">
        <f t="shared" si="5"/>
        <v>0</v>
      </c>
      <c r="S27" s="379">
        <f t="shared" si="6"/>
        <v>0</v>
      </c>
      <c r="V27" s="379">
        <f t="shared" si="7"/>
        <v>0</v>
      </c>
      <c r="Y27" s="379">
        <f t="shared" si="8"/>
        <v>0</v>
      </c>
      <c r="AB27" s="379">
        <f t="shared" si="9"/>
        <v>0</v>
      </c>
      <c r="AE27" s="379">
        <v>0</v>
      </c>
      <c r="AH27" s="379">
        <v>0</v>
      </c>
      <c r="AI27" s="381">
        <f>15000000</f>
        <v>15000000</v>
      </c>
      <c r="AJ27" s="382">
        <v>2.2800000000000001E-2</v>
      </c>
      <c r="AK27" s="379">
        <f t="shared" si="10"/>
        <v>950</v>
      </c>
      <c r="AL27" s="381"/>
      <c r="AM27" s="382"/>
      <c r="AN27" s="379">
        <f t="shared" si="11"/>
        <v>0</v>
      </c>
      <c r="AO27" s="381">
        <f t="shared" si="0"/>
        <v>50000000</v>
      </c>
      <c r="AP27" s="382">
        <v>2.4E-2</v>
      </c>
      <c r="AQ27" s="379">
        <f t="shared" si="12"/>
        <v>3333.3333333333335</v>
      </c>
      <c r="AR27" s="381">
        <f t="shared" si="13"/>
        <v>235000000</v>
      </c>
      <c r="AS27" s="382">
        <v>2.4E-2</v>
      </c>
      <c r="AT27" s="379">
        <f t="shared" si="14"/>
        <v>15666.666666666666</v>
      </c>
      <c r="AU27" s="381">
        <f t="shared" si="54"/>
        <v>168575000</v>
      </c>
      <c r="AV27" s="382">
        <v>2.4E-2</v>
      </c>
      <c r="AW27" s="379">
        <f t="shared" si="15"/>
        <v>11238.333333333334</v>
      </c>
      <c r="AZ27" s="379">
        <f t="shared" si="16"/>
        <v>0</v>
      </c>
      <c r="BC27" s="379">
        <f t="shared" si="17"/>
        <v>0</v>
      </c>
      <c r="BF27" s="379">
        <f t="shared" si="18"/>
        <v>0</v>
      </c>
      <c r="BI27" s="379">
        <f t="shared" si="19"/>
        <v>0</v>
      </c>
      <c r="BL27" s="379">
        <f t="shared" si="20"/>
        <v>0</v>
      </c>
      <c r="BO27" s="379">
        <f t="shared" si="21"/>
        <v>0</v>
      </c>
      <c r="BR27" s="379">
        <f t="shared" si="22"/>
        <v>0</v>
      </c>
      <c r="BU27" s="379">
        <f t="shared" si="23"/>
        <v>0</v>
      </c>
      <c r="BX27" s="379">
        <f t="shared" si="24"/>
        <v>0</v>
      </c>
      <c r="CA27" s="379">
        <f t="shared" si="25"/>
        <v>0</v>
      </c>
      <c r="CD27" s="379">
        <f t="shared" si="26"/>
        <v>0</v>
      </c>
      <c r="CG27" s="379">
        <f t="shared" si="27"/>
        <v>0</v>
      </c>
      <c r="CJ27" s="379">
        <f t="shared" si="28"/>
        <v>0</v>
      </c>
      <c r="CM27" s="379">
        <f t="shared" si="29"/>
        <v>0</v>
      </c>
      <c r="CP27" s="379">
        <f t="shared" si="30"/>
        <v>0</v>
      </c>
      <c r="CS27" s="379">
        <f t="shared" si="31"/>
        <v>0</v>
      </c>
      <c r="CV27" s="379">
        <f t="shared" si="32"/>
        <v>0</v>
      </c>
      <c r="CY27" s="379">
        <f t="shared" si="33"/>
        <v>0</v>
      </c>
      <c r="DB27" s="379">
        <f t="shared" si="34"/>
        <v>0</v>
      </c>
      <c r="DE27" s="379">
        <f t="shared" si="35"/>
        <v>0</v>
      </c>
      <c r="DH27" s="379">
        <f t="shared" si="36"/>
        <v>0</v>
      </c>
      <c r="DK27" s="379">
        <f t="shared" si="37"/>
        <v>0</v>
      </c>
      <c r="DN27" s="379">
        <f t="shared" si="38"/>
        <v>0</v>
      </c>
      <c r="DQ27" s="379">
        <f t="shared" si="39"/>
        <v>0</v>
      </c>
      <c r="DT27" s="379">
        <f t="shared" si="40"/>
        <v>0</v>
      </c>
      <c r="DW27" s="379">
        <f t="shared" si="41"/>
        <v>0</v>
      </c>
      <c r="DY27" s="384"/>
      <c r="DZ27" s="366"/>
      <c r="EA27" s="379"/>
      <c r="EB27" s="190">
        <f t="shared" si="42"/>
        <v>545396164.53999996</v>
      </c>
      <c r="EC27" s="190">
        <f t="shared" si="43"/>
        <v>76821164.539999962</v>
      </c>
      <c r="ED27" s="379">
        <f t="shared" si="44"/>
        <v>35392.15817066111</v>
      </c>
      <c r="EE27" s="380">
        <f t="shared" si="45"/>
        <v>2.3361324794398231E-2</v>
      </c>
      <c r="EG27" s="190">
        <f t="shared" si="46"/>
        <v>0</v>
      </c>
      <c r="EH27" s="379">
        <f t="shared" si="47"/>
        <v>0</v>
      </c>
      <c r="EI27" s="380">
        <f t="shared" si="48"/>
        <v>0</v>
      </c>
      <c r="EJ27" s="380"/>
      <c r="EK27" s="190">
        <f t="shared" si="49"/>
        <v>468575000</v>
      </c>
      <c r="EL27" s="190">
        <f t="shared" si="50"/>
        <v>0</v>
      </c>
      <c r="EM27" s="190">
        <f t="shared" si="51"/>
        <v>31188.333333333332</v>
      </c>
      <c r="EN27" s="380">
        <f t="shared" si="52"/>
        <v>2.3961585658645895E-2</v>
      </c>
    </row>
    <row r="28" spans="1:144">
      <c r="A28" s="378">
        <f t="shared" si="53"/>
        <v>43299</v>
      </c>
      <c r="D28" s="379">
        <f t="shared" si="1"/>
        <v>0</v>
      </c>
      <c r="E28" s="379">
        <v>68209142.530000001</v>
      </c>
      <c r="F28" s="380">
        <v>1.9699999999999999E-2</v>
      </c>
      <c r="G28" s="379">
        <f t="shared" si="2"/>
        <v>3732.5558551138888</v>
      </c>
      <c r="J28" s="379">
        <f t="shared" si="3"/>
        <v>0</v>
      </c>
      <c r="M28" s="379">
        <f t="shared" si="4"/>
        <v>0</v>
      </c>
      <c r="P28" s="379">
        <f t="shared" si="5"/>
        <v>0</v>
      </c>
      <c r="S28" s="379">
        <f t="shared" si="6"/>
        <v>0</v>
      </c>
      <c r="V28" s="379">
        <f t="shared" si="7"/>
        <v>0</v>
      </c>
      <c r="Y28" s="379">
        <f t="shared" si="8"/>
        <v>0</v>
      </c>
      <c r="AB28" s="379">
        <f t="shared" si="9"/>
        <v>0</v>
      </c>
      <c r="AE28" s="379">
        <v>0</v>
      </c>
      <c r="AH28" s="379">
        <v>0</v>
      </c>
      <c r="AI28" s="381">
        <f>23650000</f>
        <v>23650000</v>
      </c>
      <c r="AJ28" s="382">
        <v>2.2599999999999999E-2</v>
      </c>
      <c r="AK28" s="379">
        <f t="shared" si="10"/>
        <v>1484.6944444444443</v>
      </c>
      <c r="AL28" s="381"/>
      <c r="AM28" s="382"/>
      <c r="AN28" s="379">
        <f t="shared" si="11"/>
        <v>0</v>
      </c>
      <c r="AO28" s="381">
        <f t="shared" si="0"/>
        <v>50000000</v>
      </c>
      <c r="AP28" s="382">
        <v>2.4E-2</v>
      </c>
      <c r="AQ28" s="379">
        <f t="shared" si="12"/>
        <v>3333.3333333333335</v>
      </c>
      <c r="AR28" s="381">
        <f t="shared" si="13"/>
        <v>235000000</v>
      </c>
      <c r="AS28" s="382">
        <v>2.4E-2</v>
      </c>
      <c r="AT28" s="379">
        <f t="shared" si="14"/>
        <v>15666.666666666666</v>
      </c>
      <c r="AU28" s="381">
        <f t="shared" si="54"/>
        <v>168575000</v>
      </c>
      <c r="AV28" s="382">
        <v>2.4E-2</v>
      </c>
      <c r="AW28" s="379">
        <f t="shared" si="15"/>
        <v>11238.333333333334</v>
      </c>
      <c r="AZ28" s="379">
        <f t="shared" si="16"/>
        <v>0</v>
      </c>
      <c r="BC28" s="379">
        <f t="shared" si="17"/>
        <v>0</v>
      </c>
      <c r="BF28" s="379">
        <f t="shared" si="18"/>
        <v>0</v>
      </c>
      <c r="BI28" s="379">
        <f t="shared" si="19"/>
        <v>0</v>
      </c>
      <c r="BL28" s="379">
        <f t="shared" si="20"/>
        <v>0</v>
      </c>
      <c r="BO28" s="379">
        <f t="shared" si="21"/>
        <v>0</v>
      </c>
      <c r="BR28" s="379">
        <f t="shared" si="22"/>
        <v>0</v>
      </c>
      <c r="BU28" s="379">
        <f t="shared" si="23"/>
        <v>0</v>
      </c>
      <c r="BX28" s="379">
        <f t="shared" si="24"/>
        <v>0</v>
      </c>
      <c r="CA28" s="379">
        <f t="shared" si="25"/>
        <v>0</v>
      </c>
      <c r="CD28" s="379">
        <f t="shared" si="26"/>
        <v>0</v>
      </c>
      <c r="CG28" s="379">
        <f t="shared" si="27"/>
        <v>0</v>
      </c>
      <c r="CJ28" s="379">
        <f t="shared" si="28"/>
        <v>0</v>
      </c>
      <c r="CM28" s="379">
        <f t="shared" si="29"/>
        <v>0</v>
      </c>
      <c r="CP28" s="379">
        <f t="shared" si="30"/>
        <v>0</v>
      </c>
      <c r="CS28" s="379">
        <f t="shared" si="31"/>
        <v>0</v>
      </c>
      <c r="CV28" s="379">
        <f t="shared" si="32"/>
        <v>0</v>
      </c>
      <c r="CY28" s="379">
        <f t="shared" si="33"/>
        <v>0</v>
      </c>
      <c r="DB28" s="379">
        <f t="shared" si="34"/>
        <v>0</v>
      </c>
      <c r="DE28" s="379">
        <f t="shared" si="35"/>
        <v>0</v>
      </c>
      <c r="DH28" s="379">
        <f t="shared" si="36"/>
        <v>0</v>
      </c>
      <c r="DK28" s="379">
        <f t="shared" si="37"/>
        <v>0</v>
      </c>
      <c r="DN28" s="379">
        <f t="shared" si="38"/>
        <v>0</v>
      </c>
      <c r="DQ28" s="379">
        <f t="shared" si="39"/>
        <v>0</v>
      </c>
      <c r="DT28" s="379">
        <f t="shared" si="40"/>
        <v>0</v>
      </c>
      <c r="DW28" s="379">
        <f t="shared" si="41"/>
        <v>0</v>
      </c>
      <c r="DY28" s="384"/>
      <c r="DZ28" s="366"/>
      <c r="EA28" s="379"/>
      <c r="EB28" s="190">
        <f t="shared" si="42"/>
        <v>545434142.52999997</v>
      </c>
      <c r="EC28" s="190">
        <f t="shared" si="43"/>
        <v>68209142.529999971</v>
      </c>
      <c r="ED28" s="379">
        <f t="shared" si="44"/>
        <v>35455.58363289167</v>
      </c>
      <c r="EE28" s="380">
        <f t="shared" si="45"/>
        <v>2.3401560541544124E-2</v>
      </c>
      <c r="EG28" s="190">
        <f t="shared" si="46"/>
        <v>0</v>
      </c>
      <c r="EH28" s="379">
        <f t="shared" si="47"/>
        <v>0</v>
      </c>
      <c r="EI28" s="380">
        <f t="shared" si="48"/>
        <v>0</v>
      </c>
      <c r="EJ28" s="380"/>
      <c r="EK28" s="190">
        <f t="shared" si="49"/>
        <v>477225000</v>
      </c>
      <c r="EL28" s="190">
        <f t="shared" si="50"/>
        <v>0</v>
      </c>
      <c r="EM28" s="190">
        <f t="shared" si="51"/>
        <v>31723.027777777777</v>
      </c>
      <c r="EN28" s="380">
        <f t="shared" si="52"/>
        <v>2.3930619728639531E-2</v>
      </c>
    </row>
    <row r="29" spans="1:144">
      <c r="A29" s="378">
        <f t="shared" si="53"/>
        <v>43300</v>
      </c>
      <c r="D29" s="379">
        <f t="shared" si="1"/>
        <v>0</v>
      </c>
      <c r="E29" s="379">
        <v>67741636.280000001</v>
      </c>
      <c r="F29" s="380">
        <v>1.9599999999999999E-2</v>
      </c>
      <c r="G29" s="379">
        <f t="shared" si="2"/>
        <v>3688.1557530222221</v>
      </c>
      <c r="J29" s="379">
        <f t="shared" si="3"/>
        <v>0</v>
      </c>
      <c r="M29" s="379">
        <f t="shared" si="4"/>
        <v>0</v>
      </c>
      <c r="P29" s="379">
        <f t="shared" si="5"/>
        <v>0</v>
      </c>
      <c r="S29" s="379">
        <f t="shared" si="6"/>
        <v>0</v>
      </c>
      <c r="V29" s="379">
        <f t="shared" si="7"/>
        <v>0</v>
      </c>
      <c r="Y29" s="379">
        <f t="shared" si="8"/>
        <v>0</v>
      </c>
      <c r="AB29" s="379">
        <f t="shared" si="9"/>
        <v>0</v>
      </c>
      <c r="AE29" s="379">
        <v>0</v>
      </c>
      <c r="AH29" s="379">
        <v>0</v>
      </c>
      <c r="AI29" s="381">
        <f>24175000</f>
        <v>24175000</v>
      </c>
      <c r="AJ29" s="382">
        <v>2.2599999999999999E-2</v>
      </c>
      <c r="AK29" s="379">
        <f t="shared" si="10"/>
        <v>1517.6527777777778</v>
      </c>
      <c r="AL29" s="381"/>
      <c r="AM29" s="382"/>
      <c r="AN29" s="379">
        <f t="shared" si="11"/>
        <v>0</v>
      </c>
      <c r="AO29" s="381">
        <f t="shared" si="0"/>
        <v>50000000</v>
      </c>
      <c r="AP29" s="382">
        <v>2.4E-2</v>
      </c>
      <c r="AQ29" s="379">
        <f t="shared" si="12"/>
        <v>3333.3333333333335</v>
      </c>
      <c r="AR29" s="381">
        <f t="shared" si="13"/>
        <v>235000000</v>
      </c>
      <c r="AS29" s="382">
        <v>2.4E-2</v>
      </c>
      <c r="AT29" s="379">
        <f t="shared" si="14"/>
        <v>15666.666666666666</v>
      </c>
      <c r="AU29" s="381">
        <f t="shared" si="54"/>
        <v>168575000</v>
      </c>
      <c r="AV29" s="382">
        <v>2.4E-2</v>
      </c>
      <c r="AW29" s="379">
        <f t="shared" si="15"/>
        <v>11238.333333333334</v>
      </c>
      <c r="AZ29" s="379">
        <f t="shared" si="16"/>
        <v>0</v>
      </c>
      <c r="BC29" s="379">
        <f t="shared" si="17"/>
        <v>0</v>
      </c>
      <c r="BF29" s="379">
        <f t="shared" si="18"/>
        <v>0</v>
      </c>
      <c r="BI29" s="379">
        <f t="shared" si="19"/>
        <v>0</v>
      </c>
      <c r="BL29" s="379">
        <f t="shared" si="20"/>
        <v>0</v>
      </c>
      <c r="BO29" s="379">
        <f t="shared" si="21"/>
        <v>0</v>
      </c>
      <c r="BR29" s="379">
        <f t="shared" si="22"/>
        <v>0</v>
      </c>
      <c r="BU29" s="379">
        <f t="shared" si="23"/>
        <v>0</v>
      </c>
      <c r="BX29" s="379">
        <f t="shared" si="24"/>
        <v>0</v>
      </c>
      <c r="CA29" s="379">
        <f t="shared" si="25"/>
        <v>0</v>
      </c>
      <c r="CD29" s="379">
        <f t="shared" si="26"/>
        <v>0</v>
      </c>
      <c r="CG29" s="379">
        <f t="shared" si="27"/>
        <v>0</v>
      </c>
      <c r="CJ29" s="379">
        <f t="shared" si="28"/>
        <v>0</v>
      </c>
      <c r="CM29" s="379">
        <f t="shared" si="29"/>
        <v>0</v>
      </c>
      <c r="CP29" s="379">
        <f t="shared" si="30"/>
        <v>0</v>
      </c>
      <c r="CS29" s="379">
        <f t="shared" si="31"/>
        <v>0</v>
      </c>
      <c r="CV29" s="379">
        <f t="shared" si="32"/>
        <v>0</v>
      </c>
      <c r="CY29" s="379">
        <f t="shared" si="33"/>
        <v>0</v>
      </c>
      <c r="DB29" s="379">
        <f t="shared" si="34"/>
        <v>0</v>
      </c>
      <c r="DE29" s="379">
        <f t="shared" si="35"/>
        <v>0</v>
      </c>
      <c r="DH29" s="379">
        <f t="shared" si="36"/>
        <v>0</v>
      </c>
      <c r="DK29" s="379">
        <f t="shared" si="37"/>
        <v>0</v>
      </c>
      <c r="DN29" s="379">
        <f t="shared" si="38"/>
        <v>0</v>
      </c>
      <c r="DQ29" s="379">
        <f t="shared" si="39"/>
        <v>0</v>
      </c>
      <c r="DT29" s="379">
        <f t="shared" si="40"/>
        <v>0</v>
      </c>
      <c r="DW29" s="379">
        <f t="shared" si="41"/>
        <v>0</v>
      </c>
      <c r="DY29" s="384"/>
      <c r="DZ29" s="366"/>
      <c r="EA29" s="379"/>
      <c r="EB29" s="190">
        <f t="shared" si="42"/>
        <v>545491636.27999997</v>
      </c>
      <c r="EC29" s="190">
        <f t="shared" si="43"/>
        <v>67741636.279999971</v>
      </c>
      <c r="ED29" s="379">
        <f t="shared" si="44"/>
        <v>35444.141864133337</v>
      </c>
      <c r="EE29" s="380">
        <f t="shared" si="45"/>
        <v>2.3391543008990094E-2</v>
      </c>
      <c r="EG29" s="190">
        <f t="shared" si="46"/>
        <v>0</v>
      </c>
      <c r="EH29" s="379">
        <f t="shared" si="47"/>
        <v>0</v>
      </c>
      <c r="EI29" s="380">
        <f t="shared" si="48"/>
        <v>0</v>
      </c>
      <c r="EJ29" s="380"/>
      <c r="EK29" s="190">
        <f t="shared" si="49"/>
        <v>477750000</v>
      </c>
      <c r="EL29" s="190">
        <f t="shared" si="50"/>
        <v>0</v>
      </c>
      <c r="EM29" s="190">
        <f t="shared" si="51"/>
        <v>31755.986111111109</v>
      </c>
      <c r="EN29" s="380">
        <f t="shared" si="52"/>
        <v>2.3929157509157507E-2</v>
      </c>
    </row>
    <row r="30" spans="1:144">
      <c r="A30" s="378">
        <f t="shared" si="53"/>
        <v>43301</v>
      </c>
      <c r="D30" s="379">
        <f t="shared" si="1"/>
        <v>0</v>
      </c>
      <c r="E30" s="379">
        <v>68533508</v>
      </c>
      <c r="F30" s="380">
        <v>1.9599999999999999E-2</v>
      </c>
      <c r="G30" s="379">
        <f t="shared" si="2"/>
        <v>3731.2687688888886</v>
      </c>
      <c r="J30" s="379">
        <f t="shared" si="3"/>
        <v>0</v>
      </c>
      <c r="M30" s="379">
        <f t="shared" si="4"/>
        <v>0</v>
      </c>
      <c r="P30" s="379">
        <f t="shared" si="5"/>
        <v>0</v>
      </c>
      <c r="S30" s="379">
        <f t="shared" si="6"/>
        <v>0</v>
      </c>
      <c r="V30" s="379">
        <f t="shared" si="7"/>
        <v>0</v>
      </c>
      <c r="Y30" s="379">
        <f t="shared" si="8"/>
        <v>0</v>
      </c>
      <c r="AB30" s="379">
        <f t="shared" si="9"/>
        <v>0</v>
      </c>
      <c r="AE30" s="379">
        <v>0</v>
      </c>
      <c r="AH30" s="379">
        <v>0</v>
      </c>
      <c r="AI30" s="381">
        <f>23475000</f>
        <v>23475000</v>
      </c>
      <c r="AJ30" s="382">
        <v>2.2599999999999999E-2</v>
      </c>
      <c r="AK30" s="379">
        <f t="shared" si="10"/>
        <v>1473.7083333333333</v>
      </c>
      <c r="AL30" s="381"/>
      <c r="AM30" s="382"/>
      <c r="AN30" s="379">
        <f t="shared" si="11"/>
        <v>0</v>
      </c>
      <c r="AO30" s="381">
        <f t="shared" si="0"/>
        <v>50000000</v>
      </c>
      <c r="AP30" s="382">
        <v>2.4E-2</v>
      </c>
      <c r="AQ30" s="379">
        <f t="shared" si="12"/>
        <v>3333.3333333333335</v>
      </c>
      <c r="AR30" s="381">
        <f t="shared" si="13"/>
        <v>235000000</v>
      </c>
      <c r="AS30" s="382">
        <v>2.4E-2</v>
      </c>
      <c r="AT30" s="379">
        <f t="shared" si="14"/>
        <v>15666.666666666666</v>
      </c>
      <c r="AU30" s="381">
        <f t="shared" si="54"/>
        <v>168575000</v>
      </c>
      <c r="AV30" s="382">
        <v>2.4E-2</v>
      </c>
      <c r="AW30" s="379">
        <f t="shared" si="15"/>
        <v>11238.333333333334</v>
      </c>
      <c r="AZ30" s="379">
        <f t="shared" si="16"/>
        <v>0</v>
      </c>
      <c r="BC30" s="379">
        <f t="shared" si="17"/>
        <v>0</v>
      </c>
      <c r="BF30" s="379">
        <f t="shared" si="18"/>
        <v>0</v>
      </c>
      <c r="BI30" s="379">
        <f t="shared" si="19"/>
        <v>0</v>
      </c>
      <c r="BL30" s="379">
        <f t="shared" si="20"/>
        <v>0</v>
      </c>
      <c r="BO30" s="379">
        <f t="shared" si="21"/>
        <v>0</v>
      </c>
      <c r="BR30" s="379">
        <f t="shared" si="22"/>
        <v>0</v>
      </c>
      <c r="BU30" s="379">
        <f t="shared" si="23"/>
        <v>0</v>
      </c>
      <c r="BX30" s="379">
        <f t="shared" si="24"/>
        <v>0</v>
      </c>
      <c r="CA30" s="379">
        <f t="shared" si="25"/>
        <v>0</v>
      </c>
      <c r="CD30" s="379">
        <f t="shared" si="26"/>
        <v>0</v>
      </c>
      <c r="CG30" s="379">
        <f t="shared" si="27"/>
        <v>0</v>
      </c>
      <c r="CJ30" s="379">
        <f t="shared" si="28"/>
        <v>0</v>
      </c>
      <c r="CM30" s="379">
        <f t="shared" si="29"/>
        <v>0</v>
      </c>
      <c r="CP30" s="379">
        <f t="shared" si="30"/>
        <v>0</v>
      </c>
      <c r="CS30" s="379">
        <f t="shared" si="31"/>
        <v>0</v>
      </c>
      <c r="CV30" s="379">
        <f t="shared" si="32"/>
        <v>0</v>
      </c>
      <c r="CY30" s="379">
        <f t="shared" si="33"/>
        <v>0</v>
      </c>
      <c r="DB30" s="379">
        <f t="shared" si="34"/>
        <v>0</v>
      </c>
      <c r="DE30" s="379">
        <f t="shared" si="35"/>
        <v>0</v>
      </c>
      <c r="DH30" s="379">
        <f t="shared" si="36"/>
        <v>0</v>
      </c>
      <c r="DK30" s="379">
        <f t="shared" si="37"/>
        <v>0</v>
      </c>
      <c r="DN30" s="379">
        <f t="shared" si="38"/>
        <v>0</v>
      </c>
      <c r="DQ30" s="379">
        <f t="shared" si="39"/>
        <v>0</v>
      </c>
      <c r="DT30" s="379">
        <f t="shared" si="40"/>
        <v>0</v>
      </c>
      <c r="DW30" s="379">
        <f t="shared" si="41"/>
        <v>0</v>
      </c>
      <c r="DY30" s="384"/>
      <c r="DZ30" s="366"/>
      <c r="EA30" s="379"/>
      <c r="EB30" s="190">
        <f t="shared" si="42"/>
        <v>545583508</v>
      </c>
      <c r="EC30" s="190">
        <f t="shared" si="43"/>
        <v>68533508</v>
      </c>
      <c r="ED30" s="379">
        <f t="shared" si="44"/>
        <v>35443.310435555555</v>
      </c>
      <c r="EE30" s="380">
        <f t="shared" si="45"/>
        <v>2.3387055454762756E-2</v>
      </c>
      <c r="EG30" s="190">
        <f t="shared" si="46"/>
        <v>0</v>
      </c>
      <c r="EH30" s="379">
        <f t="shared" si="47"/>
        <v>0</v>
      </c>
      <c r="EI30" s="380">
        <f t="shared" si="48"/>
        <v>0</v>
      </c>
      <c r="EJ30" s="380"/>
      <c r="EK30" s="190">
        <f t="shared" si="49"/>
        <v>477050000</v>
      </c>
      <c r="EL30" s="190">
        <f t="shared" si="50"/>
        <v>0</v>
      </c>
      <c r="EM30" s="190">
        <f t="shared" si="51"/>
        <v>31712.041666666664</v>
      </c>
      <c r="EN30" s="380">
        <f t="shared" si="52"/>
        <v>2.3931107850330154E-2</v>
      </c>
    </row>
    <row r="31" spans="1:144">
      <c r="A31" s="378">
        <f t="shared" si="53"/>
        <v>43302</v>
      </c>
      <c r="D31" s="379">
        <f t="shared" si="1"/>
        <v>0</v>
      </c>
      <c r="E31" s="379">
        <v>68533508</v>
      </c>
      <c r="F31" s="380">
        <v>1.9599999999999999E-2</v>
      </c>
      <c r="G31" s="379">
        <f t="shared" si="2"/>
        <v>3731.2687688888886</v>
      </c>
      <c r="J31" s="379">
        <f t="shared" si="3"/>
        <v>0</v>
      </c>
      <c r="M31" s="379">
        <f t="shared" si="4"/>
        <v>0</v>
      </c>
      <c r="P31" s="379">
        <f t="shared" si="5"/>
        <v>0</v>
      </c>
      <c r="S31" s="379">
        <f t="shared" si="6"/>
        <v>0</v>
      </c>
      <c r="V31" s="379">
        <f t="shared" si="7"/>
        <v>0</v>
      </c>
      <c r="Y31" s="379">
        <f t="shared" si="8"/>
        <v>0</v>
      </c>
      <c r="AB31" s="379">
        <f t="shared" si="9"/>
        <v>0</v>
      </c>
      <c r="AE31" s="379">
        <v>0</v>
      </c>
      <c r="AH31" s="379">
        <v>0</v>
      </c>
      <c r="AI31" s="381">
        <f>23475000</f>
        <v>23475000</v>
      </c>
      <c r="AJ31" s="382">
        <v>2.2599999999999999E-2</v>
      </c>
      <c r="AK31" s="379">
        <f t="shared" si="10"/>
        <v>1473.7083333333333</v>
      </c>
      <c r="AL31" s="381"/>
      <c r="AM31" s="382"/>
      <c r="AN31" s="379">
        <f t="shared" si="11"/>
        <v>0</v>
      </c>
      <c r="AO31" s="381">
        <f t="shared" si="0"/>
        <v>50000000</v>
      </c>
      <c r="AP31" s="382">
        <v>2.4E-2</v>
      </c>
      <c r="AQ31" s="379">
        <f t="shared" si="12"/>
        <v>3333.3333333333335</v>
      </c>
      <c r="AR31" s="381">
        <f t="shared" si="13"/>
        <v>235000000</v>
      </c>
      <c r="AS31" s="382">
        <v>2.4E-2</v>
      </c>
      <c r="AT31" s="379">
        <f t="shared" si="14"/>
        <v>15666.666666666666</v>
      </c>
      <c r="AU31" s="381">
        <f t="shared" si="54"/>
        <v>168575000</v>
      </c>
      <c r="AV31" s="382">
        <v>2.4E-2</v>
      </c>
      <c r="AW31" s="379">
        <f t="shared" si="15"/>
        <v>11238.333333333334</v>
      </c>
      <c r="AZ31" s="379">
        <f t="shared" si="16"/>
        <v>0</v>
      </c>
      <c r="BC31" s="379">
        <f t="shared" si="17"/>
        <v>0</v>
      </c>
      <c r="BF31" s="379">
        <f t="shared" si="18"/>
        <v>0</v>
      </c>
      <c r="BI31" s="379">
        <f t="shared" si="19"/>
        <v>0</v>
      </c>
      <c r="BL31" s="379">
        <f t="shared" si="20"/>
        <v>0</v>
      </c>
      <c r="BO31" s="379">
        <f t="shared" si="21"/>
        <v>0</v>
      </c>
      <c r="BR31" s="379">
        <f t="shared" si="22"/>
        <v>0</v>
      </c>
      <c r="BU31" s="379">
        <f t="shared" si="23"/>
        <v>0</v>
      </c>
      <c r="BX31" s="379">
        <f t="shared" si="24"/>
        <v>0</v>
      </c>
      <c r="CA31" s="379">
        <f t="shared" si="25"/>
        <v>0</v>
      </c>
      <c r="CD31" s="379">
        <f t="shared" si="26"/>
        <v>0</v>
      </c>
      <c r="CG31" s="379">
        <f t="shared" si="27"/>
        <v>0</v>
      </c>
      <c r="CJ31" s="379">
        <f t="shared" si="28"/>
        <v>0</v>
      </c>
      <c r="CM31" s="379">
        <f t="shared" si="29"/>
        <v>0</v>
      </c>
      <c r="CP31" s="379">
        <f t="shared" si="30"/>
        <v>0</v>
      </c>
      <c r="CS31" s="379">
        <f t="shared" si="31"/>
        <v>0</v>
      </c>
      <c r="CV31" s="379">
        <f t="shared" si="32"/>
        <v>0</v>
      </c>
      <c r="CY31" s="379">
        <f t="shared" si="33"/>
        <v>0</v>
      </c>
      <c r="DB31" s="379">
        <f t="shared" si="34"/>
        <v>0</v>
      </c>
      <c r="DE31" s="379">
        <f t="shared" si="35"/>
        <v>0</v>
      </c>
      <c r="DH31" s="379">
        <f t="shared" si="36"/>
        <v>0</v>
      </c>
      <c r="DK31" s="379">
        <f t="shared" si="37"/>
        <v>0</v>
      </c>
      <c r="DN31" s="379">
        <f t="shared" si="38"/>
        <v>0</v>
      </c>
      <c r="DQ31" s="379">
        <f t="shared" si="39"/>
        <v>0</v>
      </c>
      <c r="DT31" s="379">
        <f t="shared" si="40"/>
        <v>0</v>
      </c>
      <c r="DW31" s="379">
        <f t="shared" si="41"/>
        <v>0</v>
      </c>
      <c r="DY31" s="384"/>
      <c r="DZ31" s="366"/>
      <c r="EA31" s="379"/>
      <c r="EB31" s="190">
        <f t="shared" si="42"/>
        <v>545583508</v>
      </c>
      <c r="EC31" s="190">
        <f t="shared" si="43"/>
        <v>68533508</v>
      </c>
      <c r="ED31" s="379">
        <f t="shared" si="44"/>
        <v>35443.310435555555</v>
      </c>
      <c r="EE31" s="380">
        <f t="shared" si="45"/>
        <v>2.3387055454762756E-2</v>
      </c>
      <c r="EG31" s="190">
        <f t="shared" si="46"/>
        <v>0</v>
      </c>
      <c r="EH31" s="379">
        <f t="shared" si="47"/>
        <v>0</v>
      </c>
      <c r="EI31" s="380">
        <f t="shared" si="48"/>
        <v>0</v>
      </c>
      <c r="EJ31" s="380"/>
      <c r="EK31" s="190">
        <f t="shared" si="49"/>
        <v>477050000</v>
      </c>
      <c r="EL31" s="190">
        <f t="shared" si="50"/>
        <v>0</v>
      </c>
      <c r="EM31" s="190">
        <f t="shared" si="51"/>
        <v>31712.041666666664</v>
      </c>
      <c r="EN31" s="380">
        <f t="shared" si="52"/>
        <v>2.3931107850330154E-2</v>
      </c>
    </row>
    <row r="32" spans="1:144">
      <c r="A32" s="378">
        <f t="shared" si="53"/>
        <v>43303</v>
      </c>
      <c r="D32" s="379">
        <f t="shared" si="1"/>
        <v>0</v>
      </c>
      <c r="E32" s="379">
        <v>68533508</v>
      </c>
      <c r="F32" s="380">
        <v>1.9599999999999999E-2</v>
      </c>
      <c r="G32" s="379">
        <f t="shared" si="2"/>
        <v>3731.2687688888886</v>
      </c>
      <c r="J32" s="379">
        <f t="shared" si="3"/>
        <v>0</v>
      </c>
      <c r="M32" s="379">
        <f t="shared" si="4"/>
        <v>0</v>
      </c>
      <c r="P32" s="379">
        <f t="shared" si="5"/>
        <v>0</v>
      </c>
      <c r="S32" s="379">
        <f t="shared" si="6"/>
        <v>0</v>
      </c>
      <c r="V32" s="379">
        <f t="shared" si="7"/>
        <v>0</v>
      </c>
      <c r="Y32" s="379">
        <f t="shared" si="8"/>
        <v>0</v>
      </c>
      <c r="AB32" s="379">
        <f t="shared" si="9"/>
        <v>0</v>
      </c>
      <c r="AE32" s="379">
        <v>0</v>
      </c>
      <c r="AH32" s="379">
        <v>0</v>
      </c>
      <c r="AI32" s="381">
        <f>23475000</f>
        <v>23475000</v>
      </c>
      <c r="AJ32" s="382">
        <v>2.2599999999999999E-2</v>
      </c>
      <c r="AK32" s="379">
        <f t="shared" si="10"/>
        <v>1473.7083333333333</v>
      </c>
      <c r="AL32" s="381"/>
      <c r="AM32" s="382"/>
      <c r="AN32" s="379">
        <f t="shared" si="11"/>
        <v>0</v>
      </c>
      <c r="AO32" s="381">
        <f t="shared" si="0"/>
        <v>50000000</v>
      </c>
      <c r="AP32" s="382">
        <v>2.4E-2</v>
      </c>
      <c r="AQ32" s="379">
        <f t="shared" si="12"/>
        <v>3333.3333333333335</v>
      </c>
      <c r="AR32" s="381">
        <f t="shared" si="13"/>
        <v>235000000</v>
      </c>
      <c r="AS32" s="382">
        <v>2.4E-2</v>
      </c>
      <c r="AT32" s="379">
        <f t="shared" si="14"/>
        <v>15666.666666666666</v>
      </c>
      <c r="AU32" s="381">
        <f t="shared" si="54"/>
        <v>168575000</v>
      </c>
      <c r="AV32" s="382">
        <v>2.4E-2</v>
      </c>
      <c r="AW32" s="379">
        <f t="shared" si="15"/>
        <v>11238.333333333334</v>
      </c>
      <c r="AZ32" s="379">
        <f t="shared" si="16"/>
        <v>0</v>
      </c>
      <c r="BC32" s="379">
        <f t="shared" si="17"/>
        <v>0</v>
      </c>
      <c r="BF32" s="379">
        <f t="shared" si="18"/>
        <v>0</v>
      </c>
      <c r="BI32" s="379">
        <f t="shared" si="19"/>
        <v>0</v>
      </c>
      <c r="BL32" s="379">
        <f t="shared" si="20"/>
        <v>0</v>
      </c>
      <c r="BO32" s="379">
        <f t="shared" si="21"/>
        <v>0</v>
      </c>
      <c r="BR32" s="379">
        <f t="shared" si="22"/>
        <v>0</v>
      </c>
      <c r="BU32" s="379">
        <f t="shared" si="23"/>
        <v>0</v>
      </c>
      <c r="BX32" s="379">
        <f t="shared" si="24"/>
        <v>0</v>
      </c>
      <c r="CA32" s="379">
        <f t="shared" si="25"/>
        <v>0</v>
      </c>
      <c r="CD32" s="379">
        <f t="shared" si="26"/>
        <v>0</v>
      </c>
      <c r="CG32" s="379">
        <f t="shared" si="27"/>
        <v>0</v>
      </c>
      <c r="CJ32" s="379">
        <f t="shared" si="28"/>
        <v>0</v>
      </c>
      <c r="CM32" s="379">
        <f t="shared" si="29"/>
        <v>0</v>
      </c>
      <c r="CP32" s="379">
        <f t="shared" si="30"/>
        <v>0</v>
      </c>
      <c r="CS32" s="379">
        <f t="shared" si="31"/>
        <v>0</v>
      </c>
      <c r="CV32" s="379">
        <f t="shared" si="32"/>
        <v>0</v>
      </c>
      <c r="CY32" s="379">
        <f t="shared" si="33"/>
        <v>0</v>
      </c>
      <c r="DB32" s="379">
        <f t="shared" si="34"/>
        <v>0</v>
      </c>
      <c r="DE32" s="379">
        <f t="shared" si="35"/>
        <v>0</v>
      </c>
      <c r="DH32" s="379">
        <f t="shared" si="36"/>
        <v>0</v>
      </c>
      <c r="DK32" s="379">
        <f t="shared" si="37"/>
        <v>0</v>
      </c>
      <c r="DN32" s="379">
        <f t="shared" si="38"/>
        <v>0</v>
      </c>
      <c r="DQ32" s="379">
        <f t="shared" si="39"/>
        <v>0</v>
      </c>
      <c r="DT32" s="379">
        <f t="shared" si="40"/>
        <v>0</v>
      </c>
      <c r="DW32" s="379">
        <f t="shared" si="41"/>
        <v>0</v>
      </c>
      <c r="DY32" s="384"/>
      <c r="DZ32" s="366"/>
      <c r="EA32" s="379"/>
      <c r="EB32" s="190">
        <f t="shared" si="42"/>
        <v>545583508</v>
      </c>
      <c r="EC32" s="190">
        <f t="shared" si="43"/>
        <v>68533508</v>
      </c>
      <c r="ED32" s="379">
        <f t="shared" si="44"/>
        <v>35443.310435555555</v>
      </c>
      <c r="EE32" s="380">
        <f t="shared" si="45"/>
        <v>2.3387055454762756E-2</v>
      </c>
      <c r="EG32" s="190">
        <f t="shared" si="46"/>
        <v>0</v>
      </c>
      <c r="EH32" s="379">
        <f t="shared" si="47"/>
        <v>0</v>
      </c>
      <c r="EI32" s="380">
        <f t="shared" si="48"/>
        <v>0</v>
      </c>
      <c r="EJ32" s="380"/>
      <c r="EK32" s="190">
        <f t="shared" si="49"/>
        <v>477050000</v>
      </c>
      <c r="EL32" s="190">
        <f t="shared" si="50"/>
        <v>0</v>
      </c>
      <c r="EM32" s="190">
        <f t="shared" si="51"/>
        <v>31712.041666666664</v>
      </c>
      <c r="EN32" s="380">
        <f t="shared" si="52"/>
        <v>2.3931107850330154E-2</v>
      </c>
    </row>
    <row r="33" spans="1:144">
      <c r="A33" s="378">
        <f t="shared" si="53"/>
        <v>43304</v>
      </c>
      <c r="D33" s="379">
        <f t="shared" si="1"/>
        <v>0</v>
      </c>
      <c r="E33" s="379">
        <v>69048244.370000005</v>
      </c>
      <c r="F33" s="380">
        <v>1.9599999999999999E-2</v>
      </c>
      <c r="G33" s="379">
        <f t="shared" si="2"/>
        <v>3759.293304588889</v>
      </c>
      <c r="J33" s="379">
        <f t="shared" si="3"/>
        <v>0</v>
      </c>
      <c r="M33" s="379">
        <f t="shared" si="4"/>
        <v>0</v>
      </c>
      <c r="P33" s="379">
        <f t="shared" si="5"/>
        <v>0</v>
      </c>
      <c r="S33" s="379">
        <f t="shared" si="6"/>
        <v>0</v>
      </c>
      <c r="V33" s="379">
        <f t="shared" si="7"/>
        <v>0</v>
      </c>
      <c r="Y33" s="379">
        <f t="shared" si="8"/>
        <v>0</v>
      </c>
      <c r="AB33" s="379">
        <f t="shared" si="9"/>
        <v>0</v>
      </c>
      <c r="AE33" s="379">
        <v>0</v>
      </c>
      <c r="AH33" s="379">
        <v>0</v>
      </c>
      <c r="AI33" s="381">
        <f>23075000</f>
        <v>23075000</v>
      </c>
      <c r="AJ33" s="382">
        <v>2.2599999999999999E-2</v>
      </c>
      <c r="AK33" s="379">
        <f t="shared" si="10"/>
        <v>1448.5972222222222</v>
      </c>
      <c r="AL33" s="381"/>
      <c r="AM33" s="382"/>
      <c r="AN33" s="379">
        <f t="shared" si="11"/>
        <v>0</v>
      </c>
      <c r="AO33" s="381">
        <f t="shared" si="0"/>
        <v>50000000</v>
      </c>
      <c r="AP33" s="382">
        <v>2.4E-2</v>
      </c>
      <c r="AQ33" s="379">
        <f t="shared" si="12"/>
        <v>3333.3333333333335</v>
      </c>
      <c r="AR33" s="381">
        <f t="shared" si="13"/>
        <v>235000000</v>
      </c>
      <c r="AS33" s="382">
        <v>2.4E-2</v>
      </c>
      <c r="AT33" s="379">
        <f t="shared" si="14"/>
        <v>15666.666666666666</v>
      </c>
      <c r="AU33" s="381">
        <f t="shared" si="54"/>
        <v>168575000</v>
      </c>
      <c r="AV33" s="382">
        <v>2.4E-2</v>
      </c>
      <c r="AW33" s="379">
        <f t="shared" si="15"/>
        <v>11238.333333333334</v>
      </c>
      <c r="AZ33" s="379">
        <f t="shared" si="16"/>
        <v>0</v>
      </c>
      <c r="BC33" s="379">
        <f t="shared" si="17"/>
        <v>0</v>
      </c>
      <c r="BF33" s="379">
        <f t="shared" si="18"/>
        <v>0</v>
      </c>
      <c r="BI33" s="379">
        <f t="shared" si="19"/>
        <v>0</v>
      </c>
      <c r="BL33" s="379">
        <f t="shared" si="20"/>
        <v>0</v>
      </c>
      <c r="BO33" s="379">
        <f t="shared" si="21"/>
        <v>0</v>
      </c>
      <c r="BR33" s="379">
        <f t="shared" si="22"/>
        <v>0</v>
      </c>
      <c r="BU33" s="379">
        <f t="shared" si="23"/>
        <v>0</v>
      </c>
      <c r="BX33" s="379">
        <f t="shared" si="24"/>
        <v>0</v>
      </c>
      <c r="CA33" s="379">
        <f t="shared" si="25"/>
        <v>0</v>
      </c>
      <c r="CD33" s="379">
        <f t="shared" si="26"/>
        <v>0</v>
      </c>
      <c r="CG33" s="379">
        <f t="shared" si="27"/>
        <v>0</v>
      </c>
      <c r="CJ33" s="379">
        <f t="shared" si="28"/>
        <v>0</v>
      </c>
      <c r="CM33" s="379">
        <f t="shared" si="29"/>
        <v>0</v>
      </c>
      <c r="CP33" s="379">
        <f t="shared" si="30"/>
        <v>0</v>
      </c>
      <c r="CS33" s="379">
        <f t="shared" si="31"/>
        <v>0</v>
      </c>
      <c r="CV33" s="379">
        <f t="shared" si="32"/>
        <v>0</v>
      </c>
      <c r="CY33" s="379">
        <f t="shared" si="33"/>
        <v>0</v>
      </c>
      <c r="DB33" s="379">
        <f t="shared" si="34"/>
        <v>0</v>
      </c>
      <c r="DE33" s="379">
        <f t="shared" si="35"/>
        <v>0</v>
      </c>
      <c r="DH33" s="379">
        <f t="shared" si="36"/>
        <v>0</v>
      </c>
      <c r="DK33" s="379">
        <f t="shared" si="37"/>
        <v>0</v>
      </c>
      <c r="DN33" s="379">
        <f t="shared" si="38"/>
        <v>0</v>
      </c>
      <c r="DQ33" s="379">
        <f t="shared" si="39"/>
        <v>0</v>
      </c>
      <c r="DT33" s="379">
        <f t="shared" si="40"/>
        <v>0</v>
      </c>
      <c r="DW33" s="379">
        <f t="shared" si="41"/>
        <v>0</v>
      </c>
      <c r="DY33" s="384"/>
      <c r="DZ33" s="366"/>
      <c r="EA33" s="379"/>
      <c r="EB33" s="190">
        <f t="shared" si="42"/>
        <v>545698244.37</v>
      </c>
      <c r="EC33" s="190">
        <f t="shared" si="43"/>
        <v>69048244.370000005</v>
      </c>
      <c r="ED33" s="379">
        <f t="shared" si="44"/>
        <v>35446.223860144448</v>
      </c>
      <c r="EE33" s="380">
        <f t="shared" si="45"/>
        <v>2.3384060185833947E-2</v>
      </c>
      <c r="EG33" s="190">
        <f t="shared" si="46"/>
        <v>0</v>
      </c>
      <c r="EH33" s="379">
        <f t="shared" si="47"/>
        <v>0</v>
      </c>
      <c r="EI33" s="380">
        <f t="shared" si="48"/>
        <v>0</v>
      </c>
      <c r="EJ33" s="380"/>
      <c r="EK33" s="190">
        <f t="shared" si="49"/>
        <v>476650000</v>
      </c>
      <c r="EL33" s="190">
        <f t="shared" si="50"/>
        <v>0</v>
      </c>
      <c r="EM33" s="190">
        <f t="shared" si="51"/>
        <v>31686.930555555555</v>
      </c>
      <c r="EN33" s="380">
        <f t="shared" si="52"/>
        <v>2.3932224902968636E-2</v>
      </c>
    </row>
    <row r="34" spans="1:144">
      <c r="A34" s="378">
        <f t="shared" si="53"/>
        <v>43305</v>
      </c>
      <c r="D34" s="379">
        <f t="shared" si="1"/>
        <v>0</v>
      </c>
      <c r="E34" s="379">
        <v>71258157.730000004</v>
      </c>
      <c r="F34" s="380">
        <v>1.9900000000000001E-2</v>
      </c>
      <c r="G34" s="379">
        <f t="shared" si="2"/>
        <v>3938.9926078527783</v>
      </c>
      <c r="J34" s="379">
        <f t="shared" si="3"/>
        <v>0</v>
      </c>
      <c r="M34" s="379">
        <f t="shared" si="4"/>
        <v>0</v>
      </c>
      <c r="P34" s="379">
        <f t="shared" si="5"/>
        <v>0</v>
      </c>
      <c r="S34" s="379">
        <f t="shared" si="6"/>
        <v>0</v>
      </c>
      <c r="V34" s="379">
        <f t="shared" si="7"/>
        <v>0</v>
      </c>
      <c r="Y34" s="379">
        <f t="shared" si="8"/>
        <v>0</v>
      </c>
      <c r="AB34" s="379">
        <f t="shared" si="9"/>
        <v>0</v>
      </c>
      <c r="AE34" s="379">
        <v>0</v>
      </c>
      <c r="AH34" s="379">
        <v>0</v>
      </c>
      <c r="AI34" s="381">
        <f>11050000</f>
        <v>11050000</v>
      </c>
      <c r="AJ34" s="382">
        <v>2.2499999999999999E-2</v>
      </c>
      <c r="AK34" s="379">
        <f t="shared" si="10"/>
        <v>690.625</v>
      </c>
      <c r="AL34" s="381"/>
      <c r="AM34" s="382"/>
      <c r="AN34" s="379">
        <f t="shared" si="11"/>
        <v>0</v>
      </c>
      <c r="AO34" s="381">
        <f t="shared" ref="AO34:AO41" si="55">60000000</f>
        <v>60000000</v>
      </c>
      <c r="AP34" s="382">
        <v>2.4E-2</v>
      </c>
      <c r="AQ34" s="379">
        <f t="shared" si="12"/>
        <v>4000</v>
      </c>
      <c r="AR34" s="381">
        <f t="shared" si="13"/>
        <v>235000000</v>
      </c>
      <c r="AS34" s="382">
        <v>2.4E-2</v>
      </c>
      <c r="AT34" s="379">
        <f t="shared" si="14"/>
        <v>15666.666666666666</v>
      </c>
      <c r="AU34" s="381">
        <f t="shared" si="54"/>
        <v>168575000</v>
      </c>
      <c r="AV34" s="382">
        <v>2.4E-2</v>
      </c>
      <c r="AW34" s="379">
        <f t="shared" si="15"/>
        <v>11238.333333333334</v>
      </c>
      <c r="AZ34" s="379">
        <f t="shared" si="16"/>
        <v>0</v>
      </c>
      <c r="BC34" s="379">
        <f t="shared" si="17"/>
        <v>0</v>
      </c>
      <c r="BF34" s="379">
        <f t="shared" si="18"/>
        <v>0</v>
      </c>
      <c r="BI34" s="379">
        <f t="shared" si="19"/>
        <v>0</v>
      </c>
      <c r="BL34" s="379">
        <f t="shared" si="20"/>
        <v>0</v>
      </c>
      <c r="BO34" s="379">
        <f t="shared" si="21"/>
        <v>0</v>
      </c>
      <c r="BR34" s="379">
        <f t="shared" si="22"/>
        <v>0</v>
      </c>
      <c r="BU34" s="379">
        <f t="shared" si="23"/>
        <v>0</v>
      </c>
      <c r="BX34" s="379">
        <f t="shared" si="24"/>
        <v>0</v>
      </c>
      <c r="CA34" s="379">
        <f t="shared" si="25"/>
        <v>0</v>
      </c>
      <c r="CD34" s="379">
        <f t="shared" si="26"/>
        <v>0</v>
      </c>
      <c r="CG34" s="379">
        <f t="shared" si="27"/>
        <v>0</v>
      </c>
      <c r="CJ34" s="379">
        <f t="shared" si="28"/>
        <v>0</v>
      </c>
      <c r="CM34" s="379">
        <f t="shared" si="29"/>
        <v>0</v>
      </c>
      <c r="CP34" s="379">
        <f t="shared" si="30"/>
        <v>0</v>
      </c>
      <c r="CS34" s="379">
        <f t="shared" si="31"/>
        <v>0</v>
      </c>
      <c r="CV34" s="379">
        <f t="shared" si="32"/>
        <v>0</v>
      </c>
      <c r="CY34" s="379">
        <f t="shared" si="33"/>
        <v>0</v>
      </c>
      <c r="DB34" s="379">
        <f t="shared" si="34"/>
        <v>0</v>
      </c>
      <c r="DE34" s="379">
        <f t="shared" si="35"/>
        <v>0</v>
      </c>
      <c r="DH34" s="379">
        <f t="shared" si="36"/>
        <v>0</v>
      </c>
      <c r="DK34" s="379">
        <f t="shared" si="37"/>
        <v>0</v>
      </c>
      <c r="DN34" s="379">
        <f t="shared" si="38"/>
        <v>0</v>
      </c>
      <c r="DQ34" s="379">
        <f t="shared" si="39"/>
        <v>0</v>
      </c>
      <c r="DT34" s="379">
        <f t="shared" si="40"/>
        <v>0</v>
      </c>
      <c r="DW34" s="379">
        <f t="shared" si="41"/>
        <v>0</v>
      </c>
      <c r="DY34" s="384"/>
      <c r="DZ34" s="366"/>
      <c r="EA34" s="379"/>
      <c r="EB34" s="190">
        <f t="shared" si="42"/>
        <v>545883157.73000002</v>
      </c>
      <c r="EC34" s="190">
        <f t="shared" si="43"/>
        <v>71258157.730000019</v>
      </c>
      <c r="ED34" s="379">
        <f t="shared" si="44"/>
        <v>35534.617607852779</v>
      </c>
      <c r="EE34" s="380">
        <f t="shared" si="45"/>
        <v>2.3434433097410744E-2</v>
      </c>
      <c r="EG34" s="190">
        <f t="shared" si="46"/>
        <v>0</v>
      </c>
      <c r="EH34" s="379">
        <f t="shared" si="47"/>
        <v>0</v>
      </c>
      <c r="EI34" s="380">
        <f t="shared" si="48"/>
        <v>0</v>
      </c>
      <c r="EJ34" s="380"/>
      <c r="EK34" s="190">
        <f t="shared" si="49"/>
        <v>474625000</v>
      </c>
      <c r="EL34" s="190">
        <f t="shared" si="50"/>
        <v>0</v>
      </c>
      <c r="EM34" s="190">
        <f t="shared" si="51"/>
        <v>31595.625</v>
      </c>
      <c r="EN34" s="380">
        <f t="shared" si="52"/>
        <v>2.3965077692915459E-2</v>
      </c>
    </row>
    <row r="35" spans="1:144">
      <c r="A35" s="378">
        <f t="shared" si="53"/>
        <v>43306</v>
      </c>
      <c r="D35" s="379">
        <f t="shared" si="1"/>
        <v>0</v>
      </c>
      <c r="E35" s="379">
        <v>63334881.509999998</v>
      </c>
      <c r="F35" s="380">
        <v>1.9299999999999998E-2</v>
      </c>
      <c r="G35" s="379">
        <f t="shared" si="2"/>
        <v>3395.4533698416662</v>
      </c>
      <c r="J35" s="379">
        <f t="shared" si="3"/>
        <v>0</v>
      </c>
      <c r="M35" s="379">
        <f t="shared" si="4"/>
        <v>0</v>
      </c>
      <c r="P35" s="379">
        <f t="shared" si="5"/>
        <v>0</v>
      </c>
      <c r="S35" s="379">
        <f t="shared" si="6"/>
        <v>0</v>
      </c>
      <c r="V35" s="379">
        <f t="shared" si="7"/>
        <v>0</v>
      </c>
      <c r="Y35" s="379">
        <f t="shared" si="8"/>
        <v>0</v>
      </c>
      <c r="AB35" s="379">
        <f t="shared" si="9"/>
        <v>0</v>
      </c>
      <c r="AE35" s="379">
        <v>0</v>
      </c>
      <c r="AH35" s="379">
        <v>0</v>
      </c>
      <c r="AI35" s="381">
        <f>19000000</f>
        <v>19000000</v>
      </c>
      <c r="AJ35" s="382">
        <v>2.2499999999999999E-2</v>
      </c>
      <c r="AK35" s="379">
        <f t="shared" si="10"/>
        <v>1187.5</v>
      </c>
      <c r="AL35" s="381"/>
      <c r="AM35" s="382"/>
      <c r="AN35" s="379">
        <f t="shared" si="11"/>
        <v>0</v>
      </c>
      <c r="AO35" s="381">
        <f t="shared" si="55"/>
        <v>60000000</v>
      </c>
      <c r="AP35" s="382">
        <v>2.4E-2</v>
      </c>
      <c r="AQ35" s="379">
        <f t="shared" si="12"/>
        <v>4000</v>
      </c>
      <c r="AR35" s="381">
        <f t="shared" si="13"/>
        <v>235000000</v>
      </c>
      <c r="AS35" s="382">
        <v>2.4E-2</v>
      </c>
      <c r="AT35" s="379">
        <f t="shared" si="14"/>
        <v>15666.666666666666</v>
      </c>
      <c r="AU35" s="381">
        <f t="shared" si="54"/>
        <v>168575000</v>
      </c>
      <c r="AV35" s="382">
        <v>2.4E-2</v>
      </c>
      <c r="AW35" s="379">
        <f t="shared" si="15"/>
        <v>11238.333333333334</v>
      </c>
      <c r="AZ35" s="379">
        <f t="shared" si="16"/>
        <v>0</v>
      </c>
      <c r="BC35" s="379">
        <f t="shared" si="17"/>
        <v>0</v>
      </c>
      <c r="BF35" s="379">
        <f t="shared" si="18"/>
        <v>0</v>
      </c>
      <c r="BI35" s="379">
        <f t="shared" si="19"/>
        <v>0</v>
      </c>
      <c r="BL35" s="379">
        <f t="shared" si="20"/>
        <v>0</v>
      </c>
      <c r="BO35" s="379">
        <f t="shared" si="21"/>
        <v>0</v>
      </c>
      <c r="BR35" s="379">
        <f t="shared" si="22"/>
        <v>0</v>
      </c>
      <c r="BU35" s="379">
        <f t="shared" si="23"/>
        <v>0</v>
      </c>
      <c r="BX35" s="379">
        <f t="shared" si="24"/>
        <v>0</v>
      </c>
      <c r="CA35" s="379">
        <f t="shared" si="25"/>
        <v>0</v>
      </c>
      <c r="CD35" s="379">
        <f t="shared" si="26"/>
        <v>0</v>
      </c>
      <c r="CG35" s="379">
        <f t="shared" si="27"/>
        <v>0</v>
      </c>
      <c r="CJ35" s="379">
        <f t="shared" si="28"/>
        <v>0</v>
      </c>
      <c r="CM35" s="379">
        <f t="shared" si="29"/>
        <v>0</v>
      </c>
      <c r="CP35" s="379">
        <f t="shared" si="30"/>
        <v>0</v>
      </c>
      <c r="CS35" s="379">
        <f t="shared" si="31"/>
        <v>0</v>
      </c>
      <c r="CV35" s="379">
        <f t="shared" si="32"/>
        <v>0</v>
      </c>
      <c r="CY35" s="379">
        <f t="shared" si="33"/>
        <v>0</v>
      </c>
      <c r="DB35" s="379">
        <f t="shared" si="34"/>
        <v>0</v>
      </c>
      <c r="DE35" s="379">
        <f t="shared" si="35"/>
        <v>0</v>
      </c>
      <c r="DH35" s="379">
        <f t="shared" si="36"/>
        <v>0</v>
      </c>
      <c r="DK35" s="379">
        <f t="shared" si="37"/>
        <v>0</v>
      </c>
      <c r="DN35" s="379">
        <f t="shared" si="38"/>
        <v>0</v>
      </c>
      <c r="DQ35" s="379">
        <f t="shared" si="39"/>
        <v>0</v>
      </c>
      <c r="DT35" s="379">
        <f t="shared" si="40"/>
        <v>0</v>
      </c>
      <c r="DW35" s="379">
        <f t="shared" si="41"/>
        <v>0</v>
      </c>
      <c r="DY35" s="384"/>
      <c r="DZ35" s="366"/>
      <c r="EA35" s="379"/>
      <c r="EB35" s="190">
        <f t="shared" si="42"/>
        <v>545909881.50999999</v>
      </c>
      <c r="EC35" s="190">
        <f t="shared" si="43"/>
        <v>63334881.50999999</v>
      </c>
      <c r="ED35" s="379">
        <f t="shared" si="44"/>
        <v>35487.953369841671</v>
      </c>
      <c r="EE35" s="380">
        <f t="shared" si="45"/>
        <v>2.3402513209332659E-2</v>
      </c>
      <c r="EG35" s="190">
        <f t="shared" si="46"/>
        <v>0</v>
      </c>
      <c r="EH35" s="379">
        <f t="shared" si="47"/>
        <v>0</v>
      </c>
      <c r="EI35" s="380">
        <f t="shared" si="48"/>
        <v>0</v>
      </c>
      <c r="EJ35" s="380"/>
      <c r="EK35" s="190">
        <f t="shared" si="49"/>
        <v>482575000</v>
      </c>
      <c r="EL35" s="190">
        <f t="shared" si="50"/>
        <v>0</v>
      </c>
      <c r="EM35" s="190">
        <f t="shared" si="51"/>
        <v>32092.5</v>
      </c>
      <c r="EN35" s="380">
        <f t="shared" si="52"/>
        <v>2.3940941822514637E-2</v>
      </c>
    </row>
    <row r="36" spans="1:144">
      <c r="A36" s="378">
        <f t="shared" si="53"/>
        <v>43307</v>
      </c>
      <c r="D36" s="379">
        <f t="shared" si="1"/>
        <v>0</v>
      </c>
      <c r="E36" s="379">
        <v>63677363.409999996</v>
      </c>
      <c r="F36" s="380">
        <v>1.9099999999999999E-2</v>
      </c>
      <c r="G36" s="379">
        <f t="shared" si="2"/>
        <v>3378.4378920305553</v>
      </c>
      <c r="J36" s="379">
        <f t="shared" si="3"/>
        <v>0</v>
      </c>
      <c r="M36" s="379">
        <f t="shared" si="4"/>
        <v>0</v>
      </c>
      <c r="P36" s="379">
        <f t="shared" si="5"/>
        <v>0</v>
      </c>
      <c r="S36" s="379">
        <f t="shared" si="6"/>
        <v>0</v>
      </c>
      <c r="V36" s="379">
        <f t="shared" si="7"/>
        <v>0</v>
      </c>
      <c r="Y36" s="379">
        <f t="shared" si="8"/>
        <v>0</v>
      </c>
      <c r="AB36" s="379">
        <f t="shared" si="9"/>
        <v>0</v>
      </c>
      <c r="AE36" s="379">
        <v>0</v>
      </c>
      <c r="AH36" s="379">
        <v>0</v>
      </c>
      <c r="AI36" s="381">
        <f>18775000</f>
        <v>18775000</v>
      </c>
      <c r="AJ36" s="382">
        <v>2.2499999999999999E-2</v>
      </c>
      <c r="AK36" s="379">
        <f t="shared" si="10"/>
        <v>1173.4375</v>
      </c>
      <c r="AL36" s="381"/>
      <c r="AM36" s="382"/>
      <c r="AN36" s="379">
        <f t="shared" si="11"/>
        <v>0</v>
      </c>
      <c r="AO36" s="381">
        <f t="shared" si="55"/>
        <v>60000000</v>
      </c>
      <c r="AP36" s="382">
        <v>2.4E-2</v>
      </c>
      <c r="AQ36" s="379">
        <f t="shared" si="12"/>
        <v>4000</v>
      </c>
      <c r="AR36" s="381">
        <f t="shared" si="13"/>
        <v>235000000</v>
      </c>
      <c r="AS36" s="382">
        <v>2.4E-2</v>
      </c>
      <c r="AT36" s="379">
        <f t="shared" si="14"/>
        <v>15666.666666666666</v>
      </c>
      <c r="AU36" s="381">
        <f t="shared" si="54"/>
        <v>168575000</v>
      </c>
      <c r="AV36" s="382">
        <v>2.4E-2</v>
      </c>
      <c r="AW36" s="379">
        <f t="shared" si="15"/>
        <v>11238.333333333334</v>
      </c>
      <c r="AZ36" s="379">
        <f t="shared" si="16"/>
        <v>0</v>
      </c>
      <c r="BC36" s="379">
        <f t="shared" si="17"/>
        <v>0</v>
      </c>
      <c r="BF36" s="379">
        <f t="shared" si="18"/>
        <v>0</v>
      </c>
      <c r="BI36" s="379">
        <f t="shared" si="19"/>
        <v>0</v>
      </c>
      <c r="BL36" s="379">
        <f t="shared" si="20"/>
        <v>0</v>
      </c>
      <c r="BO36" s="379">
        <f t="shared" si="21"/>
        <v>0</v>
      </c>
      <c r="BR36" s="379">
        <f t="shared" si="22"/>
        <v>0</v>
      </c>
      <c r="BU36" s="379">
        <f t="shared" si="23"/>
        <v>0</v>
      </c>
      <c r="BX36" s="379">
        <f t="shared" si="24"/>
        <v>0</v>
      </c>
      <c r="CA36" s="379">
        <f t="shared" si="25"/>
        <v>0</v>
      </c>
      <c r="CD36" s="379">
        <f t="shared" si="26"/>
        <v>0</v>
      </c>
      <c r="CG36" s="379">
        <f t="shared" si="27"/>
        <v>0</v>
      </c>
      <c r="CJ36" s="379">
        <f t="shared" si="28"/>
        <v>0</v>
      </c>
      <c r="CM36" s="379">
        <f t="shared" si="29"/>
        <v>0</v>
      </c>
      <c r="CP36" s="379">
        <f t="shared" si="30"/>
        <v>0</v>
      </c>
      <c r="CS36" s="379">
        <f t="shared" si="31"/>
        <v>0</v>
      </c>
      <c r="CV36" s="379">
        <f t="shared" si="32"/>
        <v>0</v>
      </c>
      <c r="CY36" s="379">
        <f t="shared" si="33"/>
        <v>0</v>
      </c>
      <c r="DB36" s="379">
        <f t="shared" si="34"/>
        <v>0</v>
      </c>
      <c r="DE36" s="379">
        <f t="shared" si="35"/>
        <v>0</v>
      </c>
      <c r="DH36" s="379">
        <f t="shared" si="36"/>
        <v>0</v>
      </c>
      <c r="DK36" s="379">
        <f t="shared" si="37"/>
        <v>0</v>
      </c>
      <c r="DN36" s="379">
        <f t="shared" si="38"/>
        <v>0</v>
      </c>
      <c r="DQ36" s="379">
        <f t="shared" si="39"/>
        <v>0</v>
      </c>
      <c r="DT36" s="379">
        <f t="shared" si="40"/>
        <v>0</v>
      </c>
      <c r="DW36" s="379">
        <f t="shared" si="41"/>
        <v>0</v>
      </c>
      <c r="DY36" s="384"/>
      <c r="DZ36" s="366"/>
      <c r="EA36" s="379"/>
      <c r="EB36" s="190">
        <f t="shared" si="42"/>
        <v>546027363.40999997</v>
      </c>
      <c r="EC36" s="190">
        <f t="shared" si="43"/>
        <v>63677363.409999967</v>
      </c>
      <c r="ED36" s="379">
        <f t="shared" si="44"/>
        <v>35456.875392030553</v>
      </c>
      <c r="EE36" s="380">
        <f t="shared" si="45"/>
        <v>2.3376988034840365E-2</v>
      </c>
      <c r="EG36" s="190">
        <f t="shared" si="46"/>
        <v>0</v>
      </c>
      <c r="EH36" s="379">
        <f t="shared" si="47"/>
        <v>0</v>
      </c>
      <c r="EI36" s="380">
        <f t="shared" si="48"/>
        <v>0</v>
      </c>
      <c r="EJ36" s="380"/>
      <c r="EK36" s="190">
        <f t="shared" si="49"/>
        <v>482350000</v>
      </c>
      <c r="EL36" s="190">
        <f t="shared" si="50"/>
        <v>0</v>
      </c>
      <c r="EM36" s="190">
        <f t="shared" si="51"/>
        <v>32078.4375</v>
      </c>
      <c r="EN36" s="380">
        <f t="shared" si="52"/>
        <v>2.3941613973255931E-2</v>
      </c>
    </row>
    <row r="37" spans="1:144">
      <c r="A37" s="378">
        <f t="shared" si="53"/>
        <v>43308</v>
      </c>
      <c r="D37" s="379">
        <f t="shared" si="1"/>
        <v>0</v>
      </c>
      <c r="E37" s="379">
        <v>64473076.210000001</v>
      </c>
      <c r="F37" s="380">
        <v>1.9199999999999998E-2</v>
      </c>
      <c r="G37" s="379">
        <f t="shared" si="2"/>
        <v>3438.5640645333333</v>
      </c>
      <c r="J37" s="379">
        <f t="shared" si="3"/>
        <v>0</v>
      </c>
      <c r="M37" s="379">
        <f t="shared" si="4"/>
        <v>0</v>
      </c>
      <c r="P37" s="379">
        <f t="shared" si="5"/>
        <v>0</v>
      </c>
      <c r="S37" s="379">
        <f t="shared" si="6"/>
        <v>0</v>
      </c>
      <c r="V37" s="379">
        <f t="shared" si="7"/>
        <v>0</v>
      </c>
      <c r="Y37" s="379">
        <f t="shared" si="8"/>
        <v>0</v>
      </c>
      <c r="AB37" s="379">
        <f t="shared" si="9"/>
        <v>0</v>
      </c>
      <c r="AE37" s="379">
        <v>0</v>
      </c>
      <c r="AH37" s="379">
        <v>0</v>
      </c>
      <c r="AI37" s="381">
        <f>17900000</f>
        <v>17900000</v>
      </c>
      <c r="AJ37" s="382">
        <v>2.2499999999999999E-2</v>
      </c>
      <c r="AK37" s="379">
        <f t="shared" si="10"/>
        <v>1118.75</v>
      </c>
      <c r="AL37" s="381"/>
      <c r="AM37" s="382"/>
      <c r="AN37" s="379">
        <f t="shared" si="11"/>
        <v>0</v>
      </c>
      <c r="AO37" s="381">
        <f t="shared" si="55"/>
        <v>60000000</v>
      </c>
      <c r="AP37" s="382">
        <v>2.4E-2</v>
      </c>
      <c r="AQ37" s="379">
        <f t="shared" si="12"/>
        <v>4000</v>
      </c>
      <c r="AR37" s="381">
        <f t="shared" si="13"/>
        <v>235000000</v>
      </c>
      <c r="AS37" s="382">
        <v>2.4E-2</v>
      </c>
      <c r="AT37" s="379">
        <f t="shared" si="14"/>
        <v>15666.666666666666</v>
      </c>
      <c r="AU37" s="381">
        <f t="shared" si="54"/>
        <v>168575000</v>
      </c>
      <c r="AV37" s="382">
        <v>2.4E-2</v>
      </c>
      <c r="AW37" s="379">
        <f t="shared" si="15"/>
        <v>11238.333333333334</v>
      </c>
      <c r="AZ37" s="379">
        <f t="shared" si="16"/>
        <v>0</v>
      </c>
      <c r="BC37" s="379">
        <f t="shared" si="17"/>
        <v>0</v>
      </c>
      <c r="BF37" s="379">
        <f t="shared" si="18"/>
        <v>0</v>
      </c>
      <c r="BI37" s="379">
        <f t="shared" si="19"/>
        <v>0</v>
      </c>
      <c r="BL37" s="379">
        <f t="shared" si="20"/>
        <v>0</v>
      </c>
      <c r="BO37" s="379">
        <f t="shared" si="21"/>
        <v>0</v>
      </c>
      <c r="BR37" s="379">
        <f t="shared" si="22"/>
        <v>0</v>
      </c>
      <c r="BU37" s="379">
        <f t="shared" si="23"/>
        <v>0</v>
      </c>
      <c r="BX37" s="379">
        <f t="shared" si="24"/>
        <v>0</v>
      </c>
      <c r="CA37" s="379">
        <f t="shared" si="25"/>
        <v>0</v>
      </c>
      <c r="CD37" s="379">
        <f t="shared" si="26"/>
        <v>0</v>
      </c>
      <c r="CG37" s="379">
        <f t="shared" si="27"/>
        <v>0</v>
      </c>
      <c r="CJ37" s="379">
        <f t="shared" si="28"/>
        <v>0</v>
      </c>
      <c r="CM37" s="379">
        <f t="shared" si="29"/>
        <v>0</v>
      </c>
      <c r="CP37" s="379">
        <f t="shared" si="30"/>
        <v>0</v>
      </c>
      <c r="CS37" s="379">
        <f t="shared" si="31"/>
        <v>0</v>
      </c>
      <c r="CV37" s="379">
        <f t="shared" si="32"/>
        <v>0</v>
      </c>
      <c r="CY37" s="379">
        <f t="shared" si="33"/>
        <v>0</v>
      </c>
      <c r="DB37" s="379">
        <f t="shared" si="34"/>
        <v>0</v>
      </c>
      <c r="DE37" s="379">
        <f t="shared" si="35"/>
        <v>0</v>
      </c>
      <c r="DH37" s="379">
        <f t="shared" si="36"/>
        <v>0</v>
      </c>
      <c r="DK37" s="379">
        <f t="shared" si="37"/>
        <v>0</v>
      </c>
      <c r="DN37" s="379">
        <f t="shared" si="38"/>
        <v>0</v>
      </c>
      <c r="DQ37" s="379">
        <f t="shared" si="39"/>
        <v>0</v>
      </c>
      <c r="DT37" s="379">
        <f t="shared" si="40"/>
        <v>0</v>
      </c>
      <c r="DW37" s="379">
        <f t="shared" si="41"/>
        <v>0</v>
      </c>
      <c r="DY37" s="384"/>
      <c r="DZ37" s="366"/>
      <c r="EA37" s="379"/>
      <c r="EB37" s="190">
        <f t="shared" si="42"/>
        <v>545948076.21000004</v>
      </c>
      <c r="EC37" s="190">
        <f t="shared" si="43"/>
        <v>64473076.210000038</v>
      </c>
      <c r="ED37" s="379">
        <f t="shared" si="44"/>
        <v>35462.314064533333</v>
      </c>
      <c r="EE37" s="380">
        <f t="shared" si="45"/>
        <v>2.3383969317846566E-2</v>
      </c>
      <c r="EG37" s="190">
        <f t="shared" si="46"/>
        <v>0</v>
      </c>
      <c r="EH37" s="379">
        <f t="shared" si="47"/>
        <v>0</v>
      </c>
      <c r="EI37" s="380">
        <f t="shared" si="48"/>
        <v>0</v>
      </c>
      <c r="EJ37" s="380"/>
      <c r="EK37" s="190">
        <f t="shared" si="49"/>
        <v>481475000</v>
      </c>
      <c r="EL37" s="190">
        <f t="shared" si="50"/>
        <v>0</v>
      </c>
      <c r="EM37" s="190">
        <f t="shared" si="51"/>
        <v>32023.75</v>
      </c>
      <c r="EN37" s="380">
        <f t="shared" si="52"/>
        <v>2.3944233864686641E-2</v>
      </c>
    </row>
    <row r="38" spans="1:144">
      <c r="A38" s="378">
        <f t="shared" si="53"/>
        <v>43309</v>
      </c>
      <c r="D38" s="379">
        <f t="shared" si="1"/>
        <v>0</v>
      </c>
      <c r="E38" s="379">
        <v>64473076.210000001</v>
      </c>
      <c r="F38" s="380">
        <v>1.9199999999999998E-2</v>
      </c>
      <c r="G38" s="379">
        <f t="shared" si="2"/>
        <v>3438.5640645333333</v>
      </c>
      <c r="J38" s="379">
        <f t="shared" si="3"/>
        <v>0</v>
      </c>
      <c r="M38" s="379">
        <f t="shared" si="4"/>
        <v>0</v>
      </c>
      <c r="P38" s="379">
        <f t="shared" si="5"/>
        <v>0</v>
      </c>
      <c r="S38" s="379">
        <f t="shared" si="6"/>
        <v>0</v>
      </c>
      <c r="V38" s="379">
        <f t="shared" si="7"/>
        <v>0</v>
      </c>
      <c r="Y38" s="379">
        <f t="shared" si="8"/>
        <v>0</v>
      </c>
      <c r="AB38" s="379">
        <f t="shared" si="9"/>
        <v>0</v>
      </c>
      <c r="AE38" s="379">
        <v>0</v>
      </c>
      <c r="AH38" s="379">
        <v>0</v>
      </c>
      <c r="AI38" s="381">
        <f>17900000</f>
        <v>17900000</v>
      </c>
      <c r="AJ38" s="382">
        <v>2.2499999999999999E-2</v>
      </c>
      <c r="AK38" s="379">
        <f t="shared" si="10"/>
        <v>1118.75</v>
      </c>
      <c r="AL38" s="381"/>
      <c r="AM38" s="382"/>
      <c r="AN38" s="379">
        <f t="shared" si="11"/>
        <v>0</v>
      </c>
      <c r="AO38" s="381">
        <f t="shared" si="55"/>
        <v>60000000</v>
      </c>
      <c r="AP38" s="382">
        <v>2.4E-2</v>
      </c>
      <c r="AQ38" s="379">
        <f t="shared" si="12"/>
        <v>4000</v>
      </c>
      <c r="AR38" s="381">
        <f t="shared" si="13"/>
        <v>235000000</v>
      </c>
      <c r="AS38" s="382">
        <v>2.4E-2</v>
      </c>
      <c r="AT38" s="379">
        <f t="shared" si="14"/>
        <v>15666.666666666666</v>
      </c>
      <c r="AU38" s="381">
        <f t="shared" si="54"/>
        <v>168575000</v>
      </c>
      <c r="AV38" s="382">
        <v>2.4E-2</v>
      </c>
      <c r="AW38" s="379">
        <f t="shared" si="15"/>
        <v>11238.333333333334</v>
      </c>
      <c r="AZ38" s="379">
        <f t="shared" si="16"/>
        <v>0</v>
      </c>
      <c r="BC38" s="379">
        <f t="shared" si="17"/>
        <v>0</v>
      </c>
      <c r="BF38" s="379">
        <f t="shared" si="18"/>
        <v>0</v>
      </c>
      <c r="BI38" s="379">
        <f t="shared" si="19"/>
        <v>0</v>
      </c>
      <c r="BL38" s="379">
        <f t="shared" si="20"/>
        <v>0</v>
      </c>
      <c r="BO38" s="379">
        <f t="shared" si="21"/>
        <v>0</v>
      </c>
      <c r="BR38" s="379">
        <f t="shared" si="22"/>
        <v>0</v>
      </c>
      <c r="BU38" s="379">
        <f t="shared" si="23"/>
        <v>0</v>
      </c>
      <c r="BX38" s="379">
        <f t="shared" si="24"/>
        <v>0</v>
      </c>
      <c r="CA38" s="379">
        <f t="shared" si="25"/>
        <v>0</v>
      </c>
      <c r="CD38" s="379">
        <f t="shared" si="26"/>
        <v>0</v>
      </c>
      <c r="CG38" s="379">
        <f t="shared" si="27"/>
        <v>0</v>
      </c>
      <c r="CJ38" s="379">
        <f t="shared" si="28"/>
        <v>0</v>
      </c>
      <c r="CM38" s="379">
        <f t="shared" si="29"/>
        <v>0</v>
      </c>
      <c r="CP38" s="379">
        <f t="shared" si="30"/>
        <v>0</v>
      </c>
      <c r="CS38" s="379">
        <f t="shared" si="31"/>
        <v>0</v>
      </c>
      <c r="CV38" s="379">
        <f t="shared" si="32"/>
        <v>0</v>
      </c>
      <c r="CY38" s="379">
        <f t="shared" si="33"/>
        <v>0</v>
      </c>
      <c r="DB38" s="379">
        <f t="shared" si="34"/>
        <v>0</v>
      </c>
      <c r="DE38" s="379">
        <f t="shared" si="35"/>
        <v>0</v>
      </c>
      <c r="DH38" s="379">
        <f t="shared" si="36"/>
        <v>0</v>
      </c>
      <c r="DK38" s="379">
        <f t="shared" si="37"/>
        <v>0</v>
      </c>
      <c r="DN38" s="379">
        <f t="shared" si="38"/>
        <v>0</v>
      </c>
      <c r="DQ38" s="379">
        <f t="shared" si="39"/>
        <v>0</v>
      </c>
      <c r="DT38" s="379">
        <f t="shared" si="40"/>
        <v>0</v>
      </c>
      <c r="DW38" s="379">
        <f t="shared" si="41"/>
        <v>0</v>
      </c>
      <c r="DY38" s="384"/>
      <c r="DZ38" s="366"/>
      <c r="EA38" s="379"/>
      <c r="EB38" s="190">
        <f t="shared" si="42"/>
        <v>545948076.21000004</v>
      </c>
      <c r="EC38" s="190">
        <f t="shared" si="43"/>
        <v>64473076.210000038</v>
      </c>
      <c r="ED38" s="379">
        <f t="shared" si="44"/>
        <v>35462.314064533333</v>
      </c>
      <c r="EE38" s="380">
        <f t="shared" si="45"/>
        <v>2.3383969317846566E-2</v>
      </c>
      <c r="EG38" s="190">
        <f t="shared" si="46"/>
        <v>0</v>
      </c>
      <c r="EH38" s="379">
        <f t="shared" si="47"/>
        <v>0</v>
      </c>
      <c r="EI38" s="380">
        <f t="shared" si="48"/>
        <v>0</v>
      </c>
      <c r="EJ38" s="380"/>
      <c r="EK38" s="190">
        <f t="shared" si="49"/>
        <v>481475000</v>
      </c>
      <c r="EL38" s="190">
        <f t="shared" si="50"/>
        <v>0</v>
      </c>
      <c r="EM38" s="190">
        <f t="shared" si="51"/>
        <v>32023.75</v>
      </c>
      <c r="EN38" s="380">
        <f t="shared" si="52"/>
        <v>2.3944233864686641E-2</v>
      </c>
    </row>
    <row r="39" spans="1:144">
      <c r="A39" s="378">
        <f t="shared" si="53"/>
        <v>43310</v>
      </c>
      <c r="D39" s="379">
        <f t="shared" si="1"/>
        <v>0</v>
      </c>
      <c r="E39" s="379">
        <v>64473076.210000001</v>
      </c>
      <c r="F39" s="380">
        <v>1.9199999999999998E-2</v>
      </c>
      <c r="G39" s="379">
        <f t="shared" si="2"/>
        <v>3438.5640645333333</v>
      </c>
      <c r="J39" s="379">
        <f t="shared" si="3"/>
        <v>0</v>
      </c>
      <c r="M39" s="379">
        <f t="shared" si="4"/>
        <v>0</v>
      </c>
      <c r="P39" s="379">
        <f t="shared" si="5"/>
        <v>0</v>
      </c>
      <c r="S39" s="379">
        <f t="shared" si="6"/>
        <v>0</v>
      </c>
      <c r="V39" s="379">
        <f t="shared" si="7"/>
        <v>0</v>
      </c>
      <c r="Y39" s="379">
        <f t="shared" si="8"/>
        <v>0</v>
      </c>
      <c r="AB39" s="379">
        <f t="shared" si="9"/>
        <v>0</v>
      </c>
      <c r="AE39" s="379">
        <v>0</v>
      </c>
      <c r="AH39" s="379">
        <v>0</v>
      </c>
      <c r="AI39" s="381">
        <f>17900000</f>
        <v>17900000</v>
      </c>
      <c r="AJ39" s="382">
        <v>2.2499999999999999E-2</v>
      </c>
      <c r="AK39" s="379">
        <f t="shared" si="10"/>
        <v>1118.75</v>
      </c>
      <c r="AL39" s="381"/>
      <c r="AM39" s="382"/>
      <c r="AN39" s="379">
        <f t="shared" si="11"/>
        <v>0</v>
      </c>
      <c r="AO39" s="381">
        <f t="shared" si="55"/>
        <v>60000000</v>
      </c>
      <c r="AP39" s="382">
        <v>2.4E-2</v>
      </c>
      <c r="AQ39" s="379">
        <f t="shared" si="12"/>
        <v>4000</v>
      </c>
      <c r="AR39" s="381">
        <f t="shared" si="13"/>
        <v>235000000</v>
      </c>
      <c r="AS39" s="382">
        <v>2.4E-2</v>
      </c>
      <c r="AT39" s="379">
        <f t="shared" si="14"/>
        <v>15666.666666666666</v>
      </c>
      <c r="AU39" s="381">
        <f t="shared" si="54"/>
        <v>168575000</v>
      </c>
      <c r="AV39" s="382">
        <v>2.4E-2</v>
      </c>
      <c r="AW39" s="379">
        <f t="shared" si="15"/>
        <v>11238.333333333334</v>
      </c>
      <c r="AZ39" s="379">
        <f t="shared" si="16"/>
        <v>0</v>
      </c>
      <c r="BC39" s="379">
        <f t="shared" si="17"/>
        <v>0</v>
      </c>
      <c r="BF39" s="379">
        <f t="shared" si="18"/>
        <v>0</v>
      </c>
      <c r="BI39" s="379">
        <f t="shared" si="19"/>
        <v>0</v>
      </c>
      <c r="BL39" s="379">
        <f t="shared" si="20"/>
        <v>0</v>
      </c>
      <c r="BO39" s="379">
        <f t="shared" si="21"/>
        <v>0</v>
      </c>
      <c r="BR39" s="379">
        <f t="shared" si="22"/>
        <v>0</v>
      </c>
      <c r="BU39" s="379">
        <f t="shared" si="23"/>
        <v>0</v>
      </c>
      <c r="BX39" s="379">
        <f t="shared" si="24"/>
        <v>0</v>
      </c>
      <c r="CA39" s="379">
        <f t="shared" si="25"/>
        <v>0</v>
      </c>
      <c r="CD39" s="379">
        <f t="shared" si="26"/>
        <v>0</v>
      </c>
      <c r="CG39" s="379">
        <f t="shared" si="27"/>
        <v>0</v>
      </c>
      <c r="CJ39" s="379">
        <f t="shared" si="28"/>
        <v>0</v>
      </c>
      <c r="CM39" s="379">
        <f t="shared" si="29"/>
        <v>0</v>
      </c>
      <c r="CP39" s="379">
        <f t="shared" si="30"/>
        <v>0</v>
      </c>
      <c r="CS39" s="379">
        <f t="shared" si="31"/>
        <v>0</v>
      </c>
      <c r="CV39" s="379">
        <f t="shared" si="32"/>
        <v>0</v>
      </c>
      <c r="CY39" s="379">
        <f t="shared" si="33"/>
        <v>0</v>
      </c>
      <c r="DB39" s="379">
        <f t="shared" si="34"/>
        <v>0</v>
      </c>
      <c r="DE39" s="379">
        <f t="shared" si="35"/>
        <v>0</v>
      </c>
      <c r="DH39" s="379">
        <f t="shared" si="36"/>
        <v>0</v>
      </c>
      <c r="DK39" s="379">
        <f t="shared" si="37"/>
        <v>0</v>
      </c>
      <c r="DN39" s="379">
        <f t="shared" si="38"/>
        <v>0</v>
      </c>
      <c r="DQ39" s="379">
        <f t="shared" si="39"/>
        <v>0</v>
      </c>
      <c r="DT39" s="379">
        <f t="shared" si="40"/>
        <v>0</v>
      </c>
      <c r="DW39" s="379">
        <f t="shared" si="41"/>
        <v>0</v>
      </c>
      <c r="DY39" s="384"/>
      <c r="DZ39" s="366"/>
      <c r="EA39" s="379"/>
      <c r="EB39" s="190">
        <f t="shared" si="42"/>
        <v>545948076.21000004</v>
      </c>
      <c r="EC39" s="190">
        <f t="shared" si="43"/>
        <v>64473076.210000038</v>
      </c>
      <c r="ED39" s="379">
        <f t="shared" si="44"/>
        <v>35462.314064533333</v>
      </c>
      <c r="EE39" s="380">
        <f t="shared" si="45"/>
        <v>2.3383969317846566E-2</v>
      </c>
      <c r="EG39" s="190">
        <f t="shared" si="46"/>
        <v>0</v>
      </c>
      <c r="EH39" s="379">
        <f t="shared" si="47"/>
        <v>0</v>
      </c>
      <c r="EI39" s="380">
        <f t="shared" si="48"/>
        <v>0</v>
      </c>
      <c r="EJ39" s="380"/>
      <c r="EK39" s="190">
        <f t="shared" si="49"/>
        <v>481475000</v>
      </c>
      <c r="EL39" s="190">
        <f t="shared" si="50"/>
        <v>0</v>
      </c>
      <c r="EM39" s="190">
        <f t="shared" si="51"/>
        <v>32023.75</v>
      </c>
      <c r="EN39" s="380">
        <f t="shared" si="52"/>
        <v>2.3944233864686641E-2</v>
      </c>
    </row>
    <row r="40" spans="1:144">
      <c r="A40" s="378">
        <f t="shared" si="53"/>
        <v>43311</v>
      </c>
      <c r="D40" s="379">
        <f t="shared" si="1"/>
        <v>0</v>
      </c>
      <c r="E40" s="379">
        <v>61924256.420000002</v>
      </c>
      <c r="F40" s="380">
        <v>1.9699999999999999E-2</v>
      </c>
      <c r="G40" s="379">
        <f t="shared" si="2"/>
        <v>3388.6329207611107</v>
      </c>
      <c r="J40" s="379">
        <f t="shared" si="3"/>
        <v>0</v>
      </c>
      <c r="M40" s="379">
        <f t="shared" si="4"/>
        <v>0</v>
      </c>
      <c r="P40" s="379">
        <f t="shared" si="5"/>
        <v>0</v>
      </c>
      <c r="S40" s="379">
        <f t="shared" si="6"/>
        <v>0</v>
      </c>
      <c r="V40" s="379">
        <f t="shared" si="7"/>
        <v>0</v>
      </c>
      <c r="Y40" s="379">
        <f t="shared" si="8"/>
        <v>0</v>
      </c>
      <c r="AB40" s="379">
        <f t="shared" si="9"/>
        <v>0</v>
      </c>
      <c r="AE40" s="379">
        <v>0</v>
      </c>
      <c r="AH40" s="379">
        <v>0</v>
      </c>
      <c r="AI40" s="381">
        <f>20475000</f>
        <v>20475000</v>
      </c>
      <c r="AJ40" s="382">
        <v>2.2499999999999999E-2</v>
      </c>
      <c r="AK40" s="379">
        <f t="shared" si="10"/>
        <v>1279.6875</v>
      </c>
      <c r="AL40" s="381"/>
      <c r="AM40" s="382"/>
      <c r="AN40" s="379">
        <f t="shared" si="11"/>
        <v>0</v>
      </c>
      <c r="AO40" s="381">
        <f t="shared" si="55"/>
        <v>60000000</v>
      </c>
      <c r="AP40" s="382">
        <v>2.4E-2</v>
      </c>
      <c r="AQ40" s="379">
        <f t="shared" si="12"/>
        <v>4000</v>
      </c>
      <c r="AR40" s="381">
        <f t="shared" si="13"/>
        <v>235000000</v>
      </c>
      <c r="AS40" s="382">
        <v>2.4E-2</v>
      </c>
      <c r="AT40" s="379">
        <f t="shared" si="14"/>
        <v>15666.666666666666</v>
      </c>
      <c r="AU40" s="381">
        <f t="shared" si="54"/>
        <v>168575000</v>
      </c>
      <c r="AV40" s="382">
        <v>2.4E-2</v>
      </c>
      <c r="AW40" s="379">
        <f t="shared" si="15"/>
        <v>11238.333333333334</v>
      </c>
      <c r="AZ40" s="379">
        <f t="shared" si="16"/>
        <v>0</v>
      </c>
      <c r="BC40" s="379">
        <f t="shared" si="17"/>
        <v>0</v>
      </c>
      <c r="BF40" s="379">
        <f t="shared" si="18"/>
        <v>0</v>
      </c>
      <c r="BI40" s="379">
        <f t="shared" si="19"/>
        <v>0</v>
      </c>
      <c r="BL40" s="379">
        <f t="shared" si="20"/>
        <v>0</v>
      </c>
      <c r="BO40" s="379">
        <f t="shared" si="21"/>
        <v>0</v>
      </c>
      <c r="BR40" s="379">
        <f t="shared" si="22"/>
        <v>0</v>
      </c>
      <c r="BU40" s="379">
        <f t="shared" si="23"/>
        <v>0</v>
      </c>
      <c r="BX40" s="379">
        <f t="shared" si="24"/>
        <v>0</v>
      </c>
      <c r="CA40" s="379">
        <f t="shared" si="25"/>
        <v>0</v>
      </c>
      <c r="CD40" s="379">
        <f t="shared" si="26"/>
        <v>0</v>
      </c>
      <c r="CG40" s="379">
        <f t="shared" si="27"/>
        <v>0</v>
      </c>
      <c r="CJ40" s="379">
        <f t="shared" si="28"/>
        <v>0</v>
      </c>
      <c r="CM40" s="379">
        <f t="shared" si="29"/>
        <v>0</v>
      </c>
      <c r="CP40" s="379">
        <f t="shared" si="30"/>
        <v>0</v>
      </c>
      <c r="CS40" s="379">
        <f t="shared" si="31"/>
        <v>0</v>
      </c>
      <c r="CV40" s="379">
        <f t="shared" si="32"/>
        <v>0</v>
      </c>
      <c r="CY40" s="379">
        <f t="shared" si="33"/>
        <v>0</v>
      </c>
      <c r="DB40" s="379">
        <f t="shared" si="34"/>
        <v>0</v>
      </c>
      <c r="DE40" s="379">
        <f t="shared" si="35"/>
        <v>0</v>
      </c>
      <c r="DH40" s="379">
        <f t="shared" si="36"/>
        <v>0</v>
      </c>
      <c r="DK40" s="379">
        <f t="shared" si="37"/>
        <v>0</v>
      </c>
      <c r="DN40" s="379">
        <f t="shared" si="38"/>
        <v>0</v>
      </c>
      <c r="DQ40" s="379">
        <f t="shared" si="39"/>
        <v>0</v>
      </c>
      <c r="DT40" s="379">
        <f t="shared" si="40"/>
        <v>0</v>
      </c>
      <c r="DW40" s="379">
        <f t="shared" si="41"/>
        <v>0</v>
      </c>
      <c r="DY40" s="384"/>
      <c r="DZ40" s="366"/>
      <c r="EA40" s="379"/>
      <c r="EB40" s="190">
        <f t="shared" si="42"/>
        <v>545974256.42000008</v>
      </c>
      <c r="EC40" s="190">
        <f t="shared" si="43"/>
        <v>61924256.420000076</v>
      </c>
      <c r="ED40" s="379">
        <f t="shared" si="44"/>
        <v>35573.320420761112</v>
      </c>
      <c r="EE40" s="380">
        <f t="shared" si="45"/>
        <v>2.345604247981696E-2</v>
      </c>
      <c r="EG40" s="190">
        <f t="shared" si="46"/>
        <v>0</v>
      </c>
      <c r="EH40" s="379">
        <f t="shared" si="47"/>
        <v>0</v>
      </c>
      <c r="EI40" s="380">
        <f t="shared" si="48"/>
        <v>0</v>
      </c>
      <c r="EJ40" s="380"/>
      <c r="EK40" s="190">
        <f t="shared" si="49"/>
        <v>484050000</v>
      </c>
      <c r="EL40" s="190">
        <f t="shared" si="50"/>
        <v>0</v>
      </c>
      <c r="EM40" s="190">
        <f t="shared" si="51"/>
        <v>32184.6875</v>
      </c>
      <c r="EN40" s="380">
        <f t="shared" si="52"/>
        <v>2.393655097613883E-2</v>
      </c>
    </row>
    <row r="41" spans="1:144">
      <c r="A41" s="378">
        <f t="shared" si="53"/>
        <v>43312</v>
      </c>
      <c r="D41" s="379">
        <f t="shared" si="1"/>
        <v>0</v>
      </c>
      <c r="E41" s="379">
        <v>49539791.979999997</v>
      </c>
      <c r="F41" s="380">
        <v>1.9699999999999999E-2</v>
      </c>
      <c r="G41" s="379">
        <f t="shared" si="2"/>
        <v>2710.9275055722219</v>
      </c>
      <c r="J41" s="379">
        <f t="shared" si="3"/>
        <v>0</v>
      </c>
      <c r="M41" s="379">
        <f t="shared" si="4"/>
        <v>0</v>
      </c>
      <c r="P41" s="379">
        <f t="shared" si="5"/>
        <v>0</v>
      </c>
      <c r="S41" s="379">
        <f t="shared" si="6"/>
        <v>0</v>
      </c>
      <c r="V41" s="379">
        <f t="shared" si="7"/>
        <v>0</v>
      </c>
      <c r="Y41" s="379">
        <f t="shared" si="8"/>
        <v>0</v>
      </c>
      <c r="AB41" s="379">
        <f t="shared" si="9"/>
        <v>0</v>
      </c>
      <c r="AE41" s="379">
        <v>0</v>
      </c>
      <c r="AH41" s="379">
        <v>0</v>
      </c>
      <c r="AI41" s="381">
        <v>32900000</v>
      </c>
      <c r="AJ41" s="382">
        <v>2.2499999999999999E-2</v>
      </c>
      <c r="AK41" s="379">
        <f t="shared" si="10"/>
        <v>2056.25</v>
      </c>
      <c r="AL41" s="381"/>
      <c r="AM41" s="382"/>
      <c r="AN41" s="379">
        <f t="shared" si="11"/>
        <v>0</v>
      </c>
      <c r="AO41" s="381">
        <f t="shared" si="55"/>
        <v>60000000</v>
      </c>
      <c r="AP41" s="382">
        <v>2.4E-2</v>
      </c>
      <c r="AQ41" s="379">
        <f t="shared" si="12"/>
        <v>4000</v>
      </c>
      <c r="AR41" s="381">
        <f t="shared" si="13"/>
        <v>235000000</v>
      </c>
      <c r="AS41" s="382">
        <v>2.4E-2</v>
      </c>
      <c r="AT41" s="379">
        <f t="shared" si="14"/>
        <v>15666.666666666666</v>
      </c>
      <c r="AU41" s="381">
        <f t="shared" si="54"/>
        <v>168575000</v>
      </c>
      <c r="AV41" s="382">
        <v>2.4E-2</v>
      </c>
      <c r="AW41" s="379">
        <f t="shared" si="15"/>
        <v>11238.333333333334</v>
      </c>
      <c r="AZ41" s="379">
        <f t="shared" si="16"/>
        <v>0</v>
      </c>
      <c r="BC41" s="379">
        <f t="shared" si="17"/>
        <v>0</v>
      </c>
      <c r="BF41" s="379">
        <f t="shared" si="18"/>
        <v>0</v>
      </c>
      <c r="BI41" s="379">
        <f t="shared" si="19"/>
        <v>0</v>
      </c>
      <c r="BL41" s="379">
        <f t="shared" si="20"/>
        <v>0</v>
      </c>
      <c r="BO41" s="379">
        <f t="shared" si="21"/>
        <v>0</v>
      </c>
      <c r="BR41" s="379">
        <f t="shared" si="22"/>
        <v>0</v>
      </c>
      <c r="BU41" s="379">
        <f t="shared" si="23"/>
        <v>0</v>
      </c>
      <c r="BX41" s="379">
        <f t="shared" si="24"/>
        <v>0</v>
      </c>
      <c r="CA41" s="379">
        <f t="shared" si="25"/>
        <v>0</v>
      </c>
      <c r="CD41" s="379">
        <f t="shared" si="26"/>
        <v>0</v>
      </c>
      <c r="CG41" s="379">
        <f t="shared" si="27"/>
        <v>0</v>
      </c>
      <c r="CJ41" s="379">
        <f t="shared" si="28"/>
        <v>0</v>
      </c>
      <c r="CM41" s="379">
        <f t="shared" si="29"/>
        <v>0</v>
      </c>
      <c r="CP41" s="379">
        <f t="shared" si="30"/>
        <v>0</v>
      </c>
      <c r="CS41" s="379">
        <f t="shared" si="31"/>
        <v>0</v>
      </c>
      <c r="CV41" s="379">
        <f t="shared" si="32"/>
        <v>0</v>
      </c>
      <c r="CY41" s="379">
        <f t="shared" si="33"/>
        <v>0</v>
      </c>
      <c r="DB41" s="379">
        <f t="shared" si="34"/>
        <v>0</v>
      </c>
      <c r="DE41" s="379">
        <f t="shared" si="35"/>
        <v>0</v>
      </c>
      <c r="DH41" s="379">
        <f t="shared" si="36"/>
        <v>0</v>
      </c>
      <c r="DK41" s="379">
        <f t="shared" si="37"/>
        <v>0</v>
      </c>
      <c r="DN41" s="379">
        <f t="shared" si="38"/>
        <v>0</v>
      </c>
      <c r="DQ41" s="379">
        <f t="shared" si="39"/>
        <v>0</v>
      </c>
      <c r="DT41" s="379">
        <f t="shared" si="40"/>
        <v>0</v>
      </c>
      <c r="DW41" s="379">
        <f t="shared" si="41"/>
        <v>0</v>
      </c>
      <c r="DY41" s="384"/>
      <c r="DZ41" s="366"/>
      <c r="EA41" s="379"/>
      <c r="EB41" s="190">
        <f t="shared" si="42"/>
        <v>546014791.98000002</v>
      </c>
      <c r="EC41" s="190">
        <f t="shared" si="43"/>
        <v>49539791.980000019</v>
      </c>
      <c r="ED41" s="379">
        <f t="shared" si="44"/>
        <v>35672.177505572225</v>
      </c>
      <c r="EE41" s="380">
        <f t="shared" si="45"/>
        <v>2.3519479857747865E-2</v>
      </c>
      <c r="EG41" s="190">
        <f t="shared" si="46"/>
        <v>0</v>
      </c>
      <c r="EH41" s="379">
        <f t="shared" si="47"/>
        <v>0</v>
      </c>
      <c r="EI41" s="380">
        <f t="shared" si="48"/>
        <v>0</v>
      </c>
      <c r="EJ41" s="380"/>
      <c r="EK41" s="190">
        <f t="shared" si="49"/>
        <v>496475000</v>
      </c>
      <c r="EL41" s="190">
        <f t="shared" si="50"/>
        <v>0</v>
      </c>
      <c r="EM41" s="190">
        <f t="shared" si="51"/>
        <v>32961.25</v>
      </c>
      <c r="EN41" s="380">
        <f t="shared" si="52"/>
        <v>2.3900599224532956E-2</v>
      </c>
    </row>
    <row r="42" spans="1:144">
      <c r="A42" s="191" t="s">
        <v>13</v>
      </c>
      <c r="D42" s="383">
        <f>SUM(D11:D41)</f>
        <v>0</v>
      </c>
      <c r="G42" s="383">
        <f>SUM(G11:G41)</f>
        <v>81783.794592924998</v>
      </c>
      <c r="J42" s="383">
        <f>SUM(J11:J41)</f>
        <v>0</v>
      </c>
      <c r="M42" s="383">
        <f>SUM(M11:M41)</f>
        <v>0</v>
      </c>
      <c r="P42" s="383">
        <f>SUM(P11:P41)</f>
        <v>0</v>
      </c>
      <c r="S42" s="383">
        <f>SUM(S11:S41)</f>
        <v>0</v>
      </c>
      <c r="V42" s="383">
        <f>SUM(V11:V41)</f>
        <v>0</v>
      </c>
      <c r="Y42" s="383">
        <f>SUM(Y11:Y41)</f>
        <v>0</v>
      </c>
      <c r="AB42" s="383">
        <f>SUM(AB11:AB41)</f>
        <v>0</v>
      </c>
      <c r="AE42" s="383">
        <f>SUM(AE11:AE41)</f>
        <v>0</v>
      </c>
      <c r="AH42" s="383">
        <f>SUM(AH11:AH41)</f>
        <v>0</v>
      </c>
      <c r="AK42" s="383">
        <f>SUM(AK11:AK41)</f>
        <v>71967.569444444438</v>
      </c>
      <c r="AN42" s="383">
        <f>SUM(AN11:AN41)</f>
        <v>71920</v>
      </c>
      <c r="AQ42" s="383">
        <f>SUM(AQ11:AQ41)</f>
        <v>108666.66666666667</v>
      </c>
      <c r="AT42" s="383">
        <f>SUM(AT11:AT41)</f>
        <v>470000.00000000017</v>
      </c>
      <c r="AW42" s="383">
        <f>SUM(AW11:AW41)</f>
        <v>301513.33333333337</v>
      </c>
      <c r="AZ42" s="383">
        <f>SUM(AZ11:AZ41)</f>
        <v>0</v>
      </c>
      <c r="BC42" s="383">
        <f>SUM(BC11:BC41)</f>
        <v>0</v>
      </c>
      <c r="BF42" s="383">
        <f>SUM(BF11:BF41)</f>
        <v>0</v>
      </c>
      <c r="BI42" s="383">
        <f>SUM(BI11:BI41)</f>
        <v>0</v>
      </c>
      <c r="BL42" s="383">
        <f>SUM(BL11:BL41)</f>
        <v>0</v>
      </c>
      <c r="BO42" s="383">
        <f>SUM(BO11:BO41)</f>
        <v>0</v>
      </c>
      <c r="BR42" s="383">
        <f>SUM(BR11:BR41)</f>
        <v>0</v>
      </c>
      <c r="BU42" s="383">
        <f>SUM(BU11:BU41)</f>
        <v>0</v>
      </c>
      <c r="BX42" s="383">
        <f>SUM(BX11:BX41)</f>
        <v>0</v>
      </c>
      <c r="CA42" s="383">
        <f>SUM(CA11:CA41)</f>
        <v>0</v>
      </c>
      <c r="CD42" s="383">
        <f>SUM(CD11:CD41)</f>
        <v>0</v>
      </c>
      <c r="CG42" s="383">
        <f>SUM(CG11:CG41)</f>
        <v>0</v>
      </c>
      <c r="CJ42" s="383">
        <f>SUM(CJ11:CJ41)</f>
        <v>0</v>
      </c>
      <c r="CM42" s="383">
        <f>SUM(CM11:CM41)</f>
        <v>0</v>
      </c>
      <c r="CP42" s="383">
        <f>SUM(CP11:CP41)</f>
        <v>0</v>
      </c>
      <c r="CS42" s="383">
        <f>SUM(CS11:CS41)</f>
        <v>0</v>
      </c>
      <c r="CV42" s="383">
        <f>SUM(CV11:CV41)</f>
        <v>0</v>
      </c>
      <c r="CY42" s="383">
        <f>SUM(CY11:CY41)</f>
        <v>0</v>
      </c>
      <c r="DB42" s="383">
        <f>SUM(DB11:DB41)</f>
        <v>0</v>
      </c>
      <c r="DE42" s="383">
        <f>SUM(DE11:DE41)</f>
        <v>0</v>
      </c>
      <c r="DH42" s="383">
        <f>SUM(DH11:DH41)</f>
        <v>0</v>
      </c>
      <c r="DK42" s="383">
        <f>SUM(DK11:DK41)</f>
        <v>0</v>
      </c>
      <c r="DN42" s="383">
        <f>SUM(DN11:DN41)</f>
        <v>0</v>
      </c>
      <c r="DQ42" s="383">
        <f>SUM(DQ11:DQ41)</f>
        <v>0</v>
      </c>
      <c r="DT42" s="383">
        <f>SUM(DT11:DT41)</f>
        <v>0</v>
      </c>
      <c r="DW42" s="383">
        <f>SUM(DW11:DW41)</f>
        <v>0</v>
      </c>
      <c r="DY42" s="384"/>
      <c r="DZ42" s="366"/>
      <c r="EA42" s="366"/>
      <c r="EB42" s="379"/>
      <c r="EC42" s="379"/>
      <c r="ED42" s="383">
        <f>SUM(ED11:ED41)</f>
        <v>1105851.3640373694</v>
      </c>
      <c r="EE42" s="380"/>
      <c r="EG42" s="379"/>
      <c r="EH42" s="383">
        <f>SUM(EH11:EH41)</f>
        <v>0</v>
      </c>
      <c r="EI42" s="380"/>
      <c r="EJ42" s="380"/>
      <c r="EK42" s="379"/>
      <c r="EL42" s="379"/>
      <c r="EM42" s="383">
        <f>SUM(EM11:EM41)</f>
        <v>1024067.5694444443</v>
      </c>
      <c r="EN42" s="380"/>
    </row>
    <row r="44" spans="1:144">
      <c r="EM44" s="379"/>
    </row>
    <row r="46" spans="1:144">
      <c r="EM46" s="390"/>
    </row>
    <row r="48" spans="1:144">
      <c r="EM48" s="379"/>
    </row>
  </sheetData>
  <pageMargins left="0.7" right="0.7" top="0.75" bottom="0.75" header="0.3" footer="0.3"/>
  <pageSetup scale="62" orientation="portrait" r:id="rId1"/>
  <headerFooter>
    <oddFooter>&amp;CSchedule MA-TU
&amp;RJuly 2018 &amp;P of &amp;N
Confidential
4 CSR 240-2.090(9(A).2(D).II)</oddFooter>
  </headerFooter>
  <colBreaks count="3" manualBreakCount="3">
    <brk id="37" max="41" man="1"/>
    <brk id="46" max="41" man="1"/>
    <brk id="140" max="4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9"/>
  <sheetViews>
    <sheetView zoomScale="80" zoomScaleNormal="80" workbookViewId="0">
      <selection activeCell="G7" sqref="G7"/>
    </sheetView>
  </sheetViews>
  <sheetFormatPr defaultColWidth="9.140625" defaultRowHeight="12.75"/>
  <cols>
    <col min="1" max="1" width="14.7109375" style="372" bestFit="1" customWidth="1"/>
    <col min="2" max="2" width="15.5703125" style="379" hidden="1" customWidth="1"/>
    <col min="3" max="3" width="15.42578125" style="380" hidden="1" customWidth="1"/>
    <col min="4" max="4" width="15.42578125" style="372" hidden="1" customWidth="1"/>
    <col min="5" max="5" width="18" style="379" customWidth="1"/>
    <col min="6" max="6" width="12.42578125" style="380" bestFit="1" customWidth="1"/>
    <col min="7" max="7" width="18.5703125" style="372" bestFit="1" customWidth="1"/>
    <col min="8" max="8" width="15.42578125" style="379" hidden="1" customWidth="1"/>
    <col min="9" max="9" width="10.28515625" style="380" hidden="1" customWidth="1"/>
    <col min="10" max="10" width="13.42578125" style="372" hidden="1" customWidth="1"/>
    <col min="11" max="11" width="14.42578125" style="379" hidden="1" customWidth="1"/>
    <col min="12" max="12" width="10.28515625" style="380" hidden="1" customWidth="1"/>
    <col min="13" max="13" width="11.7109375" style="372" hidden="1" customWidth="1"/>
    <col min="14" max="14" width="14.42578125" style="379" hidden="1" customWidth="1"/>
    <col min="15" max="15" width="10.28515625" style="380" hidden="1" customWidth="1"/>
    <col min="16" max="16" width="11.7109375" style="372" hidden="1" customWidth="1"/>
    <col min="17" max="17" width="15.42578125" style="379" hidden="1" customWidth="1"/>
    <col min="18" max="18" width="10.28515625" style="380" hidden="1" customWidth="1"/>
    <col min="19" max="19" width="11.7109375" style="372" hidden="1" customWidth="1"/>
    <col min="20" max="20" width="15.42578125" style="379" hidden="1" customWidth="1"/>
    <col min="21" max="21" width="10.28515625" style="380" hidden="1" customWidth="1"/>
    <col min="22" max="22" width="11.7109375" style="372" hidden="1" customWidth="1"/>
    <col min="23" max="23" width="15.42578125" style="379" hidden="1" customWidth="1"/>
    <col min="24" max="24" width="10.28515625" style="380" hidden="1" customWidth="1"/>
    <col min="25" max="25" width="11.7109375" style="372" hidden="1" customWidth="1"/>
    <col min="26" max="26" width="15.42578125" style="379" hidden="1" customWidth="1"/>
    <col min="27" max="27" width="10.28515625" style="380" hidden="1" customWidth="1"/>
    <col min="28" max="28" width="11.7109375" style="372" hidden="1" customWidth="1"/>
    <col min="29" max="29" width="15.42578125" style="379" hidden="1" customWidth="1"/>
    <col min="30" max="30" width="10.28515625" style="380" hidden="1" customWidth="1"/>
    <col min="31" max="31" width="11.7109375" style="372" hidden="1" customWidth="1"/>
    <col min="32" max="32" width="14.42578125" style="379" hidden="1" customWidth="1"/>
    <col min="33" max="33" width="10.28515625" style="380" hidden="1" customWidth="1"/>
    <col min="34" max="34" width="10.7109375" style="372" hidden="1" customWidth="1"/>
    <col min="35" max="35" width="14.42578125" style="379" customWidth="1"/>
    <col min="36" max="36" width="12.140625" style="380" bestFit="1" customWidth="1"/>
    <col min="37" max="37" width="12.140625" style="372" bestFit="1" customWidth="1"/>
    <col min="38" max="38" width="14.42578125" style="379" customWidth="1"/>
    <col min="39" max="39" width="12.140625" style="380" bestFit="1" customWidth="1"/>
    <col min="40" max="40" width="14.28515625" style="372" bestFit="1" customWidth="1"/>
    <col min="41" max="41" width="15.5703125" style="379" bestFit="1" customWidth="1"/>
    <col min="42" max="42" width="12.42578125" style="380" bestFit="1" customWidth="1"/>
    <col min="43" max="43" width="13.85546875" style="372" bestFit="1" customWidth="1"/>
    <col min="44" max="44" width="15.5703125" style="379" bestFit="1" customWidth="1"/>
    <col min="45" max="45" width="12.140625" style="380" bestFit="1" customWidth="1"/>
    <col min="46" max="46" width="13.85546875" style="372" bestFit="1" customWidth="1"/>
    <col min="47" max="47" width="14.42578125" style="379" customWidth="1"/>
    <col min="48" max="48" width="12.140625" style="380" bestFit="1" customWidth="1"/>
    <col min="49" max="49" width="13.85546875" style="372" bestFit="1" customWidth="1"/>
    <col min="50" max="50" width="14.42578125" style="379" customWidth="1"/>
    <col min="51" max="51" width="12.140625" style="380" bestFit="1" customWidth="1"/>
    <col min="52" max="52" width="12.140625" style="372" bestFit="1" customWidth="1"/>
    <col min="53" max="53" width="14.42578125" style="379" hidden="1" customWidth="1"/>
    <col min="54" max="54" width="10.28515625" style="380" hidden="1" customWidth="1"/>
    <col min="55" max="55" width="10.7109375" style="372" hidden="1" customWidth="1"/>
    <col min="56" max="56" width="14.42578125" style="379" hidden="1" customWidth="1"/>
    <col min="57" max="57" width="10.28515625" style="380" hidden="1" customWidth="1"/>
    <col min="58" max="58" width="10.7109375" style="372" hidden="1" customWidth="1"/>
    <col min="59" max="59" width="14.42578125" style="379" hidden="1" customWidth="1"/>
    <col min="60" max="60" width="10.28515625" style="380" hidden="1" customWidth="1"/>
    <col min="61" max="61" width="10.7109375" style="372" hidden="1" customWidth="1"/>
    <col min="62" max="62" width="14.42578125" style="379" hidden="1" customWidth="1"/>
    <col min="63" max="63" width="10.28515625" style="380" hidden="1" customWidth="1"/>
    <col min="64" max="64" width="10.7109375" style="372" hidden="1" customWidth="1"/>
    <col min="65" max="65" width="14.42578125" style="379" hidden="1" customWidth="1"/>
    <col min="66" max="66" width="10.28515625" style="380" hidden="1" customWidth="1"/>
    <col min="67" max="67" width="10.7109375" style="372" hidden="1" customWidth="1"/>
    <col min="68" max="68" width="14.42578125" style="379" hidden="1" customWidth="1"/>
    <col min="69" max="69" width="10.28515625" style="380" hidden="1" customWidth="1"/>
    <col min="70" max="70" width="10.7109375" style="372" hidden="1" customWidth="1"/>
    <col min="71" max="71" width="14.42578125" style="379" hidden="1" customWidth="1"/>
    <col min="72" max="72" width="10.28515625" style="380" hidden="1" customWidth="1"/>
    <col min="73" max="73" width="10.7109375" style="372" hidden="1" customWidth="1"/>
    <col min="74" max="74" width="14.42578125" style="379" hidden="1" customWidth="1"/>
    <col min="75" max="75" width="10.28515625" style="380" hidden="1" customWidth="1"/>
    <col min="76" max="76" width="10.7109375" style="372" hidden="1" customWidth="1"/>
    <col min="77" max="77" width="14.42578125" style="379" hidden="1" customWidth="1"/>
    <col min="78" max="78" width="10.28515625" style="380" hidden="1" customWidth="1"/>
    <col min="79" max="79" width="10.7109375" style="372" hidden="1" customWidth="1"/>
    <col min="80" max="80" width="14.42578125" style="379" hidden="1" customWidth="1"/>
    <col min="81" max="81" width="10.28515625" style="380" hidden="1" customWidth="1"/>
    <col min="82" max="82" width="10.7109375" style="372" hidden="1" customWidth="1"/>
    <col min="83" max="83" width="14.42578125" style="379" hidden="1" customWidth="1"/>
    <col min="84" max="84" width="10.28515625" style="380" hidden="1" customWidth="1"/>
    <col min="85" max="85" width="10.7109375" style="372" hidden="1" customWidth="1"/>
    <col min="86" max="86" width="14.42578125" style="379" hidden="1" customWidth="1"/>
    <col min="87" max="87" width="10.28515625" style="380" hidden="1" customWidth="1"/>
    <col min="88" max="88" width="10.7109375" style="372" hidden="1" customWidth="1"/>
    <col min="89" max="89" width="14.42578125" style="379" hidden="1" customWidth="1"/>
    <col min="90" max="90" width="10.28515625" style="380" hidden="1" customWidth="1"/>
    <col min="91" max="91" width="10.7109375" style="372" hidden="1" customWidth="1"/>
    <col min="92" max="92" width="14.42578125" style="379" hidden="1" customWidth="1"/>
    <col min="93" max="93" width="10.28515625" style="380" hidden="1" customWidth="1"/>
    <col min="94" max="94" width="10.7109375" style="372" hidden="1" customWidth="1"/>
    <col min="95" max="95" width="14.42578125" style="379" hidden="1" customWidth="1"/>
    <col min="96" max="96" width="10.28515625" style="380" hidden="1" customWidth="1"/>
    <col min="97" max="97" width="10.7109375" style="372" hidden="1" customWidth="1"/>
    <col min="98" max="98" width="14.42578125" style="379" hidden="1" customWidth="1"/>
    <col min="99" max="99" width="10.28515625" style="380" hidden="1" customWidth="1"/>
    <col min="100" max="100" width="10.7109375" style="372" hidden="1" customWidth="1"/>
    <col min="101" max="101" width="14.42578125" style="379" hidden="1" customWidth="1"/>
    <col min="102" max="102" width="10.28515625" style="380" hidden="1" customWidth="1"/>
    <col min="103" max="103" width="10.7109375" style="372" hidden="1" customWidth="1"/>
    <col min="104" max="104" width="14.42578125" style="379" hidden="1" customWidth="1"/>
    <col min="105" max="105" width="10.28515625" style="380" hidden="1" customWidth="1"/>
    <col min="106" max="106" width="10.7109375" style="372" hidden="1" customWidth="1"/>
    <col min="107" max="107" width="14.42578125" style="379" hidden="1" customWidth="1"/>
    <col min="108" max="108" width="10.28515625" style="380" hidden="1" customWidth="1"/>
    <col min="109" max="109" width="10.7109375" style="372" hidden="1" customWidth="1"/>
    <col min="110" max="110" width="14.42578125" style="379" hidden="1" customWidth="1"/>
    <col min="111" max="111" width="10.28515625" style="380" hidden="1" customWidth="1"/>
    <col min="112" max="112" width="10.7109375" style="372" hidden="1" customWidth="1"/>
    <col min="113" max="113" width="14.42578125" style="379" hidden="1" customWidth="1"/>
    <col min="114" max="114" width="10.28515625" style="380" hidden="1" customWidth="1"/>
    <col min="115" max="115" width="10.7109375" style="372" hidden="1" customWidth="1"/>
    <col min="116" max="116" width="14.42578125" style="379" hidden="1" customWidth="1"/>
    <col min="117" max="117" width="10.28515625" style="380" hidden="1" customWidth="1"/>
    <col min="118" max="118" width="10.7109375" style="372" hidden="1" customWidth="1"/>
    <col min="119" max="119" width="14.42578125" style="379" hidden="1" customWidth="1"/>
    <col min="120" max="120" width="10.28515625" style="380" hidden="1" customWidth="1"/>
    <col min="121" max="121" width="10.7109375" style="372" hidden="1" customWidth="1"/>
    <col min="122" max="122" width="14.42578125" style="379" hidden="1" customWidth="1"/>
    <col min="123" max="123" width="10.28515625" style="380" hidden="1" customWidth="1"/>
    <col min="124" max="124" width="10.7109375" style="372" hidden="1" customWidth="1"/>
    <col min="125" max="125" width="14.42578125" style="379" hidden="1" customWidth="1"/>
    <col min="126" max="126" width="10.28515625" style="380" hidden="1" customWidth="1"/>
    <col min="127" max="127" width="10.7109375" style="372" hidden="1" customWidth="1"/>
    <col min="128" max="128" width="14.42578125" style="379" hidden="1" customWidth="1"/>
    <col min="129" max="129" width="10.28515625" style="380" hidden="1" customWidth="1"/>
    <col min="130" max="130" width="10.7109375" style="372" hidden="1" customWidth="1"/>
    <col min="131" max="131" width="2.7109375" style="372" customWidth="1"/>
    <col min="132" max="132" width="25.28515625" style="372" bestFit="1" customWidth="1"/>
    <col min="133" max="133" width="15.42578125" style="372" hidden="1" customWidth="1"/>
    <col min="134" max="134" width="15" style="372" bestFit="1" customWidth="1"/>
    <col min="135" max="135" width="22.140625" style="372" bestFit="1" customWidth="1"/>
    <col min="136" max="136" width="2.7109375" style="372" customWidth="1"/>
    <col min="137" max="137" width="15.42578125" style="372" hidden="1" customWidth="1"/>
    <col min="138" max="138" width="14.42578125" style="372" hidden="1" customWidth="1"/>
    <col min="139" max="139" width="12.42578125" style="372" hidden="1" customWidth="1"/>
    <col min="140" max="140" width="2.7109375" style="372" hidden="1" customWidth="1"/>
    <col min="141" max="141" width="17.85546875" style="372" bestFit="1" customWidth="1"/>
    <col min="142" max="142" width="15.42578125" style="372" hidden="1" customWidth="1"/>
    <col min="143" max="143" width="15" style="372" bestFit="1" customWidth="1"/>
    <col min="144" max="144" width="18.5703125" style="372" bestFit="1" customWidth="1"/>
    <col min="145" max="145" width="43" style="372" bestFit="1" customWidth="1"/>
    <col min="146" max="146" width="21.7109375" style="372" bestFit="1" customWidth="1"/>
    <col min="147" max="147" width="22.140625" style="372" bestFit="1" customWidth="1"/>
    <col min="148" max="16384" width="9.140625" style="372"/>
  </cols>
  <sheetData>
    <row r="1" spans="1:147" s="196" customFormat="1">
      <c r="A1" s="195" t="s">
        <v>111</v>
      </c>
      <c r="B1" s="190"/>
      <c r="C1" s="362"/>
      <c r="E1" s="190"/>
      <c r="F1" s="362"/>
      <c r="H1" s="190"/>
      <c r="I1" s="362"/>
      <c r="K1" s="190"/>
      <c r="L1" s="362"/>
      <c r="N1" s="190"/>
      <c r="O1" s="362"/>
      <c r="Q1" s="190"/>
      <c r="R1" s="362"/>
      <c r="T1" s="190"/>
      <c r="U1" s="362"/>
      <c r="W1" s="190"/>
      <c r="X1" s="362"/>
      <c r="Z1" s="190"/>
      <c r="AA1" s="362"/>
      <c r="AC1" s="190"/>
      <c r="AD1" s="362"/>
      <c r="AF1" s="190"/>
      <c r="AG1" s="362"/>
      <c r="AI1" s="190"/>
      <c r="AJ1" s="362"/>
      <c r="AL1" s="190"/>
      <c r="AM1" s="362"/>
      <c r="AO1" s="190"/>
      <c r="AP1" s="362"/>
      <c r="AR1" s="190"/>
      <c r="AS1" s="362"/>
      <c r="AU1" s="190"/>
      <c r="AV1" s="362"/>
      <c r="AX1" s="190"/>
      <c r="AY1" s="362"/>
      <c r="BA1" s="190"/>
      <c r="BB1" s="362"/>
      <c r="BD1" s="190"/>
      <c r="BE1" s="362"/>
      <c r="BG1" s="190"/>
      <c r="BH1" s="362"/>
      <c r="BJ1" s="190"/>
      <c r="BK1" s="362"/>
      <c r="BM1" s="190"/>
      <c r="BN1" s="362"/>
      <c r="BP1" s="190"/>
      <c r="BQ1" s="362"/>
      <c r="BS1" s="190"/>
      <c r="BT1" s="362"/>
      <c r="BV1" s="190"/>
      <c r="BW1" s="362"/>
      <c r="BY1" s="190"/>
      <c r="BZ1" s="362"/>
      <c r="CB1" s="190"/>
      <c r="CC1" s="362"/>
      <c r="CE1" s="190"/>
      <c r="CF1" s="362"/>
      <c r="CH1" s="190"/>
      <c r="CI1" s="362"/>
      <c r="CK1" s="190"/>
      <c r="CL1" s="362"/>
      <c r="CN1" s="190"/>
      <c r="CO1" s="362"/>
      <c r="CQ1" s="190"/>
      <c r="CR1" s="362"/>
      <c r="CT1" s="190"/>
      <c r="CU1" s="362"/>
      <c r="CW1" s="190"/>
      <c r="CX1" s="362"/>
      <c r="CZ1" s="190"/>
      <c r="DA1" s="362"/>
      <c r="DC1" s="190"/>
      <c r="DD1" s="362"/>
      <c r="DF1" s="190"/>
      <c r="DG1" s="362"/>
      <c r="DI1" s="190"/>
      <c r="DJ1" s="362"/>
      <c r="DL1" s="190"/>
      <c r="DM1" s="362"/>
      <c r="DO1" s="190"/>
      <c r="DP1" s="362"/>
      <c r="DR1" s="190"/>
      <c r="DS1" s="362"/>
      <c r="DU1" s="190"/>
      <c r="DV1" s="362"/>
      <c r="DX1" s="190"/>
      <c r="DY1" s="362"/>
      <c r="DZ1" s="181"/>
      <c r="ED1" s="193"/>
      <c r="EE1" s="363" t="s">
        <v>118</v>
      </c>
      <c r="EI1" s="193" t="s">
        <v>59</v>
      </c>
      <c r="EM1" s="193"/>
      <c r="EN1" s="193" t="s">
        <v>120</v>
      </c>
      <c r="EO1" s="195" t="s">
        <v>121</v>
      </c>
      <c r="EP1" s="195" t="s">
        <v>122</v>
      </c>
      <c r="EQ1" s="195" t="s">
        <v>123</v>
      </c>
    </row>
    <row r="2" spans="1:147" s="196" customFormat="1">
      <c r="A2" s="195" t="s">
        <v>49</v>
      </c>
      <c r="B2" s="190"/>
      <c r="C2" s="362"/>
      <c r="F2" s="362"/>
      <c r="G2" s="388"/>
      <c r="H2" s="190"/>
      <c r="I2" s="362"/>
      <c r="K2" s="190"/>
      <c r="L2" s="362"/>
      <c r="N2" s="190"/>
      <c r="O2" s="362"/>
      <c r="Q2" s="190"/>
      <c r="R2" s="362"/>
      <c r="T2" s="190"/>
      <c r="U2" s="362"/>
      <c r="W2" s="190"/>
      <c r="X2" s="362"/>
      <c r="Z2" s="190"/>
      <c r="AA2" s="362"/>
      <c r="AC2" s="190"/>
      <c r="AD2" s="362"/>
      <c r="AF2" s="190"/>
      <c r="AG2" s="362"/>
      <c r="AI2" s="190"/>
      <c r="AJ2" s="362"/>
      <c r="AL2" s="190"/>
      <c r="AM2" s="362"/>
      <c r="AO2" s="190"/>
      <c r="AP2" s="362"/>
      <c r="AR2" s="190"/>
      <c r="AS2" s="362"/>
      <c r="AU2" s="190"/>
      <c r="AV2" s="362"/>
      <c r="AX2" s="190"/>
      <c r="AY2" s="362"/>
      <c r="BA2" s="190"/>
      <c r="BB2" s="362"/>
      <c r="BD2" s="190"/>
      <c r="BE2" s="362"/>
      <c r="BG2" s="190"/>
      <c r="BH2" s="362"/>
      <c r="BJ2" s="190"/>
      <c r="BK2" s="362"/>
      <c r="BM2" s="190"/>
      <c r="BN2" s="362"/>
      <c r="BP2" s="190"/>
      <c r="BQ2" s="362"/>
      <c r="BS2" s="190"/>
      <c r="BT2" s="362"/>
      <c r="BV2" s="190"/>
      <c r="BW2" s="362"/>
      <c r="BY2" s="190"/>
      <c r="BZ2" s="362"/>
      <c r="CB2" s="190"/>
      <c r="CC2" s="362"/>
      <c r="CE2" s="190"/>
      <c r="CF2" s="362"/>
      <c r="CH2" s="190"/>
      <c r="CI2" s="362"/>
      <c r="CK2" s="190"/>
      <c r="CL2" s="362"/>
      <c r="CN2" s="190"/>
      <c r="CO2" s="362"/>
      <c r="CQ2" s="190"/>
      <c r="CR2" s="362"/>
      <c r="CT2" s="190"/>
      <c r="CU2" s="362"/>
      <c r="CW2" s="190"/>
      <c r="CX2" s="362"/>
      <c r="CZ2" s="190"/>
      <c r="DA2" s="362"/>
      <c r="DC2" s="190"/>
      <c r="DD2" s="362"/>
      <c r="DF2" s="190"/>
      <c r="DG2" s="362"/>
      <c r="DI2" s="190"/>
      <c r="DJ2" s="362"/>
      <c r="DL2" s="190"/>
      <c r="DM2" s="362"/>
      <c r="DO2" s="190"/>
      <c r="DP2" s="362"/>
      <c r="DR2" s="190"/>
      <c r="DS2" s="362"/>
      <c r="DU2" s="190"/>
      <c r="DV2" s="362"/>
      <c r="DX2" s="190"/>
      <c r="DY2" s="362"/>
      <c r="EB2" s="387" t="s">
        <v>51</v>
      </c>
      <c r="EC2" s="387"/>
      <c r="ED2" s="366"/>
      <c r="EE2" s="366">
        <f>EB42</f>
        <v>551011782.88999999</v>
      </c>
      <c r="EI2" s="366">
        <f>EG41</f>
        <v>0</v>
      </c>
      <c r="EM2" s="366"/>
      <c r="EN2" s="366">
        <f>EK42</f>
        <v>510075000</v>
      </c>
      <c r="EO2" s="190">
        <v>-389706.83</v>
      </c>
      <c r="EP2" s="190">
        <f>EN2+EO2</f>
        <v>509685293.17000002</v>
      </c>
      <c r="EQ2" s="190">
        <f>EE2+EO2</f>
        <v>550622076.05999994</v>
      </c>
    </row>
    <row r="3" spans="1:147" s="196" customFormat="1" ht="13.5" thickBot="1">
      <c r="A3" s="364" t="s">
        <v>124</v>
      </c>
      <c r="B3" s="190"/>
      <c r="C3" s="362"/>
      <c r="F3" s="362"/>
      <c r="G3" s="388"/>
      <c r="H3" s="190"/>
      <c r="I3" s="362"/>
      <c r="K3" s="190"/>
      <c r="L3" s="362"/>
      <c r="N3" s="190"/>
      <c r="O3" s="362"/>
      <c r="Q3" s="190"/>
      <c r="R3" s="362"/>
      <c r="T3" s="190"/>
      <c r="U3" s="362"/>
      <c r="W3" s="190"/>
      <c r="X3" s="362"/>
      <c r="Z3" s="190"/>
      <c r="AA3" s="362"/>
      <c r="AC3" s="190"/>
      <c r="AD3" s="362"/>
      <c r="AF3" s="190"/>
      <c r="AG3" s="362"/>
      <c r="AI3" s="190"/>
      <c r="AJ3" s="362"/>
      <c r="AL3" s="190"/>
      <c r="AM3" s="362"/>
      <c r="AO3" s="190"/>
      <c r="AP3" s="362"/>
      <c r="AR3" s="190"/>
      <c r="AS3" s="362"/>
      <c r="AU3" s="190"/>
      <c r="AV3" s="362"/>
      <c r="AX3" s="190"/>
      <c r="AY3" s="362"/>
      <c r="BA3" s="190"/>
      <c r="BB3" s="362"/>
      <c r="BD3" s="190"/>
      <c r="BE3" s="362"/>
      <c r="BG3" s="190"/>
      <c r="BH3" s="362"/>
      <c r="BJ3" s="190"/>
      <c r="BK3" s="362"/>
      <c r="BM3" s="190"/>
      <c r="BN3" s="362"/>
      <c r="BP3" s="190"/>
      <c r="BQ3" s="362"/>
      <c r="BS3" s="190"/>
      <c r="BT3" s="362"/>
      <c r="BV3" s="190"/>
      <c r="BW3" s="362"/>
      <c r="BY3" s="190"/>
      <c r="BZ3" s="362"/>
      <c r="CB3" s="190"/>
      <c r="CC3" s="362"/>
      <c r="CE3" s="190"/>
      <c r="CF3" s="362"/>
      <c r="CH3" s="190"/>
      <c r="CI3" s="362"/>
      <c r="CK3" s="190"/>
      <c r="CL3" s="362"/>
      <c r="CN3" s="190"/>
      <c r="CO3" s="362"/>
      <c r="CQ3" s="190"/>
      <c r="CR3" s="362"/>
      <c r="CT3" s="190"/>
      <c r="CU3" s="362"/>
      <c r="CW3" s="190"/>
      <c r="CX3" s="362"/>
      <c r="CZ3" s="190"/>
      <c r="DA3" s="362"/>
      <c r="DC3" s="190"/>
      <c r="DD3" s="362"/>
      <c r="DF3" s="190"/>
      <c r="DG3" s="362"/>
      <c r="DI3" s="190"/>
      <c r="DJ3" s="362"/>
      <c r="DL3" s="190"/>
      <c r="DM3" s="362"/>
      <c r="DO3" s="190"/>
      <c r="DP3" s="362"/>
      <c r="DR3" s="190"/>
      <c r="DS3" s="362"/>
      <c r="DU3" s="190"/>
      <c r="DV3" s="362"/>
      <c r="DX3" s="190"/>
      <c r="DY3" s="362"/>
      <c r="EB3" s="387"/>
      <c r="EC3" s="387"/>
      <c r="ED3" s="366"/>
      <c r="EE3" s="366"/>
      <c r="EI3" s="366"/>
      <c r="EM3" s="366"/>
      <c r="EN3" s="366"/>
      <c r="EO3" s="190"/>
      <c r="EP3" s="190"/>
      <c r="EQ3" s="190"/>
    </row>
    <row r="4" spans="1:147" ht="13.5" thickTop="1">
      <c r="A4" s="364"/>
      <c r="E4" s="182" t="s">
        <v>50</v>
      </c>
      <c r="F4" s="385"/>
      <c r="G4" s="386"/>
      <c r="EB4" s="387" t="s">
        <v>52</v>
      </c>
      <c r="EC4" s="387"/>
      <c r="ED4" s="366"/>
      <c r="EE4" s="366">
        <f>AVERAGE(EB12:EB42)</f>
        <v>550466379.91903245</v>
      </c>
      <c r="EI4" s="366">
        <f>AVERAGE(EG12:EG41)</f>
        <v>0</v>
      </c>
      <c r="EM4" s="366"/>
      <c r="EN4" s="366">
        <f>AVERAGE(EK12:EK42)</f>
        <v>507696774.19354838</v>
      </c>
    </row>
    <row r="5" spans="1:147">
      <c r="D5" s="387"/>
      <c r="E5" s="365" t="s">
        <v>51</v>
      </c>
      <c r="F5" s="366"/>
      <c r="G5" s="367">
        <f>EQ2</f>
        <v>550622076.05999994</v>
      </c>
      <c r="AI5" s="195" t="s">
        <v>198</v>
      </c>
      <c r="EB5" s="387" t="s">
        <v>53</v>
      </c>
      <c r="EC5" s="387"/>
      <c r="ED5" s="384"/>
      <c r="EE5" s="384">
        <f>IF(EE4=0,0,360*(AVERAGE(ED12:ED42)/EE4))</f>
        <v>2.3254459092795943E-2</v>
      </c>
      <c r="EI5" s="384">
        <f>IF(EI4=0,0,360*(AVERAGE(EH12:EH41)/EI4))</f>
        <v>0</v>
      </c>
      <c r="EM5" s="384"/>
      <c r="EN5" s="384">
        <f>IF(EN4=0,0,360*(AVERAGE(EM12:EM42)/EN4))</f>
        <v>2.3560240745682588E-2</v>
      </c>
      <c r="EO5" s="196" t="s">
        <v>199</v>
      </c>
      <c r="EQ5" s="193"/>
    </row>
    <row r="6" spans="1:147">
      <c r="D6" s="387"/>
      <c r="E6" s="365" t="s">
        <v>52</v>
      </c>
      <c r="F6" s="366"/>
      <c r="G6" s="367">
        <f>EE4</f>
        <v>550466379.91903245</v>
      </c>
      <c r="AI6" s="388" t="s">
        <v>120</v>
      </c>
      <c r="EB6" s="389" t="s">
        <v>57</v>
      </c>
      <c r="EC6" s="389"/>
      <c r="ED6" s="366"/>
      <c r="EE6" s="366">
        <f>MAX(EB12:EB42)</f>
        <v>565114556.27999997</v>
      </c>
      <c r="EI6" s="366">
        <f>MAX(EG12:EG41)</f>
        <v>0</v>
      </c>
      <c r="EM6" s="366"/>
      <c r="EN6" s="366">
        <f>MAX(EK12:EK42)</f>
        <v>528775000</v>
      </c>
    </row>
    <row r="7" spans="1:147">
      <c r="D7" s="387"/>
      <c r="E7" s="365" t="s">
        <v>53</v>
      </c>
      <c r="F7" s="366"/>
      <c r="G7" s="368">
        <f>EE5</f>
        <v>2.3254459092795943E-2</v>
      </c>
    </row>
    <row r="8" spans="1:147" ht="13.5" thickBot="1">
      <c r="D8" s="387"/>
      <c r="E8" s="369" t="s">
        <v>57</v>
      </c>
      <c r="F8" s="370"/>
      <c r="G8" s="371">
        <f>EE6</f>
        <v>565114556.27999997</v>
      </c>
      <c r="AI8" s="388" t="s">
        <v>120</v>
      </c>
      <c r="EB8" s="183" t="s">
        <v>54</v>
      </c>
      <c r="EC8" s="183"/>
      <c r="ED8" s="375"/>
      <c r="EE8" s="375"/>
      <c r="EG8" s="183" t="s">
        <v>55</v>
      </c>
      <c r="EH8" s="375"/>
      <c r="EI8" s="375"/>
      <c r="EJ8" s="376"/>
      <c r="EK8" s="183" t="s">
        <v>56</v>
      </c>
      <c r="EL8" s="183"/>
      <c r="EM8" s="375"/>
      <c r="EN8" s="375"/>
    </row>
    <row r="9" spans="1:147" ht="13.5" thickTop="1">
      <c r="AI9" s="192" t="s">
        <v>112</v>
      </c>
      <c r="AL9" s="192" t="s">
        <v>112</v>
      </c>
      <c r="AO9" s="192" t="s">
        <v>112</v>
      </c>
      <c r="AR9" s="192" t="s">
        <v>112</v>
      </c>
      <c r="AU9" s="192" t="s">
        <v>112</v>
      </c>
      <c r="AX9" s="192" t="s">
        <v>112</v>
      </c>
      <c r="BA9" s="192" t="s">
        <v>112</v>
      </c>
      <c r="BD9" s="192" t="s">
        <v>112</v>
      </c>
      <c r="BG9" s="192" t="s">
        <v>112</v>
      </c>
      <c r="BJ9" s="192" t="s">
        <v>112</v>
      </c>
      <c r="BM9" s="192" t="s">
        <v>112</v>
      </c>
      <c r="BP9" s="192" t="s">
        <v>112</v>
      </c>
      <c r="BS9" s="192" t="s">
        <v>112</v>
      </c>
      <c r="BV9" s="192" t="s">
        <v>112</v>
      </c>
      <c r="BY9" s="192" t="s">
        <v>112</v>
      </c>
      <c r="CB9" s="192" t="s">
        <v>112</v>
      </c>
      <c r="CE9" s="192" t="s">
        <v>112</v>
      </c>
      <c r="CH9" s="192" t="s">
        <v>112</v>
      </c>
      <c r="CK9" s="192" t="s">
        <v>112</v>
      </c>
      <c r="CN9" s="192" t="s">
        <v>112</v>
      </c>
      <c r="CQ9" s="192" t="s">
        <v>112</v>
      </c>
      <c r="CT9" s="192" t="s">
        <v>112</v>
      </c>
      <c r="CW9" s="192" t="s">
        <v>112</v>
      </c>
      <c r="CZ9" s="192" t="s">
        <v>112</v>
      </c>
      <c r="DC9" s="192" t="s">
        <v>112</v>
      </c>
      <c r="DF9" s="192" t="s">
        <v>112</v>
      </c>
      <c r="DI9" s="192" t="s">
        <v>112</v>
      </c>
      <c r="DL9" s="192" t="s">
        <v>112</v>
      </c>
      <c r="DO9" s="192" t="s">
        <v>112</v>
      </c>
      <c r="DR9" s="192" t="s">
        <v>112</v>
      </c>
      <c r="EB9" s="377"/>
      <c r="EC9" s="377"/>
      <c r="ED9" s="377"/>
      <c r="EE9" s="377" t="s">
        <v>58</v>
      </c>
      <c r="EG9" s="377"/>
      <c r="EH9" s="184" t="s">
        <v>59</v>
      </c>
      <c r="EI9" s="377" t="s">
        <v>58</v>
      </c>
      <c r="EJ9" s="377"/>
      <c r="EK9" s="193" t="s">
        <v>113</v>
      </c>
      <c r="EL9" s="193" t="s">
        <v>114</v>
      </c>
      <c r="EM9" s="184" t="s">
        <v>60</v>
      </c>
      <c r="EN9" s="377" t="s">
        <v>58</v>
      </c>
    </row>
    <row r="10" spans="1:147">
      <c r="B10" s="373" t="s">
        <v>61</v>
      </c>
      <c r="C10" s="374"/>
      <c r="D10" s="375"/>
      <c r="E10" s="373" t="s">
        <v>62</v>
      </c>
      <c r="F10" s="374"/>
      <c r="G10" s="375"/>
      <c r="H10" s="373" t="s">
        <v>63</v>
      </c>
      <c r="I10" s="374"/>
      <c r="J10" s="375"/>
      <c r="K10" s="373" t="s">
        <v>64</v>
      </c>
      <c r="L10" s="374"/>
      <c r="M10" s="375"/>
      <c r="N10" s="373" t="s">
        <v>65</v>
      </c>
      <c r="O10" s="374"/>
      <c r="P10" s="375"/>
      <c r="Q10" s="373" t="s">
        <v>66</v>
      </c>
      <c r="R10" s="374"/>
      <c r="S10" s="375"/>
      <c r="T10" s="373" t="s">
        <v>67</v>
      </c>
      <c r="U10" s="374"/>
      <c r="V10" s="375"/>
      <c r="W10" s="373" t="s">
        <v>68</v>
      </c>
      <c r="X10" s="374"/>
      <c r="Y10" s="375"/>
      <c r="Z10" s="373" t="s">
        <v>69</v>
      </c>
      <c r="AA10" s="374"/>
      <c r="AB10" s="375"/>
      <c r="AC10" s="185" t="s">
        <v>70</v>
      </c>
      <c r="AD10" s="374"/>
      <c r="AE10" s="375"/>
      <c r="AF10" s="185" t="s">
        <v>71</v>
      </c>
      <c r="AG10" s="374"/>
      <c r="AH10" s="375"/>
      <c r="AI10" s="373" t="s">
        <v>72</v>
      </c>
      <c r="AJ10" s="374"/>
      <c r="AK10" s="375"/>
      <c r="AL10" s="373" t="s">
        <v>73</v>
      </c>
      <c r="AM10" s="374"/>
      <c r="AN10" s="375"/>
      <c r="AO10" s="373" t="s">
        <v>74</v>
      </c>
      <c r="AP10" s="374"/>
      <c r="AQ10" s="375"/>
      <c r="AR10" s="373" t="s">
        <v>75</v>
      </c>
      <c r="AS10" s="374"/>
      <c r="AT10" s="375"/>
      <c r="AU10" s="373" t="s">
        <v>76</v>
      </c>
      <c r="AV10" s="374"/>
      <c r="AW10" s="375"/>
      <c r="AX10" s="373" t="s">
        <v>77</v>
      </c>
      <c r="AY10" s="374"/>
      <c r="AZ10" s="375"/>
      <c r="BA10" s="373" t="s">
        <v>78</v>
      </c>
      <c r="BB10" s="374"/>
      <c r="BC10" s="375"/>
      <c r="BD10" s="373" t="s">
        <v>79</v>
      </c>
      <c r="BE10" s="374"/>
      <c r="BF10" s="375"/>
      <c r="BG10" s="373" t="s">
        <v>80</v>
      </c>
      <c r="BH10" s="374"/>
      <c r="BI10" s="375"/>
      <c r="BJ10" s="373" t="s">
        <v>81</v>
      </c>
      <c r="BK10" s="374"/>
      <c r="BL10" s="375"/>
      <c r="BM10" s="373" t="s">
        <v>82</v>
      </c>
      <c r="BN10" s="374"/>
      <c r="BO10" s="375"/>
      <c r="BP10" s="373" t="s">
        <v>83</v>
      </c>
      <c r="BQ10" s="374"/>
      <c r="BR10" s="375"/>
      <c r="BS10" s="373" t="s">
        <v>84</v>
      </c>
      <c r="BT10" s="374"/>
      <c r="BU10" s="375"/>
      <c r="BV10" s="373" t="s">
        <v>85</v>
      </c>
      <c r="BW10" s="374"/>
      <c r="BX10" s="375"/>
      <c r="BY10" s="373" t="s">
        <v>86</v>
      </c>
      <c r="BZ10" s="374"/>
      <c r="CA10" s="375"/>
      <c r="CB10" s="373" t="s">
        <v>87</v>
      </c>
      <c r="CC10" s="374"/>
      <c r="CD10" s="375"/>
      <c r="CE10" s="373" t="s">
        <v>88</v>
      </c>
      <c r="CF10" s="374"/>
      <c r="CG10" s="375"/>
      <c r="CH10" s="373" t="s">
        <v>89</v>
      </c>
      <c r="CI10" s="374"/>
      <c r="CJ10" s="375"/>
      <c r="CK10" s="373" t="s">
        <v>90</v>
      </c>
      <c r="CL10" s="374"/>
      <c r="CM10" s="375"/>
      <c r="CN10" s="373" t="s">
        <v>91</v>
      </c>
      <c r="CO10" s="374"/>
      <c r="CP10" s="375"/>
      <c r="CQ10" s="373" t="s">
        <v>92</v>
      </c>
      <c r="CR10" s="374"/>
      <c r="CS10" s="375"/>
      <c r="CT10" s="373" t="s">
        <v>93</v>
      </c>
      <c r="CU10" s="374"/>
      <c r="CV10" s="375"/>
      <c r="CW10" s="373" t="s">
        <v>94</v>
      </c>
      <c r="CX10" s="374"/>
      <c r="CY10" s="375"/>
      <c r="CZ10" s="373" t="s">
        <v>95</v>
      </c>
      <c r="DA10" s="374"/>
      <c r="DB10" s="375"/>
      <c r="DC10" s="373" t="s">
        <v>96</v>
      </c>
      <c r="DD10" s="374"/>
      <c r="DE10" s="375"/>
      <c r="DF10" s="373" t="s">
        <v>97</v>
      </c>
      <c r="DG10" s="374"/>
      <c r="DH10" s="375"/>
      <c r="DI10" s="373" t="s">
        <v>98</v>
      </c>
      <c r="DJ10" s="374"/>
      <c r="DK10" s="375"/>
      <c r="DL10" s="373" t="s">
        <v>99</v>
      </c>
      <c r="DM10" s="374"/>
      <c r="DN10" s="375"/>
      <c r="DO10" s="373" t="s">
        <v>100</v>
      </c>
      <c r="DP10" s="374"/>
      <c r="DQ10" s="375"/>
      <c r="DR10" s="373" t="s">
        <v>101</v>
      </c>
      <c r="DS10" s="374"/>
      <c r="DT10" s="375"/>
      <c r="DU10" s="373" t="s">
        <v>102</v>
      </c>
      <c r="DV10" s="374"/>
      <c r="DW10" s="375"/>
      <c r="DX10" s="194" t="s">
        <v>115</v>
      </c>
      <c r="DY10" s="374"/>
      <c r="DZ10" s="375"/>
      <c r="EA10" s="376"/>
      <c r="EB10" s="193" t="s">
        <v>116</v>
      </c>
      <c r="EC10" s="193" t="s">
        <v>117</v>
      </c>
      <c r="ED10" s="377" t="s">
        <v>103</v>
      </c>
      <c r="EE10" s="377" t="s">
        <v>104</v>
      </c>
      <c r="EG10" s="184" t="s">
        <v>105</v>
      </c>
      <c r="EH10" s="377" t="s">
        <v>103</v>
      </c>
      <c r="EI10" s="377" t="s">
        <v>104</v>
      </c>
      <c r="EJ10" s="377"/>
      <c r="EK10" s="184" t="s">
        <v>60</v>
      </c>
      <c r="EL10" s="184" t="s">
        <v>60</v>
      </c>
      <c r="EM10" s="377" t="s">
        <v>103</v>
      </c>
      <c r="EN10" s="377" t="s">
        <v>104</v>
      </c>
    </row>
    <row r="11" spans="1:147">
      <c r="A11" s="377" t="s">
        <v>106</v>
      </c>
      <c r="B11" s="186" t="s">
        <v>107</v>
      </c>
      <c r="C11" s="187" t="s">
        <v>108</v>
      </c>
      <c r="D11" s="188" t="s">
        <v>109</v>
      </c>
      <c r="E11" s="186" t="s">
        <v>107</v>
      </c>
      <c r="F11" s="187" t="s">
        <v>108</v>
      </c>
      <c r="G11" s="188" t="s">
        <v>109</v>
      </c>
      <c r="H11" s="186" t="s">
        <v>107</v>
      </c>
      <c r="I11" s="187" t="s">
        <v>108</v>
      </c>
      <c r="J11" s="188" t="s">
        <v>109</v>
      </c>
      <c r="K11" s="186" t="s">
        <v>107</v>
      </c>
      <c r="L11" s="187" t="s">
        <v>108</v>
      </c>
      <c r="M11" s="188" t="s">
        <v>109</v>
      </c>
      <c r="N11" s="186" t="s">
        <v>107</v>
      </c>
      <c r="O11" s="187" t="s">
        <v>108</v>
      </c>
      <c r="P11" s="188" t="s">
        <v>109</v>
      </c>
      <c r="Q11" s="186" t="s">
        <v>107</v>
      </c>
      <c r="R11" s="187" t="s">
        <v>108</v>
      </c>
      <c r="S11" s="188" t="s">
        <v>109</v>
      </c>
      <c r="T11" s="186" t="s">
        <v>107</v>
      </c>
      <c r="U11" s="187" t="s">
        <v>108</v>
      </c>
      <c r="V11" s="188" t="s">
        <v>109</v>
      </c>
      <c r="W11" s="186" t="s">
        <v>107</v>
      </c>
      <c r="X11" s="187" t="s">
        <v>108</v>
      </c>
      <c r="Y11" s="188" t="s">
        <v>109</v>
      </c>
      <c r="Z11" s="186" t="s">
        <v>107</v>
      </c>
      <c r="AA11" s="187" t="s">
        <v>108</v>
      </c>
      <c r="AB11" s="188" t="s">
        <v>109</v>
      </c>
      <c r="AC11" s="186" t="s">
        <v>107</v>
      </c>
      <c r="AD11" s="187" t="s">
        <v>108</v>
      </c>
      <c r="AE11" s="188" t="s">
        <v>109</v>
      </c>
      <c r="AF11" s="186" t="s">
        <v>107</v>
      </c>
      <c r="AG11" s="187" t="s">
        <v>108</v>
      </c>
      <c r="AH11" s="188" t="s">
        <v>109</v>
      </c>
      <c r="AI11" s="186" t="s">
        <v>107</v>
      </c>
      <c r="AJ11" s="187" t="s">
        <v>108</v>
      </c>
      <c r="AK11" s="188" t="s">
        <v>109</v>
      </c>
      <c r="AL11" s="186" t="s">
        <v>107</v>
      </c>
      <c r="AM11" s="187" t="s">
        <v>108</v>
      </c>
      <c r="AN11" s="188" t="s">
        <v>109</v>
      </c>
      <c r="AO11" s="186" t="s">
        <v>107</v>
      </c>
      <c r="AP11" s="187" t="s">
        <v>108</v>
      </c>
      <c r="AQ11" s="188" t="s">
        <v>109</v>
      </c>
      <c r="AR11" s="186" t="s">
        <v>107</v>
      </c>
      <c r="AS11" s="187" t="s">
        <v>108</v>
      </c>
      <c r="AT11" s="188" t="s">
        <v>109</v>
      </c>
      <c r="AU11" s="186" t="s">
        <v>107</v>
      </c>
      <c r="AV11" s="187" t="s">
        <v>108</v>
      </c>
      <c r="AW11" s="188" t="s">
        <v>109</v>
      </c>
      <c r="AX11" s="186" t="s">
        <v>107</v>
      </c>
      <c r="AY11" s="187" t="s">
        <v>108</v>
      </c>
      <c r="AZ11" s="188" t="s">
        <v>109</v>
      </c>
      <c r="BA11" s="186" t="s">
        <v>107</v>
      </c>
      <c r="BB11" s="187" t="s">
        <v>108</v>
      </c>
      <c r="BC11" s="188" t="s">
        <v>109</v>
      </c>
      <c r="BD11" s="186" t="s">
        <v>107</v>
      </c>
      <c r="BE11" s="187" t="s">
        <v>108</v>
      </c>
      <c r="BF11" s="188" t="s">
        <v>109</v>
      </c>
      <c r="BG11" s="186" t="s">
        <v>107</v>
      </c>
      <c r="BH11" s="187" t="s">
        <v>108</v>
      </c>
      <c r="BI11" s="188" t="s">
        <v>109</v>
      </c>
      <c r="BJ11" s="186" t="s">
        <v>107</v>
      </c>
      <c r="BK11" s="187" t="s">
        <v>108</v>
      </c>
      <c r="BL11" s="188" t="s">
        <v>109</v>
      </c>
      <c r="BM11" s="186" t="s">
        <v>107</v>
      </c>
      <c r="BN11" s="187" t="s">
        <v>108</v>
      </c>
      <c r="BO11" s="188" t="s">
        <v>109</v>
      </c>
      <c r="BP11" s="186" t="s">
        <v>107</v>
      </c>
      <c r="BQ11" s="187" t="s">
        <v>108</v>
      </c>
      <c r="BR11" s="188" t="s">
        <v>109</v>
      </c>
      <c r="BS11" s="186" t="s">
        <v>107</v>
      </c>
      <c r="BT11" s="187" t="s">
        <v>108</v>
      </c>
      <c r="BU11" s="188" t="s">
        <v>109</v>
      </c>
      <c r="BV11" s="186" t="s">
        <v>107</v>
      </c>
      <c r="BW11" s="187" t="s">
        <v>108</v>
      </c>
      <c r="BX11" s="188" t="s">
        <v>109</v>
      </c>
      <c r="BY11" s="186" t="s">
        <v>107</v>
      </c>
      <c r="BZ11" s="187" t="s">
        <v>108</v>
      </c>
      <c r="CA11" s="188" t="s">
        <v>109</v>
      </c>
      <c r="CB11" s="186" t="s">
        <v>107</v>
      </c>
      <c r="CC11" s="187" t="s">
        <v>108</v>
      </c>
      <c r="CD11" s="188" t="s">
        <v>109</v>
      </c>
      <c r="CE11" s="186" t="s">
        <v>107</v>
      </c>
      <c r="CF11" s="187" t="s">
        <v>108</v>
      </c>
      <c r="CG11" s="188" t="s">
        <v>109</v>
      </c>
      <c r="CH11" s="186" t="s">
        <v>107</v>
      </c>
      <c r="CI11" s="187" t="s">
        <v>108</v>
      </c>
      <c r="CJ11" s="188" t="s">
        <v>109</v>
      </c>
      <c r="CK11" s="186" t="s">
        <v>107</v>
      </c>
      <c r="CL11" s="187" t="s">
        <v>108</v>
      </c>
      <c r="CM11" s="188" t="s">
        <v>109</v>
      </c>
      <c r="CN11" s="186" t="s">
        <v>107</v>
      </c>
      <c r="CO11" s="187" t="s">
        <v>108</v>
      </c>
      <c r="CP11" s="188" t="s">
        <v>109</v>
      </c>
      <c r="CQ11" s="186" t="s">
        <v>107</v>
      </c>
      <c r="CR11" s="187" t="s">
        <v>108</v>
      </c>
      <c r="CS11" s="188" t="s">
        <v>109</v>
      </c>
      <c r="CT11" s="186" t="s">
        <v>107</v>
      </c>
      <c r="CU11" s="187" t="s">
        <v>108</v>
      </c>
      <c r="CV11" s="188" t="s">
        <v>109</v>
      </c>
      <c r="CW11" s="186" t="s">
        <v>107</v>
      </c>
      <c r="CX11" s="187" t="s">
        <v>108</v>
      </c>
      <c r="CY11" s="188" t="s">
        <v>109</v>
      </c>
      <c r="CZ11" s="186" t="s">
        <v>107</v>
      </c>
      <c r="DA11" s="187" t="s">
        <v>108</v>
      </c>
      <c r="DB11" s="188" t="s">
        <v>109</v>
      </c>
      <c r="DC11" s="186" t="s">
        <v>107</v>
      </c>
      <c r="DD11" s="187" t="s">
        <v>108</v>
      </c>
      <c r="DE11" s="188" t="s">
        <v>109</v>
      </c>
      <c r="DF11" s="186" t="s">
        <v>107</v>
      </c>
      <c r="DG11" s="187" t="s">
        <v>108</v>
      </c>
      <c r="DH11" s="188" t="s">
        <v>109</v>
      </c>
      <c r="DI11" s="186" t="s">
        <v>107</v>
      </c>
      <c r="DJ11" s="187" t="s">
        <v>108</v>
      </c>
      <c r="DK11" s="188" t="s">
        <v>109</v>
      </c>
      <c r="DL11" s="186" t="s">
        <v>107</v>
      </c>
      <c r="DM11" s="187" t="s">
        <v>108</v>
      </c>
      <c r="DN11" s="188" t="s">
        <v>109</v>
      </c>
      <c r="DO11" s="186" t="s">
        <v>107</v>
      </c>
      <c r="DP11" s="187" t="s">
        <v>108</v>
      </c>
      <c r="DQ11" s="188" t="s">
        <v>109</v>
      </c>
      <c r="DR11" s="186" t="s">
        <v>107</v>
      </c>
      <c r="DS11" s="187" t="s">
        <v>108</v>
      </c>
      <c r="DT11" s="188" t="s">
        <v>109</v>
      </c>
      <c r="DU11" s="186" t="s">
        <v>107</v>
      </c>
      <c r="DV11" s="187" t="s">
        <v>108</v>
      </c>
      <c r="DW11" s="188" t="s">
        <v>109</v>
      </c>
      <c r="DX11" s="186" t="s">
        <v>107</v>
      </c>
      <c r="DY11" s="187"/>
      <c r="DZ11" s="188"/>
      <c r="EA11" s="188"/>
      <c r="EB11" s="188" t="s">
        <v>110</v>
      </c>
      <c r="EC11" s="188" t="s">
        <v>110</v>
      </c>
      <c r="ED11" s="188" t="s">
        <v>109</v>
      </c>
      <c r="EE11" s="189" t="s">
        <v>108</v>
      </c>
      <c r="EG11" s="188" t="s">
        <v>110</v>
      </c>
      <c r="EH11" s="188" t="s">
        <v>109</v>
      </c>
      <c r="EI11" s="189" t="s">
        <v>108</v>
      </c>
      <c r="EJ11" s="189"/>
      <c r="EK11" s="188" t="s">
        <v>110</v>
      </c>
      <c r="EL11" s="188" t="s">
        <v>110</v>
      </c>
      <c r="EM11" s="188" t="s">
        <v>109</v>
      </c>
      <c r="EN11" s="189" t="s">
        <v>108</v>
      </c>
    </row>
    <row r="12" spans="1:147">
      <c r="A12" s="378">
        <v>43313</v>
      </c>
      <c r="D12" s="379">
        <f>(B12*C12)/360</f>
        <v>0</v>
      </c>
      <c r="E12" s="379">
        <v>42039556.280000001</v>
      </c>
      <c r="F12" s="380">
        <v>1.9699999999999999E-2</v>
      </c>
      <c r="G12" s="379">
        <f>(E12*F12)/360</f>
        <v>2300.4979408777776</v>
      </c>
      <c r="J12" s="379">
        <f>(H12*I12)/360</f>
        <v>0</v>
      </c>
      <c r="M12" s="379">
        <f>(K12*L12)/360</f>
        <v>0</v>
      </c>
      <c r="P12" s="379">
        <f>(N12*O12)/360</f>
        <v>0</v>
      </c>
      <c r="S12" s="379">
        <f>(Q12*R12)/360</f>
        <v>0</v>
      </c>
      <c r="V12" s="379">
        <f>(T12*U12)/360</f>
        <v>0</v>
      </c>
      <c r="Y12" s="379">
        <f>(W12*X12)/360</f>
        <v>0</v>
      </c>
      <c r="AB12" s="379">
        <f>(Z12*AA12)/360</f>
        <v>0</v>
      </c>
      <c r="AE12" s="379">
        <v>0</v>
      </c>
      <c r="AH12" s="379">
        <v>0</v>
      </c>
      <c r="AI12" s="381"/>
      <c r="AJ12" s="382"/>
      <c r="AK12" s="379">
        <f>(AI12*AJ12)/360</f>
        <v>0</v>
      </c>
      <c r="AL12" s="381">
        <f>60000000+28825000+44750000+25000000+45000000+25000000+50000000+30000000+25000000+40000000</f>
        <v>373575000</v>
      </c>
      <c r="AM12" s="382">
        <v>2.4E-2</v>
      </c>
      <c r="AN12" s="379">
        <f>(AL12*AM12)/360</f>
        <v>24905</v>
      </c>
      <c r="AO12" s="381">
        <f t="shared" ref="AO12:AO42" si="0">50000000+40000000+49500000+10000000</f>
        <v>149500000</v>
      </c>
      <c r="AP12" s="382">
        <v>2.3599999999999999E-2</v>
      </c>
      <c r="AQ12" s="379">
        <f>(AO12*AP12)/360</f>
        <v>9800.5555555555547</v>
      </c>
      <c r="AR12" s="381"/>
      <c r="AS12" s="382"/>
      <c r="AT12" s="379">
        <f>(AR12*AS12)/360</f>
        <v>0</v>
      </c>
      <c r="AU12" s="381"/>
      <c r="AV12" s="382"/>
      <c r="AW12" s="379">
        <f>(AU12*AV12)/360</f>
        <v>0</v>
      </c>
      <c r="AX12" s="381"/>
      <c r="AY12" s="382"/>
      <c r="AZ12" s="379">
        <f>(AX12*AY12)/360</f>
        <v>0</v>
      </c>
      <c r="BC12" s="379">
        <f>(BA12*BB12)/360</f>
        <v>0</v>
      </c>
      <c r="BF12" s="379">
        <f>(BD12*BE12)/360</f>
        <v>0</v>
      </c>
      <c r="BI12" s="379">
        <f>(BG12*BH12)/360</f>
        <v>0</v>
      </c>
      <c r="BL12" s="379">
        <f>(BJ12*BK12)/360</f>
        <v>0</v>
      </c>
      <c r="BO12" s="379">
        <f>(BM12*BN12)/360</f>
        <v>0</v>
      </c>
      <c r="BR12" s="379">
        <f>(BP12*BQ12)/360</f>
        <v>0</v>
      </c>
      <c r="BU12" s="379">
        <f>(BS12*BT12)/360</f>
        <v>0</v>
      </c>
      <c r="BX12" s="379">
        <f>(BV12*BW12)/360</f>
        <v>0</v>
      </c>
      <c r="CA12" s="379">
        <f>(BY12*BZ12)/360</f>
        <v>0</v>
      </c>
      <c r="CD12" s="379">
        <f>(CB12*CC12)/360</f>
        <v>0</v>
      </c>
      <c r="CG12" s="379">
        <f>(CE12*CF12)/360</f>
        <v>0</v>
      </c>
      <c r="CJ12" s="379">
        <f>(CH12*CI12)/360</f>
        <v>0</v>
      </c>
      <c r="CM12" s="379">
        <f>(CK12*CL12)/360</f>
        <v>0</v>
      </c>
      <c r="CP12" s="379">
        <f>(CN12*CO12)/360</f>
        <v>0</v>
      </c>
      <c r="CS12" s="379">
        <f>(CQ12*CR12)/360</f>
        <v>0</v>
      </c>
      <c r="CV12" s="379">
        <f>(CT12*CU12)/360</f>
        <v>0</v>
      </c>
      <c r="CY12" s="379">
        <f>(CW12*CX12)/360</f>
        <v>0</v>
      </c>
      <c r="DB12" s="379">
        <f>(CZ12*DA12)/360</f>
        <v>0</v>
      </c>
      <c r="DE12" s="379">
        <f>(DC12*DD12)/360</f>
        <v>0</v>
      </c>
      <c r="DH12" s="379">
        <f>(DF12*DG12)/360</f>
        <v>0</v>
      </c>
      <c r="DK12" s="379">
        <f>(DI12*DJ12)/360</f>
        <v>0</v>
      </c>
      <c r="DN12" s="379">
        <f>(DL12*DM12)/360</f>
        <v>0</v>
      </c>
      <c r="DQ12" s="379">
        <f>(DO12*DP12)/360</f>
        <v>0</v>
      </c>
      <c r="DT12" s="379">
        <f>(DR12*DS12)/360</f>
        <v>0</v>
      </c>
      <c r="DW12" s="379">
        <f>(DU12*DV12)/360</f>
        <v>0</v>
      </c>
      <c r="DY12" s="384"/>
      <c r="DZ12" s="366"/>
      <c r="EA12" s="379"/>
      <c r="EB12" s="190">
        <f>B12+E12+H12+K12+N12+Q12+T12+W12+Z12+AC12+AF12+AL12+AO12+AR12+AU12+AX12+BA12+BD12+BG12+DU12+AI12+DR12+DO12+DL12+DI12+DF12+DC12+CZ12+CW12+CT12+CQ12+CN12+CK12+CH12+CE12+CB12+BY12+BV12+BS12+BP12+BM12+BJ12</f>
        <v>565114556.27999997</v>
      </c>
      <c r="EC12" s="190">
        <f>EB12-EK12+EL12</f>
        <v>42039556.279999971</v>
      </c>
      <c r="ED12" s="379">
        <f>D12+G12+J12+M12+P12+S12+V12+Y12+AB12+AE12+AH12+AK12+AN12+AQ12+AT12+AW12+AZ12+BC12+BF12+BI12+DW12+DT12+DQ12+DN12+DK12+DH12+DE12+DB12+CY12+CV12+CS12+CP12+CM12+CJ12+CG12+CD12+CA12+BX12+BU12+BR12+BO12+BL12</f>
        <v>37006.053496433335</v>
      </c>
      <c r="EE12" s="380">
        <f>IF(EB12&lt;&gt;0,((ED12/EB12)*360),0)</f>
        <v>2.3574298539418965E-2</v>
      </c>
      <c r="EG12" s="190">
        <f>Q12+T12+W12+Z12+AC12+AF12</f>
        <v>0</v>
      </c>
      <c r="EH12" s="379">
        <f>S12+V12+Y12+AB12+AE12+AH12</f>
        <v>0</v>
      </c>
      <c r="EI12" s="380">
        <f>IF(EG12&lt;&gt;0,((EH12/EG12)*360),0)</f>
        <v>0</v>
      </c>
      <c r="EJ12" s="380"/>
      <c r="EK12" s="190">
        <f>DR12+DL12+DI12+DF12+DC12+CZ12+CW12+CT12+CQ12+CN12+CK12+CH12+CE12+CB12+BY12+BV12+BS12+BP12+BM12+BJ12+BG12+BD12+BA12+AX12+AU12+AR12+AO12+AL12+AI12+DO12</f>
        <v>523075000</v>
      </c>
      <c r="EL12" s="190">
        <f>DX12</f>
        <v>0</v>
      </c>
      <c r="EM12" s="190">
        <f>DT12+DQ12+DN12+DK12+DH12+DE12+DB12+CY12+CV12+CS12+CP12+CM12+CJ12+CG12+CD12+CA12+BX12+BU12+BR12+BO12+BL12+BI12+BF12+BC12+AZ12+AW12+AT12+AQ12+AN12+AK12</f>
        <v>34705.555555555555</v>
      </c>
      <c r="EN12" s="380">
        <f>IF(EK12&lt;&gt;0,((EM12/EK12)*360),0)</f>
        <v>2.3885676050279598E-2</v>
      </c>
      <c r="EO12" s="391"/>
      <c r="EP12" s="379"/>
    </row>
    <row r="13" spans="1:147">
      <c r="A13" s="378">
        <f>1+A12</f>
        <v>43314</v>
      </c>
      <c r="D13" s="379">
        <f t="shared" ref="D13:D42" si="1">(B13*C13)/360</f>
        <v>0</v>
      </c>
      <c r="E13" s="379">
        <v>42554743.159999996</v>
      </c>
      <c r="F13" s="380">
        <v>1.9400000000000001E-2</v>
      </c>
      <c r="G13" s="379">
        <f t="shared" ref="G13:G42" si="2">(E13*F13)/360</f>
        <v>2293.2278258444444</v>
      </c>
      <c r="J13" s="379">
        <f t="shared" ref="J13:J42" si="3">(H13*I13)/360</f>
        <v>0</v>
      </c>
      <c r="M13" s="379">
        <f t="shared" ref="M13:M42" si="4">(K13*L13)/360</f>
        <v>0</v>
      </c>
      <c r="P13" s="379">
        <f t="shared" ref="P13:P42" si="5">(N13*O13)/360</f>
        <v>0</v>
      </c>
      <c r="S13" s="379">
        <f t="shared" ref="S13:S42" si="6">(Q13*R13)/360</f>
        <v>0</v>
      </c>
      <c r="V13" s="379">
        <f t="shared" ref="V13:V42" si="7">(T13*U13)/360</f>
        <v>0</v>
      </c>
      <c r="Y13" s="379">
        <f t="shared" ref="Y13:Y42" si="8">(W13*X13)/360</f>
        <v>0</v>
      </c>
      <c r="AB13" s="379">
        <f t="shared" ref="AB13:AB42" si="9">(Z13*AA13)/360</f>
        <v>0</v>
      </c>
      <c r="AE13" s="379">
        <v>0</v>
      </c>
      <c r="AH13" s="379">
        <v>0</v>
      </c>
      <c r="AI13" s="381">
        <f>100000</f>
        <v>100000</v>
      </c>
      <c r="AJ13" s="382">
        <v>2.2499999999999999E-2</v>
      </c>
      <c r="AK13" s="379">
        <f t="shared" ref="AK13:AK42" si="10">(AI13*AJ13)/360</f>
        <v>6.25</v>
      </c>
      <c r="AL13" s="381">
        <f>60000000+28825000+44750000+25000000+45000000+25000000+50000000+30000000</f>
        <v>308575000</v>
      </c>
      <c r="AM13" s="382">
        <v>2.4E-2</v>
      </c>
      <c r="AN13" s="379">
        <f t="shared" ref="AN13:AN42" si="11">(AL13*AM13)/360</f>
        <v>20571.666666666668</v>
      </c>
      <c r="AO13" s="381">
        <f t="shared" si="0"/>
        <v>149500000</v>
      </c>
      <c r="AP13" s="382">
        <v>2.3599999999999999E-2</v>
      </c>
      <c r="AQ13" s="379">
        <f t="shared" ref="AQ13:AQ42" si="12">(AO13*AP13)/360</f>
        <v>9800.5555555555547</v>
      </c>
      <c r="AR13" s="381">
        <f>40000000+10575000</f>
        <v>50575000</v>
      </c>
      <c r="AS13" s="382">
        <v>2.3599999999999999E-2</v>
      </c>
      <c r="AT13" s="379">
        <f t="shared" ref="AT13:AT42" si="13">(AR13*AS13)/360</f>
        <v>3315.4722222222222</v>
      </c>
      <c r="AU13" s="381"/>
      <c r="AV13" s="382"/>
      <c r="AW13" s="379">
        <f t="shared" ref="AW13:AW42" si="14">(AU13*AV13)/360</f>
        <v>0</v>
      </c>
      <c r="AX13" s="381"/>
      <c r="AY13" s="382"/>
      <c r="AZ13" s="379">
        <f t="shared" ref="AZ13:AZ42" si="15">(AX13*AY13)/360</f>
        <v>0</v>
      </c>
      <c r="BC13" s="379">
        <f t="shared" ref="BC13:BC42" si="16">(BA13*BB13)/360</f>
        <v>0</v>
      </c>
      <c r="BF13" s="379">
        <f t="shared" ref="BF13:BF42" si="17">(BD13*BE13)/360</f>
        <v>0</v>
      </c>
      <c r="BI13" s="379">
        <f t="shared" ref="BI13:BI42" si="18">(BG13*BH13)/360</f>
        <v>0</v>
      </c>
      <c r="BL13" s="379">
        <f t="shared" ref="BL13:BL42" si="19">(BJ13*BK13)/360</f>
        <v>0</v>
      </c>
      <c r="BO13" s="379">
        <f t="shared" ref="BO13:BO42" si="20">(BM13*BN13)/360</f>
        <v>0</v>
      </c>
      <c r="BR13" s="379">
        <f t="shared" ref="BR13:BR42" si="21">(BP13*BQ13)/360</f>
        <v>0</v>
      </c>
      <c r="BU13" s="379">
        <f t="shared" ref="BU13:BU42" si="22">(BS13*BT13)/360</f>
        <v>0</v>
      </c>
      <c r="BX13" s="379">
        <f t="shared" ref="BX13:BX42" si="23">(BV13*BW13)/360</f>
        <v>0</v>
      </c>
      <c r="CA13" s="379">
        <f t="shared" ref="CA13:CA42" si="24">(BY13*BZ13)/360</f>
        <v>0</v>
      </c>
      <c r="CD13" s="379">
        <f t="shared" ref="CD13:CD42" si="25">(CB13*CC13)/360</f>
        <v>0</v>
      </c>
      <c r="CG13" s="379">
        <f t="shared" ref="CG13:CG42" si="26">(CE13*CF13)/360</f>
        <v>0</v>
      </c>
      <c r="CJ13" s="379">
        <f t="shared" ref="CJ13:CJ42" si="27">(CH13*CI13)/360</f>
        <v>0</v>
      </c>
      <c r="CM13" s="379">
        <f t="shared" ref="CM13:CM42" si="28">(CK13*CL13)/360</f>
        <v>0</v>
      </c>
      <c r="CP13" s="379">
        <f t="shared" ref="CP13:CP42" si="29">(CN13*CO13)/360</f>
        <v>0</v>
      </c>
      <c r="CS13" s="379">
        <f t="shared" ref="CS13:CS42" si="30">(CQ13*CR13)/360</f>
        <v>0</v>
      </c>
      <c r="CV13" s="379">
        <f t="shared" ref="CV13:CV42" si="31">(CT13*CU13)/360</f>
        <v>0</v>
      </c>
      <c r="CY13" s="379">
        <f t="shared" ref="CY13:CY42" si="32">(CW13*CX13)/360</f>
        <v>0</v>
      </c>
      <c r="DB13" s="379">
        <f t="shared" ref="DB13:DB42" si="33">(CZ13*DA13)/360</f>
        <v>0</v>
      </c>
      <c r="DE13" s="379">
        <f t="shared" ref="DE13:DE42" si="34">(DC13*DD13)/360</f>
        <v>0</v>
      </c>
      <c r="DH13" s="379">
        <f t="shared" ref="DH13:DH42" si="35">(DF13*DG13)/360</f>
        <v>0</v>
      </c>
      <c r="DK13" s="379">
        <f t="shared" ref="DK13:DK42" si="36">(DI13*DJ13)/360</f>
        <v>0</v>
      </c>
      <c r="DN13" s="379">
        <f t="shared" ref="DN13:DN42" si="37">(DL13*DM13)/360</f>
        <v>0</v>
      </c>
      <c r="DQ13" s="379">
        <f t="shared" ref="DQ13:DQ42" si="38">(DO13*DP13)/360</f>
        <v>0</v>
      </c>
      <c r="DT13" s="379">
        <f t="shared" ref="DT13:DT42" si="39">(DR13*DS13)/360</f>
        <v>0</v>
      </c>
      <c r="DW13" s="379">
        <f t="shared" ref="DW13:DW42" si="40">(DU13*DV13)/360</f>
        <v>0</v>
      </c>
      <c r="DY13" s="384"/>
      <c r="DZ13" s="366"/>
      <c r="EA13" s="379"/>
      <c r="EB13" s="190">
        <f t="shared" ref="EB13:EB42" si="41">B13+E13+H13+K13+N13+Q13+T13+W13+Z13+AC13+AF13+AL13+AO13+AR13+AU13+AX13+BA13+BD13+BG13+DU13+AI13+DR13+DO13+DL13+DI13+DF13+DC13+CZ13+CW13+CT13+CQ13+CN13+CK13+CH13+CE13+CB13+BY13+BV13+BS13+BP13+BM13+BJ13</f>
        <v>551304743.15999997</v>
      </c>
      <c r="EC13" s="190">
        <f t="shared" ref="EC13:EC42" si="42">EB13-EK13+EL13</f>
        <v>42554743.159999967</v>
      </c>
      <c r="ED13" s="379">
        <f t="shared" ref="ED13:ED42" si="43">D13+G13+J13+M13+P13+S13+V13+Y13+AB13+AE13+AH13+AK13+AN13+AQ13+AT13+AW13+AZ13+BC13+BF13+BI13+DW13+DT13+DQ13+DN13+DK13+DH13+DE13+DB13+CY13+CV13+CS13+CP13+CM13+CJ13+CG13+CD13+CA13+BX13+BU13+BR13+BO13+BL13</f>
        <v>35987.172270288887</v>
      </c>
      <c r="EE13" s="380">
        <f t="shared" ref="EE13:EE42" si="44">IF(EB13&lt;&gt;0,((ED13/EB13)*360),0)</f>
        <v>2.3499493117083672E-2</v>
      </c>
      <c r="EG13" s="190">
        <f t="shared" ref="EG13:EG42" si="45">Q13+T13+W13+Z13+AC13+AF13</f>
        <v>0</v>
      </c>
      <c r="EH13" s="379">
        <f t="shared" ref="EH13:EH42" si="46">S13+V13+Y13+AB13+AE13+AH13</f>
        <v>0</v>
      </c>
      <c r="EI13" s="380">
        <f t="shared" ref="EI13:EI42" si="47">IF(EG13&lt;&gt;0,((EH13/EG13)*360),0)</f>
        <v>0</v>
      </c>
      <c r="EJ13" s="380"/>
      <c r="EK13" s="190">
        <f t="shared" ref="EK13:EK42" si="48">DR13+DL13+DI13+DF13+DC13+CZ13+CW13+CT13+CQ13+CN13+CK13+CH13+CE13+CB13+BY13+BV13+BS13+BP13+BM13+BJ13+BG13+BD13+BA13+AX13+AU13+AR13+AO13+AL13+AI13+DO13</f>
        <v>508750000</v>
      </c>
      <c r="EL13" s="190">
        <f t="shared" ref="EL13:EL42" si="49">DX13</f>
        <v>0</v>
      </c>
      <c r="EM13" s="190">
        <f t="shared" ref="EM13:EM42" si="50">DT13+DQ13+DN13+DK13+DH13+DE13+DB13+CY13+CV13+CS13+CP13+CM13+CJ13+CG13+CD13+CA13+BX13+BU13+BR13+BO13+BL13+BI13+BF13+BC13+AZ13+AW13+AT13+AQ13+AN13+AK13</f>
        <v>33693.944444444445</v>
      </c>
      <c r="EN13" s="380">
        <f t="shared" ref="EN13:EN42" si="51">IF(EK13&lt;&gt;0,((EM13/EK13)*360),0)</f>
        <v>2.3842398034398037E-2</v>
      </c>
      <c r="EO13" s="391"/>
      <c r="EP13" s="379"/>
    </row>
    <row r="14" spans="1:147">
      <c r="A14" s="378">
        <f t="shared" ref="A14:A42" si="52">1+A13</f>
        <v>43315</v>
      </c>
      <c r="D14" s="379">
        <f t="shared" si="1"/>
        <v>0</v>
      </c>
      <c r="E14" s="379">
        <v>43690779.729999997</v>
      </c>
      <c r="F14" s="380">
        <v>1.9400000000000001E-2</v>
      </c>
      <c r="G14" s="379">
        <f t="shared" si="2"/>
        <v>2354.4475743388884</v>
      </c>
      <c r="J14" s="379">
        <f t="shared" si="3"/>
        <v>0</v>
      </c>
      <c r="M14" s="379">
        <f t="shared" si="4"/>
        <v>0</v>
      </c>
      <c r="P14" s="379">
        <f t="shared" si="5"/>
        <v>0</v>
      </c>
      <c r="S14" s="379">
        <f t="shared" si="6"/>
        <v>0</v>
      </c>
      <c r="V14" s="379">
        <f t="shared" si="7"/>
        <v>0</v>
      </c>
      <c r="Y14" s="379">
        <f t="shared" si="8"/>
        <v>0</v>
      </c>
      <c r="AB14" s="379">
        <f t="shared" si="9"/>
        <v>0</v>
      </c>
      <c r="AE14" s="379">
        <v>0</v>
      </c>
      <c r="AH14" s="379">
        <v>0</v>
      </c>
      <c r="AI14" s="381"/>
      <c r="AJ14" s="382"/>
      <c r="AK14" s="379">
        <f t="shared" si="10"/>
        <v>0</v>
      </c>
      <c r="AL14" s="381">
        <f>60000000+28825000+44750000+25000000+45000000+25000000</f>
        <v>228575000</v>
      </c>
      <c r="AM14" s="382">
        <v>2.4E-2</v>
      </c>
      <c r="AN14" s="379">
        <f t="shared" si="11"/>
        <v>15238.333333333334</v>
      </c>
      <c r="AO14" s="381">
        <f t="shared" si="0"/>
        <v>149500000</v>
      </c>
      <c r="AP14" s="382">
        <v>2.3599999999999999E-2</v>
      </c>
      <c r="AQ14" s="379">
        <f t="shared" si="12"/>
        <v>9800.5555555555547</v>
      </c>
      <c r="AR14" s="381">
        <f t="shared" ref="AR14:AR42" si="53">40000000+10575000+30000000+44925000</f>
        <v>125500000</v>
      </c>
      <c r="AS14" s="382">
        <v>2.3599999999999999E-2</v>
      </c>
      <c r="AT14" s="379">
        <f t="shared" si="13"/>
        <v>8227.2222222222226</v>
      </c>
      <c r="AU14" s="381"/>
      <c r="AV14" s="382"/>
      <c r="AW14" s="379">
        <f t="shared" si="14"/>
        <v>0</v>
      </c>
      <c r="AX14" s="381"/>
      <c r="AY14" s="382"/>
      <c r="AZ14" s="379">
        <f t="shared" si="15"/>
        <v>0</v>
      </c>
      <c r="BC14" s="379">
        <f t="shared" si="16"/>
        <v>0</v>
      </c>
      <c r="BF14" s="379">
        <f t="shared" si="17"/>
        <v>0</v>
      </c>
      <c r="BI14" s="379">
        <f t="shared" si="18"/>
        <v>0</v>
      </c>
      <c r="BL14" s="379">
        <f t="shared" si="19"/>
        <v>0</v>
      </c>
      <c r="BO14" s="379">
        <f t="shared" si="20"/>
        <v>0</v>
      </c>
      <c r="BR14" s="379">
        <f t="shared" si="21"/>
        <v>0</v>
      </c>
      <c r="BU14" s="379">
        <f t="shared" si="22"/>
        <v>0</v>
      </c>
      <c r="BX14" s="379">
        <f t="shared" si="23"/>
        <v>0</v>
      </c>
      <c r="CA14" s="379">
        <f t="shared" si="24"/>
        <v>0</v>
      </c>
      <c r="CD14" s="379">
        <f t="shared" si="25"/>
        <v>0</v>
      </c>
      <c r="CG14" s="379">
        <f t="shared" si="26"/>
        <v>0</v>
      </c>
      <c r="CJ14" s="379">
        <f t="shared" si="27"/>
        <v>0</v>
      </c>
      <c r="CM14" s="379">
        <f t="shared" si="28"/>
        <v>0</v>
      </c>
      <c r="CP14" s="379">
        <f t="shared" si="29"/>
        <v>0</v>
      </c>
      <c r="CS14" s="379">
        <f t="shared" si="30"/>
        <v>0</v>
      </c>
      <c r="CV14" s="379">
        <f t="shared" si="31"/>
        <v>0</v>
      </c>
      <c r="CY14" s="379">
        <f t="shared" si="32"/>
        <v>0</v>
      </c>
      <c r="DB14" s="379">
        <f t="shared" si="33"/>
        <v>0</v>
      </c>
      <c r="DE14" s="379">
        <f t="shared" si="34"/>
        <v>0</v>
      </c>
      <c r="DH14" s="379">
        <f t="shared" si="35"/>
        <v>0</v>
      </c>
      <c r="DK14" s="379">
        <f t="shared" si="36"/>
        <v>0</v>
      </c>
      <c r="DN14" s="379">
        <f t="shared" si="37"/>
        <v>0</v>
      </c>
      <c r="DQ14" s="379">
        <f t="shared" si="38"/>
        <v>0</v>
      </c>
      <c r="DT14" s="379">
        <f t="shared" si="39"/>
        <v>0</v>
      </c>
      <c r="DW14" s="379">
        <f t="shared" si="40"/>
        <v>0</v>
      </c>
      <c r="DY14" s="384"/>
      <c r="DZ14" s="366"/>
      <c r="EA14" s="379"/>
      <c r="EB14" s="190">
        <f t="shared" si="41"/>
        <v>547265779.73000002</v>
      </c>
      <c r="EC14" s="190">
        <f t="shared" si="42"/>
        <v>43690779.730000019</v>
      </c>
      <c r="ED14" s="379">
        <f t="shared" si="43"/>
        <v>35620.55868545</v>
      </c>
      <c r="EE14" s="380">
        <f t="shared" si="44"/>
        <v>2.3431761315477417E-2</v>
      </c>
      <c r="EG14" s="190">
        <f t="shared" si="45"/>
        <v>0</v>
      </c>
      <c r="EH14" s="379">
        <f t="shared" si="46"/>
        <v>0</v>
      </c>
      <c r="EI14" s="380">
        <f t="shared" si="47"/>
        <v>0</v>
      </c>
      <c r="EJ14" s="380"/>
      <c r="EK14" s="190">
        <f t="shared" si="48"/>
        <v>503575000</v>
      </c>
      <c r="EL14" s="190">
        <f t="shared" si="49"/>
        <v>0</v>
      </c>
      <c r="EM14" s="190">
        <f t="shared" si="50"/>
        <v>33266.111111111109</v>
      </c>
      <c r="EN14" s="380">
        <f t="shared" si="51"/>
        <v>2.3781561832894801E-2</v>
      </c>
      <c r="EO14" s="391"/>
      <c r="EP14" s="379"/>
    </row>
    <row r="15" spans="1:147">
      <c r="A15" s="378">
        <f t="shared" si="52"/>
        <v>43316</v>
      </c>
      <c r="D15" s="379">
        <f t="shared" si="1"/>
        <v>0</v>
      </c>
      <c r="E15" s="379">
        <v>43690779.729999997</v>
      </c>
      <c r="F15" s="380">
        <v>1.9400000000000001E-2</v>
      </c>
      <c r="G15" s="379">
        <f t="shared" si="2"/>
        <v>2354.4475743388884</v>
      </c>
      <c r="J15" s="379">
        <f t="shared" si="3"/>
        <v>0</v>
      </c>
      <c r="M15" s="379">
        <f t="shared" si="4"/>
        <v>0</v>
      </c>
      <c r="P15" s="379">
        <f t="shared" si="5"/>
        <v>0</v>
      </c>
      <c r="S15" s="379">
        <f t="shared" si="6"/>
        <v>0</v>
      </c>
      <c r="V15" s="379">
        <f t="shared" si="7"/>
        <v>0</v>
      </c>
      <c r="Y15" s="379">
        <f t="shared" si="8"/>
        <v>0</v>
      </c>
      <c r="AB15" s="379">
        <f t="shared" si="9"/>
        <v>0</v>
      </c>
      <c r="AE15" s="379">
        <v>0</v>
      </c>
      <c r="AH15" s="379">
        <v>0</v>
      </c>
      <c r="AI15" s="381"/>
      <c r="AJ15" s="382"/>
      <c r="AK15" s="379">
        <f t="shared" si="10"/>
        <v>0</v>
      </c>
      <c r="AL15" s="381">
        <f>60000000+28825000+44750000+25000000+45000000+25000000</f>
        <v>228575000</v>
      </c>
      <c r="AM15" s="382">
        <v>2.4E-2</v>
      </c>
      <c r="AN15" s="379">
        <f t="shared" si="11"/>
        <v>15238.333333333334</v>
      </c>
      <c r="AO15" s="381">
        <f t="shared" si="0"/>
        <v>149500000</v>
      </c>
      <c r="AP15" s="382">
        <v>2.3599999999999999E-2</v>
      </c>
      <c r="AQ15" s="379">
        <f t="shared" si="12"/>
        <v>9800.5555555555547</v>
      </c>
      <c r="AR15" s="381">
        <f t="shared" si="53"/>
        <v>125500000</v>
      </c>
      <c r="AS15" s="382">
        <v>2.3599999999999999E-2</v>
      </c>
      <c r="AT15" s="379">
        <f t="shared" si="13"/>
        <v>8227.2222222222226</v>
      </c>
      <c r="AU15" s="381"/>
      <c r="AV15" s="382"/>
      <c r="AW15" s="379">
        <f t="shared" si="14"/>
        <v>0</v>
      </c>
      <c r="AX15" s="381"/>
      <c r="AY15" s="382"/>
      <c r="AZ15" s="379">
        <f t="shared" si="15"/>
        <v>0</v>
      </c>
      <c r="BC15" s="379">
        <f t="shared" si="16"/>
        <v>0</v>
      </c>
      <c r="BF15" s="379">
        <f t="shared" si="17"/>
        <v>0</v>
      </c>
      <c r="BI15" s="379">
        <f t="shared" si="18"/>
        <v>0</v>
      </c>
      <c r="BL15" s="379">
        <f t="shared" si="19"/>
        <v>0</v>
      </c>
      <c r="BO15" s="379">
        <f t="shared" si="20"/>
        <v>0</v>
      </c>
      <c r="BR15" s="379">
        <f t="shared" si="21"/>
        <v>0</v>
      </c>
      <c r="BU15" s="379">
        <f t="shared" si="22"/>
        <v>0</v>
      </c>
      <c r="BX15" s="379">
        <f t="shared" si="23"/>
        <v>0</v>
      </c>
      <c r="CA15" s="379">
        <f t="shared" si="24"/>
        <v>0</v>
      </c>
      <c r="CD15" s="379">
        <f t="shared" si="25"/>
        <v>0</v>
      </c>
      <c r="CG15" s="379">
        <f t="shared" si="26"/>
        <v>0</v>
      </c>
      <c r="CJ15" s="379">
        <f t="shared" si="27"/>
        <v>0</v>
      </c>
      <c r="CM15" s="379">
        <f t="shared" si="28"/>
        <v>0</v>
      </c>
      <c r="CP15" s="379">
        <f t="shared" si="29"/>
        <v>0</v>
      </c>
      <c r="CS15" s="379">
        <f t="shared" si="30"/>
        <v>0</v>
      </c>
      <c r="CV15" s="379">
        <f t="shared" si="31"/>
        <v>0</v>
      </c>
      <c r="CY15" s="379">
        <f t="shared" si="32"/>
        <v>0</v>
      </c>
      <c r="DB15" s="379">
        <f t="shared" si="33"/>
        <v>0</v>
      </c>
      <c r="DE15" s="379">
        <f t="shared" si="34"/>
        <v>0</v>
      </c>
      <c r="DH15" s="379">
        <f t="shared" si="35"/>
        <v>0</v>
      </c>
      <c r="DK15" s="379">
        <f t="shared" si="36"/>
        <v>0</v>
      </c>
      <c r="DN15" s="379">
        <f t="shared" si="37"/>
        <v>0</v>
      </c>
      <c r="DQ15" s="379">
        <f t="shared" si="38"/>
        <v>0</v>
      </c>
      <c r="DT15" s="379">
        <f t="shared" si="39"/>
        <v>0</v>
      </c>
      <c r="DW15" s="379">
        <f t="shared" si="40"/>
        <v>0</v>
      </c>
      <c r="DY15" s="384"/>
      <c r="DZ15" s="366"/>
      <c r="EA15" s="379"/>
      <c r="EB15" s="190">
        <f t="shared" si="41"/>
        <v>547265779.73000002</v>
      </c>
      <c r="EC15" s="190">
        <f t="shared" si="42"/>
        <v>43690779.730000019</v>
      </c>
      <c r="ED15" s="379">
        <f t="shared" si="43"/>
        <v>35620.55868545</v>
      </c>
      <c r="EE15" s="380">
        <f t="shared" si="44"/>
        <v>2.3431761315477417E-2</v>
      </c>
      <c r="EG15" s="190">
        <f t="shared" si="45"/>
        <v>0</v>
      </c>
      <c r="EH15" s="379">
        <f t="shared" si="46"/>
        <v>0</v>
      </c>
      <c r="EI15" s="380">
        <f t="shared" si="47"/>
        <v>0</v>
      </c>
      <c r="EJ15" s="380"/>
      <c r="EK15" s="190">
        <f t="shared" si="48"/>
        <v>503575000</v>
      </c>
      <c r="EL15" s="190">
        <f t="shared" si="49"/>
        <v>0</v>
      </c>
      <c r="EM15" s="190">
        <f t="shared" si="50"/>
        <v>33266.111111111109</v>
      </c>
      <c r="EN15" s="380">
        <f t="shared" si="51"/>
        <v>2.3781561832894801E-2</v>
      </c>
      <c r="EO15" s="391"/>
      <c r="EP15" s="379"/>
    </row>
    <row r="16" spans="1:147">
      <c r="A16" s="378">
        <f t="shared" si="52"/>
        <v>43317</v>
      </c>
      <c r="D16" s="379">
        <f t="shared" si="1"/>
        <v>0</v>
      </c>
      <c r="E16" s="379">
        <v>43690779.729999997</v>
      </c>
      <c r="F16" s="380">
        <v>1.9400000000000001E-2</v>
      </c>
      <c r="G16" s="379">
        <f t="shared" si="2"/>
        <v>2354.4475743388884</v>
      </c>
      <c r="J16" s="379">
        <f t="shared" si="3"/>
        <v>0</v>
      </c>
      <c r="M16" s="379">
        <f t="shared" si="4"/>
        <v>0</v>
      </c>
      <c r="P16" s="379">
        <f t="shared" si="5"/>
        <v>0</v>
      </c>
      <c r="S16" s="379">
        <f t="shared" si="6"/>
        <v>0</v>
      </c>
      <c r="V16" s="379">
        <f t="shared" si="7"/>
        <v>0</v>
      </c>
      <c r="Y16" s="379">
        <f t="shared" si="8"/>
        <v>0</v>
      </c>
      <c r="AB16" s="379">
        <f t="shared" si="9"/>
        <v>0</v>
      </c>
      <c r="AE16" s="379">
        <v>0</v>
      </c>
      <c r="AH16" s="379">
        <v>0</v>
      </c>
      <c r="AI16" s="381"/>
      <c r="AJ16" s="382"/>
      <c r="AK16" s="379">
        <f t="shared" si="10"/>
        <v>0</v>
      </c>
      <c r="AL16" s="381">
        <f>60000000+28825000+44750000+25000000+45000000+25000000</f>
        <v>228575000</v>
      </c>
      <c r="AM16" s="382">
        <v>2.4E-2</v>
      </c>
      <c r="AN16" s="379">
        <f t="shared" si="11"/>
        <v>15238.333333333334</v>
      </c>
      <c r="AO16" s="381">
        <f t="shared" si="0"/>
        <v>149500000</v>
      </c>
      <c r="AP16" s="382">
        <v>2.3599999999999999E-2</v>
      </c>
      <c r="AQ16" s="379">
        <f t="shared" si="12"/>
        <v>9800.5555555555547</v>
      </c>
      <c r="AR16" s="381">
        <f t="shared" si="53"/>
        <v>125500000</v>
      </c>
      <c r="AS16" s="382">
        <v>2.3599999999999999E-2</v>
      </c>
      <c r="AT16" s="379">
        <f t="shared" si="13"/>
        <v>8227.2222222222226</v>
      </c>
      <c r="AU16" s="381"/>
      <c r="AV16" s="382"/>
      <c r="AW16" s="379">
        <f t="shared" si="14"/>
        <v>0</v>
      </c>
      <c r="AX16" s="381"/>
      <c r="AY16" s="382"/>
      <c r="AZ16" s="379">
        <f t="shared" si="15"/>
        <v>0</v>
      </c>
      <c r="BC16" s="379">
        <f t="shared" si="16"/>
        <v>0</v>
      </c>
      <c r="BF16" s="379">
        <f t="shared" si="17"/>
        <v>0</v>
      </c>
      <c r="BI16" s="379">
        <f t="shared" si="18"/>
        <v>0</v>
      </c>
      <c r="BL16" s="379">
        <f t="shared" si="19"/>
        <v>0</v>
      </c>
      <c r="BO16" s="379">
        <f t="shared" si="20"/>
        <v>0</v>
      </c>
      <c r="BR16" s="379">
        <f t="shared" si="21"/>
        <v>0</v>
      </c>
      <c r="BU16" s="379">
        <f t="shared" si="22"/>
        <v>0</v>
      </c>
      <c r="BX16" s="379">
        <f t="shared" si="23"/>
        <v>0</v>
      </c>
      <c r="CA16" s="379">
        <f t="shared" si="24"/>
        <v>0</v>
      </c>
      <c r="CD16" s="379">
        <f t="shared" si="25"/>
        <v>0</v>
      </c>
      <c r="CG16" s="379">
        <f t="shared" si="26"/>
        <v>0</v>
      </c>
      <c r="CJ16" s="379">
        <f t="shared" si="27"/>
        <v>0</v>
      </c>
      <c r="CM16" s="379">
        <f t="shared" si="28"/>
        <v>0</v>
      </c>
      <c r="CP16" s="379">
        <f t="shared" si="29"/>
        <v>0</v>
      </c>
      <c r="CS16" s="379">
        <f t="shared" si="30"/>
        <v>0</v>
      </c>
      <c r="CV16" s="379">
        <f t="shared" si="31"/>
        <v>0</v>
      </c>
      <c r="CY16" s="379">
        <f t="shared" si="32"/>
        <v>0</v>
      </c>
      <c r="DB16" s="379">
        <f t="shared" si="33"/>
        <v>0</v>
      </c>
      <c r="DE16" s="379">
        <f t="shared" si="34"/>
        <v>0</v>
      </c>
      <c r="DH16" s="379">
        <f t="shared" si="35"/>
        <v>0</v>
      </c>
      <c r="DK16" s="379">
        <f t="shared" si="36"/>
        <v>0</v>
      </c>
      <c r="DN16" s="379">
        <f t="shared" si="37"/>
        <v>0</v>
      </c>
      <c r="DQ16" s="379">
        <f t="shared" si="38"/>
        <v>0</v>
      </c>
      <c r="DT16" s="379">
        <f t="shared" si="39"/>
        <v>0</v>
      </c>
      <c r="DW16" s="379">
        <f t="shared" si="40"/>
        <v>0</v>
      </c>
      <c r="DY16" s="384"/>
      <c r="DZ16" s="366"/>
      <c r="EA16" s="379"/>
      <c r="EB16" s="190">
        <f t="shared" si="41"/>
        <v>547265779.73000002</v>
      </c>
      <c r="EC16" s="190">
        <f t="shared" si="42"/>
        <v>43690779.730000019</v>
      </c>
      <c r="ED16" s="379">
        <f t="shared" si="43"/>
        <v>35620.55868545</v>
      </c>
      <c r="EE16" s="380">
        <f t="shared" si="44"/>
        <v>2.3431761315477417E-2</v>
      </c>
      <c r="EG16" s="190">
        <f t="shared" si="45"/>
        <v>0</v>
      </c>
      <c r="EH16" s="379">
        <f t="shared" si="46"/>
        <v>0</v>
      </c>
      <c r="EI16" s="380">
        <f t="shared" si="47"/>
        <v>0</v>
      </c>
      <c r="EJ16" s="380"/>
      <c r="EK16" s="190">
        <f t="shared" si="48"/>
        <v>503575000</v>
      </c>
      <c r="EL16" s="190">
        <f t="shared" si="49"/>
        <v>0</v>
      </c>
      <c r="EM16" s="190">
        <f t="shared" si="50"/>
        <v>33266.111111111109</v>
      </c>
      <c r="EN16" s="380">
        <f t="shared" si="51"/>
        <v>2.3781561832894801E-2</v>
      </c>
      <c r="EO16" s="391"/>
      <c r="EP16" s="379"/>
    </row>
    <row r="17" spans="1:146">
      <c r="A17" s="378">
        <f t="shared" si="52"/>
        <v>43318</v>
      </c>
      <c r="D17" s="379">
        <f t="shared" si="1"/>
        <v>0</v>
      </c>
      <c r="E17" s="379">
        <v>43819863.890000001</v>
      </c>
      <c r="F17" s="380">
        <v>1.9299999999999998E-2</v>
      </c>
      <c r="G17" s="379">
        <f t="shared" si="2"/>
        <v>2349.2315918805552</v>
      </c>
      <c r="J17" s="379">
        <f t="shared" si="3"/>
        <v>0</v>
      </c>
      <c r="M17" s="379">
        <f t="shared" si="4"/>
        <v>0</v>
      </c>
      <c r="P17" s="379">
        <f t="shared" si="5"/>
        <v>0</v>
      </c>
      <c r="S17" s="379">
        <f t="shared" si="6"/>
        <v>0</v>
      </c>
      <c r="V17" s="379">
        <f t="shared" si="7"/>
        <v>0</v>
      </c>
      <c r="Y17" s="379">
        <f t="shared" si="8"/>
        <v>0</v>
      </c>
      <c r="AB17" s="379">
        <f t="shared" si="9"/>
        <v>0</v>
      </c>
      <c r="AE17" s="379">
        <v>0</v>
      </c>
      <c r="AH17" s="379">
        <v>0</v>
      </c>
      <c r="AI17" s="381"/>
      <c r="AJ17" s="382"/>
      <c r="AK17" s="379">
        <f t="shared" si="10"/>
        <v>0</v>
      </c>
      <c r="AL17" s="381">
        <f>60000000+28825000+44750000+25000000</f>
        <v>158575000</v>
      </c>
      <c r="AM17" s="382">
        <v>2.4E-2</v>
      </c>
      <c r="AN17" s="379">
        <f t="shared" si="11"/>
        <v>10571.666666666666</v>
      </c>
      <c r="AO17" s="381">
        <f t="shared" si="0"/>
        <v>149500000</v>
      </c>
      <c r="AP17" s="382">
        <v>2.3599999999999999E-2</v>
      </c>
      <c r="AQ17" s="379">
        <f t="shared" si="12"/>
        <v>9800.5555555555547</v>
      </c>
      <c r="AR17" s="381">
        <f t="shared" si="53"/>
        <v>125500000</v>
      </c>
      <c r="AS17" s="382">
        <v>2.3599999999999999E-2</v>
      </c>
      <c r="AT17" s="379">
        <f t="shared" si="13"/>
        <v>8227.2222222222226</v>
      </c>
      <c r="AU17" s="381">
        <f>25000000+44900000</f>
        <v>69900000</v>
      </c>
      <c r="AV17" s="382">
        <v>2.3599999999999999E-2</v>
      </c>
      <c r="AW17" s="379">
        <f t="shared" si="14"/>
        <v>4582.333333333333</v>
      </c>
      <c r="AX17" s="381"/>
      <c r="AY17" s="382"/>
      <c r="AZ17" s="379">
        <f t="shared" si="15"/>
        <v>0</v>
      </c>
      <c r="BC17" s="379">
        <f t="shared" si="16"/>
        <v>0</v>
      </c>
      <c r="BF17" s="379">
        <f t="shared" si="17"/>
        <v>0</v>
      </c>
      <c r="BI17" s="379">
        <f t="shared" si="18"/>
        <v>0</v>
      </c>
      <c r="BL17" s="379">
        <f t="shared" si="19"/>
        <v>0</v>
      </c>
      <c r="BO17" s="379">
        <f t="shared" si="20"/>
        <v>0</v>
      </c>
      <c r="BR17" s="379">
        <f t="shared" si="21"/>
        <v>0</v>
      </c>
      <c r="BU17" s="379">
        <f t="shared" si="22"/>
        <v>0</v>
      </c>
      <c r="BX17" s="379">
        <f t="shared" si="23"/>
        <v>0</v>
      </c>
      <c r="CA17" s="379">
        <f t="shared" si="24"/>
        <v>0</v>
      </c>
      <c r="CD17" s="379">
        <f t="shared" si="25"/>
        <v>0</v>
      </c>
      <c r="CG17" s="379">
        <f t="shared" si="26"/>
        <v>0</v>
      </c>
      <c r="CJ17" s="379">
        <f t="shared" si="27"/>
        <v>0</v>
      </c>
      <c r="CM17" s="379">
        <f t="shared" si="28"/>
        <v>0</v>
      </c>
      <c r="CP17" s="379">
        <f t="shared" si="29"/>
        <v>0</v>
      </c>
      <c r="CS17" s="379">
        <f t="shared" si="30"/>
        <v>0</v>
      </c>
      <c r="CV17" s="379">
        <f t="shared" si="31"/>
        <v>0</v>
      </c>
      <c r="CY17" s="379">
        <f t="shared" si="32"/>
        <v>0</v>
      </c>
      <c r="DB17" s="379">
        <f t="shared" si="33"/>
        <v>0</v>
      </c>
      <c r="DE17" s="379">
        <f t="shared" si="34"/>
        <v>0</v>
      </c>
      <c r="DH17" s="379">
        <f t="shared" si="35"/>
        <v>0</v>
      </c>
      <c r="DK17" s="379">
        <f t="shared" si="36"/>
        <v>0</v>
      </c>
      <c r="DN17" s="379">
        <f t="shared" si="37"/>
        <v>0</v>
      </c>
      <c r="DQ17" s="379">
        <f t="shared" si="38"/>
        <v>0</v>
      </c>
      <c r="DT17" s="379">
        <f t="shared" si="39"/>
        <v>0</v>
      </c>
      <c r="DW17" s="379">
        <f t="shared" si="40"/>
        <v>0</v>
      </c>
      <c r="DY17" s="384"/>
      <c r="DZ17" s="366"/>
      <c r="EA17" s="379"/>
      <c r="EB17" s="190">
        <f t="shared" si="41"/>
        <v>547294863.88999999</v>
      </c>
      <c r="EC17" s="190">
        <f t="shared" si="42"/>
        <v>43819863.889999986</v>
      </c>
      <c r="ED17" s="379">
        <f t="shared" si="43"/>
        <v>35531.009369658335</v>
      </c>
      <c r="EE17" s="380">
        <f t="shared" si="44"/>
        <v>2.3371612300838035E-2</v>
      </c>
      <c r="EG17" s="190">
        <f t="shared" si="45"/>
        <v>0</v>
      </c>
      <c r="EH17" s="379">
        <f t="shared" si="46"/>
        <v>0</v>
      </c>
      <c r="EI17" s="380">
        <f t="shared" si="47"/>
        <v>0</v>
      </c>
      <c r="EJ17" s="380"/>
      <c r="EK17" s="190">
        <f t="shared" si="48"/>
        <v>503475000</v>
      </c>
      <c r="EL17" s="190">
        <f t="shared" si="49"/>
        <v>0</v>
      </c>
      <c r="EM17" s="190">
        <f t="shared" si="50"/>
        <v>33181.777777777774</v>
      </c>
      <c r="EN17" s="380">
        <f t="shared" si="51"/>
        <v>2.3725984408361881E-2</v>
      </c>
      <c r="EO17" s="391"/>
      <c r="EP17" s="379"/>
    </row>
    <row r="18" spans="1:146">
      <c r="A18" s="378">
        <f t="shared" si="52"/>
        <v>43319</v>
      </c>
      <c r="D18" s="379">
        <f t="shared" si="1"/>
        <v>0</v>
      </c>
      <c r="E18" s="379">
        <v>45572764.780000001</v>
      </c>
      <c r="F18" s="380">
        <v>1.9699999999999999E-2</v>
      </c>
      <c r="G18" s="379">
        <f t="shared" si="2"/>
        <v>2493.8429615722221</v>
      </c>
      <c r="J18" s="379">
        <f t="shared" si="3"/>
        <v>0</v>
      </c>
      <c r="M18" s="379">
        <f t="shared" si="4"/>
        <v>0</v>
      </c>
      <c r="P18" s="379">
        <f t="shared" si="5"/>
        <v>0</v>
      </c>
      <c r="S18" s="379">
        <f t="shared" si="6"/>
        <v>0</v>
      </c>
      <c r="V18" s="379">
        <f t="shared" si="7"/>
        <v>0</v>
      </c>
      <c r="Y18" s="379">
        <f t="shared" si="8"/>
        <v>0</v>
      </c>
      <c r="AB18" s="379">
        <f t="shared" si="9"/>
        <v>0</v>
      </c>
      <c r="AE18" s="379">
        <v>0</v>
      </c>
      <c r="AH18" s="379">
        <v>0</v>
      </c>
      <c r="AI18" s="381">
        <f>38075000</f>
        <v>38075000</v>
      </c>
      <c r="AJ18" s="382">
        <v>2.2499999999999999E-2</v>
      </c>
      <c r="AK18" s="379">
        <f t="shared" si="10"/>
        <v>2379.6875</v>
      </c>
      <c r="AL18" s="381">
        <f>60000000+28825000</f>
        <v>88825000</v>
      </c>
      <c r="AM18" s="382">
        <v>2.4E-2</v>
      </c>
      <c r="AN18" s="379">
        <f t="shared" si="11"/>
        <v>5921.666666666667</v>
      </c>
      <c r="AO18" s="381">
        <f t="shared" si="0"/>
        <v>149500000</v>
      </c>
      <c r="AP18" s="382">
        <v>2.3599999999999999E-2</v>
      </c>
      <c r="AQ18" s="379">
        <f t="shared" si="12"/>
        <v>9800.5555555555547</v>
      </c>
      <c r="AR18" s="381">
        <f t="shared" si="53"/>
        <v>125500000</v>
      </c>
      <c r="AS18" s="382">
        <v>2.3599999999999999E-2</v>
      </c>
      <c r="AT18" s="379">
        <f t="shared" si="13"/>
        <v>8227.2222222222226</v>
      </c>
      <c r="AU18" s="381">
        <f t="shared" ref="AU18:AU42" si="54">25000000+44900000+30000000</f>
        <v>99900000</v>
      </c>
      <c r="AV18" s="382">
        <v>2.3599999999999999E-2</v>
      </c>
      <c r="AW18" s="379">
        <f t="shared" si="14"/>
        <v>6549</v>
      </c>
      <c r="AX18" s="381"/>
      <c r="AY18" s="382"/>
      <c r="AZ18" s="379">
        <f t="shared" si="15"/>
        <v>0</v>
      </c>
      <c r="BC18" s="379">
        <f t="shared" si="16"/>
        <v>0</v>
      </c>
      <c r="BF18" s="379">
        <f t="shared" si="17"/>
        <v>0</v>
      </c>
      <c r="BI18" s="379">
        <f t="shared" si="18"/>
        <v>0</v>
      </c>
      <c r="BL18" s="379">
        <f t="shared" si="19"/>
        <v>0</v>
      </c>
      <c r="BO18" s="379">
        <f t="shared" si="20"/>
        <v>0</v>
      </c>
      <c r="BR18" s="379">
        <f t="shared" si="21"/>
        <v>0</v>
      </c>
      <c r="BU18" s="379">
        <f t="shared" si="22"/>
        <v>0</v>
      </c>
      <c r="BX18" s="379">
        <f t="shared" si="23"/>
        <v>0</v>
      </c>
      <c r="CA18" s="379">
        <f t="shared" si="24"/>
        <v>0</v>
      </c>
      <c r="CD18" s="379">
        <f t="shared" si="25"/>
        <v>0</v>
      </c>
      <c r="CG18" s="379">
        <f t="shared" si="26"/>
        <v>0</v>
      </c>
      <c r="CJ18" s="379">
        <f t="shared" si="27"/>
        <v>0</v>
      </c>
      <c r="CM18" s="379">
        <f t="shared" si="28"/>
        <v>0</v>
      </c>
      <c r="CP18" s="379">
        <f t="shared" si="29"/>
        <v>0</v>
      </c>
      <c r="CS18" s="379">
        <f t="shared" si="30"/>
        <v>0</v>
      </c>
      <c r="CV18" s="379">
        <f t="shared" si="31"/>
        <v>0</v>
      </c>
      <c r="CY18" s="379">
        <f t="shared" si="32"/>
        <v>0</v>
      </c>
      <c r="DB18" s="379">
        <f t="shared" si="33"/>
        <v>0</v>
      </c>
      <c r="DE18" s="379">
        <f t="shared" si="34"/>
        <v>0</v>
      </c>
      <c r="DH18" s="379">
        <f t="shared" si="35"/>
        <v>0</v>
      </c>
      <c r="DK18" s="379">
        <f t="shared" si="36"/>
        <v>0</v>
      </c>
      <c r="DN18" s="379">
        <f t="shared" si="37"/>
        <v>0</v>
      </c>
      <c r="DQ18" s="379">
        <f t="shared" si="38"/>
        <v>0</v>
      </c>
      <c r="DT18" s="379">
        <f t="shared" si="39"/>
        <v>0</v>
      </c>
      <c r="DW18" s="379">
        <f t="shared" si="40"/>
        <v>0</v>
      </c>
      <c r="DY18" s="384"/>
      <c r="DZ18" s="366"/>
      <c r="EA18" s="379"/>
      <c r="EB18" s="190">
        <f t="shared" si="41"/>
        <v>547372764.77999997</v>
      </c>
      <c r="EC18" s="190">
        <f t="shared" si="42"/>
        <v>45572764.779999971</v>
      </c>
      <c r="ED18" s="379">
        <f t="shared" si="43"/>
        <v>35371.974906016665</v>
      </c>
      <c r="EE18" s="380">
        <f t="shared" si="44"/>
        <v>2.3263691190927287E-2</v>
      </c>
      <c r="EG18" s="190">
        <f t="shared" si="45"/>
        <v>0</v>
      </c>
      <c r="EH18" s="379">
        <f t="shared" si="46"/>
        <v>0</v>
      </c>
      <c r="EI18" s="380">
        <f t="shared" si="47"/>
        <v>0</v>
      </c>
      <c r="EJ18" s="380"/>
      <c r="EK18" s="190">
        <f t="shared" si="48"/>
        <v>501800000</v>
      </c>
      <c r="EL18" s="190">
        <f t="shared" si="49"/>
        <v>0</v>
      </c>
      <c r="EM18" s="190">
        <f t="shared" si="50"/>
        <v>32878.131944444445</v>
      </c>
      <c r="EN18" s="380">
        <f t="shared" si="51"/>
        <v>2.358734057393384E-2</v>
      </c>
      <c r="EO18" s="391"/>
      <c r="EP18" s="379"/>
    </row>
    <row r="19" spans="1:146">
      <c r="A19" s="378">
        <f t="shared" si="52"/>
        <v>43320</v>
      </c>
      <c r="D19" s="379">
        <f t="shared" si="1"/>
        <v>0</v>
      </c>
      <c r="E19" s="379">
        <v>35859585.590000004</v>
      </c>
      <c r="F19" s="380">
        <v>1.9400000000000001E-2</v>
      </c>
      <c r="G19" s="379">
        <f t="shared" si="2"/>
        <v>1932.4332234611113</v>
      </c>
      <c r="J19" s="379">
        <f t="shared" si="3"/>
        <v>0</v>
      </c>
      <c r="M19" s="379">
        <f t="shared" si="4"/>
        <v>0</v>
      </c>
      <c r="P19" s="379">
        <f t="shared" si="5"/>
        <v>0</v>
      </c>
      <c r="S19" s="379">
        <f t="shared" si="6"/>
        <v>0</v>
      </c>
      <c r="V19" s="379">
        <f t="shared" si="7"/>
        <v>0</v>
      </c>
      <c r="Y19" s="379">
        <f t="shared" si="8"/>
        <v>0</v>
      </c>
      <c r="AB19" s="379">
        <f t="shared" si="9"/>
        <v>0</v>
      </c>
      <c r="AE19" s="379">
        <v>0</v>
      </c>
      <c r="AH19" s="379">
        <v>0</v>
      </c>
      <c r="AI19" s="381">
        <f>40000000+36625000</f>
        <v>76625000</v>
      </c>
      <c r="AJ19" s="382">
        <v>2.2499999999999999E-2</v>
      </c>
      <c r="AK19" s="379">
        <f t="shared" si="10"/>
        <v>4789.0625</v>
      </c>
      <c r="AL19" s="381">
        <f t="shared" ref="AL19:AL40" si="55">60000000</f>
        <v>60000000</v>
      </c>
      <c r="AM19" s="382">
        <v>2.4E-2</v>
      </c>
      <c r="AN19" s="379">
        <f t="shared" si="11"/>
        <v>4000</v>
      </c>
      <c r="AO19" s="381">
        <f t="shared" si="0"/>
        <v>149500000</v>
      </c>
      <c r="AP19" s="382">
        <v>2.3599999999999999E-2</v>
      </c>
      <c r="AQ19" s="379">
        <f t="shared" si="12"/>
        <v>9800.5555555555547</v>
      </c>
      <c r="AR19" s="381">
        <f t="shared" si="53"/>
        <v>125500000</v>
      </c>
      <c r="AS19" s="382">
        <v>2.3599999999999999E-2</v>
      </c>
      <c r="AT19" s="379">
        <f t="shared" si="13"/>
        <v>8227.2222222222226</v>
      </c>
      <c r="AU19" s="381">
        <f t="shared" si="54"/>
        <v>99900000</v>
      </c>
      <c r="AV19" s="382">
        <v>2.3599999999999999E-2</v>
      </c>
      <c r="AW19" s="379">
        <f t="shared" si="14"/>
        <v>6549</v>
      </c>
      <c r="AX19" s="381"/>
      <c r="AY19" s="382"/>
      <c r="AZ19" s="379">
        <f t="shared" si="15"/>
        <v>0</v>
      </c>
      <c r="BC19" s="379">
        <f t="shared" si="16"/>
        <v>0</v>
      </c>
      <c r="BF19" s="379">
        <f t="shared" si="17"/>
        <v>0</v>
      </c>
      <c r="BI19" s="379">
        <f t="shared" si="18"/>
        <v>0</v>
      </c>
      <c r="BL19" s="379">
        <f t="shared" si="19"/>
        <v>0</v>
      </c>
      <c r="BO19" s="379">
        <f t="shared" si="20"/>
        <v>0</v>
      </c>
      <c r="BR19" s="379">
        <f t="shared" si="21"/>
        <v>0</v>
      </c>
      <c r="BU19" s="379">
        <f t="shared" si="22"/>
        <v>0</v>
      </c>
      <c r="BX19" s="379">
        <f t="shared" si="23"/>
        <v>0</v>
      </c>
      <c r="CA19" s="379">
        <f t="shared" si="24"/>
        <v>0</v>
      </c>
      <c r="CD19" s="379">
        <f t="shared" si="25"/>
        <v>0</v>
      </c>
      <c r="CG19" s="379">
        <f t="shared" si="26"/>
        <v>0</v>
      </c>
      <c r="CJ19" s="379">
        <f t="shared" si="27"/>
        <v>0</v>
      </c>
      <c r="CM19" s="379">
        <f t="shared" si="28"/>
        <v>0</v>
      </c>
      <c r="CP19" s="379">
        <f t="shared" si="29"/>
        <v>0</v>
      </c>
      <c r="CS19" s="379">
        <f t="shared" si="30"/>
        <v>0</v>
      </c>
      <c r="CV19" s="379">
        <f t="shared" si="31"/>
        <v>0</v>
      </c>
      <c r="CY19" s="379">
        <f t="shared" si="32"/>
        <v>0</v>
      </c>
      <c r="DB19" s="379">
        <f t="shared" si="33"/>
        <v>0</v>
      </c>
      <c r="DE19" s="379">
        <f t="shared" si="34"/>
        <v>0</v>
      </c>
      <c r="DH19" s="379">
        <f t="shared" si="35"/>
        <v>0</v>
      </c>
      <c r="DK19" s="379">
        <f t="shared" si="36"/>
        <v>0</v>
      </c>
      <c r="DN19" s="379">
        <f t="shared" si="37"/>
        <v>0</v>
      </c>
      <c r="DQ19" s="379">
        <f t="shared" si="38"/>
        <v>0</v>
      </c>
      <c r="DT19" s="379">
        <f t="shared" si="39"/>
        <v>0</v>
      </c>
      <c r="DW19" s="379">
        <f t="shared" si="40"/>
        <v>0</v>
      </c>
      <c r="DY19" s="384"/>
      <c r="DZ19" s="366"/>
      <c r="EA19" s="379"/>
      <c r="EB19" s="190">
        <f t="shared" si="41"/>
        <v>547384585.59000003</v>
      </c>
      <c r="EC19" s="190">
        <f t="shared" si="42"/>
        <v>35859585.590000033</v>
      </c>
      <c r="ED19" s="379">
        <f t="shared" si="43"/>
        <v>35298.273501238888</v>
      </c>
      <c r="EE19" s="380">
        <f t="shared" si="44"/>
        <v>2.3214717394260041E-2</v>
      </c>
      <c r="EG19" s="190">
        <f t="shared" si="45"/>
        <v>0</v>
      </c>
      <c r="EH19" s="379">
        <f t="shared" si="46"/>
        <v>0</v>
      </c>
      <c r="EI19" s="380">
        <f t="shared" si="47"/>
        <v>0</v>
      </c>
      <c r="EJ19" s="380"/>
      <c r="EK19" s="190">
        <f t="shared" si="48"/>
        <v>511525000</v>
      </c>
      <c r="EL19" s="190">
        <f t="shared" si="49"/>
        <v>0</v>
      </c>
      <c r="EM19" s="190">
        <f t="shared" si="50"/>
        <v>33365.840277777781</v>
      </c>
      <c r="EN19" s="380">
        <f t="shared" si="51"/>
        <v>2.3482141635306191E-2</v>
      </c>
      <c r="EO19" s="391"/>
      <c r="EP19" s="379"/>
    </row>
    <row r="20" spans="1:146">
      <c r="A20" s="378">
        <f t="shared" si="52"/>
        <v>43321</v>
      </c>
      <c r="D20" s="379">
        <f t="shared" si="1"/>
        <v>0</v>
      </c>
      <c r="E20" s="379">
        <v>33891026.759999998</v>
      </c>
      <c r="F20" s="380">
        <v>1.95E-2</v>
      </c>
      <c r="G20" s="379">
        <f t="shared" si="2"/>
        <v>1835.7639494999999</v>
      </c>
      <c r="J20" s="379">
        <f t="shared" si="3"/>
        <v>0</v>
      </c>
      <c r="M20" s="379">
        <f t="shared" si="4"/>
        <v>0</v>
      </c>
      <c r="P20" s="379">
        <f t="shared" si="5"/>
        <v>0</v>
      </c>
      <c r="S20" s="379">
        <f t="shared" si="6"/>
        <v>0</v>
      </c>
      <c r="V20" s="379">
        <f t="shared" si="7"/>
        <v>0</v>
      </c>
      <c r="Y20" s="379">
        <f t="shared" si="8"/>
        <v>0</v>
      </c>
      <c r="AB20" s="379">
        <f t="shared" si="9"/>
        <v>0</v>
      </c>
      <c r="AE20" s="379">
        <v>0</v>
      </c>
      <c r="AH20" s="379">
        <v>0</v>
      </c>
      <c r="AI20" s="381">
        <f>40000000+37150000</f>
        <v>77150000</v>
      </c>
      <c r="AJ20" s="382">
        <v>2.2499999999999999E-2</v>
      </c>
      <c r="AK20" s="379">
        <f t="shared" si="10"/>
        <v>4821.875</v>
      </c>
      <c r="AL20" s="381">
        <f t="shared" si="55"/>
        <v>60000000</v>
      </c>
      <c r="AM20" s="382">
        <v>2.4E-2</v>
      </c>
      <c r="AN20" s="379">
        <f t="shared" si="11"/>
        <v>4000</v>
      </c>
      <c r="AO20" s="381">
        <f t="shared" si="0"/>
        <v>149500000</v>
      </c>
      <c r="AP20" s="382">
        <v>2.3599999999999999E-2</v>
      </c>
      <c r="AQ20" s="379">
        <f t="shared" si="12"/>
        <v>9800.5555555555547</v>
      </c>
      <c r="AR20" s="381">
        <f t="shared" si="53"/>
        <v>125500000</v>
      </c>
      <c r="AS20" s="382">
        <v>2.3599999999999999E-2</v>
      </c>
      <c r="AT20" s="379">
        <f t="shared" si="13"/>
        <v>8227.2222222222226</v>
      </c>
      <c r="AU20" s="381">
        <f t="shared" si="54"/>
        <v>99900000</v>
      </c>
      <c r="AV20" s="382">
        <v>2.3599999999999999E-2</v>
      </c>
      <c r="AW20" s="379">
        <f t="shared" si="14"/>
        <v>6549</v>
      </c>
      <c r="AX20" s="381"/>
      <c r="AY20" s="382"/>
      <c r="AZ20" s="379">
        <f t="shared" si="15"/>
        <v>0</v>
      </c>
      <c r="BC20" s="379">
        <f t="shared" si="16"/>
        <v>0</v>
      </c>
      <c r="BF20" s="379">
        <f t="shared" si="17"/>
        <v>0</v>
      </c>
      <c r="BI20" s="379">
        <f t="shared" si="18"/>
        <v>0</v>
      </c>
      <c r="BL20" s="379">
        <f t="shared" si="19"/>
        <v>0</v>
      </c>
      <c r="BO20" s="379">
        <f t="shared" si="20"/>
        <v>0</v>
      </c>
      <c r="BR20" s="379">
        <f t="shared" si="21"/>
        <v>0</v>
      </c>
      <c r="BU20" s="379">
        <f t="shared" si="22"/>
        <v>0</v>
      </c>
      <c r="BX20" s="379">
        <f t="shared" si="23"/>
        <v>0</v>
      </c>
      <c r="CA20" s="379">
        <f t="shared" si="24"/>
        <v>0</v>
      </c>
      <c r="CD20" s="379">
        <f t="shared" si="25"/>
        <v>0</v>
      </c>
      <c r="CG20" s="379">
        <f t="shared" si="26"/>
        <v>0</v>
      </c>
      <c r="CJ20" s="379">
        <f t="shared" si="27"/>
        <v>0</v>
      </c>
      <c r="CM20" s="379">
        <f t="shared" si="28"/>
        <v>0</v>
      </c>
      <c r="CP20" s="379">
        <f t="shared" si="29"/>
        <v>0</v>
      </c>
      <c r="CS20" s="379">
        <f t="shared" si="30"/>
        <v>0</v>
      </c>
      <c r="CV20" s="379">
        <f t="shared" si="31"/>
        <v>0</v>
      </c>
      <c r="CY20" s="379">
        <f t="shared" si="32"/>
        <v>0</v>
      </c>
      <c r="DB20" s="379">
        <f t="shared" si="33"/>
        <v>0</v>
      </c>
      <c r="DE20" s="379">
        <f t="shared" si="34"/>
        <v>0</v>
      </c>
      <c r="DH20" s="379">
        <f t="shared" si="35"/>
        <v>0</v>
      </c>
      <c r="DK20" s="379">
        <f t="shared" si="36"/>
        <v>0</v>
      </c>
      <c r="DN20" s="379">
        <f t="shared" si="37"/>
        <v>0</v>
      </c>
      <c r="DQ20" s="379">
        <f t="shared" si="38"/>
        <v>0</v>
      </c>
      <c r="DT20" s="379">
        <f t="shared" si="39"/>
        <v>0</v>
      </c>
      <c r="DW20" s="379">
        <f t="shared" si="40"/>
        <v>0</v>
      </c>
      <c r="DY20" s="384"/>
      <c r="DZ20" s="366"/>
      <c r="EA20" s="379"/>
      <c r="EB20" s="190">
        <f t="shared" si="41"/>
        <v>545941026.75999999</v>
      </c>
      <c r="EC20" s="190">
        <f t="shared" si="42"/>
        <v>33891026.75999999</v>
      </c>
      <c r="ED20" s="379">
        <f t="shared" si="43"/>
        <v>35234.416727277778</v>
      </c>
      <c r="EE20" s="380">
        <f t="shared" si="44"/>
        <v>2.3233993050674605E-2</v>
      </c>
      <c r="EG20" s="190">
        <f t="shared" si="45"/>
        <v>0</v>
      </c>
      <c r="EH20" s="379">
        <f t="shared" si="46"/>
        <v>0</v>
      </c>
      <c r="EI20" s="380">
        <f t="shared" si="47"/>
        <v>0</v>
      </c>
      <c r="EJ20" s="380"/>
      <c r="EK20" s="190">
        <f t="shared" si="48"/>
        <v>512050000</v>
      </c>
      <c r="EL20" s="190">
        <f t="shared" si="49"/>
        <v>0</v>
      </c>
      <c r="EM20" s="190">
        <f t="shared" si="50"/>
        <v>33398.652777777781</v>
      </c>
      <c r="EN20" s="380">
        <f t="shared" si="51"/>
        <v>2.3481134654818867E-2</v>
      </c>
      <c r="EO20" s="391"/>
      <c r="EP20" s="379"/>
    </row>
    <row r="21" spans="1:146">
      <c r="A21" s="378">
        <f t="shared" si="52"/>
        <v>43322</v>
      </c>
      <c r="D21" s="379">
        <f t="shared" si="1"/>
        <v>0</v>
      </c>
      <c r="E21" s="379">
        <v>34839586.979999997</v>
      </c>
      <c r="F21" s="380">
        <v>1.9799999999999998E-2</v>
      </c>
      <c r="G21" s="379">
        <f t="shared" si="2"/>
        <v>1916.1772838999996</v>
      </c>
      <c r="J21" s="379">
        <f t="shared" si="3"/>
        <v>0</v>
      </c>
      <c r="M21" s="379">
        <f t="shared" si="4"/>
        <v>0</v>
      </c>
      <c r="P21" s="379">
        <f t="shared" si="5"/>
        <v>0</v>
      </c>
      <c r="S21" s="379">
        <f t="shared" si="6"/>
        <v>0</v>
      </c>
      <c r="V21" s="379">
        <f t="shared" si="7"/>
        <v>0</v>
      </c>
      <c r="Y21" s="379">
        <f t="shared" si="8"/>
        <v>0</v>
      </c>
      <c r="AB21" s="379">
        <f t="shared" si="9"/>
        <v>0</v>
      </c>
      <c r="AE21" s="379">
        <v>0</v>
      </c>
      <c r="AH21" s="379">
        <v>0</v>
      </c>
      <c r="AI21" s="381">
        <f>40000000+36225000</f>
        <v>76225000</v>
      </c>
      <c r="AJ21" s="382">
        <v>2.2499999999999999E-2</v>
      </c>
      <c r="AK21" s="379">
        <f t="shared" si="10"/>
        <v>4764.0625</v>
      </c>
      <c r="AL21" s="381">
        <f t="shared" si="55"/>
        <v>60000000</v>
      </c>
      <c r="AM21" s="382">
        <v>2.4E-2</v>
      </c>
      <c r="AN21" s="379">
        <f t="shared" si="11"/>
        <v>4000</v>
      </c>
      <c r="AO21" s="381">
        <f t="shared" si="0"/>
        <v>149500000</v>
      </c>
      <c r="AP21" s="382">
        <v>2.3599999999999999E-2</v>
      </c>
      <c r="AQ21" s="379">
        <f t="shared" si="12"/>
        <v>9800.5555555555547</v>
      </c>
      <c r="AR21" s="381">
        <f t="shared" si="53"/>
        <v>125500000</v>
      </c>
      <c r="AS21" s="382">
        <v>2.3599999999999999E-2</v>
      </c>
      <c r="AT21" s="379">
        <f t="shared" si="13"/>
        <v>8227.2222222222226</v>
      </c>
      <c r="AU21" s="381">
        <f t="shared" si="54"/>
        <v>99900000</v>
      </c>
      <c r="AV21" s="382">
        <v>2.3599999999999999E-2</v>
      </c>
      <c r="AW21" s="379">
        <f t="shared" si="14"/>
        <v>6549</v>
      </c>
      <c r="AX21" s="381"/>
      <c r="AY21" s="382"/>
      <c r="AZ21" s="379">
        <f t="shared" si="15"/>
        <v>0</v>
      </c>
      <c r="BC21" s="379">
        <f t="shared" si="16"/>
        <v>0</v>
      </c>
      <c r="BF21" s="379">
        <f t="shared" si="17"/>
        <v>0</v>
      </c>
      <c r="BI21" s="379">
        <f t="shared" si="18"/>
        <v>0</v>
      </c>
      <c r="BL21" s="379">
        <f t="shared" si="19"/>
        <v>0</v>
      </c>
      <c r="BO21" s="379">
        <f t="shared" si="20"/>
        <v>0</v>
      </c>
      <c r="BR21" s="379">
        <f t="shared" si="21"/>
        <v>0</v>
      </c>
      <c r="BU21" s="379">
        <f t="shared" si="22"/>
        <v>0</v>
      </c>
      <c r="BX21" s="379">
        <f t="shared" si="23"/>
        <v>0</v>
      </c>
      <c r="CA21" s="379">
        <f t="shared" si="24"/>
        <v>0</v>
      </c>
      <c r="CD21" s="379">
        <f t="shared" si="25"/>
        <v>0</v>
      </c>
      <c r="CG21" s="379">
        <f t="shared" si="26"/>
        <v>0</v>
      </c>
      <c r="CJ21" s="379">
        <f t="shared" si="27"/>
        <v>0</v>
      </c>
      <c r="CM21" s="379">
        <f t="shared" si="28"/>
        <v>0</v>
      </c>
      <c r="CP21" s="379">
        <f t="shared" si="29"/>
        <v>0</v>
      </c>
      <c r="CS21" s="379">
        <f t="shared" si="30"/>
        <v>0</v>
      </c>
      <c r="CV21" s="379">
        <f t="shared" si="31"/>
        <v>0</v>
      </c>
      <c r="CY21" s="379">
        <f t="shared" si="32"/>
        <v>0</v>
      </c>
      <c r="DB21" s="379">
        <f t="shared" si="33"/>
        <v>0</v>
      </c>
      <c r="DE21" s="379">
        <f t="shared" si="34"/>
        <v>0</v>
      </c>
      <c r="DH21" s="379">
        <f t="shared" si="35"/>
        <v>0</v>
      </c>
      <c r="DK21" s="379">
        <f t="shared" si="36"/>
        <v>0</v>
      </c>
      <c r="DN21" s="379">
        <f t="shared" si="37"/>
        <v>0</v>
      </c>
      <c r="DQ21" s="379">
        <f t="shared" si="38"/>
        <v>0</v>
      </c>
      <c r="DT21" s="379">
        <f t="shared" si="39"/>
        <v>0</v>
      </c>
      <c r="DW21" s="379">
        <f t="shared" si="40"/>
        <v>0</v>
      </c>
      <c r="DY21" s="384"/>
      <c r="DZ21" s="366"/>
      <c r="EA21" s="379"/>
      <c r="EB21" s="190">
        <f t="shared" si="41"/>
        <v>545964586.98000002</v>
      </c>
      <c r="EC21" s="190">
        <f t="shared" si="42"/>
        <v>34839586.980000019</v>
      </c>
      <c r="ED21" s="379">
        <f t="shared" si="43"/>
        <v>35257.017561677778</v>
      </c>
      <c r="EE21" s="380">
        <f t="shared" si="44"/>
        <v>2.3247893040852039E-2</v>
      </c>
      <c r="EG21" s="190">
        <f t="shared" si="45"/>
        <v>0</v>
      </c>
      <c r="EH21" s="379">
        <f t="shared" si="46"/>
        <v>0</v>
      </c>
      <c r="EI21" s="380">
        <f t="shared" si="47"/>
        <v>0</v>
      </c>
      <c r="EJ21" s="380"/>
      <c r="EK21" s="190">
        <f t="shared" si="48"/>
        <v>511125000</v>
      </c>
      <c r="EL21" s="190">
        <f t="shared" si="49"/>
        <v>0</v>
      </c>
      <c r="EM21" s="190">
        <f t="shared" si="50"/>
        <v>33340.840277777781</v>
      </c>
      <c r="EN21" s="380">
        <f t="shared" si="51"/>
        <v>2.3482910247004163E-2</v>
      </c>
      <c r="EO21" s="391"/>
      <c r="EP21" s="379"/>
    </row>
    <row r="22" spans="1:146">
      <c r="A22" s="378">
        <f t="shared" si="52"/>
        <v>43323</v>
      </c>
      <c r="D22" s="379">
        <f t="shared" si="1"/>
        <v>0</v>
      </c>
      <c r="E22" s="379">
        <v>34839586.979999997</v>
      </c>
      <c r="F22" s="380">
        <v>1.9799999999999998E-2</v>
      </c>
      <c r="G22" s="379">
        <f t="shared" si="2"/>
        <v>1916.1772838999996</v>
      </c>
      <c r="J22" s="379">
        <f t="shared" si="3"/>
        <v>0</v>
      </c>
      <c r="M22" s="379">
        <f t="shared" si="4"/>
        <v>0</v>
      </c>
      <c r="P22" s="379">
        <f t="shared" si="5"/>
        <v>0</v>
      </c>
      <c r="S22" s="379">
        <f t="shared" si="6"/>
        <v>0</v>
      </c>
      <c r="V22" s="379">
        <f t="shared" si="7"/>
        <v>0</v>
      </c>
      <c r="Y22" s="379">
        <f t="shared" si="8"/>
        <v>0</v>
      </c>
      <c r="AB22" s="379">
        <f t="shared" si="9"/>
        <v>0</v>
      </c>
      <c r="AE22" s="379">
        <v>0</v>
      </c>
      <c r="AH22" s="379">
        <v>0</v>
      </c>
      <c r="AI22" s="381">
        <f>40000000+36225000</f>
        <v>76225000</v>
      </c>
      <c r="AJ22" s="382">
        <v>2.2499999999999999E-2</v>
      </c>
      <c r="AK22" s="379">
        <f t="shared" si="10"/>
        <v>4764.0625</v>
      </c>
      <c r="AL22" s="381">
        <f t="shared" si="55"/>
        <v>60000000</v>
      </c>
      <c r="AM22" s="382">
        <v>2.4E-2</v>
      </c>
      <c r="AN22" s="379">
        <f t="shared" si="11"/>
        <v>4000</v>
      </c>
      <c r="AO22" s="381">
        <f t="shared" si="0"/>
        <v>149500000</v>
      </c>
      <c r="AP22" s="382">
        <v>2.3599999999999999E-2</v>
      </c>
      <c r="AQ22" s="379">
        <f t="shared" si="12"/>
        <v>9800.5555555555547</v>
      </c>
      <c r="AR22" s="381">
        <f t="shared" si="53"/>
        <v>125500000</v>
      </c>
      <c r="AS22" s="382">
        <v>2.3599999999999999E-2</v>
      </c>
      <c r="AT22" s="379">
        <f t="shared" si="13"/>
        <v>8227.2222222222226</v>
      </c>
      <c r="AU22" s="381">
        <f t="shared" si="54"/>
        <v>99900000</v>
      </c>
      <c r="AV22" s="382">
        <v>2.3599999999999999E-2</v>
      </c>
      <c r="AW22" s="379">
        <f t="shared" si="14"/>
        <v>6549</v>
      </c>
      <c r="AX22" s="381"/>
      <c r="AY22" s="382"/>
      <c r="AZ22" s="379">
        <f t="shared" si="15"/>
        <v>0</v>
      </c>
      <c r="BC22" s="379">
        <f t="shared" si="16"/>
        <v>0</v>
      </c>
      <c r="BF22" s="379">
        <f t="shared" si="17"/>
        <v>0</v>
      </c>
      <c r="BI22" s="379">
        <f t="shared" si="18"/>
        <v>0</v>
      </c>
      <c r="BL22" s="379">
        <f t="shared" si="19"/>
        <v>0</v>
      </c>
      <c r="BO22" s="379">
        <f t="shared" si="20"/>
        <v>0</v>
      </c>
      <c r="BR22" s="379">
        <f t="shared" si="21"/>
        <v>0</v>
      </c>
      <c r="BU22" s="379">
        <f t="shared" si="22"/>
        <v>0</v>
      </c>
      <c r="BX22" s="379">
        <f t="shared" si="23"/>
        <v>0</v>
      </c>
      <c r="CA22" s="379">
        <f t="shared" si="24"/>
        <v>0</v>
      </c>
      <c r="CD22" s="379">
        <f t="shared" si="25"/>
        <v>0</v>
      </c>
      <c r="CG22" s="379">
        <f t="shared" si="26"/>
        <v>0</v>
      </c>
      <c r="CJ22" s="379">
        <f t="shared" si="27"/>
        <v>0</v>
      </c>
      <c r="CM22" s="379">
        <f t="shared" si="28"/>
        <v>0</v>
      </c>
      <c r="CP22" s="379">
        <f t="shared" si="29"/>
        <v>0</v>
      </c>
      <c r="CS22" s="379">
        <f t="shared" si="30"/>
        <v>0</v>
      </c>
      <c r="CV22" s="379">
        <f t="shared" si="31"/>
        <v>0</v>
      </c>
      <c r="CY22" s="379">
        <f t="shared" si="32"/>
        <v>0</v>
      </c>
      <c r="DB22" s="379">
        <f t="shared" si="33"/>
        <v>0</v>
      </c>
      <c r="DE22" s="379">
        <f t="shared" si="34"/>
        <v>0</v>
      </c>
      <c r="DH22" s="379">
        <f t="shared" si="35"/>
        <v>0</v>
      </c>
      <c r="DK22" s="379">
        <f t="shared" si="36"/>
        <v>0</v>
      </c>
      <c r="DN22" s="379">
        <f t="shared" si="37"/>
        <v>0</v>
      </c>
      <c r="DQ22" s="379">
        <f t="shared" si="38"/>
        <v>0</v>
      </c>
      <c r="DT22" s="379">
        <f t="shared" si="39"/>
        <v>0</v>
      </c>
      <c r="DW22" s="379">
        <f t="shared" si="40"/>
        <v>0</v>
      </c>
      <c r="DY22" s="384"/>
      <c r="DZ22" s="366"/>
      <c r="EA22" s="379"/>
      <c r="EB22" s="190">
        <f t="shared" si="41"/>
        <v>545964586.98000002</v>
      </c>
      <c r="EC22" s="190">
        <f t="shared" si="42"/>
        <v>34839586.980000019</v>
      </c>
      <c r="ED22" s="379">
        <f t="shared" si="43"/>
        <v>35257.017561677778</v>
      </c>
      <c r="EE22" s="380">
        <f t="shared" si="44"/>
        <v>2.3247893040852039E-2</v>
      </c>
      <c r="EG22" s="190">
        <f t="shared" si="45"/>
        <v>0</v>
      </c>
      <c r="EH22" s="379">
        <f t="shared" si="46"/>
        <v>0</v>
      </c>
      <c r="EI22" s="380">
        <f t="shared" si="47"/>
        <v>0</v>
      </c>
      <c r="EJ22" s="380"/>
      <c r="EK22" s="190">
        <f t="shared" si="48"/>
        <v>511125000</v>
      </c>
      <c r="EL22" s="190">
        <f t="shared" si="49"/>
        <v>0</v>
      </c>
      <c r="EM22" s="190">
        <f t="shared" si="50"/>
        <v>33340.840277777781</v>
      </c>
      <c r="EN22" s="380">
        <f t="shared" si="51"/>
        <v>2.3482910247004163E-2</v>
      </c>
      <c r="EO22" s="391"/>
      <c r="EP22" s="379"/>
    </row>
    <row r="23" spans="1:146">
      <c r="A23" s="378">
        <f t="shared" si="52"/>
        <v>43324</v>
      </c>
      <c r="D23" s="379">
        <f t="shared" si="1"/>
        <v>0</v>
      </c>
      <c r="E23" s="379">
        <v>34839586.979999997</v>
      </c>
      <c r="F23" s="380">
        <v>1.9799999999999998E-2</v>
      </c>
      <c r="G23" s="379">
        <f t="shared" si="2"/>
        <v>1916.1772838999996</v>
      </c>
      <c r="J23" s="379">
        <f t="shared" si="3"/>
        <v>0</v>
      </c>
      <c r="M23" s="379">
        <f t="shared" si="4"/>
        <v>0</v>
      </c>
      <c r="P23" s="379">
        <f t="shared" si="5"/>
        <v>0</v>
      </c>
      <c r="S23" s="379">
        <f t="shared" si="6"/>
        <v>0</v>
      </c>
      <c r="V23" s="379">
        <f t="shared" si="7"/>
        <v>0</v>
      </c>
      <c r="Y23" s="379">
        <f t="shared" si="8"/>
        <v>0</v>
      </c>
      <c r="AB23" s="379">
        <f t="shared" si="9"/>
        <v>0</v>
      </c>
      <c r="AE23" s="379">
        <v>0</v>
      </c>
      <c r="AH23" s="379">
        <v>0</v>
      </c>
      <c r="AI23" s="381">
        <f>40000000+36225000</f>
        <v>76225000</v>
      </c>
      <c r="AJ23" s="382">
        <v>2.2499999999999999E-2</v>
      </c>
      <c r="AK23" s="379">
        <f t="shared" si="10"/>
        <v>4764.0625</v>
      </c>
      <c r="AL23" s="381">
        <f t="shared" si="55"/>
        <v>60000000</v>
      </c>
      <c r="AM23" s="382">
        <v>2.4E-2</v>
      </c>
      <c r="AN23" s="379">
        <f t="shared" si="11"/>
        <v>4000</v>
      </c>
      <c r="AO23" s="381">
        <f t="shared" si="0"/>
        <v>149500000</v>
      </c>
      <c r="AP23" s="382">
        <v>2.3599999999999999E-2</v>
      </c>
      <c r="AQ23" s="379">
        <f t="shared" si="12"/>
        <v>9800.5555555555547</v>
      </c>
      <c r="AR23" s="381">
        <f t="shared" si="53"/>
        <v>125500000</v>
      </c>
      <c r="AS23" s="382">
        <v>2.3599999999999999E-2</v>
      </c>
      <c r="AT23" s="379">
        <f t="shared" si="13"/>
        <v>8227.2222222222226</v>
      </c>
      <c r="AU23" s="381">
        <f t="shared" si="54"/>
        <v>99900000</v>
      </c>
      <c r="AV23" s="382">
        <v>2.3599999999999999E-2</v>
      </c>
      <c r="AW23" s="379">
        <f t="shared" si="14"/>
        <v>6549</v>
      </c>
      <c r="AX23" s="381"/>
      <c r="AY23" s="382"/>
      <c r="AZ23" s="379">
        <f t="shared" si="15"/>
        <v>0</v>
      </c>
      <c r="BC23" s="379">
        <f t="shared" si="16"/>
        <v>0</v>
      </c>
      <c r="BF23" s="379">
        <f t="shared" si="17"/>
        <v>0</v>
      </c>
      <c r="BI23" s="379">
        <f t="shared" si="18"/>
        <v>0</v>
      </c>
      <c r="BL23" s="379">
        <f t="shared" si="19"/>
        <v>0</v>
      </c>
      <c r="BO23" s="379">
        <f t="shared" si="20"/>
        <v>0</v>
      </c>
      <c r="BR23" s="379">
        <f t="shared" si="21"/>
        <v>0</v>
      </c>
      <c r="BU23" s="379">
        <f t="shared" si="22"/>
        <v>0</v>
      </c>
      <c r="BX23" s="379">
        <f t="shared" si="23"/>
        <v>0</v>
      </c>
      <c r="CA23" s="379">
        <f t="shared" si="24"/>
        <v>0</v>
      </c>
      <c r="CD23" s="379">
        <f t="shared" si="25"/>
        <v>0</v>
      </c>
      <c r="CG23" s="379">
        <f t="shared" si="26"/>
        <v>0</v>
      </c>
      <c r="CJ23" s="379">
        <f t="shared" si="27"/>
        <v>0</v>
      </c>
      <c r="CM23" s="379">
        <f t="shared" si="28"/>
        <v>0</v>
      </c>
      <c r="CP23" s="379">
        <f t="shared" si="29"/>
        <v>0</v>
      </c>
      <c r="CS23" s="379">
        <f t="shared" si="30"/>
        <v>0</v>
      </c>
      <c r="CV23" s="379">
        <f t="shared" si="31"/>
        <v>0</v>
      </c>
      <c r="CY23" s="379">
        <f t="shared" si="32"/>
        <v>0</v>
      </c>
      <c r="DB23" s="379">
        <f t="shared" si="33"/>
        <v>0</v>
      </c>
      <c r="DE23" s="379">
        <f t="shared" si="34"/>
        <v>0</v>
      </c>
      <c r="DH23" s="379">
        <f t="shared" si="35"/>
        <v>0</v>
      </c>
      <c r="DK23" s="379">
        <f t="shared" si="36"/>
        <v>0</v>
      </c>
      <c r="DN23" s="379">
        <f t="shared" si="37"/>
        <v>0</v>
      </c>
      <c r="DQ23" s="379">
        <f t="shared" si="38"/>
        <v>0</v>
      </c>
      <c r="DT23" s="379">
        <f t="shared" si="39"/>
        <v>0</v>
      </c>
      <c r="DW23" s="379">
        <f t="shared" si="40"/>
        <v>0</v>
      </c>
      <c r="DY23" s="384"/>
      <c r="DZ23" s="366"/>
      <c r="EA23" s="379"/>
      <c r="EB23" s="190">
        <f t="shared" si="41"/>
        <v>545964586.98000002</v>
      </c>
      <c r="EC23" s="190">
        <f t="shared" si="42"/>
        <v>34839586.980000019</v>
      </c>
      <c r="ED23" s="379">
        <f t="shared" si="43"/>
        <v>35257.017561677778</v>
      </c>
      <c r="EE23" s="380">
        <f t="shared" si="44"/>
        <v>2.3247893040852039E-2</v>
      </c>
      <c r="EG23" s="190">
        <f t="shared" si="45"/>
        <v>0</v>
      </c>
      <c r="EH23" s="379">
        <f t="shared" si="46"/>
        <v>0</v>
      </c>
      <c r="EI23" s="380">
        <f t="shared" si="47"/>
        <v>0</v>
      </c>
      <c r="EJ23" s="380"/>
      <c r="EK23" s="190">
        <f t="shared" si="48"/>
        <v>511125000</v>
      </c>
      <c r="EL23" s="190">
        <f t="shared" si="49"/>
        <v>0</v>
      </c>
      <c r="EM23" s="190">
        <f t="shared" si="50"/>
        <v>33340.840277777781</v>
      </c>
      <c r="EN23" s="380">
        <f t="shared" si="51"/>
        <v>2.3482910247004163E-2</v>
      </c>
      <c r="EO23" s="391"/>
      <c r="EP23" s="379"/>
    </row>
    <row r="24" spans="1:146">
      <c r="A24" s="378">
        <f t="shared" si="52"/>
        <v>43325</v>
      </c>
      <c r="D24" s="379">
        <f t="shared" si="1"/>
        <v>0</v>
      </c>
      <c r="E24" s="379">
        <v>35583884.140000001</v>
      </c>
      <c r="F24" s="380">
        <v>1.9400000000000001E-2</v>
      </c>
      <c r="G24" s="379">
        <f t="shared" si="2"/>
        <v>1917.5759786555557</v>
      </c>
      <c r="J24" s="379">
        <f t="shared" si="3"/>
        <v>0</v>
      </c>
      <c r="M24" s="379">
        <f t="shared" si="4"/>
        <v>0</v>
      </c>
      <c r="P24" s="379">
        <f t="shared" si="5"/>
        <v>0</v>
      </c>
      <c r="S24" s="379">
        <f t="shared" si="6"/>
        <v>0</v>
      </c>
      <c r="V24" s="379">
        <f t="shared" si="7"/>
        <v>0</v>
      </c>
      <c r="Y24" s="379">
        <f t="shared" si="8"/>
        <v>0</v>
      </c>
      <c r="AB24" s="379">
        <f t="shared" si="9"/>
        <v>0</v>
      </c>
      <c r="AE24" s="379">
        <v>0</v>
      </c>
      <c r="AH24" s="379">
        <v>0</v>
      </c>
      <c r="AI24" s="381">
        <f>40000000+35500000</f>
        <v>75500000</v>
      </c>
      <c r="AJ24" s="382">
        <v>2.24E-2</v>
      </c>
      <c r="AK24" s="379">
        <f t="shared" si="10"/>
        <v>4697.7777777777774</v>
      </c>
      <c r="AL24" s="381">
        <f t="shared" si="55"/>
        <v>60000000</v>
      </c>
      <c r="AM24" s="382">
        <v>2.4E-2</v>
      </c>
      <c r="AN24" s="379">
        <f t="shared" si="11"/>
        <v>4000</v>
      </c>
      <c r="AO24" s="381">
        <f t="shared" si="0"/>
        <v>149500000</v>
      </c>
      <c r="AP24" s="382">
        <v>2.3599999999999999E-2</v>
      </c>
      <c r="AQ24" s="379">
        <f t="shared" si="12"/>
        <v>9800.5555555555547</v>
      </c>
      <c r="AR24" s="381">
        <f t="shared" si="53"/>
        <v>125500000</v>
      </c>
      <c r="AS24" s="382">
        <v>2.3599999999999999E-2</v>
      </c>
      <c r="AT24" s="379">
        <f t="shared" si="13"/>
        <v>8227.2222222222226</v>
      </c>
      <c r="AU24" s="381">
        <f t="shared" si="54"/>
        <v>99900000</v>
      </c>
      <c r="AV24" s="382">
        <v>2.3599999999999999E-2</v>
      </c>
      <c r="AW24" s="379">
        <f t="shared" si="14"/>
        <v>6549</v>
      </c>
      <c r="AX24" s="381"/>
      <c r="AY24" s="382"/>
      <c r="AZ24" s="379">
        <f t="shared" si="15"/>
        <v>0</v>
      </c>
      <c r="BC24" s="379">
        <f t="shared" si="16"/>
        <v>0</v>
      </c>
      <c r="BF24" s="379">
        <f t="shared" si="17"/>
        <v>0</v>
      </c>
      <c r="BI24" s="379">
        <f t="shared" si="18"/>
        <v>0</v>
      </c>
      <c r="BL24" s="379">
        <f t="shared" si="19"/>
        <v>0</v>
      </c>
      <c r="BO24" s="379">
        <f t="shared" si="20"/>
        <v>0</v>
      </c>
      <c r="BR24" s="379">
        <f t="shared" si="21"/>
        <v>0</v>
      </c>
      <c r="BU24" s="379">
        <f t="shared" si="22"/>
        <v>0</v>
      </c>
      <c r="BX24" s="379">
        <f t="shared" si="23"/>
        <v>0</v>
      </c>
      <c r="CA24" s="379">
        <f t="shared" si="24"/>
        <v>0</v>
      </c>
      <c r="CD24" s="379">
        <f t="shared" si="25"/>
        <v>0</v>
      </c>
      <c r="CG24" s="379">
        <f t="shared" si="26"/>
        <v>0</v>
      </c>
      <c r="CJ24" s="379">
        <f t="shared" si="27"/>
        <v>0</v>
      </c>
      <c r="CM24" s="379">
        <f t="shared" si="28"/>
        <v>0</v>
      </c>
      <c r="CP24" s="379">
        <f t="shared" si="29"/>
        <v>0</v>
      </c>
      <c r="CS24" s="379">
        <f t="shared" si="30"/>
        <v>0</v>
      </c>
      <c r="CV24" s="379">
        <f t="shared" si="31"/>
        <v>0</v>
      </c>
      <c r="CY24" s="379">
        <f t="shared" si="32"/>
        <v>0</v>
      </c>
      <c r="DB24" s="379">
        <f t="shared" si="33"/>
        <v>0</v>
      </c>
      <c r="DE24" s="379">
        <f t="shared" si="34"/>
        <v>0</v>
      </c>
      <c r="DH24" s="379">
        <f t="shared" si="35"/>
        <v>0</v>
      </c>
      <c r="DK24" s="379">
        <f t="shared" si="36"/>
        <v>0</v>
      </c>
      <c r="DN24" s="379">
        <f t="shared" si="37"/>
        <v>0</v>
      </c>
      <c r="DQ24" s="379">
        <f t="shared" si="38"/>
        <v>0</v>
      </c>
      <c r="DT24" s="379">
        <f t="shared" si="39"/>
        <v>0</v>
      </c>
      <c r="DW24" s="379">
        <f t="shared" si="40"/>
        <v>0</v>
      </c>
      <c r="DY24" s="384"/>
      <c r="DZ24" s="366"/>
      <c r="EA24" s="379"/>
      <c r="EB24" s="190">
        <f t="shared" si="41"/>
        <v>545983884.13999999</v>
      </c>
      <c r="EC24" s="190">
        <f t="shared" si="42"/>
        <v>35583884.139999986</v>
      </c>
      <c r="ED24" s="379">
        <f t="shared" si="43"/>
        <v>35192.131534211105</v>
      </c>
      <c r="EE24" s="380">
        <f t="shared" si="44"/>
        <v>2.3204288112407725E-2</v>
      </c>
      <c r="EG24" s="190">
        <f t="shared" si="45"/>
        <v>0</v>
      </c>
      <c r="EH24" s="379">
        <f t="shared" si="46"/>
        <v>0</v>
      </c>
      <c r="EI24" s="380">
        <f t="shared" si="47"/>
        <v>0</v>
      </c>
      <c r="EJ24" s="380"/>
      <c r="EK24" s="190">
        <f t="shared" si="48"/>
        <v>510400000</v>
      </c>
      <c r="EL24" s="190">
        <f t="shared" si="49"/>
        <v>0</v>
      </c>
      <c r="EM24" s="190">
        <f t="shared" si="50"/>
        <v>33274.555555555555</v>
      </c>
      <c r="EN24" s="380">
        <f t="shared" si="51"/>
        <v>2.3469514106583069E-2</v>
      </c>
      <c r="EO24" s="391"/>
      <c r="EP24" s="379"/>
    </row>
    <row r="25" spans="1:146">
      <c r="A25" s="378">
        <f t="shared" si="52"/>
        <v>43326</v>
      </c>
      <c r="D25" s="379">
        <f t="shared" si="1"/>
        <v>0</v>
      </c>
      <c r="E25" s="379">
        <v>38728665.409999996</v>
      </c>
      <c r="F25" s="380">
        <v>1.95E-2</v>
      </c>
      <c r="G25" s="379">
        <f t="shared" si="2"/>
        <v>2097.8027097083332</v>
      </c>
      <c r="J25" s="379">
        <f t="shared" si="3"/>
        <v>0</v>
      </c>
      <c r="M25" s="379">
        <f t="shared" si="4"/>
        <v>0</v>
      </c>
      <c r="P25" s="379">
        <f t="shared" si="5"/>
        <v>0</v>
      </c>
      <c r="S25" s="379">
        <f t="shared" si="6"/>
        <v>0</v>
      </c>
      <c r="V25" s="379">
        <f t="shared" si="7"/>
        <v>0</v>
      </c>
      <c r="Y25" s="379">
        <f t="shared" si="8"/>
        <v>0</v>
      </c>
      <c r="AB25" s="379">
        <f t="shared" si="9"/>
        <v>0</v>
      </c>
      <c r="AE25" s="379">
        <v>0</v>
      </c>
      <c r="AH25" s="379">
        <v>0</v>
      </c>
      <c r="AI25" s="381">
        <f>40000000+32400000</f>
        <v>72400000</v>
      </c>
      <c r="AJ25" s="382">
        <v>2.24E-2</v>
      </c>
      <c r="AK25" s="379">
        <f t="shared" si="10"/>
        <v>4504.8888888888887</v>
      </c>
      <c r="AL25" s="381">
        <f t="shared" si="55"/>
        <v>60000000</v>
      </c>
      <c r="AM25" s="382">
        <v>2.4E-2</v>
      </c>
      <c r="AN25" s="379">
        <f t="shared" si="11"/>
        <v>4000</v>
      </c>
      <c r="AO25" s="381">
        <f t="shared" si="0"/>
        <v>149500000</v>
      </c>
      <c r="AP25" s="382">
        <v>2.3599999999999999E-2</v>
      </c>
      <c r="AQ25" s="379">
        <f t="shared" si="12"/>
        <v>9800.5555555555547</v>
      </c>
      <c r="AR25" s="381">
        <f t="shared" si="53"/>
        <v>125500000</v>
      </c>
      <c r="AS25" s="382">
        <v>2.3599999999999999E-2</v>
      </c>
      <c r="AT25" s="379">
        <f t="shared" si="13"/>
        <v>8227.2222222222226</v>
      </c>
      <c r="AU25" s="381">
        <f t="shared" si="54"/>
        <v>99900000</v>
      </c>
      <c r="AV25" s="382">
        <v>2.3599999999999999E-2</v>
      </c>
      <c r="AW25" s="379">
        <f t="shared" si="14"/>
        <v>6549</v>
      </c>
      <c r="AX25" s="381"/>
      <c r="AY25" s="382"/>
      <c r="AZ25" s="379">
        <f t="shared" si="15"/>
        <v>0</v>
      </c>
      <c r="BC25" s="379">
        <f t="shared" si="16"/>
        <v>0</v>
      </c>
      <c r="BF25" s="379">
        <f t="shared" si="17"/>
        <v>0</v>
      </c>
      <c r="BI25" s="379">
        <f t="shared" si="18"/>
        <v>0</v>
      </c>
      <c r="BL25" s="379">
        <f t="shared" si="19"/>
        <v>0</v>
      </c>
      <c r="BO25" s="379">
        <f t="shared" si="20"/>
        <v>0</v>
      </c>
      <c r="BR25" s="379">
        <f t="shared" si="21"/>
        <v>0</v>
      </c>
      <c r="BU25" s="379">
        <f t="shared" si="22"/>
        <v>0</v>
      </c>
      <c r="BX25" s="379">
        <f t="shared" si="23"/>
        <v>0</v>
      </c>
      <c r="CA25" s="379">
        <f t="shared" si="24"/>
        <v>0</v>
      </c>
      <c r="CD25" s="379">
        <f t="shared" si="25"/>
        <v>0</v>
      </c>
      <c r="CG25" s="379">
        <f t="shared" si="26"/>
        <v>0</v>
      </c>
      <c r="CJ25" s="379">
        <f t="shared" si="27"/>
        <v>0</v>
      </c>
      <c r="CM25" s="379">
        <f t="shared" si="28"/>
        <v>0</v>
      </c>
      <c r="CP25" s="379">
        <f t="shared" si="29"/>
        <v>0</v>
      </c>
      <c r="CS25" s="379">
        <f t="shared" si="30"/>
        <v>0</v>
      </c>
      <c r="CV25" s="379">
        <f t="shared" si="31"/>
        <v>0</v>
      </c>
      <c r="CY25" s="379">
        <f t="shared" si="32"/>
        <v>0</v>
      </c>
      <c r="DB25" s="379">
        <f t="shared" si="33"/>
        <v>0</v>
      </c>
      <c r="DE25" s="379">
        <f t="shared" si="34"/>
        <v>0</v>
      </c>
      <c r="DH25" s="379">
        <f t="shared" si="35"/>
        <v>0</v>
      </c>
      <c r="DK25" s="379">
        <f t="shared" si="36"/>
        <v>0</v>
      </c>
      <c r="DN25" s="379">
        <f t="shared" si="37"/>
        <v>0</v>
      </c>
      <c r="DQ25" s="379">
        <f t="shared" si="38"/>
        <v>0</v>
      </c>
      <c r="DT25" s="379">
        <f t="shared" si="39"/>
        <v>0</v>
      </c>
      <c r="DW25" s="379">
        <f t="shared" si="40"/>
        <v>0</v>
      </c>
      <c r="DY25" s="384"/>
      <c r="DZ25" s="366"/>
      <c r="EA25" s="379"/>
      <c r="EB25" s="190">
        <f t="shared" si="41"/>
        <v>546028665.40999997</v>
      </c>
      <c r="EC25" s="190">
        <f t="shared" si="42"/>
        <v>38728665.409999967</v>
      </c>
      <c r="ED25" s="379">
        <f t="shared" si="43"/>
        <v>35179.469376374997</v>
      </c>
      <c r="EE25" s="380">
        <f t="shared" si="44"/>
        <v>2.3194036829523309E-2</v>
      </c>
      <c r="EG25" s="190">
        <f t="shared" si="45"/>
        <v>0</v>
      </c>
      <c r="EH25" s="379">
        <f t="shared" si="46"/>
        <v>0</v>
      </c>
      <c r="EI25" s="380">
        <f t="shared" si="47"/>
        <v>0</v>
      </c>
      <c r="EJ25" s="380"/>
      <c r="EK25" s="190">
        <f t="shared" si="48"/>
        <v>507300000</v>
      </c>
      <c r="EL25" s="190">
        <f t="shared" si="49"/>
        <v>0</v>
      </c>
      <c r="EM25" s="190">
        <f t="shared" si="50"/>
        <v>33081.666666666664</v>
      </c>
      <c r="EN25" s="380">
        <f t="shared" si="51"/>
        <v>2.3476049674748665E-2</v>
      </c>
      <c r="EO25" s="391"/>
      <c r="EP25" s="379"/>
    </row>
    <row r="26" spans="1:146">
      <c r="A26" s="378">
        <f t="shared" si="52"/>
        <v>43327</v>
      </c>
      <c r="D26" s="379">
        <f t="shared" si="1"/>
        <v>0</v>
      </c>
      <c r="E26" s="379">
        <v>25503697.25</v>
      </c>
      <c r="F26" s="380">
        <v>1.95E-2</v>
      </c>
      <c r="G26" s="379">
        <f t="shared" si="2"/>
        <v>1381.4502677083333</v>
      </c>
      <c r="J26" s="379">
        <f t="shared" si="3"/>
        <v>0</v>
      </c>
      <c r="M26" s="379">
        <f t="shared" si="4"/>
        <v>0</v>
      </c>
      <c r="P26" s="379">
        <f t="shared" si="5"/>
        <v>0</v>
      </c>
      <c r="S26" s="379">
        <f t="shared" si="6"/>
        <v>0</v>
      </c>
      <c r="V26" s="379">
        <f t="shared" si="7"/>
        <v>0</v>
      </c>
      <c r="Y26" s="379">
        <f t="shared" si="8"/>
        <v>0</v>
      </c>
      <c r="AB26" s="379">
        <f t="shared" si="9"/>
        <v>0</v>
      </c>
      <c r="AE26" s="379">
        <v>0</v>
      </c>
      <c r="AH26" s="379">
        <v>0</v>
      </c>
      <c r="AI26" s="381">
        <f>50000000+42025000</f>
        <v>92025000</v>
      </c>
      <c r="AJ26" s="382">
        <v>2.24E-2</v>
      </c>
      <c r="AK26" s="379">
        <f t="shared" si="10"/>
        <v>5726</v>
      </c>
      <c r="AL26" s="381">
        <f t="shared" si="55"/>
        <v>60000000</v>
      </c>
      <c r="AM26" s="382">
        <v>2.4E-2</v>
      </c>
      <c r="AN26" s="379">
        <f t="shared" si="11"/>
        <v>4000</v>
      </c>
      <c r="AO26" s="381">
        <f t="shared" si="0"/>
        <v>149500000</v>
      </c>
      <c r="AP26" s="382">
        <v>2.3599999999999999E-2</v>
      </c>
      <c r="AQ26" s="379">
        <f t="shared" si="12"/>
        <v>9800.5555555555547</v>
      </c>
      <c r="AR26" s="381">
        <f t="shared" si="53"/>
        <v>125500000</v>
      </c>
      <c r="AS26" s="382">
        <v>2.3599999999999999E-2</v>
      </c>
      <c r="AT26" s="379">
        <f t="shared" si="13"/>
        <v>8227.2222222222226</v>
      </c>
      <c r="AU26" s="381">
        <f t="shared" si="54"/>
        <v>99900000</v>
      </c>
      <c r="AV26" s="382">
        <v>2.3599999999999999E-2</v>
      </c>
      <c r="AW26" s="379">
        <f t="shared" si="14"/>
        <v>6549</v>
      </c>
      <c r="AX26" s="381"/>
      <c r="AY26" s="382"/>
      <c r="AZ26" s="379">
        <f t="shared" si="15"/>
        <v>0</v>
      </c>
      <c r="BC26" s="379">
        <f t="shared" si="16"/>
        <v>0</v>
      </c>
      <c r="BF26" s="379">
        <f t="shared" si="17"/>
        <v>0</v>
      </c>
      <c r="BI26" s="379">
        <f t="shared" si="18"/>
        <v>0</v>
      </c>
      <c r="BL26" s="379">
        <f t="shared" si="19"/>
        <v>0</v>
      </c>
      <c r="BO26" s="379">
        <f t="shared" si="20"/>
        <v>0</v>
      </c>
      <c r="BR26" s="379">
        <f t="shared" si="21"/>
        <v>0</v>
      </c>
      <c r="BU26" s="379">
        <f t="shared" si="22"/>
        <v>0</v>
      </c>
      <c r="BX26" s="379">
        <f t="shared" si="23"/>
        <v>0</v>
      </c>
      <c r="CA26" s="379">
        <f t="shared" si="24"/>
        <v>0</v>
      </c>
      <c r="CD26" s="379">
        <f t="shared" si="25"/>
        <v>0</v>
      </c>
      <c r="CG26" s="379">
        <f t="shared" si="26"/>
        <v>0</v>
      </c>
      <c r="CJ26" s="379">
        <f t="shared" si="27"/>
        <v>0</v>
      </c>
      <c r="CM26" s="379">
        <f t="shared" si="28"/>
        <v>0</v>
      </c>
      <c r="CP26" s="379">
        <f t="shared" si="29"/>
        <v>0</v>
      </c>
      <c r="CS26" s="379">
        <f t="shared" si="30"/>
        <v>0</v>
      </c>
      <c r="CV26" s="379">
        <f t="shared" si="31"/>
        <v>0</v>
      </c>
      <c r="CY26" s="379">
        <f t="shared" si="32"/>
        <v>0</v>
      </c>
      <c r="DB26" s="379">
        <f t="shared" si="33"/>
        <v>0</v>
      </c>
      <c r="DE26" s="379">
        <f t="shared" si="34"/>
        <v>0</v>
      </c>
      <c r="DH26" s="379">
        <f t="shared" si="35"/>
        <v>0</v>
      </c>
      <c r="DK26" s="379">
        <f t="shared" si="36"/>
        <v>0</v>
      </c>
      <c r="DN26" s="379">
        <f t="shared" si="37"/>
        <v>0</v>
      </c>
      <c r="DQ26" s="379">
        <f t="shared" si="38"/>
        <v>0</v>
      </c>
      <c r="DT26" s="379">
        <f t="shared" si="39"/>
        <v>0</v>
      </c>
      <c r="DW26" s="379">
        <f t="shared" si="40"/>
        <v>0</v>
      </c>
      <c r="DY26" s="384"/>
      <c r="DZ26" s="366"/>
      <c r="EA26" s="379"/>
      <c r="EB26" s="190">
        <f t="shared" si="41"/>
        <v>552428697.25</v>
      </c>
      <c r="EC26" s="190">
        <f t="shared" si="42"/>
        <v>25503697.25</v>
      </c>
      <c r="ED26" s="379">
        <f t="shared" si="43"/>
        <v>35684.22804548611</v>
      </c>
      <c r="EE26" s="380">
        <f t="shared" si="44"/>
        <v>2.3254262785992515E-2</v>
      </c>
      <c r="EG26" s="190">
        <f t="shared" si="45"/>
        <v>0</v>
      </c>
      <c r="EH26" s="379">
        <f t="shared" si="46"/>
        <v>0</v>
      </c>
      <c r="EI26" s="380">
        <f t="shared" si="47"/>
        <v>0</v>
      </c>
      <c r="EJ26" s="380"/>
      <c r="EK26" s="190">
        <f t="shared" si="48"/>
        <v>526925000</v>
      </c>
      <c r="EL26" s="190">
        <f t="shared" si="49"/>
        <v>0</v>
      </c>
      <c r="EM26" s="190">
        <f t="shared" si="50"/>
        <v>34302.777777777781</v>
      </c>
      <c r="EN26" s="380">
        <f t="shared" si="51"/>
        <v>2.343597286141292E-2</v>
      </c>
      <c r="EO26" s="391"/>
      <c r="EP26" s="379"/>
    </row>
    <row r="27" spans="1:146">
      <c r="A27" s="378">
        <f t="shared" si="52"/>
        <v>43328</v>
      </c>
      <c r="D27" s="379">
        <f t="shared" si="1"/>
        <v>0</v>
      </c>
      <c r="E27" s="379">
        <v>26853735.780000001</v>
      </c>
      <c r="F27" s="380">
        <v>1.9599999999999999E-2</v>
      </c>
      <c r="G27" s="379">
        <f t="shared" si="2"/>
        <v>1462.0367258000001</v>
      </c>
      <c r="J27" s="379">
        <f t="shared" si="3"/>
        <v>0</v>
      </c>
      <c r="M27" s="379">
        <f t="shared" si="4"/>
        <v>0</v>
      </c>
      <c r="P27" s="379">
        <f t="shared" si="5"/>
        <v>0</v>
      </c>
      <c r="S27" s="379">
        <f t="shared" si="6"/>
        <v>0</v>
      </c>
      <c r="V27" s="379">
        <f t="shared" si="7"/>
        <v>0</v>
      </c>
      <c r="Y27" s="379">
        <f t="shared" si="8"/>
        <v>0</v>
      </c>
      <c r="AB27" s="379">
        <f t="shared" si="9"/>
        <v>0</v>
      </c>
      <c r="AE27" s="379">
        <v>0</v>
      </c>
      <c r="AH27" s="379">
        <v>0</v>
      </c>
      <c r="AI27" s="381">
        <f>50000000+40675000</f>
        <v>90675000</v>
      </c>
      <c r="AJ27" s="382">
        <v>2.24E-2</v>
      </c>
      <c r="AK27" s="379">
        <f t="shared" si="10"/>
        <v>5642</v>
      </c>
      <c r="AL27" s="381">
        <f t="shared" si="55"/>
        <v>60000000</v>
      </c>
      <c r="AM27" s="382">
        <v>2.4E-2</v>
      </c>
      <c r="AN27" s="379">
        <f t="shared" si="11"/>
        <v>4000</v>
      </c>
      <c r="AO27" s="381">
        <f t="shared" si="0"/>
        <v>149500000</v>
      </c>
      <c r="AP27" s="382">
        <v>2.3599999999999999E-2</v>
      </c>
      <c r="AQ27" s="379">
        <f t="shared" si="12"/>
        <v>9800.5555555555547</v>
      </c>
      <c r="AR27" s="381">
        <f t="shared" si="53"/>
        <v>125500000</v>
      </c>
      <c r="AS27" s="382">
        <v>2.3599999999999999E-2</v>
      </c>
      <c r="AT27" s="379">
        <f t="shared" si="13"/>
        <v>8227.2222222222226</v>
      </c>
      <c r="AU27" s="381">
        <f t="shared" si="54"/>
        <v>99900000</v>
      </c>
      <c r="AV27" s="382">
        <v>2.3599999999999999E-2</v>
      </c>
      <c r="AW27" s="379">
        <f t="shared" si="14"/>
        <v>6549</v>
      </c>
      <c r="AX27" s="381"/>
      <c r="AY27" s="382"/>
      <c r="AZ27" s="379">
        <f t="shared" si="15"/>
        <v>0</v>
      </c>
      <c r="BC27" s="379">
        <f t="shared" si="16"/>
        <v>0</v>
      </c>
      <c r="BF27" s="379">
        <f t="shared" si="17"/>
        <v>0</v>
      </c>
      <c r="BI27" s="379">
        <f t="shared" si="18"/>
        <v>0</v>
      </c>
      <c r="BL27" s="379">
        <f t="shared" si="19"/>
        <v>0</v>
      </c>
      <c r="BO27" s="379">
        <f t="shared" si="20"/>
        <v>0</v>
      </c>
      <c r="BR27" s="379">
        <f t="shared" si="21"/>
        <v>0</v>
      </c>
      <c r="BU27" s="379">
        <f t="shared" si="22"/>
        <v>0</v>
      </c>
      <c r="BX27" s="379">
        <f t="shared" si="23"/>
        <v>0</v>
      </c>
      <c r="CA27" s="379">
        <f t="shared" si="24"/>
        <v>0</v>
      </c>
      <c r="CD27" s="379">
        <f t="shared" si="25"/>
        <v>0</v>
      </c>
      <c r="CG27" s="379">
        <f t="shared" si="26"/>
        <v>0</v>
      </c>
      <c r="CJ27" s="379">
        <f t="shared" si="27"/>
        <v>0</v>
      </c>
      <c r="CM27" s="379">
        <f t="shared" si="28"/>
        <v>0</v>
      </c>
      <c r="CP27" s="379">
        <f t="shared" si="29"/>
        <v>0</v>
      </c>
      <c r="CS27" s="379">
        <f t="shared" si="30"/>
        <v>0</v>
      </c>
      <c r="CV27" s="379">
        <f t="shared" si="31"/>
        <v>0</v>
      </c>
      <c r="CY27" s="379">
        <f t="shared" si="32"/>
        <v>0</v>
      </c>
      <c r="DB27" s="379">
        <f t="shared" si="33"/>
        <v>0</v>
      </c>
      <c r="DE27" s="379">
        <f t="shared" si="34"/>
        <v>0</v>
      </c>
      <c r="DH27" s="379">
        <f t="shared" si="35"/>
        <v>0</v>
      </c>
      <c r="DK27" s="379">
        <f t="shared" si="36"/>
        <v>0</v>
      </c>
      <c r="DN27" s="379">
        <f t="shared" si="37"/>
        <v>0</v>
      </c>
      <c r="DQ27" s="379">
        <f t="shared" si="38"/>
        <v>0</v>
      </c>
      <c r="DT27" s="379">
        <f t="shared" si="39"/>
        <v>0</v>
      </c>
      <c r="DW27" s="379">
        <f t="shared" si="40"/>
        <v>0</v>
      </c>
      <c r="DY27" s="384"/>
      <c r="DZ27" s="366"/>
      <c r="EA27" s="379"/>
      <c r="EB27" s="190">
        <f t="shared" si="41"/>
        <v>552428735.77999997</v>
      </c>
      <c r="EC27" s="190">
        <f t="shared" si="42"/>
        <v>26853735.779999971</v>
      </c>
      <c r="ED27" s="379">
        <f t="shared" si="43"/>
        <v>35680.814503577778</v>
      </c>
      <c r="EE27" s="380">
        <f t="shared" si="44"/>
        <v>2.3252036668859038E-2</v>
      </c>
      <c r="EG27" s="190">
        <f t="shared" si="45"/>
        <v>0</v>
      </c>
      <c r="EH27" s="379">
        <f t="shared" si="46"/>
        <v>0</v>
      </c>
      <c r="EI27" s="380">
        <f t="shared" si="47"/>
        <v>0</v>
      </c>
      <c r="EJ27" s="380"/>
      <c r="EK27" s="190">
        <f t="shared" si="48"/>
        <v>525575000</v>
      </c>
      <c r="EL27" s="190">
        <f t="shared" si="49"/>
        <v>0</v>
      </c>
      <c r="EM27" s="190">
        <f t="shared" si="50"/>
        <v>34218.777777777781</v>
      </c>
      <c r="EN27" s="380">
        <f t="shared" si="51"/>
        <v>2.3438633877182136E-2</v>
      </c>
      <c r="EO27" s="391"/>
      <c r="EP27" s="379"/>
    </row>
    <row r="28" spans="1:146">
      <c r="A28" s="378">
        <f t="shared" si="52"/>
        <v>43329</v>
      </c>
      <c r="D28" s="379">
        <f t="shared" si="1"/>
        <v>0</v>
      </c>
      <c r="E28" s="379">
        <v>26006688.449999999</v>
      </c>
      <c r="F28" s="380">
        <v>1.9400000000000001E-2</v>
      </c>
      <c r="G28" s="379">
        <f t="shared" si="2"/>
        <v>1401.4715442499999</v>
      </c>
      <c r="J28" s="379">
        <f t="shared" si="3"/>
        <v>0</v>
      </c>
      <c r="M28" s="379">
        <f t="shared" si="4"/>
        <v>0</v>
      </c>
      <c r="P28" s="379">
        <f t="shared" si="5"/>
        <v>0</v>
      </c>
      <c r="S28" s="379">
        <f t="shared" si="6"/>
        <v>0</v>
      </c>
      <c r="V28" s="379">
        <f t="shared" si="7"/>
        <v>0</v>
      </c>
      <c r="Y28" s="379">
        <f t="shared" si="8"/>
        <v>0</v>
      </c>
      <c r="AB28" s="379">
        <f t="shared" si="9"/>
        <v>0</v>
      </c>
      <c r="AE28" s="379">
        <v>0</v>
      </c>
      <c r="AH28" s="379">
        <v>0</v>
      </c>
      <c r="AI28" s="381">
        <f>50000000+41575000</f>
        <v>91575000</v>
      </c>
      <c r="AJ28" s="382">
        <v>2.24E-2</v>
      </c>
      <c r="AK28" s="379">
        <f t="shared" si="10"/>
        <v>5698</v>
      </c>
      <c r="AL28" s="381">
        <f t="shared" si="55"/>
        <v>60000000</v>
      </c>
      <c r="AM28" s="382">
        <v>2.4E-2</v>
      </c>
      <c r="AN28" s="379">
        <f t="shared" si="11"/>
        <v>4000</v>
      </c>
      <c r="AO28" s="381">
        <f t="shared" si="0"/>
        <v>149500000</v>
      </c>
      <c r="AP28" s="382">
        <v>2.3599999999999999E-2</v>
      </c>
      <c r="AQ28" s="379">
        <f t="shared" si="12"/>
        <v>9800.5555555555547</v>
      </c>
      <c r="AR28" s="381">
        <f t="shared" si="53"/>
        <v>125500000</v>
      </c>
      <c r="AS28" s="382">
        <v>2.3599999999999999E-2</v>
      </c>
      <c r="AT28" s="379">
        <f t="shared" si="13"/>
        <v>8227.2222222222226</v>
      </c>
      <c r="AU28" s="381">
        <f t="shared" si="54"/>
        <v>99900000</v>
      </c>
      <c r="AV28" s="382">
        <v>2.3599999999999999E-2</v>
      </c>
      <c r="AW28" s="379">
        <f t="shared" si="14"/>
        <v>6549</v>
      </c>
      <c r="AX28" s="381"/>
      <c r="AY28" s="382"/>
      <c r="AZ28" s="379">
        <f t="shared" si="15"/>
        <v>0</v>
      </c>
      <c r="BC28" s="379">
        <f t="shared" si="16"/>
        <v>0</v>
      </c>
      <c r="BF28" s="379">
        <f t="shared" si="17"/>
        <v>0</v>
      </c>
      <c r="BI28" s="379">
        <f t="shared" si="18"/>
        <v>0</v>
      </c>
      <c r="BL28" s="379">
        <f t="shared" si="19"/>
        <v>0</v>
      </c>
      <c r="BO28" s="379">
        <f t="shared" si="20"/>
        <v>0</v>
      </c>
      <c r="BR28" s="379">
        <f t="shared" si="21"/>
        <v>0</v>
      </c>
      <c r="BU28" s="379">
        <f t="shared" si="22"/>
        <v>0</v>
      </c>
      <c r="BX28" s="379">
        <f t="shared" si="23"/>
        <v>0</v>
      </c>
      <c r="CA28" s="379">
        <f t="shared" si="24"/>
        <v>0</v>
      </c>
      <c r="CD28" s="379">
        <f t="shared" si="25"/>
        <v>0</v>
      </c>
      <c r="CG28" s="379">
        <f t="shared" si="26"/>
        <v>0</v>
      </c>
      <c r="CJ28" s="379">
        <f t="shared" si="27"/>
        <v>0</v>
      </c>
      <c r="CM28" s="379">
        <f t="shared" si="28"/>
        <v>0</v>
      </c>
      <c r="CP28" s="379">
        <f t="shared" si="29"/>
        <v>0</v>
      </c>
      <c r="CS28" s="379">
        <f t="shared" si="30"/>
        <v>0</v>
      </c>
      <c r="CV28" s="379">
        <f t="shared" si="31"/>
        <v>0</v>
      </c>
      <c r="CY28" s="379">
        <f t="shared" si="32"/>
        <v>0</v>
      </c>
      <c r="DB28" s="379">
        <f t="shared" si="33"/>
        <v>0</v>
      </c>
      <c r="DE28" s="379">
        <f t="shared" si="34"/>
        <v>0</v>
      </c>
      <c r="DH28" s="379">
        <f t="shared" si="35"/>
        <v>0</v>
      </c>
      <c r="DK28" s="379">
        <f t="shared" si="36"/>
        <v>0</v>
      </c>
      <c r="DN28" s="379">
        <f t="shared" si="37"/>
        <v>0</v>
      </c>
      <c r="DQ28" s="379">
        <f t="shared" si="38"/>
        <v>0</v>
      </c>
      <c r="DT28" s="379">
        <f t="shared" si="39"/>
        <v>0</v>
      </c>
      <c r="DW28" s="379">
        <f t="shared" si="40"/>
        <v>0</v>
      </c>
      <c r="DY28" s="384"/>
      <c r="DZ28" s="366"/>
      <c r="EA28" s="379"/>
      <c r="EB28" s="190">
        <f t="shared" si="41"/>
        <v>552481688.45000005</v>
      </c>
      <c r="EC28" s="190">
        <f t="shared" si="42"/>
        <v>26006688.450000048</v>
      </c>
      <c r="ED28" s="379">
        <f t="shared" si="43"/>
        <v>35676.249322027783</v>
      </c>
      <c r="EE28" s="380">
        <f t="shared" si="44"/>
        <v>2.3246833378247511E-2</v>
      </c>
      <c r="EG28" s="190">
        <f t="shared" si="45"/>
        <v>0</v>
      </c>
      <c r="EH28" s="379">
        <f t="shared" si="46"/>
        <v>0</v>
      </c>
      <c r="EI28" s="380">
        <f t="shared" si="47"/>
        <v>0</v>
      </c>
      <c r="EJ28" s="380"/>
      <c r="EK28" s="190">
        <f t="shared" si="48"/>
        <v>526475000</v>
      </c>
      <c r="EL28" s="190">
        <f t="shared" si="49"/>
        <v>0</v>
      </c>
      <c r="EM28" s="190">
        <f t="shared" si="50"/>
        <v>34274.777777777781</v>
      </c>
      <c r="EN28" s="380">
        <f t="shared" si="51"/>
        <v>2.3436858350349019E-2</v>
      </c>
      <c r="EO28" s="391"/>
      <c r="EP28" s="379"/>
    </row>
    <row r="29" spans="1:146">
      <c r="A29" s="378">
        <f t="shared" si="52"/>
        <v>43330</v>
      </c>
      <c r="D29" s="379">
        <f t="shared" si="1"/>
        <v>0</v>
      </c>
      <c r="E29" s="379">
        <v>26006688.449999999</v>
      </c>
      <c r="F29" s="380">
        <v>1.9400000000000001E-2</v>
      </c>
      <c r="G29" s="379">
        <f t="shared" si="2"/>
        <v>1401.4715442499999</v>
      </c>
      <c r="J29" s="379">
        <f t="shared" si="3"/>
        <v>0</v>
      </c>
      <c r="M29" s="379">
        <f t="shared" si="4"/>
        <v>0</v>
      </c>
      <c r="P29" s="379">
        <f t="shared" si="5"/>
        <v>0</v>
      </c>
      <c r="S29" s="379">
        <f t="shared" si="6"/>
        <v>0</v>
      </c>
      <c r="V29" s="379">
        <f t="shared" si="7"/>
        <v>0</v>
      </c>
      <c r="Y29" s="379">
        <f t="shared" si="8"/>
        <v>0</v>
      </c>
      <c r="AB29" s="379">
        <f t="shared" si="9"/>
        <v>0</v>
      </c>
      <c r="AE29" s="379">
        <v>0</v>
      </c>
      <c r="AH29" s="379">
        <v>0</v>
      </c>
      <c r="AI29" s="381">
        <f>50000000+41575000</f>
        <v>91575000</v>
      </c>
      <c r="AJ29" s="382">
        <v>2.24E-2</v>
      </c>
      <c r="AK29" s="379">
        <f t="shared" si="10"/>
        <v>5698</v>
      </c>
      <c r="AL29" s="381">
        <f t="shared" si="55"/>
        <v>60000000</v>
      </c>
      <c r="AM29" s="382">
        <v>2.4E-2</v>
      </c>
      <c r="AN29" s="379">
        <f t="shared" si="11"/>
        <v>4000</v>
      </c>
      <c r="AO29" s="381">
        <f t="shared" si="0"/>
        <v>149500000</v>
      </c>
      <c r="AP29" s="382">
        <v>2.3599999999999999E-2</v>
      </c>
      <c r="AQ29" s="379">
        <f t="shared" si="12"/>
        <v>9800.5555555555547</v>
      </c>
      <c r="AR29" s="381">
        <f t="shared" si="53"/>
        <v>125500000</v>
      </c>
      <c r="AS29" s="382">
        <v>2.3599999999999999E-2</v>
      </c>
      <c r="AT29" s="379">
        <f t="shared" si="13"/>
        <v>8227.2222222222226</v>
      </c>
      <c r="AU29" s="381">
        <f t="shared" si="54"/>
        <v>99900000</v>
      </c>
      <c r="AV29" s="382">
        <v>2.3599999999999999E-2</v>
      </c>
      <c r="AW29" s="379">
        <f t="shared" si="14"/>
        <v>6549</v>
      </c>
      <c r="AX29" s="381"/>
      <c r="AY29" s="382"/>
      <c r="AZ29" s="379">
        <f t="shared" si="15"/>
        <v>0</v>
      </c>
      <c r="BC29" s="379">
        <f t="shared" si="16"/>
        <v>0</v>
      </c>
      <c r="BF29" s="379">
        <f t="shared" si="17"/>
        <v>0</v>
      </c>
      <c r="BI29" s="379">
        <f t="shared" si="18"/>
        <v>0</v>
      </c>
      <c r="BL29" s="379">
        <f t="shared" si="19"/>
        <v>0</v>
      </c>
      <c r="BO29" s="379">
        <f t="shared" si="20"/>
        <v>0</v>
      </c>
      <c r="BR29" s="379">
        <f t="shared" si="21"/>
        <v>0</v>
      </c>
      <c r="BU29" s="379">
        <f t="shared" si="22"/>
        <v>0</v>
      </c>
      <c r="BX29" s="379">
        <f t="shared" si="23"/>
        <v>0</v>
      </c>
      <c r="CA29" s="379">
        <f t="shared" si="24"/>
        <v>0</v>
      </c>
      <c r="CD29" s="379">
        <f t="shared" si="25"/>
        <v>0</v>
      </c>
      <c r="CG29" s="379">
        <f t="shared" si="26"/>
        <v>0</v>
      </c>
      <c r="CJ29" s="379">
        <f t="shared" si="27"/>
        <v>0</v>
      </c>
      <c r="CM29" s="379">
        <f t="shared" si="28"/>
        <v>0</v>
      </c>
      <c r="CP29" s="379">
        <f t="shared" si="29"/>
        <v>0</v>
      </c>
      <c r="CS29" s="379">
        <f t="shared" si="30"/>
        <v>0</v>
      </c>
      <c r="CV29" s="379">
        <f t="shared" si="31"/>
        <v>0</v>
      </c>
      <c r="CY29" s="379">
        <f t="shared" si="32"/>
        <v>0</v>
      </c>
      <c r="DB29" s="379">
        <f t="shared" si="33"/>
        <v>0</v>
      </c>
      <c r="DE29" s="379">
        <f t="shared" si="34"/>
        <v>0</v>
      </c>
      <c r="DH29" s="379">
        <f t="shared" si="35"/>
        <v>0</v>
      </c>
      <c r="DK29" s="379">
        <f t="shared" si="36"/>
        <v>0</v>
      </c>
      <c r="DN29" s="379">
        <f t="shared" si="37"/>
        <v>0</v>
      </c>
      <c r="DQ29" s="379">
        <f t="shared" si="38"/>
        <v>0</v>
      </c>
      <c r="DT29" s="379">
        <f t="shared" si="39"/>
        <v>0</v>
      </c>
      <c r="DW29" s="379">
        <f t="shared" si="40"/>
        <v>0</v>
      </c>
      <c r="DY29" s="384"/>
      <c r="DZ29" s="366"/>
      <c r="EA29" s="379"/>
      <c r="EB29" s="190">
        <f t="shared" si="41"/>
        <v>552481688.45000005</v>
      </c>
      <c r="EC29" s="190">
        <f t="shared" si="42"/>
        <v>26006688.450000048</v>
      </c>
      <c r="ED29" s="379">
        <f t="shared" si="43"/>
        <v>35676.249322027783</v>
      </c>
      <c r="EE29" s="380">
        <f t="shared" si="44"/>
        <v>2.3246833378247511E-2</v>
      </c>
      <c r="EG29" s="190">
        <f t="shared" si="45"/>
        <v>0</v>
      </c>
      <c r="EH29" s="379">
        <f t="shared" si="46"/>
        <v>0</v>
      </c>
      <c r="EI29" s="380">
        <f t="shared" si="47"/>
        <v>0</v>
      </c>
      <c r="EJ29" s="380"/>
      <c r="EK29" s="190">
        <f t="shared" si="48"/>
        <v>526475000</v>
      </c>
      <c r="EL29" s="190">
        <f t="shared" si="49"/>
        <v>0</v>
      </c>
      <c r="EM29" s="190">
        <f t="shared" si="50"/>
        <v>34274.777777777781</v>
      </c>
      <c r="EN29" s="380">
        <f t="shared" si="51"/>
        <v>2.3436858350349019E-2</v>
      </c>
      <c r="EO29" s="391"/>
      <c r="EP29" s="379"/>
    </row>
    <row r="30" spans="1:146">
      <c r="A30" s="378">
        <f t="shared" si="52"/>
        <v>43331</v>
      </c>
      <c r="D30" s="379">
        <f t="shared" si="1"/>
        <v>0</v>
      </c>
      <c r="E30" s="379">
        <v>26006688.449999999</v>
      </c>
      <c r="F30" s="380">
        <v>1.9400000000000001E-2</v>
      </c>
      <c r="G30" s="379">
        <f t="shared" si="2"/>
        <v>1401.4715442499999</v>
      </c>
      <c r="J30" s="379">
        <f t="shared" si="3"/>
        <v>0</v>
      </c>
      <c r="M30" s="379">
        <f t="shared" si="4"/>
        <v>0</v>
      </c>
      <c r="P30" s="379">
        <f t="shared" si="5"/>
        <v>0</v>
      </c>
      <c r="S30" s="379">
        <f t="shared" si="6"/>
        <v>0</v>
      </c>
      <c r="V30" s="379">
        <f t="shared" si="7"/>
        <v>0</v>
      </c>
      <c r="Y30" s="379">
        <f t="shared" si="8"/>
        <v>0</v>
      </c>
      <c r="AB30" s="379">
        <f t="shared" si="9"/>
        <v>0</v>
      </c>
      <c r="AE30" s="379">
        <v>0</v>
      </c>
      <c r="AH30" s="379">
        <v>0</v>
      </c>
      <c r="AI30" s="381">
        <f>50000000+41575000</f>
        <v>91575000</v>
      </c>
      <c r="AJ30" s="382">
        <v>2.24E-2</v>
      </c>
      <c r="AK30" s="379">
        <f t="shared" si="10"/>
        <v>5698</v>
      </c>
      <c r="AL30" s="381">
        <f t="shared" si="55"/>
        <v>60000000</v>
      </c>
      <c r="AM30" s="382">
        <v>2.4E-2</v>
      </c>
      <c r="AN30" s="379">
        <f t="shared" si="11"/>
        <v>4000</v>
      </c>
      <c r="AO30" s="381">
        <f t="shared" si="0"/>
        <v>149500000</v>
      </c>
      <c r="AP30" s="382">
        <v>2.3599999999999999E-2</v>
      </c>
      <c r="AQ30" s="379">
        <f t="shared" si="12"/>
        <v>9800.5555555555547</v>
      </c>
      <c r="AR30" s="381">
        <f t="shared" si="53"/>
        <v>125500000</v>
      </c>
      <c r="AS30" s="382">
        <v>2.3599999999999999E-2</v>
      </c>
      <c r="AT30" s="379">
        <f t="shared" si="13"/>
        <v>8227.2222222222226</v>
      </c>
      <c r="AU30" s="381">
        <f t="shared" si="54"/>
        <v>99900000</v>
      </c>
      <c r="AV30" s="382">
        <v>2.3599999999999999E-2</v>
      </c>
      <c r="AW30" s="379">
        <f t="shared" si="14"/>
        <v>6549</v>
      </c>
      <c r="AX30" s="381"/>
      <c r="AY30" s="382"/>
      <c r="AZ30" s="379">
        <f t="shared" si="15"/>
        <v>0</v>
      </c>
      <c r="BC30" s="379">
        <f t="shared" si="16"/>
        <v>0</v>
      </c>
      <c r="BF30" s="379">
        <f t="shared" si="17"/>
        <v>0</v>
      </c>
      <c r="BI30" s="379">
        <f t="shared" si="18"/>
        <v>0</v>
      </c>
      <c r="BL30" s="379">
        <f t="shared" si="19"/>
        <v>0</v>
      </c>
      <c r="BO30" s="379">
        <f t="shared" si="20"/>
        <v>0</v>
      </c>
      <c r="BR30" s="379">
        <f t="shared" si="21"/>
        <v>0</v>
      </c>
      <c r="BU30" s="379">
        <f t="shared" si="22"/>
        <v>0</v>
      </c>
      <c r="BX30" s="379">
        <f t="shared" si="23"/>
        <v>0</v>
      </c>
      <c r="CA30" s="379">
        <f t="shared" si="24"/>
        <v>0</v>
      </c>
      <c r="CD30" s="379">
        <f t="shared" si="25"/>
        <v>0</v>
      </c>
      <c r="CG30" s="379">
        <f t="shared" si="26"/>
        <v>0</v>
      </c>
      <c r="CJ30" s="379">
        <f t="shared" si="27"/>
        <v>0</v>
      </c>
      <c r="CM30" s="379">
        <f t="shared" si="28"/>
        <v>0</v>
      </c>
      <c r="CP30" s="379">
        <f t="shared" si="29"/>
        <v>0</v>
      </c>
      <c r="CS30" s="379">
        <f t="shared" si="30"/>
        <v>0</v>
      </c>
      <c r="CV30" s="379">
        <f t="shared" si="31"/>
        <v>0</v>
      </c>
      <c r="CY30" s="379">
        <f t="shared" si="32"/>
        <v>0</v>
      </c>
      <c r="DB30" s="379">
        <f t="shared" si="33"/>
        <v>0</v>
      </c>
      <c r="DE30" s="379">
        <f t="shared" si="34"/>
        <v>0</v>
      </c>
      <c r="DH30" s="379">
        <f t="shared" si="35"/>
        <v>0</v>
      </c>
      <c r="DK30" s="379">
        <f t="shared" si="36"/>
        <v>0</v>
      </c>
      <c r="DN30" s="379">
        <f t="shared" si="37"/>
        <v>0</v>
      </c>
      <c r="DQ30" s="379">
        <f t="shared" si="38"/>
        <v>0</v>
      </c>
      <c r="DT30" s="379">
        <f t="shared" si="39"/>
        <v>0</v>
      </c>
      <c r="DW30" s="379">
        <f t="shared" si="40"/>
        <v>0</v>
      </c>
      <c r="DY30" s="384"/>
      <c r="DZ30" s="366"/>
      <c r="EA30" s="379"/>
      <c r="EB30" s="190">
        <f t="shared" si="41"/>
        <v>552481688.45000005</v>
      </c>
      <c r="EC30" s="190">
        <f t="shared" si="42"/>
        <v>26006688.450000048</v>
      </c>
      <c r="ED30" s="379">
        <f t="shared" si="43"/>
        <v>35676.249322027783</v>
      </c>
      <c r="EE30" s="380">
        <f t="shared" si="44"/>
        <v>2.3246833378247511E-2</v>
      </c>
      <c r="EG30" s="190">
        <f t="shared" si="45"/>
        <v>0</v>
      </c>
      <c r="EH30" s="379">
        <f t="shared" si="46"/>
        <v>0</v>
      </c>
      <c r="EI30" s="380">
        <f t="shared" si="47"/>
        <v>0</v>
      </c>
      <c r="EJ30" s="380"/>
      <c r="EK30" s="190">
        <f t="shared" si="48"/>
        <v>526475000</v>
      </c>
      <c r="EL30" s="190">
        <f t="shared" si="49"/>
        <v>0</v>
      </c>
      <c r="EM30" s="190">
        <f t="shared" si="50"/>
        <v>34274.777777777781</v>
      </c>
      <c r="EN30" s="380">
        <f t="shared" si="51"/>
        <v>2.3436858350349019E-2</v>
      </c>
      <c r="EO30" s="391"/>
      <c r="EP30" s="379"/>
    </row>
    <row r="31" spans="1:146">
      <c r="A31" s="378">
        <f t="shared" si="52"/>
        <v>43332</v>
      </c>
      <c r="D31" s="379">
        <f t="shared" si="1"/>
        <v>0</v>
      </c>
      <c r="E31" s="379">
        <v>23707818.120000001</v>
      </c>
      <c r="F31" s="380">
        <v>1.9799999999999998E-2</v>
      </c>
      <c r="G31" s="379">
        <f t="shared" si="2"/>
        <v>1303.9299965999999</v>
      </c>
      <c r="J31" s="379">
        <f t="shared" si="3"/>
        <v>0</v>
      </c>
      <c r="M31" s="379">
        <f t="shared" si="4"/>
        <v>0</v>
      </c>
      <c r="P31" s="379">
        <f t="shared" si="5"/>
        <v>0</v>
      </c>
      <c r="S31" s="379">
        <f t="shared" si="6"/>
        <v>0</v>
      </c>
      <c r="V31" s="379">
        <f t="shared" si="7"/>
        <v>0</v>
      </c>
      <c r="Y31" s="379">
        <f t="shared" si="8"/>
        <v>0</v>
      </c>
      <c r="AB31" s="379">
        <f t="shared" si="9"/>
        <v>0</v>
      </c>
      <c r="AE31" s="379">
        <v>0</v>
      </c>
      <c r="AH31" s="379">
        <v>0</v>
      </c>
      <c r="AI31" s="381">
        <f>50000000+43875000</f>
        <v>93875000</v>
      </c>
      <c r="AJ31" s="382">
        <v>2.24E-2</v>
      </c>
      <c r="AK31" s="379">
        <f t="shared" si="10"/>
        <v>5841.1111111111113</v>
      </c>
      <c r="AL31" s="381">
        <f t="shared" si="55"/>
        <v>60000000</v>
      </c>
      <c r="AM31" s="382">
        <v>2.4E-2</v>
      </c>
      <c r="AN31" s="379">
        <f t="shared" si="11"/>
        <v>4000</v>
      </c>
      <c r="AO31" s="381">
        <f t="shared" si="0"/>
        <v>149500000</v>
      </c>
      <c r="AP31" s="382">
        <v>2.3599999999999999E-2</v>
      </c>
      <c r="AQ31" s="379">
        <f t="shared" si="12"/>
        <v>9800.5555555555547</v>
      </c>
      <c r="AR31" s="381">
        <f t="shared" si="53"/>
        <v>125500000</v>
      </c>
      <c r="AS31" s="382">
        <v>2.3599999999999999E-2</v>
      </c>
      <c r="AT31" s="379">
        <f t="shared" si="13"/>
        <v>8227.2222222222226</v>
      </c>
      <c r="AU31" s="381">
        <f t="shared" si="54"/>
        <v>99900000</v>
      </c>
      <c r="AV31" s="382">
        <v>2.3599999999999999E-2</v>
      </c>
      <c r="AW31" s="379">
        <f t="shared" si="14"/>
        <v>6549</v>
      </c>
      <c r="AX31" s="381"/>
      <c r="AY31" s="382"/>
      <c r="AZ31" s="379">
        <f t="shared" si="15"/>
        <v>0</v>
      </c>
      <c r="BC31" s="379">
        <f t="shared" si="16"/>
        <v>0</v>
      </c>
      <c r="BF31" s="379">
        <f t="shared" si="17"/>
        <v>0</v>
      </c>
      <c r="BI31" s="379">
        <f t="shared" si="18"/>
        <v>0</v>
      </c>
      <c r="BL31" s="379">
        <f t="shared" si="19"/>
        <v>0</v>
      </c>
      <c r="BO31" s="379">
        <f t="shared" si="20"/>
        <v>0</v>
      </c>
      <c r="BR31" s="379">
        <f t="shared" si="21"/>
        <v>0</v>
      </c>
      <c r="BU31" s="379">
        <f t="shared" si="22"/>
        <v>0</v>
      </c>
      <c r="BX31" s="379">
        <f t="shared" si="23"/>
        <v>0</v>
      </c>
      <c r="CA31" s="379">
        <f t="shared" si="24"/>
        <v>0</v>
      </c>
      <c r="CD31" s="379">
        <f t="shared" si="25"/>
        <v>0</v>
      </c>
      <c r="CG31" s="379">
        <f t="shared" si="26"/>
        <v>0</v>
      </c>
      <c r="CJ31" s="379">
        <f t="shared" si="27"/>
        <v>0</v>
      </c>
      <c r="CM31" s="379">
        <f t="shared" si="28"/>
        <v>0</v>
      </c>
      <c r="CP31" s="379">
        <f t="shared" si="29"/>
        <v>0</v>
      </c>
      <c r="CS31" s="379">
        <f t="shared" si="30"/>
        <v>0</v>
      </c>
      <c r="CV31" s="379">
        <f t="shared" si="31"/>
        <v>0</v>
      </c>
      <c r="CY31" s="379">
        <f t="shared" si="32"/>
        <v>0</v>
      </c>
      <c r="DB31" s="379">
        <f t="shared" si="33"/>
        <v>0</v>
      </c>
      <c r="DE31" s="379">
        <f t="shared" si="34"/>
        <v>0</v>
      </c>
      <c r="DH31" s="379">
        <f t="shared" si="35"/>
        <v>0</v>
      </c>
      <c r="DK31" s="379">
        <f t="shared" si="36"/>
        <v>0</v>
      </c>
      <c r="DN31" s="379">
        <f t="shared" si="37"/>
        <v>0</v>
      </c>
      <c r="DQ31" s="379">
        <f t="shared" si="38"/>
        <v>0</v>
      </c>
      <c r="DT31" s="379">
        <f t="shared" si="39"/>
        <v>0</v>
      </c>
      <c r="DW31" s="379">
        <f t="shared" si="40"/>
        <v>0</v>
      </c>
      <c r="DY31" s="384"/>
      <c r="DZ31" s="366"/>
      <c r="EA31" s="379"/>
      <c r="EB31" s="190">
        <f t="shared" si="41"/>
        <v>552482818.12</v>
      </c>
      <c r="EC31" s="190">
        <f t="shared" si="42"/>
        <v>23707818.120000005</v>
      </c>
      <c r="ED31" s="379">
        <f t="shared" si="43"/>
        <v>35721.818885488887</v>
      </c>
      <c r="EE31" s="380">
        <f t="shared" si="44"/>
        <v>2.3276479153751386E-2</v>
      </c>
      <c r="EG31" s="190">
        <f t="shared" si="45"/>
        <v>0</v>
      </c>
      <c r="EH31" s="379">
        <f t="shared" si="46"/>
        <v>0</v>
      </c>
      <c r="EI31" s="380">
        <f t="shared" si="47"/>
        <v>0</v>
      </c>
      <c r="EJ31" s="380"/>
      <c r="EK31" s="190">
        <f t="shared" si="48"/>
        <v>528775000</v>
      </c>
      <c r="EL31" s="190">
        <f t="shared" si="49"/>
        <v>0</v>
      </c>
      <c r="EM31" s="190">
        <f t="shared" si="50"/>
        <v>34417.888888888891</v>
      </c>
      <c r="EN31" s="380">
        <f t="shared" si="51"/>
        <v>2.3432348352323766E-2</v>
      </c>
      <c r="EO31" s="391"/>
      <c r="EP31" s="379"/>
    </row>
    <row r="32" spans="1:146">
      <c r="A32" s="378">
        <f t="shared" si="52"/>
        <v>43333</v>
      </c>
      <c r="D32" s="379">
        <f t="shared" si="1"/>
        <v>0</v>
      </c>
      <c r="E32" s="379">
        <v>24500940.149999999</v>
      </c>
      <c r="F32" s="380">
        <v>1.9E-2</v>
      </c>
      <c r="G32" s="379">
        <f t="shared" si="2"/>
        <v>1293.1051745833333</v>
      </c>
      <c r="J32" s="379">
        <f t="shared" si="3"/>
        <v>0</v>
      </c>
      <c r="M32" s="379">
        <f t="shared" si="4"/>
        <v>0</v>
      </c>
      <c r="P32" s="379">
        <f t="shared" si="5"/>
        <v>0</v>
      </c>
      <c r="S32" s="379">
        <f t="shared" si="6"/>
        <v>0</v>
      </c>
      <c r="V32" s="379">
        <f t="shared" si="7"/>
        <v>0</v>
      </c>
      <c r="Y32" s="379">
        <f t="shared" si="8"/>
        <v>0</v>
      </c>
      <c r="AB32" s="379">
        <f t="shared" si="9"/>
        <v>0</v>
      </c>
      <c r="AE32" s="379">
        <v>0</v>
      </c>
      <c r="AH32" s="379">
        <v>0</v>
      </c>
      <c r="AI32" s="381">
        <f>50000000+43100000</f>
        <v>93100000</v>
      </c>
      <c r="AJ32" s="382">
        <v>2.24E-2</v>
      </c>
      <c r="AK32" s="379">
        <f t="shared" si="10"/>
        <v>5792.8888888888887</v>
      </c>
      <c r="AL32" s="381">
        <f t="shared" si="55"/>
        <v>60000000</v>
      </c>
      <c r="AM32" s="382">
        <v>2.4E-2</v>
      </c>
      <c r="AN32" s="379">
        <f t="shared" si="11"/>
        <v>4000</v>
      </c>
      <c r="AO32" s="381">
        <f t="shared" si="0"/>
        <v>149500000</v>
      </c>
      <c r="AP32" s="382">
        <v>2.3599999999999999E-2</v>
      </c>
      <c r="AQ32" s="379">
        <f t="shared" si="12"/>
        <v>9800.5555555555547</v>
      </c>
      <c r="AR32" s="381">
        <f t="shared" si="53"/>
        <v>125500000</v>
      </c>
      <c r="AS32" s="382">
        <v>2.3599999999999999E-2</v>
      </c>
      <c r="AT32" s="379">
        <f t="shared" si="13"/>
        <v>8227.2222222222226</v>
      </c>
      <c r="AU32" s="381">
        <f t="shared" si="54"/>
        <v>99900000</v>
      </c>
      <c r="AV32" s="382">
        <v>2.3599999999999999E-2</v>
      </c>
      <c r="AW32" s="379">
        <f t="shared" si="14"/>
        <v>6549</v>
      </c>
      <c r="AX32" s="381"/>
      <c r="AY32" s="382"/>
      <c r="AZ32" s="379">
        <f t="shared" si="15"/>
        <v>0</v>
      </c>
      <c r="BC32" s="379">
        <f t="shared" si="16"/>
        <v>0</v>
      </c>
      <c r="BF32" s="379">
        <f t="shared" si="17"/>
        <v>0</v>
      </c>
      <c r="BI32" s="379">
        <f t="shared" si="18"/>
        <v>0</v>
      </c>
      <c r="BL32" s="379">
        <f t="shared" si="19"/>
        <v>0</v>
      </c>
      <c r="BO32" s="379">
        <f t="shared" si="20"/>
        <v>0</v>
      </c>
      <c r="BR32" s="379">
        <f t="shared" si="21"/>
        <v>0</v>
      </c>
      <c r="BU32" s="379">
        <f t="shared" si="22"/>
        <v>0</v>
      </c>
      <c r="BX32" s="379">
        <f t="shared" si="23"/>
        <v>0</v>
      </c>
      <c r="CA32" s="379">
        <f t="shared" si="24"/>
        <v>0</v>
      </c>
      <c r="CD32" s="379">
        <f t="shared" si="25"/>
        <v>0</v>
      </c>
      <c r="CG32" s="379">
        <f t="shared" si="26"/>
        <v>0</v>
      </c>
      <c r="CJ32" s="379">
        <f t="shared" si="27"/>
        <v>0</v>
      </c>
      <c r="CM32" s="379">
        <f t="shared" si="28"/>
        <v>0</v>
      </c>
      <c r="CP32" s="379">
        <f t="shared" si="29"/>
        <v>0</v>
      </c>
      <c r="CS32" s="379">
        <f t="shared" si="30"/>
        <v>0</v>
      </c>
      <c r="CV32" s="379">
        <f t="shared" si="31"/>
        <v>0</v>
      </c>
      <c r="CY32" s="379">
        <f t="shared" si="32"/>
        <v>0</v>
      </c>
      <c r="DB32" s="379">
        <f t="shared" si="33"/>
        <v>0</v>
      </c>
      <c r="DE32" s="379">
        <f t="shared" si="34"/>
        <v>0</v>
      </c>
      <c r="DH32" s="379">
        <f t="shared" si="35"/>
        <v>0</v>
      </c>
      <c r="DK32" s="379">
        <f t="shared" si="36"/>
        <v>0</v>
      </c>
      <c r="DN32" s="379">
        <f t="shared" si="37"/>
        <v>0</v>
      </c>
      <c r="DQ32" s="379">
        <f t="shared" si="38"/>
        <v>0</v>
      </c>
      <c r="DT32" s="379">
        <f t="shared" si="39"/>
        <v>0</v>
      </c>
      <c r="DW32" s="379">
        <f t="shared" si="40"/>
        <v>0</v>
      </c>
      <c r="DY32" s="384"/>
      <c r="DZ32" s="366"/>
      <c r="EA32" s="379"/>
      <c r="EB32" s="190">
        <f t="shared" si="41"/>
        <v>552500940.14999998</v>
      </c>
      <c r="EC32" s="190">
        <f t="shared" si="42"/>
        <v>24500940.149999976</v>
      </c>
      <c r="ED32" s="379">
        <f t="shared" si="43"/>
        <v>35662.771841249996</v>
      </c>
      <c r="EE32" s="380">
        <f t="shared" si="44"/>
        <v>2.3237241658565166E-2</v>
      </c>
      <c r="EG32" s="190">
        <f t="shared" si="45"/>
        <v>0</v>
      </c>
      <c r="EH32" s="379">
        <f t="shared" si="46"/>
        <v>0</v>
      </c>
      <c r="EI32" s="380">
        <f t="shared" si="47"/>
        <v>0</v>
      </c>
      <c r="EJ32" s="380"/>
      <c r="EK32" s="190">
        <f t="shared" si="48"/>
        <v>528000000</v>
      </c>
      <c r="EL32" s="190">
        <f t="shared" si="49"/>
        <v>0</v>
      </c>
      <c r="EM32" s="190">
        <f t="shared" si="50"/>
        <v>34369.666666666664</v>
      </c>
      <c r="EN32" s="380">
        <f t="shared" si="51"/>
        <v>2.3433863636363638E-2</v>
      </c>
      <c r="EO32" s="391"/>
      <c r="EP32" s="379"/>
    </row>
    <row r="33" spans="1:146">
      <c r="A33" s="378">
        <f t="shared" si="52"/>
        <v>43334</v>
      </c>
      <c r="D33" s="379">
        <f t="shared" si="1"/>
        <v>0</v>
      </c>
      <c r="E33" s="379">
        <v>66515365.200000003</v>
      </c>
      <c r="F33" s="380">
        <v>1.95E-2</v>
      </c>
      <c r="G33" s="379">
        <f t="shared" si="2"/>
        <v>3602.9156150000003</v>
      </c>
      <c r="J33" s="379">
        <f t="shared" si="3"/>
        <v>0</v>
      </c>
      <c r="M33" s="379">
        <f t="shared" si="4"/>
        <v>0</v>
      </c>
      <c r="P33" s="379">
        <f t="shared" si="5"/>
        <v>0</v>
      </c>
      <c r="S33" s="379">
        <f t="shared" si="6"/>
        <v>0</v>
      </c>
      <c r="V33" s="379">
        <f t="shared" si="7"/>
        <v>0</v>
      </c>
      <c r="Y33" s="379">
        <f t="shared" si="8"/>
        <v>0</v>
      </c>
      <c r="AB33" s="379">
        <f t="shared" si="9"/>
        <v>0</v>
      </c>
      <c r="AE33" s="379">
        <v>0</v>
      </c>
      <c r="AH33" s="379">
        <v>0</v>
      </c>
      <c r="AI33" s="381">
        <f>22225000</f>
        <v>22225000</v>
      </c>
      <c r="AJ33" s="382">
        <v>2.24E-2</v>
      </c>
      <c r="AK33" s="379">
        <f t="shared" si="10"/>
        <v>1382.8888888888889</v>
      </c>
      <c r="AL33" s="381">
        <f t="shared" si="55"/>
        <v>60000000</v>
      </c>
      <c r="AM33" s="382">
        <v>2.4E-2</v>
      </c>
      <c r="AN33" s="379">
        <f t="shared" si="11"/>
        <v>4000</v>
      </c>
      <c r="AO33" s="381">
        <f t="shared" si="0"/>
        <v>149500000</v>
      </c>
      <c r="AP33" s="382">
        <v>2.3599999999999999E-2</v>
      </c>
      <c r="AQ33" s="379">
        <f t="shared" si="12"/>
        <v>9800.5555555555547</v>
      </c>
      <c r="AR33" s="381">
        <f t="shared" si="53"/>
        <v>125500000</v>
      </c>
      <c r="AS33" s="382">
        <v>2.3599999999999999E-2</v>
      </c>
      <c r="AT33" s="379">
        <f t="shared" si="13"/>
        <v>8227.2222222222226</v>
      </c>
      <c r="AU33" s="381">
        <f t="shared" si="54"/>
        <v>99900000</v>
      </c>
      <c r="AV33" s="382">
        <v>2.3599999999999999E-2</v>
      </c>
      <c r="AW33" s="379">
        <f t="shared" si="14"/>
        <v>6549</v>
      </c>
      <c r="AX33" s="381">
        <f t="shared" ref="AX33:AX42" si="56">30000000</f>
        <v>30000000</v>
      </c>
      <c r="AY33" s="382">
        <v>2.3300000000000001E-2</v>
      </c>
      <c r="AZ33" s="379">
        <f t="shared" si="15"/>
        <v>1941.6666666666667</v>
      </c>
      <c r="BC33" s="379">
        <f t="shared" si="16"/>
        <v>0</v>
      </c>
      <c r="BF33" s="379">
        <f t="shared" si="17"/>
        <v>0</v>
      </c>
      <c r="BI33" s="379">
        <f t="shared" si="18"/>
        <v>0</v>
      </c>
      <c r="BL33" s="379">
        <f t="shared" si="19"/>
        <v>0</v>
      </c>
      <c r="BO33" s="379">
        <f t="shared" si="20"/>
        <v>0</v>
      </c>
      <c r="BR33" s="379">
        <f t="shared" si="21"/>
        <v>0</v>
      </c>
      <c r="BU33" s="379">
        <f t="shared" si="22"/>
        <v>0</v>
      </c>
      <c r="BX33" s="379">
        <f t="shared" si="23"/>
        <v>0</v>
      </c>
      <c r="CA33" s="379">
        <f t="shared" si="24"/>
        <v>0</v>
      </c>
      <c r="CD33" s="379">
        <f t="shared" si="25"/>
        <v>0</v>
      </c>
      <c r="CG33" s="379">
        <f t="shared" si="26"/>
        <v>0</v>
      </c>
      <c r="CJ33" s="379">
        <f t="shared" si="27"/>
        <v>0</v>
      </c>
      <c r="CM33" s="379">
        <f t="shared" si="28"/>
        <v>0</v>
      </c>
      <c r="CP33" s="379">
        <f t="shared" si="29"/>
        <v>0</v>
      </c>
      <c r="CS33" s="379">
        <f t="shared" si="30"/>
        <v>0</v>
      </c>
      <c r="CV33" s="379">
        <f t="shared" si="31"/>
        <v>0</v>
      </c>
      <c r="CY33" s="379">
        <f t="shared" si="32"/>
        <v>0</v>
      </c>
      <c r="DB33" s="379">
        <f t="shared" si="33"/>
        <v>0</v>
      </c>
      <c r="DE33" s="379">
        <f t="shared" si="34"/>
        <v>0</v>
      </c>
      <c r="DH33" s="379">
        <f t="shared" si="35"/>
        <v>0</v>
      </c>
      <c r="DK33" s="379">
        <f t="shared" si="36"/>
        <v>0</v>
      </c>
      <c r="DN33" s="379">
        <f t="shared" si="37"/>
        <v>0</v>
      </c>
      <c r="DQ33" s="379">
        <f t="shared" si="38"/>
        <v>0</v>
      </c>
      <c r="DT33" s="379">
        <f t="shared" si="39"/>
        <v>0</v>
      </c>
      <c r="DW33" s="379">
        <f t="shared" si="40"/>
        <v>0</v>
      </c>
      <c r="DY33" s="384"/>
      <c r="DZ33" s="366"/>
      <c r="EA33" s="379"/>
      <c r="EB33" s="190">
        <f t="shared" si="41"/>
        <v>553640365.20000005</v>
      </c>
      <c r="EC33" s="190">
        <f t="shared" si="42"/>
        <v>66515365.200000048</v>
      </c>
      <c r="ED33" s="379">
        <f t="shared" si="43"/>
        <v>35504.248948333327</v>
      </c>
      <c r="EE33" s="380">
        <f t="shared" si="44"/>
        <v>2.3086339842259749E-2</v>
      </c>
      <c r="EG33" s="190">
        <f t="shared" si="45"/>
        <v>0</v>
      </c>
      <c r="EH33" s="379">
        <f t="shared" si="46"/>
        <v>0</v>
      </c>
      <c r="EI33" s="380">
        <f t="shared" si="47"/>
        <v>0</v>
      </c>
      <c r="EJ33" s="380"/>
      <c r="EK33" s="190">
        <f t="shared" si="48"/>
        <v>487125000</v>
      </c>
      <c r="EL33" s="190">
        <f t="shared" si="49"/>
        <v>0</v>
      </c>
      <c r="EM33" s="190">
        <f t="shared" si="50"/>
        <v>31901.333333333336</v>
      </c>
      <c r="EN33" s="380">
        <f t="shared" si="51"/>
        <v>2.3576043110084682E-2</v>
      </c>
      <c r="EO33" s="391"/>
      <c r="EP33" s="379"/>
    </row>
    <row r="34" spans="1:146">
      <c r="A34" s="378">
        <f t="shared" si="52"/>
        <v>43335</v>
      </c>
      <c r="D34" s="379">
        <f t="shared" si="1"/>
        <v>0</v>
      </c>
      <c r="E34" s="379">
        <v>64261584.93</v>
      </c>
      <c r="F34" s="380">
        <v>1.9400000000000001E-2</v>
      </c>
      <c r="G34" s="379">
        <f t="shared" si="2"/>
        <v>3462.9854101166666</v>
      </c>
      <c r="J34" s="379">
        <f t="shared" si="3"/>
        <v>0</v>
      </c>
      <c r="M34" s="379">
        <f t="shared" si="4"/>
        <v>0</v>
      </c>
      <c r="P34" s="379">
        <f t="shared" si="5"/>
        <v>0</v>
      </c>
      <c r="S34" s="379">
        <f t="shared" si="6"/>
        <v>0</v>
      </c>
      <c r="V34" s="379">
        <f t="shared" si="7"/>
        <v>0</v>
      </c>
      <c r="Y34" s="379">
        <f t="shared" si="8"/>
        <v>0</v>
      </c>
      <c r="AB34" s="379">
        <f t="shared" si="9"/>
        <v>0</v>
      </c>
      <c r="AE34" s="379">
        <v>0</v>
      </c>
      <c r="AH34" s="379">
        <v>0</v>
      </c>
      <c r="AI34" s="381">
        <f>23025000</f>
        <v>23025000</v>
      </c>
      <c r="AJ34" s="382">
        <v>2.24E-2</v>
      </c>
      <c r="AK34" s="379">
        <f t="shared" si="10"/>
        <v>1432.6666666666667</v>
      </c>
      <c r="AL34" s="381">
        <f t="shared" si="55"/>
        <v>60000000</v>
      </c>
      <c r="AM34" s="382">
        <v>2.4E-2</v>
      </c>
      <c r="AN34" s="379">
        <f t="shared" si="11"/>
        <v>4000</v>
      </c>
      <c r="AO34" s="381">
        <f t="shared" si="0"/>
        <v>149500000</v>
      </c>
      <c r="AP34" s="382">
        <v>2.3599999999999999E-2</v>
      </c>
      <c r="AQ34" s="379">
        <f t="shared" si="12"/>
        <v>9800.5555555555547</v>
      </c>
      <c r="AR34" s="381">
        <f t="shared" si="53"/>
        <v>125500000</v>
      </c>
      <c r="AS34" s="382">
        <v>2.3599999999999999E-2</v>
      </c>
      <c r="AT34" s="379">
        <f t="shared" si="13"/>
        <v>8227.2222222222226</v>
      </c>
      <c r="AU34" s="381">
        <f t="shared" si="54"/>
        <v>99900000</v>
      </c>
      <c r="AV34" s="382">
        <v>2.3599999999999999E-2</v>
      </c>
      <c r="AW34" s="379">
        <f t="shared" si="14"/>
        <v>6549</v>
      </c>
      <c r="AX34" s="381">
        <f t="shared" si="56"/>
        <v>30000000</v>
      </c>
      <c r="AY34" s="382">
        <v>2.3300000000000001E-2</v>
      </c>
      <c r="AZ34" s="379">
        <f t="shared" si="15"/>
        <v>1941.6666666666667</v>
      </c>
      <c r="BC34" s="379">
        <f t="shared" si="16"/>
        <v>0</v>
      </c>
      <c r="BF34" s="379">
        <f t="shared" si="17"/>
        <v>0</v>
      </c>
      <c r="BI34" s="379">
        <f t="shared" si="18"/>
        <v>0</v>
      </c>
      <c r="BL34" s="379">
        <f t="shared" si="19"/>
        <v>0</v>
      </c>
      <c r="BO34" s="379">
        <f t="shared" si="20"/>
        <v>0</v>
      </c>
      <c r="BR34" s="379">
        <f t="shared" si="21"/>
        <v>0</v>
      </c>
      <c r="BU34" s="379">
        <f t="shared" si="22"/>
        <v>0</v>
      </c>
      <c r="BX34" s="379">
        <f t="shared" si="23"/>
        <v>0</v>
      </c>
      <c r="CA34" s="379">
        <f t="shared" si="24"/>
        <v>0</v>
      </c>
      <c r="CD34" s="379">
        <f t="shared" si="25"/>
        <v>0</v>
      </c>
      <c r="CG34" s="379">
        <f t="shared" si="26"/>
        <v>0</v>
      </c>
      <c r="CJ34" s="379">
        <f t="shared" si="27"/>
        <v>0</v>
      </c>
      <c r="CM34" s="379">
        <f t="shared" si="28"/>
        <v>0</v>
      </c>
      <c r="CP34" s="379">
        <f t="shared" si="29"/>
        <v>0</v>
      </c>
      <c r="CS34" s="379">
        <f t="shared" si="30"/>
        <v>0</v>
      </c>
      <c r="CV34" s="379">
        <f t="shared" si="31"/>
        <v>0</v>
      </c>
      <c r="CY34" s="379">
        <f t="shared" si="32"/>
        <v>0</v>
      </c>
      <c r="DB34" s="379">
        <f t="shared" si="33"/>
        <v>0</v>
      </c>
      <c r="DE34" s="379">
        <f t="shared" si="34"/>
        <v>0</v>
      </c>
      <c r="DH34" s="379">
        <f t="shared" si="35"/>
        <v>0</v>
      </c>
      <c r="DK34" s="379">
        <f t="shared" si="36"/>
        <v>0</v>
      </c>
      <c r="DN34" s="379">
        <f t="shared" si="37"/>
        <v>0</v>
      </c>
      <c r="DQ34" s="379">
        <f t="shared" si="38"/>
        <v>0</v>
      </c>
      <c r="DT34" s="379">
        <f t="shared" si="39"/>
        <v>0</v>
      </c>
      <c r="DW34" s="379">
        <f t="shared" si="40"/>
        <v>0</v>
      </c>
      <c r="DY34" s="384"/>
      <c r="DZ34" s="366"/>
      <c r="EA34" s="379"/>
      <c r="EB34" s="190">
        <f t="shared" si="41"/>
        <v>552186584.93000007</v>
      </c>
      <c r="EC34" s="190">
        <f t="shared" si="42"/>
        <v>64261584.930000067</v>
      </c>
      <c r="ED34" s="379">
        <f t="shared" si="43"/>
        <v>35414.096521227773</v>
      </c>
      <c r="EE34" s="380">
        <f t="shared" si="44"/>
        <v>2.3088345670799267E-2</v>
      </c>
      <c r="EG34" s="190">
        <f t="shared" si="45"/>
        <v>0</v>
      </c>
      <c r="EH34" s="379">
        <f t="shared" si="46"/>
        <v>0</v>
      </c>
      <c r="EI34" s="380">
        <f t="shared" si="47"/>
        <v>0</v>
      </c>
      <c r="EJ34" s="380"/>
      <c r="EK34" s="190">
        <f t="shared" si="48"/>
        <v>487925000</v>
      </c>
      <c r="EL34" s="190">
        <f t="shared" si="49"/>
        <v>0</v>
      </c>
      <c r="EM34" s="190">
        <f t="shared" si="50"/>
        <v>31951.111111111113</v>
      </c>
      <c r="EN34" s="380">
        <f t="shared" si="51"/>
        <v>2.3574114874212227E-2</v>
      </c>
      <c r="EO34" s="391"/>
      <c r="EP34" s="379"/>
    </row>
    <row r="35" spans="1:146">
      <c r="A35" s="378">
        <f t="shared" si="52"/>
        <v>43336</v>
      </c>
      <c r="D35" s="379">
        <f t="shared" si="1"/>
        <v>0</v>
      </c>
      <c r="E35" s="379">
        <v>64832956.289999999</v>
      </c>
      <c r="F35" s="380">
        <v>1.9799999999999998E-2</v>
      </c>
      <c r="G35" s="379">
        <f t="shared" si="2"/>
        <v>3565.8125959499998</v>
      </c>
      <c r="J35" s="379">
        <f t="shared" si="3"/>
        <v>0</v>
      </c>
      <c r="M35" s="379">
        <f t="shared" si="4"/>
        <v>0</v>
      </c>
      <c r="P35" s="379">
        <f t="shared" si="5"/>
        <v>0</v>
      </c>
      <c r="S35" s="379">
        <f t="shared" si="6"/>
        <v>0</v>
      </c>
      <c r="V35" s="379">
        <f t="shared" si="7"/>
        <v>0</v>
      </c>
      <c r="Y35" s="379">
        <f t="shared" si="8"/>
        <v>0</v>
      </c>
      <c r="AB35" s="379">
        <f t="shared" si="9"/>
        <v>0</v>
      </c>
      <c r="AE35" s="379">
        <v>0</v>
      </c>
      <c r="AH35" s="379">
        <v>0</v>
      </c>
      <c r="AI35" s="381">
        <f>22450000</f>
        <v>22450000</v>
      </c>
      <c r="AJ35" s="382">
        <v>2.24E-2</v>
      </c>
      <c r="AK35" s="379">
        <f t="shared" si="10"/>
        <v>1396.8888888888889</v>
      </c>
      <c r="AL35" s="381">
        <f t="shared" si="55"/>
        <v>60000000</v>
      </c>
      <c r="AM35" s="382">
        <v>2.4E-2</v>
      </c>
      <c r="AN35" s="379">
        <f t="shared" si="11"/>
        <v>4000</v>
      </c>
      <c r="AO35" s="381">
        <f t="shared" si="0"/>
        <v>149500000</v>
      </c>
      <c r="AP35" s="382">
        <v>2.3599999999999999E-2</v>
      </c>
      <c r="AQ35" s="379">
        <f t="shared" si="12"/>
        <v>9800.5555555555547</v>
      </c>
      <c r="AR35" s="381">
        <f t="shared" si="53"/>
        <v>125500000</v>
      </c>
      <c r="AS35" s="382">
        <v>2.3599999999999999E-2</v>
      </c>
      <c r="AT35" s="379">
        <f t="shared" si="13"/>
        <v>8227.2222222222226</v>
      </c>
      <c r="AU35" s="381">
        <f t="shared" si="54"/>
        <v>99900000</v>
      </c>
      <c r="AV35" s="382">
        <v>2.3599999999999999E-2</v>
      </c>
      <c r="AW35" s="379">
        <f t="shared" si="14"/>
        <v>6549</v>
      </c>
      <c r="AX35" s="381">
        <f t="shared" si="56"/>
        <v>30000000</v>
      </c>
      <c r="AY35" s="382">
        <v>2.3300000000000001E-2</v>
      </c>
      <c r="AZ35" s="379">
        <f t="shared" si="15"/>
        <v>1941.6666666666667</v>
      </c>
      <c r="BC35" s="379">
        <f t="shared" si="16"/>
        <v>0</v>
      </c>
      <c r="BF35" s="379">
        <f t="shared" si="17"/>
        <v>0</v>
      </c>
      <c r="BI35" s="379">
        <f t="shared" si="18"/>
        <v>0</v>
      </c>
      <c r="BL35" s="379">
        <f t="shared" si="19"/>
        <v>0</v>
      </c>
      <c r="BO35" s="379">
        <f t="shared" si="20"/>
        <v>0</v>
      </c>
      <c r="BR35" s="379">
        <f t="shared" si="21"/>
        <v>0</v>
      </c>
      <c r="BU35" s="379">
        <f t="shared" si="22"/>
        <v>0</v>
      </c>
      <c r="BX35" s="379">
        <f t="shared" si="23"/>
        <v>0</v>
      </c>
      <c r="CA35" s="379">
        <f t="shared" si="24"/>
        <v>0</v>
      </c>
      <c r="CD35" s="379">
        <f t="shared" si="25"/>
        <v>0</v>
      </c>
      <c r="CG35" s="379">
        <f t="shared" si="26"/>
        <v>0</v>
      </c>
      <c r="CJ35" s="379">
        <f t="shared" si="27"/>
        <v>0</v>
      </c>
      <c r="CM35" s="379">
        <f t="shared" si="28"/>
        <v>0</v>
      </c>
      <c r="CP35" s="379">
        <f t="shared" si="29"/>
        <v>0</v>
      </c>
      <c r="CS35" s="379">
        <f t="shared" si="30"/>
        <v>0</v>
      </c>
      <c r="CV35" s="379">
        <f t="shared" si="31"/>
        <v>0</v>
      </c>
      <c r="CY35" s="379">
        <f t="shared" si="32"/>
        <v>0</v>
      </c>
      <c r="DB35" s="379">
        <f t="shared" si="33"/>
        <v>0</v>
      </c>
      <c r="DE35" s="379">
        <f t="shared" si="34"/>
        <v>0</v>
      </c>
      <c r="DH35" s="379">
        <f t="shared" si="35"/>
        <v>0</v>
      </c>
      <c r="DK35" s="379">
        <f t="shared" si="36"/>
        <v>0</v>
      </c>
      <c r="DN35" s="379">
        <f t="shared" si="37"/>
        <v>0</v>
      </c>
      <c r="DQ35" s="379">
        <f t="shared" si="38"/>
        <v>0</v>
      </c>
      <c r="DT35" s="379">
        <f t="shared" si="39"/>
        <v>0</v>
      </c>
      <c r="DW35" s="379">
        <f t="shared" si="40"/>
        <v>0</v>
      </c>
      <c r="DY35" s="384"/>
      <c r="DZ35" s="366"/>
      <c r="EA35" s="379"/>
      <c r="EB35" s="190">
        <f t="shared" si="41"/>
        <v>552182956.28999996</v>
      </c>
      <c r="EC35" s="190">
        <f t="shared" si="42"/>
        <v>64832956.289999962</v>
      </c>
      <c r="ED35" s="379">
        <f t="shared" si="43"/>
        <v>35481.145929283331</v>
      </c>
      <c r="EE35" s="380">
        <f t="shared" si="44"/>
        <v>2.3132210780938446E-2</v>
      </c>
      <c r="EG35" s="190">
        <f t="shared" si="45"/>
        <v>0</v>
      </c>
      <c r="EH35" s="379">
        <f t="shared" si="46"/>
        <v>0</v>
      </c>
      <c r="EI35" s="380">
        <f t="shared" si="47"/>
        <v>0</v>
      </c>
      <c r="EJ35" s="380"/>
      <c r="EK35" s="190">
        <f t="shared" si="48"/>
        <v>487350000</v>
      </c>
      <c r="EL35" s="190">
        <f t="shared" si="49"/>
        <v>0</v>
      </c>
      <c r="EM35" s="190">
        <f t="shared" si="50"/>
        <v>31915.333333333336</v>
      </c>
      <c r="EN35" s="380">
        <f t="shared" si="51"/>
        <v>2.3575500153893508E-2</v>
      </c>
      <c r="EO35" s="391"/>
      <c r="EP35" s="379"/>
    </row>
    <row r="36" spans="1:146">
      <c r="A36" s="378">
        <f t="shared" si="52"/>
        <v>43337</v>
      </c>
      <c r="D36" s="379">
        <f t="shared" si="1"/>
        <v>0</v>
      </c>
      <c r="E36" s="379">
        <v>64832956.289999999</v>
      </c>
      <c r="F36" s="380">
        <v>1.9799999999999998E-2</v>
      </c>
      <c r="G36" s="379">
        <f t="shared" si="2"/>
        <v>3565.8125959499998</v>
      </c>
      <c r="J36" s="379">
        <f t="shared" si="3"/>
        <v>0</v>
      </c>
      <c r="M36" s="379">
        <f t="shared" si="4"/>
        <v>0</v>
      </c>
      <c r="P36" s="379">
        <f t="shared" si="5"/>
        <v>0</v>
      </c>
      <c r="S36" s="379">
        <f t="shared" si="6"/>
        <v>0</v>
      </c>
      <c r="V36" s="379">
        <f t="shared" si="7"/>
        <v>0</v>
      </c>
      <c r="Y36" s="379">
        <f t="shared" si="8"/>
        <v>0</v>
      </c>
      <c r="AB36" s="379">
        <f t="shared" si="9"/>
        <v>0</v>
      </c>
      <c r="AE36" s="379">
        <v>0</v>
      </c>
      <c r="AH36" s="379">
        <v>0</v>
      </c>
      <c r="AI36" s="381">
        <f>22450000</f>
        <v>22450000</v>
      </c>
      <c r="AJ36" s="382">
        <v>2.24E-2</v>
      </c>
      <c r="AK36" s="379">
        <f t="shared" si="10"/>
        <v>1396.8888888888889</v>
      </c>
      <c r="AL36" s="381">
        <f t="shared" si="55"/>
        <v>60000000</v>
      </c>
      <c r="AM36" s="382">
        <v>2.4E-2</v>
      </c>
      <c r="AN36" s="379">
        <f t="shared" si="11"/>
        <v>4000</v>
      </c>
      <c r="AO36" s="381">
        <f t="shared" si="0"/>
        <v>149500000</v>
      </c>
      <c r="AP36" s="382">
        <v>2.3599999999999999E-2</v>
      </c>
      <c r="AQ36" s="379">
        <f t="shared" si="12"/>
        <v>9800.5555555555547</v>
      </c>
      <c r="AR36" s="381">
        <f t="shared" si="53"/>
        <v>125500000</v>
      </c>
      <c r="AS36" s="382">
        <v>2.3599999999999999E-2</v>
      </c>
      <c r="AT36" s="379">
        <f t="shared" si="13"/>
        <v>8227.2222222222226</v>
      </c>
      <c r="AU36" s="381">
        <f t="shared" si="54"/>
        <v>99900000</v>
      </c>
      <c r="AV36" s="382">
        <v>2.3599999999999999E-2</v>
      </c>
      <c r="AW36" s="379">
        <f t="shared" si="14"/>
        <v>6549</v>
      </c>
      <c r="AX36" s="381">
        <f t="shared" si="56"/>
        <v>30000000</v>
      </c>
      <c r="AY36" s="382">
        <v>2.3300000000000001E-2</v>
      </c>
      <c r="AZ36" s="379">
        <f t="shared" si="15"/>
        <v>1941.6666666666667</v>
      </c>
      <c r="BC36" s="379">
        <f t="shared" si="16"/>
        <v>0</v>
      </c>
      <c r="BF36" s="379">
        <f t="shared" si="17"/>
        <v>0</v>
      </c>
      <c r="BI36" s="379">
        <f t="shared" si="18"/>
        <v>0</v>
      </c>
      <c r="BL36" s="379">
        <f t="shared" si="19"/>
        <v>0</v>
      </c>
      <c r="BO36" s="379">
        <f t="shared" si="20"/>
        <v>0</v>
      </c>
      <c r="BR36" s="379">
        <f t="shared" si="21"/>
        <v>0</v>
      </c>
      <c r="BU36" s="379">
        <f t="shared" si="22"/>
        <v>0</v>
      </c>
      <c r="BX36" s="379">
        <f t="shared" si="23"/>
        <v>0</v>
      </c>
      <c r="CA36" s="379">
        <f t="shared" si="24"/>
        <v>0</v>
      </c>
      <c r="CD36" s="379">
        <f t="shared" si="25"/>
        <v>0</v>
      </c>
      <c r="CG36" s="379">
        <f t="shared" si="26"/>
        <v>0</v>
      </c>
      <c r="CJ36" s="379">
        <f t="shared" si="27"/>
        <v>0</v>
      </c>
      <c r="CM36" s="379">
        <f t="shared" si="28"/>
        <v>0</v>
      </c>
      <c r="CP36" s="379">
        <f t="shared" si="29"/>
        <v>0</v>
      </c>
      <c r="CS36" s="379">
        <f t="shared" si="30"/>
        <v>0</v>
      </c>
      <c r="CV36" s="379">
        <f t="shared" si="31"/>
        <v>0</v>
      </c>
      <c r="CY36" s="379">
        <f t="shared" si="32"/>
        <v>0</v>
      </c>
      <c r="DB36" s="379">
        <f t="shared" si="33"/>
        <v>0</v>
      </c>
      <c r="DE36" s="379">
        <f t="shared" si="34"/>
        <v>0</v>
      </c>
      <c r="DH36" s="379">
        <f t="shared" si="35"/>
        <v>0</v>
      </c>
      <c r="DK36" s="379">
        <f t="shared" si="36"/>
        <v>0</v>
      </c>
      <c r="DN36" s="379">
        <f t="shared" si="37"/>
        <v>0</v>
      </c>
      <c r="DQ36" s="379">
        <f t="shared" si="38"/>
        <v>0</v>
      </c>
      <c r="DT36" s="379">
        <f t="shared" si="39"/>
        <v>0</v>
      </c>
      <c r="DW36" s="379">
        <f t="shared" si="40"/>
        <v>0</v>
      </c>
      <c r="DY36" s="384"/>
      <c r="DZ36" s="366"/>
      <c r="EA36" s="379"/>
      <c r="EB36" s="190">
        <f t="shared" si="41"/>
        <v>552182956.28999996</v>
      </c>
      <c r="EC36" s="190">
        <f t="shared" si="42"/>
        <v>64832956.289999962</v>
      </c>
      <c r="ED36" s="379">
        <f t="shared" si="43"/>
        <v>35481.145929283331</v>
      </c>
      <c r="EE36" s="380">
        <f t="shared" si="44"/>
        <v>2.3132210780938446E-2</v>
      </c>
      <c r="EG36" s="190">
        <f t="shared" si="45"/>
        <v>0</v>
      </c>
      <c r="EH36" s="379">
        <f t="shared" si="46"/>
        <v>0</v>
      </c>
      <c r="EI36" s="380">
        <f t="shared" si="47"/>
        <v>0</v>
      </c>
      <c r="EJ36" s="380"/>
      <c r="EK36" s="190">
        <f t="shared" si="48"/>
        <v>487350000</v>
      </c>
      <c r="EL36" s="190">
        <f t="shared" si="49"/>
        <v>0</v>
      </c>
      <c r="EM36" s="190">
        <f t="shared" si="50"/>
        <v>31915.333333333336</v>
      </c>
      <c r="EN36" s="380">
        <f t="shared" si="51"/>
        <v>2.3575500153893508E-2</v>
      </c>
      <c r="EO36" s="391"/>
      <c r="EP36" s="379"/>
    </row>
    <row r="37" spans="1:146">
      <c r="A37" s="378">
        <f t="shared" si="52"/>
        <v>43338</v>
      </c>
      <c r="D37" s="379">
        <f t="shared" si="1"/>
        <v>0</v>
      </c>
      <c r="E37" s="379">
        <v>64832956.289999999</v>
      </c>
      <c r="F37" s="380">
        <v>1.9799999999999998E-2</v>
      </c>
      <c r="G37" s="379">
        <f t="shared" si="2"/>
        <v>3565.8125959499998</v>
      </c>
      <c r="J37" s="379">
        <f t="shared" si="3"/>
        <v>0</v>
      </c>
      <c r="M37" s="379">
        <f t="shared" si="4"/>
        <v>0</v>
      </c>
      <c r="P37" s="379">
        <f t="shared" si="5"/>
        <v>0</v>
      </c>
      <c r="S37" s="379">
        <f t="shared" si="6"/>
        <v>0</v>
      </c>
      <c r="V37" s="379">
        <f t="shared" si="7"/>
        <v>0</v>
      </c>
      <c r="Y37" s="379">
        <f t="shared" si="8"/>
        <v>0</v>
      </c>
      <c r="AB37" s="379">
        <f t="shared" si="9"/>
        <v>0</v>
      </c>
      <c r="AE37" s="379">
        <v>0</v>
      </c>
      <c r="AH37" s="379">
        <v>0</v>
      </c>
      <c r="AI37" s="381">
        <f>22450000</f>
        <v>22450000</v>
      </c>
      <c r="AJ37" s="382">
        <v>2.24E-2</v>
      </c>
      <c r="AK37" s="379">
        <f t="shared" si="10"/>
        <v>1396.8888888888889</v>
      </c>
      <c r="AL37" s="381">
        <f t="shared" si="55"/>
        <v>60000000</v>
      </c>
      <c r="AM37" s="382">
        <v>2.4E-2</v>
      </c>
      <c r="AN37" s="379">
        <f t="shared" si="11"/>
        <v>4000</v>
      </c>
      <c r="AO37" s="381">
        <f t="shared" si="0"/>
        <v>149500000</v>
      </c>
      <c r="AP37" s="382">
        <v>2.3599999999999999E-2</v>
      </c>
      <c r="AQ37" s="379">
        <f t="shared" si="12"/>
        <v>9800.5555555555547</v>
      </c>
      <c r="AR37" s="381">
        <f t="shared" si="53"/>
        <v>125500000</v>
      </c>
      <c r="AS37" s="382">
        <v>2.3599999999999999E-2</v>
      </c>
      <c r="AT37" s="379">
        <f t="shared" si="13"/>
        <v>8227.2222222222226</v>
      </c>
      <c r="AU37" s="381">
        <f t="shared" si="54"/>
        <v>99900000</v>
      </c>
      <c r="AV37" s="382">
        <v>2.3599999999999999E-2</v>
      </c>
      <c r="AW37" s="379">
        <f t="shared" si="14"/>
        <v>6549</v>
      </c>
      <c r="AX37" s="381">
        <f t="shared" si="56"/>
        <v>30000000</v>
      </c>
      <c r="AY37" s="382">
        <v>2.3300000000000001E-2</v>
      </c>
      <c r="AZ37" s="379">
        <f t="shared" si="15"/>
        <v>1941.6666666666667</v>
      </c>
      <c r="BC37" s="379">
        <f t="shared" si="16"/>
        <v>0</v>
      </c>
      <c r="BF37" s="379">
        <f t="shared" si="17"/>
        <v>0</v>
      </c>
      <c r="BI37" s="379">
        <f t="shared" si="18"/>
        <v>0</v>
      </c>
      <c r="BL37" s="379">
        <f t="shared" si="19"/>
        <v>0</v>
      </c>
      <c r="BO37" s="379">
        <f t="shared" si="20"/>
        <v>0</v>
      </c>
      <c r="BR37" s="379">
        <f t="shared" si="21"/>
        <v>0</v>
      </c>
      <c r="BU37" s="379">
        <f t="shared" si="22"/>
        <v>0</v>
      </c>
      <c r="BX37" s="379">
        <f t="shared" si="23"/>
        <v>0</v>
      </c>
      <c r="CA37" s="379">
        <f t="shared" si="24"/>
        <v>0</v>
      </c>
      <c r="CD37" s="379">
        <f t="shared" si="25"/>
        <v>0</v>
      </c>
      <c r="CG37" s="379">
        <f t="shared" si="26"/>
        <v>0</v>
      </c>
      <c r="CJ37" s="379">
        <f t="shared" si="27"/>
        <v>0</v>
      </c>
      <c r="CM37" s="379">
        <f t="shared" si="28"/>
        <v>0</v>
      </c>
      <c r="CP37" s="379">
        <f t="shared" si="29"/>
        <v>0</v>
      </c>
      <c r="CS37" s="379">
        <f t="shared" si="30"/>
        <v>0</v>
      </c>
      <c r="CV37" s="379">
        <f t="shared" si="31"/>
        <v>0</v>
      </c>
      <c r="CY37" s="379">
        <f t="shared" si="32"/>
        <v>0</v>
      </c>
      <c r="DB37" s="379">
        <f t="shared" si="33"/>
        <v>0</v>
      </c>
      <c r="DE37" s="379">
        <f t="shared" si="34"/>
        <v>0</v>
      </c>
      <c r="DH37" s="379">
        <f t="shared" si="35"/>
        <v>0</v>
      </c>
      <c r="DK37" s="379">
        <f t="shared" si="36"/>
        <v>0</v>
      </c>
      <c r="DN37" s="379">
        <f t="shared" si="37"/>
        <v>0</v>
      </c>
      <c r="DQ37" s="379">
        <f t="shared" si="38"/>
        <v>0</v>
      </c>
      <c r="DT37" s="379">
        <f t="shared" si="39"/>
        <v>0</v>
      </c>
      <c r="DW37" s="379">
        <f t="shared" si="40"/>
        <v>0</v>
      </c>
      <c r="DY37" s="384"/>
      <c r="DZ37" s="366"/>
      <c r="EA37" s="379"/>
      <c r="EB37" s="190">
        <f t="shared" si="41"/>
        <v>552182956.28999996</v>
      </c>
      <c r="EC37" s="190">
        <f t="shared" si="42"/>
        <v>64832956.289999962</v>
      </c>
      <c r="ED37" s="379">
        <f t="shared" si="43"/>
        <v>35481.145929283331</v>
      </c>
      <c r="EE37" s="380">
        <f t="shared" si="44"/>
        <v>2.3132210780938446E-2</v>
      </c>
      <c r="EG37" s="190">
        <f t="shared" si="45"/>
        <v>0</v>
      </c>
      <c r="EH37" s="379">
        <f t="shared" si="46"/>
        <v>0</v>
      </c>
      <c r="EI37" s="380">
        <f t="shared" si="47"/>
        <v>0</v>
      </c>
      <c r="EJ37" s="380"/>
      <c r="EK37" s="190">
        <f t="shared" si="48"/>
        <v>487350000</v>
      </c>
      <c r="EL37" s="190">
        <f t="shared" si="49"/>
        <v>0</v>
      </c>
      <c r="EM37" s="190">
        <f t="shared" si="50"/>
        <v>31915.333333333336</v>
      </c>
      <c r="EN37" s="380">
        <f t="shared" si="51"/>
        <v>2.3575500153893508E-2</v>
      </c>
      <c r="EO37" s="391"/>
      <c r="EP37" s="379"/>
    </row>
    <row r="38" spans="1:146">
      <c r="A38" s="378">
        <f t="shared" si="52"/>
        <v>43339</v>
      </c>
      <c r="D38" s="379">
        <f t="shared" si="1"/>
        <v>0</v>
      </c>
      <c r="E38" s="379">
        <v>63825606.530000001</v>
      </c>
      <c r="F38" s="380">
        <v>1.9699999999999999E-2</v>
      </c>
      <c r="G38" s="379">
        <f t="shared" si="2"/>
        <v>3492.6790240027772</v>
      </c>
      <c r="J38" s="379">
        <f t="shared" si="3"/>
        <v>0</v>
      </c>
      <c r="M38" s="379">
        <f t="shared" si="4"/>
        <v>0</v>
      </c>
      <c r="P38" s="379">
        <f t="shared" si="5"/>
        <v>0</v>
      </c>
      <c r="S38" s="379">
        <f t="shared" si="6"/>
        <v>0</v>
      </c>
      <c r="V38" s="379">
        <f t="shared" si="7"/>
        <v>0</v>
      </c>
      <c r="Y38" s="379">
        <f t="shared" si="8"/>
        <v>0</v>
      </c>
      <c r="AB38" s="379">
        <f t="shared" si="9"/>
        <v>0</v>
      </c>
      <c r="AE38" s="379">
        <v>0</v>
      </c>
      <c r="AH38" s="379">
        <v>0</v>
      </c>
      <c r="AI38" s="381">
        <f>23475000</f>
        <v>23475000</v>
      </c>
      <c r="AJ38" s="382">
        <v>2.24E-2</v>
      </c>
      <c r="AK38" s="379">
        <f t="shared" si="10"/>
        <v>1460.6666666666667</v>
      </c>
      <c r="AL38" s="381">
        <f t="shared" si="55"/>
        <v>60000000</v>
      </c>
      <c r="AM38" s="382">
        <v>2.4E-2</v>
      </c>
      <c r="AN38" s="379">
        <f t="shared" si="11"/>
        <v>4000</v>
      </c>
      <c r="AO38" s="381">
        <f t="shared" si="0"/>
        <v>149500000</v>
      </c>
      <c r="AP38" s="382">
        <v>2.3599999999999999E-2</v>
      </c>
      <c r="AQ38" s="379">
        <f t="shared" si="12"/>
        <v>9800.5555555555547</v>
      </c>
      <c r="AR38" s="381">
        <f t="shared" si="53"/>
        <v>125500000</v>
      </c>
      <c r="AS38" s="382">
        <v>2.3599999999999999E-2</v>
      </c>
      <c r="AT38" s="379">
        <f t="shared" si="13"/>
        <v>8227.2222222222226</v>
      </c>
      <c r="AU38" s="381">
        <f t="shared" si="54"/>
        <v>99900000</v>
      </c>
      <c r="AV38" s="382">
        <v>2.3599999999999999E-2</v>
      </c>
      <c r="AW38" s="379">
        <f t="shared" si="14"/>
        <v>6549</v>
      </c>
      <c r="AX38" s="381">
        <f t="shared" si="56"/>
        <v>30000000</v>
      </c>
      <c r="AY38" s="382">
        <v>2.3300000000000001E-2</v>
      </c>
      <c r="AZ38" s="379">
        <f t="shared" si="15"/>
        <v>1941.6666666666667</v>
      </c>
      <c r="BC38" s="379">
        <f t="shared" si="16"/>
        <v>0</v>
      </c>
      <c r="BF38" s="379">
        <f t="shared" si="17"/>
        <v>0</v>
      </c>
      <c r="BI38" s="379">
        <f t="shared" si="18"/>
        <v>0</v>
      </c>
      <c r="BL38" s="379">
        <f t="shared" si="19"/>
        <v>0</v>
      </c>
      <c r="BO38" s="379">
        <f t="shared" si="20"/>
        <v>0</v>
      </c>
      <c r="BR38" s="379">
        <f t="shared" si="21"/>
        <v>0</v>
      </c>
      <c r="BU38" s="379">
        <f t="shared" si="22"/>
        <v>0</v>
      </c>
      <c r="BX38" s="379">
        <f t="shared" si="23"/>
        <v>0</v>
      </c>
      <c r="CA38" s="379">
        <f t="shared" si="24"/>
        <v>0</v>
      </c>
      <c r="CD38" s="379">
        <f t="shared" si="25"/>
        <v>0</v>
      </c>
      <c r="CG38" s="379">
        <f t="shared" si="26"/>
        <v>0</v>
      </c>
      <c r="CJ38" s="379">
        <f t="shared" si="27"/>
        <v>0</v>
      </c>
      <c r="CM38" s="379">
        <f t="shared" si="28"/>
        <v>0</v>
      </c>
      <c r="CP38" s="379">
        <f t="shared" si="29"/>
        <v>0</v>
      </c>
      <c r="CS38" s="379">
        <f t="shared" si="30"/>
        <v>0</v>
      </c>
      <c r="CV38" s="379">
        <f t="shared" si="31"/>
        <v>0</v>
      </c>
      <c r="CY38" s="379">
        <f t="shared" si="32"/>
        <v>0</v>
      </c>
      <c r="DB38" s="379">
        <f t="shared" si="33"/>
        <v>0</v>
      </c>
      <c r="DE38" s="379">
        <f t="shared" si="34"/>
        <v>0</v>
      </c>
      <c r="DH38" s="379">
        <f t="shared" si="35"/>
        <v>0</v>
      </c>
      <c r="DK38" s="379">
        <f t="shared" si="36"/>
        <v>0</v>
      </c>
      <c r="DN38" s="379">
        <f t="shared" si="37"/>
        <v>0</v>
      </c>
      <c r="DQ38" s="379">
        <f t="shared" si="38"/>
        <v>0</v>
      </c>
      <c r="DT38" s="379">
        <f t="shared" si="39"/>
        <v>0</v>
      </c>
      <c r="DW38" s="379">
        <f t="shared" si="40"/>
        <v>0</v>
      </c>
      <c r="DY38" s="384"/>
      <c r="DZ38" s="366"/>
      <c r="EA38" s="379"/>
      <c r="EB38" s="190">
        <f t="shared" si="41"/>
        <v>552200606.52999997</v>
      </c>
      <c r="EC38" s="190">
        <f t="shared" si="42"/>
        <v>63825606.529999971</v>
      </c>
      <c r="ED38" s="379">
        <f t="shared" si="43"/>
        <v>35471.790135113886</v>
      </c>
      <c r="EE38" s="380">
        <f t="shared" si="44"/>
        <v>2.312537200726026E-2</v>
      </c>
      <c r="EG38" s="190">
        <f t="shared" si="45"/>
        <v>0</v>
      </c>
      <c r="EH38" s="379">
        <f t="shared" si="46"/>
        <v>0</v>
      </c>
      <c r="EI38" s="380">
        <f t="shared" si="47"/>
        <v>0</v>
      </c>
      <c r="EJ38" s="380"/>
      <c r="EK38" s="190">
        <f t="shared" si="48"/>
        <v>488375000</v>
      </c>
      <c r="EL38" s="190">
        <f t="shared" si="49"/>
        <v>0</v>
      </c>
      <c r="EM38" s="190">
        <f t="shared" si="50"/>
        <v>31979.111111111113</v>
      </c>
      <c r="EN38" s="380">
        <f t="shared" si="51"/>
        <v>2.3573033017660613E-2</v>
      </c>
      <c r="EO38" s="391"/>
      <c r="EP38" s="379"/>
    </row>
    <row r="39" spans="1:146">
      <c r="A39" s="378">
        <f t="shared" si="52"/>
        <v>43340</v>
      </c>
      <c r="D39" s="379">
        <f t="shared" si="1"/>
        <v>0</v>
      </c>
      <c r="E39" s="379">
        <v>67109339.019999996</v>
      </c>
      <c r="F39" s="380">
        <v>1.9699999999999999E-2</v>
      </c>
      <c r="G39" s="379">
        <f t="shared" si="2"/>
        <v>3672.3721630388882</v>
      </c>
      <c r="J39" s="379">
        <f t="shared" si="3"/>
        <v>0</v>
      </c>
      <c r="M39" s="379">
        <f t="shared" si="4"/>
        <v>0</v>
      </c>
      <c r="P39" s="379">
        <f t="shared" si="5"/>
        <v>0</v>
      </c>
      <c r="S39" s="379">
        <f t="shared" si="6"/>
        <v>0</v>
      </c>
      <c r="V39" s="379">
        <f t="shared" si="7"/>
        <v>0</v>
      </c>
      <c r="Y39" s="379">
        <f t="shared" si="8"/>
        <v>0</v>
      </c>
      <c r="AB39" s="379">
        <f t="shared" si="9"/>
        <v>0</v>
      </c>
      <c r="AE39" s="379">
        <v>0</v>
      </c>
      <c r="AH39" s="379">
        <v>0</v>
      </c>
      <c r="AI39" s="381">
        <f>20200000</f>
        <v>20200000</v>
      </c>
      <c r="AJ39" s="382">
        <v>2.24E-2</v>
      </c>
      <c r="AK39" s="379">
        <f t="shared" si="10"/>
        <v>1256.8888888888889</v>
      </c>
      <c r="AL39" s="381">
        <f t="shared" si="55"/>
        <v>60000000</v>
      </c>
      <c r="AM39" s="382">
        <v>2.4E-2</v>
      </c>
      <c r="AN39" s="379">
        <f t="shared" si="11"/>
        <v>4000</v>
      </c>
      <c r="AO39" s="381">
        <f t="shared" si="0"/>
        <v>149500000</v>
      </c>
      <c r="AP39" s="382">
        <v>2.3599999999999999E-2</v>
      </c>
      <c r="AQ39" s="379">
        <f t="shared" si="12"/>
        <v>9800.5555555555547</v>
      </c>
      <c r="AR39" s="381">
        <f t="shared" si="53"/>
        <v>125500000</v>
      </c>
      <c r="AS39" s="382">
        <v>2.3599999999999999E-2</v>
      </c>
      <c r="AT39" s="379">
        <f t="shared" si="13"/>
        <v>8227.2222222222226</v>
      </c>
      <c r="AU39" s="381">
        <f t="shared" si="54"/>
        <v>99900000</v>
      </c>
      <c r="AV39" s="382">
        <v>2.3599999999999999E-2</v>
      </c>
      <c r="AW39" s="379">
        <f t="shared" si="14"/>
        <v>6549</v>
      </c>
      <c r="AX39" s="381">
        <f t="shared" si="56"/>
        <v>30000000</v>
      </c>
      <c r="AY39" s="382">
        <v>2.3300000000000001E-2</v>
      </c>
      <c r="AZ39" s="379">
        <f t="shared" si="15"/>
        <v>1941.6666666666667</v>
      </c>
      <c r="BC39" s="379">
        <f t="shared" si="16"/>
        <v>0</v>
      </c>
      <c r="BF39" s="379">
        <f t="shared" si="17"/>
        <v>0</v>
      </c>
      <c r="BI39" s="379">
        <f t="shared" si="18"/>
        <v>0</v>
      </c>
      <c r="BL39" s="379">
        <f t="shared" si="19"/>
        <v>0</v>
      </c>
      <c r="BO39" s="379">
        <f t="shared" si="20"/>
        <v>0</v>
      </c>
      <c r="BR39" s="379">
        <f t="shared" si="21"/>
        <v>0</v>
      </c>
      <c r="BU39" s="379">
        <f t="shared" si="22"/>
        <v>0</v>
      </c>
      <c r="BX39" s="379">
        <f t="shared" si="23"/>
        <v>0</v>
      </c>
      <c r="CA39" s="379">
        <f t="shared" si="24"/>
        <v>0</v>
      </c>
      <c r="CD39" s="379">
        <f t="shared" si="25"/>
        <v>0</v>
      </c>
      <c r="CG39" s="379">
        <f t="shared" si="26"/>
        <v>0</v>
      </c>
      <c r="CJ39" s="379">
        <f t="shared" si="27"/>
        <v>0</v>
      </c>
      <c r="CM39" s="379">
        <f t="shared" si="28"/>
        <v>0</v>
      </c>
      <c r="CP39" s="379">
        <f t="shared" si="29"/>
        <v>0</v>
      </c>
      <c r="CS39" s="379">
        <f t="shared" si="30"/>
        <v>0</v>
      </c>
      <c r="CV39" s="379">
        <f t="shared" si="31"/>
        <v>0</v>
      </c>
      <c r="CY39" s="379">
        <f t="shared" si="32"/>
        <v>0</v>
      </c>
      <c r="DB39" s="379">
        <f t="shared" si="33"/>
        <v>0</v>
      </c>
      <c r="DE39" s="379">
        <f t="shared" si="34"/>
        <v>0</v>
      </c>
      <c r="DH39" s="379">
        <f t="shared" si="35"/>
        <v>0</v>
      </c>
      <c r="DK39" s="379">
        <f t="shared" si="36"/>
        <v>0</v>
      </c>
      <c r="DN39" s="379">
        <f t="shared" si="37"/>
        <v>0</v>
      </c>
      <c r="DQ39" s="379">
        <f t="shared" si="38"/>
        <v>0</v>
      </c>
      <c r="DT39" s="379">
        <f t="shared" si="39"/>
        <v>0</v>
      </c>
      <c r="DW39" s="379">
        <f t="shared" si="40"/>
        <v>0</v>
      </c>
      <c r="DY39" s="384"/>
      <c r="DZ39" s="366"/>
      <c r="EA39" s="379"/>
      <c r="EB39" s="190">
        <f t="shared" si="41"/>
        <v>552209339.01999998</v>
      </c>
      <c r="EC39" s="190">
        <f t="shared" si="42"/>
        <v>67109339.019999981</v>
      </c>
      <c r="ED39" s="379">
        <f t="shared" si="43"/>
        <v>35447.705496372218</v>
      </c>
      <c r="EE39" s="380">
        <f t="shared" si="44"/>
        <v>2.3109304890317713E-2</v>
      </c>
      <c r="EG39" s="190">
        <f t="shared" si="45"/>
        <v>0</v>
      </c>
      <c r="EH39" s="379">
        <f t="shared" si="46"/>
        <v>0</v>
      </c>
      <c r="EI39" s="380">
        <f t="shared" si="47"/>
        <v>0</v>
      </c>
      <c r="EJ39" s="380"/>
      <c r="EK39" s="190">
        <f t="shared" si="48"/>
        <v>485100000</v>
      </c>
      <c r="EL39" s="190">
        <f t="shared" si="49"/>
        <v>0</v>
      </c>
      <c r="EM39" s="190">
        <f t="shared" si="50"/>
        <v>31775.333333333336</v>
      </c>
      <c r="EN39" s="380">
        <f t="shared" si="51"/>
        <v>2.3580952380952386E-2</v>
      </c>
      <c r="EO39" s="391"/>
      <c r="EP39" s="379"/>
    </row>
    <row r="40" spans="1:146">
      <c r="A40" s="378">
        <f t="shared" si="52"/>
        <v>43341</v>
      </c>
      <c r="D40" s="379">
        <f t="shared" si="1"/>
        <v>0</v>
      </c>
      <c r="E40" s="379">
        <v>49437284.869999997</v>
      </c>
      <c r="F40" s="380">
        <v>2.0099999999999996E-2</v>
      </c>
      <c r="G40" s="379">
        <f t="shared" si="2"/>
        <v>2760.2484052416662</v>
      </c>
      <c r="J40" s="379">
        <f t="shared" si="3"/>
        <v>0</v>
      </c>
      <c r="M40" s="379">
        <f t="shared" si="4"/>
        <v>0</v>
      </c>
      <c r="P40" s="379">
        <f t="shared" si="5"/>
        <v>0</v>
      </c>
      <c r="S40" s="379">
        <f t="shared" si="6"/>
        <v>0</v>
      </c>
      <c r="V40" s="379">
        <f t="shared" si="7"/>
        <v>0</v>
      </c>
      <c r="Y40" s="379">
        <f t="shared" si="8"/>
        <v>0</v>
      </c>
      <c r="AB40" s="379">
        <f t="shared" si="9"/>
        <v>0</v>
      </c>
      <c r="AE40" s="379">
        <v>0</v>
      </c>
      <c r="AH40" s="379">
        <v>0</v>
      </c>
      <c r="AI40" s="381">
        <f>37875000</f>
        <v>37875000</v>
      </c>
      <c r="AJ40" s="382">
        <v>2.24E-2</v>
      </c>
      <c r="AK40" s="379">
        <f t="shared" si="10"/>
        <v>2356.6666666666665</v>
      </c>
      <c r="AL40" s="381">
        <f t="shared" si="55"/>
        <v>60000000</v>
      </c>
      <c r="AM40" s="382">
        <v>2.4E-2</v>
      </c>
      <c r="AN40" s="379">
        <f t="shared" si="11"/>
        <v>4000</v>
      </c>
      <c r="AO40" s="381">
        <f t="shared" si="0"/>
        <v>149500000</v>
      </c>
      <c r="AP40" s="382">
        <v>2.3599999999999999E-2</v>
      </c>
      <c r="AQ40" s="379">
        <f t="shared" si="12"/>
        <v>9800.5555555555547</v>
      </c>
      <c r="AR40" s="381">
        <f t="shared" si="53"/>
        <v>125500000</v>
      </c>
      <c r="AS40" s="382">
        <v>2.3599999999999999E-2</v>
      </c>
      <c r="AT40" s="379">
        <f t="shared" si="13"/>
        <v>8227.2222222222226</v>
      </c>
      <c r="AU40" s="381">
        <f t="shared" si="54"/>
        <v>99900000</v>
      </c>
      <c r="AV40" s="382">
        <v>2.3599999999999999E-2</v>
      </c>
      <c r="AW40" s="379">
        <f t="shared" si="14"/>
        <v>6549</v>
      </c>
      <c r="AX40" s="381">
        <f t="shared" si="56"/>
        <v>30000000</v>
      </c>
      <c r="AY40" s="382">
        <v>2.3300000000000001E-2</v>
      </c>
      <c r="AZ40" s="379">
        <f t="shared" si="15"/>
        <v>1941.6666666666667</v>
      </c>
      <c r="BC40" s="379">
        <f t="shared" si="16"/>
        <v>0</v>
      </c>
      <c r="BF40" s="379">
        <f t="shared" si="17"/>
        <v>0</v>
      </c>
      <c r="BI40" s="379">
        <f t="shared" si="18"/>
        <v>0</v>
      </c>
      <c r="BL40" s="379">
        <f t="shared" si="19"/>
        <v>0</v>
      </c>
      <c r="BO40" s="379">
        <f t="shared" si="20"/>
        <v>0</v>
      </c>
      <c r="BR40" s="379">
        <f t="shared" si="21"/>
        <v>0</v>
      </c>
      <c r="BU40" s="379">
        <f t="shared" si="22"/>
        <v>0</v>
      </c>
      <c r="BX40" s="379">
        <f t="shared" si="23"/>
        <v>0</v>
      </c>
      <c r="CA40" s="379">
        <f t="shared" si="24"/>
        <v>0</v>
      </c>
      <c r="CD40" s="379">
        <f t="shared" si="25"/>
        <v>0</v>
      </c>
      <c r="CG40" s="379">
        <f t="shared" si="26"/>
        <v>0</v>
      </c>
      <c r="CJ40" s="379">
        <f t="shared" si="27"/>
        <v>0</v>
      </c>
      <c r="CM40" s="379">
        <f t="shared" si="28"/>
        <v>0</v>
      </c>
      <c r="CP40" s="379">
        <f t="shared" si="29"/>
        <v>0</v>
      </c>
      <c r="CS40" s="379">
        <f t="shared" si="30"/>
        <v>0</v>
      </c>
      <c r="CV40" s="379">
        <f t="shared" si="31"/>
        <v>0</v>
      </c>
      <c r="CY40" s="379">
        <f t="shared" si="32"/>
        <v>0</v>
      </c>
      <c r="DB40" s="379">
        <f t="shared" si="33"/>
        <v>0</v>
      </c>
      <c r="DE40" s="379">
        <f t="shared" si="34"/>
        <v>0</v>
      </c>
      <c r="DH40" s="379">
        <f t="shared" si="35"/>
        <v>0</v>
      </c>
      <c r="DK40" s="379">
        <f t="shared" si="36"/>
        <v>0</v>
      </c>
      <c r="DN40" s="379">
        <f t="shared" si="37"/>
        <v>0</v>
      </c>
      <c r="DQ40" s="379">
        <f t="shared" si="38"/>
        <v>0</v>
      </c>
      <c r="DT40" s="379">
        <f t="shared" si="39"/>
        <v>0</v>
      </c>
      <c r="DW40" s="379">
        <f t="shared" si="40"/>
        <v>0</v>
      </c>
      <c r="DY40" s="384"/>
      <c r="DZ40" s="366"/>
      <c r="EA40" s="379"/>
      <c r="EB40" s="190">
        <f t="shared" si="41"/>
        <v>552212284.87</v>
      </c>
      <c r="EC40" s="190">
        <f t="shared" si="42"/>
        <v>49437284.870000005</v>
      </c>
      <c r="ED40" s="379">
        <f t="shared" si="43"/>
        <v>35635.359516352772</v>
      </c>
      <c r="EE40" s="380">
        <f t="shared" si="44"/>
        <v>2.3231517619907886E-2</v>
      </c>
      <c r="EG40" s="190">
        <f t="shared" si="45"/>
        <v>0</v>
      </c>
      <c r="EH40" s="379">
        <f t="shared" si="46"/>
        <v>0</v>
      </c>
      <c r="EI40" s="380">
        <f t="shared" si="47"/>
        <v>0</v>
      </c>
      <c r="EJ40" s="380"/>
      <c r="EK40" s="190">
        <f t="shared" si="48"/>
        <v>502775000</v>
      </c>
      <c r="EL40" s="190">
        <f t="shared" si="49"/>
        <v>0</v>
      </c>
      <c r="EM40" s="190">
        <f t="shared" si="50"/>
        <v>32875.111111111109</v>
      </c>
      <c r="EN40" s="380">
        <f t="shared" si="51"/>
        <v>2.3539436129481377E-2</v>
      </c>
      <c r="EO40" s="391"/>
      <c r="EP40" s="379"/>
    </row>
    <row r="41" spans="1:146">
      <c r="A41" s="378">
        <f t="shared" si="52"/>
        <v>43342</v>
      </c>
      <c r="D41" s="379">
        <f t="shared" si="1"/>
        <v>0</v>
      </c>
      <c r="E41" s="379">
        <v>47045498.390000001</v>
      </c>
      <c r="F41" s="380">
        <v>0.02</v>
      </c>
      <c r="G41" s="379">
        <f t="shared" si="2"/>
        <v>2613.6387994444444</v>
      </c>
      <c r="J41" s="379">
        <f t="shared" si="3"/>
        <v>0</v>
      </c>
      <c r="M41" s="379">
        <f t="shared" si="4"/>
        <v>0</v>
      </c>
      <c r="P41" s="379">
        <f t="shared" si="5"/>
        <v>0</v>
      </c>
      <c r="S41" s="379">
        <f t="shared" si="6"/>
        <v>0</v>
      </c>
      <c r="V41" s="379">
        <f t="shared" si="7"/>
        <v>0</v>
      </c>
      <c r="Y41" s="379">
        <f t="shared" si="8"/>
        <v>0</v>
      </c>
      <c r="AB41" s="379">
        <f t="shared" si="9"/>
        <v>0</v>
      </c>
      <c r="AE41" s="379">
        <v>0</v>
      </c>
      <c r="AH41" s="379">
        <v>0</v>
      </c>
      <c r="AI41" s="381">
        <v>39100000</v>
      </c>
      <c r="AJ41" s="382">
        <v>2.24E-2</v>
      </c>
      <c r="AK41" s="379">
        <f t="shared" si="10"/>
        <v>2432.8888888888887</v>
      </c>
      <c r="AL41" s="381">
        <f>60000000</f>
        <v>60000000</v>
      </c>
      <c r="AM41" s="382">
        <v>2.35E-2</v>
      </c>
      <c r="AN41" s="379">
        <f t="shared" si="11"/>
        <v>3916.6666666666665</v>
      </c>
      <c r="AO41" s="381">
        <f t="shared" si="0"/>
        <v>149500000</v>
      </c>
      <c r="AP41" s="382">
        <v>2.3599999999999999E-2</v>
      </c>
      <c r="AQ41" s="379">
        <f t="shared" si="12"/>
        <v>9800.5555555555547</v>
      </c>
      <c r="AR41" s="381">
        <f t="shared" si="53"/>
        <v>125500000</v>
      </c>
      <c r="AS41" s="382">
        <v>2.3599999999999999E-2</v>
      </c>
      <c r="AT41" s="379">
        <f t="shared" si="13"/>
        <v>8227.2222222222226</v>
      </c>
      <c r="AU41" s="381">
        <f t="shared" si="54"/>
        <v>99900000</v>
      </c>
      <c r="AV41" s="382">
        <v>2.3599999999999999E-2</v>
      </c>
      <c r="AW41" s="379">
        <f t="shared" si="14"/>
        <v>6549</v>
      </c>
      <c r="AX41" s="381">
        <f t="shared" si="56"/>
        <v>30000000</v>
      </c>
      <c r="AY41" s="382">
        <v>2.3300000000000001E-2</v>
      </c>
      <c r="AZ41" s="379">
        <f t="shared" si="15"/>
        <v>1941.6666666666667</v>
      </c>
      <c r="BC41" s="379">
        <f t="shared" si="16"/>
        <v>0</v>
      </c>
      <c r="BF41" s="379">
        <f t="shared" si="17"/>
        <v>0</v>
      </c>
      <c r="BI41" s="379">
        <f t="shared" si="18"/>
        <v>0</v>
      </c>
      <c r="BL41" s="379">
        <f t="shared" si="19"/>
        <v>0</v>
      </c>
      <c r="BO41" s="379">
        <f t="shared" si="20"/>
        <v>0</v>
      </c>
      <c r="BR41" s="379">
        <f t="shared" si="21"/>
        <v>0</v>
      </c>
      <c r="BU41" s="379">
        <f t="shared" si="22"/>
        <v>0</v>
      </c>
      <c r="BX41" s="379">
        <f t="shared" si="23"/>
        <v>0</v>
      </c>
      <c r="CA41" s="379">
        <f t="shared" si="24"/>
        <v>0</v>
      </c>
      <c r="CD41" s="379">
        <f t="shared" si="25"/>
        <v>0</v>
      </c>
      <c r="CG41" s="379">
        <f t="shared" si="26"/>
        <v>0</v>
      </c>
      <c r="CJ41" s="379">
        <f t="shared" si="27"/>
        <v>0</v>
      </c>
      <c r="CM41" s="379">
        <f t="shared" si="28"/>
        <v>0</v>
      </c>
      <c r="CP41" s="379">
        <f t="shared" si="29"/>
        <v>0</v>
      </c>
      <c r="CS41" s="379">
        <f t="shared" si="30"/>
        <v>0</v>
      </c>
      <c r="CV41" s="379">
        <f t="shared" si="31"/>
        <v>0</v>
      </c>
      <c r="CY41" s="379">
        <f t="shared" si="32"/>
        <v>0</v>
      </c>
      <c r="DB41" s="379">
        <f t="shared" si="33"/>
        <v>0</v>
      </c>
      <c r="DE41" s="379">
        <f t="shared" si="34"/>
        <v>0</v>
      </c>
      <c r="DH41" s="379">
        <f t="shared" si="35"/>
        <v>0</v>
      </c>
      <c r="DK41" s="379">
        <f t="shared" si="36"/>
        <v>0</v>
      </c>
      <c r="DN41" s="379">
        <f t="shared" si="37"/>
        <v>0</v>
      </c>
      <c r="DQ41" s="379">
        <f t="shared" si="38"/>
        <v>0</v>
      </c>
      <c r="DT41" s="379">
        <f t="shared" si="39"/>
        <v>0</v>
      </c>
      <c r="DW41" s="379">
        <f t="shared" si="40"/>
        <v>0</v>
      </c>
      <c r="DY41" s="384"/>
      <c r="DZ41" s="366"/>
      <c r="EA41" s="379"/>
      <c r="EB41" s="190">
        <f t="shared" si="41"/>
        <v>551045498.38999999</v>
      </c>
      <c r="EC41" s="190">
        <f t="shared" si="42"/>
        <v>47045498.389999986</v>
      </c>
      <c r="ED41" s="379">
        <f t="shared" si="43"/>
        <v>35481.638799444445</v>
      </c>
      <c r="EE41" s="380">
        <f t="shared" si="44"/>
        <v>2.3180281855346343E-2</v>
      </c>
      <c r="EG41" s="190">
        <f t="shared" si="45"/>
        <v>0</v>
      </c>
      <c r="EH41" s="379">
        <f t="shared" si="46"/>
        <v>0</v>
      </c>
      <c r="EI41" s="380">
        <f t="shared" si="47"/>
        <v>0</v>
      </c>
      <c r="EJ41" s="380"/>
      <c r="EK41" s="190">
        <f t="shared" si="48"/>
        <v>504000000</v>
      </c>
      <c r="EL41" s="190">
        <f t="shared" si="49"/>
        <v>0</v>
      </c>
      <c r="EM41" s="190">
        <f t="shared" si="50"/>
        <v>32868</v>
      </c>
      <c r="EN41" s="380">
        <f t="shared" si="51"/>
        <v>2.3477142857142856E-2</v>
      </c>
      <c r="EO41" s="391"/>
      <c r="EP41" s="379"/>
    </row>
    <row r="42" spans="1:146">
      <c r="A42" s="378">
        <f t="shared" si="52"/>
        <v>43343</v>
      </c>
      <c r="D42" s="379">
        <f t="shared" si="1"/>
        <v>0</v>
      </c>
      <c r="E42" s="379">
        <v>40936782.890000001</v>
      </c>
      <c r="F42" s="380">
        <v>2.0199999999999999E-2</v>
      </c>
      <c r="G42" s="379">
        <f t="shared" si="2"/>
        <v>2297.0083732722219</v>
      </c>
      <c r="J42" s="379">
        <f t="shared" si="3"/>
        <v>0</v>
      </c>
      <c r="M42" s="379">
        <f t="shared" si="4"/>
        <v>0</v>
      </c>
      <c r="P42" s="379">
        <f t="shared" si="5"/>
        <v>0</v>
      </c>
      <c r="S42" s="379">
        <f t="shared" si="6"/>
        <v>0</v>
      </c>
      <c r="V42" s="379">
        <f t="shared" si="7"/>
        <v>0</v>
      </c>
      <c r="Y42" s="379">
        <f t="shared" si="8"/>
        <v>0</v>
      </c>
      <c r="AB42" s="379">
        <f t="shared" si="9"/>
        <v>0</v>
      </c>
      <c r="AE42" s="379">
        <v>0</v>
      </c>
      <c r="AH42" s="379">
        <v>0</v>
      </c>
      <c r="AI42" s="381"/>
      <c r="AJ42" s="382"/>
      <c r="AK42" s="379">
        <f t="shared" si="10"/>
        <v>0</v>
      </c>
      <c r="AL42" s="381">
        <f>60000000+45175000</f>
        <v>105175000</v>
      </c>
      <c r="AM42" s="382">
        <v>2.35E-2</v>
      </c>
      <c r="AN42" s="379">
        <f t="shared" si="11"/>
        <v>6865.5902777777774</v>
      </c>
      <c r="AO42" s="381">
        <f t="shared" si="0"/>
        <v>149500000</v>
      </c>
      <c r="AP42" s="382">
        <v>2.3599999999999999E-2</v>
      </c>
      <c r="AQ42" s="379">
        <f t="shared" si="12"/>
        <v>9800.5555555555547</v>
      </c>
      <c r="AR42" s="381">
        <f t="shared" si="53"/>
        <v>125500000</v>
      </c>
      <c r="AS42" s="382">
        <v>2.3599999999999999E-2</v>
      </c>
      <c r="AT42" s="379">
        <f t="shared" si="13"/>
        <v>8227.2222222222226</v>
      </c>
      <c r="AU42" s="381">
        <f t="shared" si="54"/>
        <v>99900000</v>
      </c>
      <c r="AV42" s="382">
        <v>2.3599999999999999E-2</v>
      </c>
      <c r="AW42" s="379">
        <f t="shared" si="14"/>
        <v>6549</v>
      </c>
      <c r="AX42" s="381">
        <f t="shared" si="56"/>
        <v>30000000</v>
      </c>
      <c r="AY42" s="382">
        <v>2.3300000000000001E-2</v>
      </c>
      <c r="AZ42" s="379">
        <f t="shared" si="15"/>
        <v>1941.6666666666667</v>
      </c>
      <c r="BC42" s="379">
        <f t="shared" si="16"/>
        <v>0</v>
      </c>
      <c r="BF42" s="379">
        <f t="shared" si="17"/>
        <v>0</v>
      </c>
      <c r="BI42" s="379">
        <f t="shared" si="18"/>
        <v>0</v>
      </c>
      <c r="BL42" s="379">
        <f t="shared" si="19"/>
        <v>0</v>
      </c>
      <c r="BO42" s="379">
        <f t="shared" si="20"/>
        <v>0</v>
      </c>
      <c r="BR42" s="379">
        <f t="shared" si="21"/>
        <v>0</v>
      </c>
      <c r="BU42" s="379">
        <f t="shared" si="22"/>
        <v>0</v>
      </c>
      <c r="BX42" s="379">
        <f t="shared" si="23"/>
        <v>0</v>
      </c>
      <c r="CA42" s="379">
        <f t="shared" si="24"/>
        <v>0</v>
      </c>
      <c r="CD42" s="379">
        <f t="shared" si="25"/>
        <v>0</v>
      </c>
      <c r="CG42" s="379">
        <f t="shared" si="26"/>
        <v>0</v>
      </c>
      <c r="CJ42" s="379">
        <f t="shared" si="27"/>
        <v>0</v>
      </c>
      <c r="CM42" s="379">
        <f t="shared" si="28"/>
        <v>0</v>
      </c>
      <c r="CP42" s="379">
        <f t="shared" si="29"/>
        <v>0</v>
      </c>
      <c r="CS42" s="379">
        <f t="shared" si="30"/>
        <v>0</v>
      </c>
      <c r="CV42" s="379">
        <f t="shared" si="31"/>
        <v>0</v>
      </c>
      <c r="CY42" s="379">
        <f t="shared" si="32"/>
        <v>0</v>
      </c>
      <c r="DB42" s="379">
        <f t="shared" si="33"/>
        <v>0</v>
      </c>
      <c r="DE42" s="379">
        <f t="shared" si="34"/>
        <v>0</v>
      </c>
      <c r="DH42" s="379">
        <f t="shared" si="35"/>
        <v>0</v>
      </c>
      <c r="DK42" s="379">
        <f t="shared" si="36"/>
        <v>0</v>
      </c>
      <c r="DN42" s="379">
        <f t="shared" si="37"/>
        <v>0</v>
      </c>
      <c r="DQ42" s="379">
        <f t="shared" si="38"/>
        <v>0</v>
      </c>
      <c r="DT42" s="379">
        <f t="shared" si="39"/>
        <v>0</v>
      </c>
      <c r="DW42" s="379">
        <f t="shared" si="40"/>
        <v>0</v>
      </c>
      <c r="DY42" s="384"/>
      <c r="DZ42" s="366"/>
      <c r="EA42" s="379"/>
      <c r="EB42" s="190">
        <f t="shared" si="41"/>
        <v>551011782.88999999</v>
      </c>
      <c r="EC42" s="190">
        <f t="shared" si="42"/>
        <v>40936782.889999986</v>
      </c>
      <c r="ED42" s="379">
        <f t="shared" si="43"/>
        <v>35681.043095494439</v>
      </c>
      <c r="EE42" s="380">
        <f t="shared" si="44"/>
        <v>2.3311979731189009E-2</v>
      </c>
      <c r="EG42" s="190">
        <f t="shared" si="45"/>
        <v>0</v>
      </c>
      <c r="EH42" s="379">
        <f t="shared" si="46"/>
        <v>0</v>
      </c>
      <c r="EI42" s="380">
        <f t="shared" si="47"/>
        <v>0</v>
      </c>
      <c r="EJ42" s="380"/>
      <c r="EK42" s="190">
        <f t="shared" si="48"/>
        <v>510075000</v>
      </c>
      <c r="EL42" s="190">
        <f t="shared" si="49"/>
        <v>0</v>
      </c>
      <c r="EM42" s="190">
        <f t="shared" si="50"/>
        <v>33384.034722222219</v>
      </c>
      <c r="EN42" s="380">
        <f t="shared" si="51"/>
        <v>2.356173601921286E-2</v>
      </c>
      <c r="EO42" s="391"/>
      <c r="EP42" s="379"/>
    </row>
    <row r="43" spans="1:146">
      <c r="A43" s="191" t="s">
        <v>13</v>
      </c>
      <c r="D43" s="383">
        <f>SUM(D12:D42)</f>
        <v>0</v>
      </c>
      <c r="G43" s="383">
        <f>SUM(G12:G42)</f>
        <v>72276.473131624996</v>
      </c>
      <c r="J43" s="383">
        <f>SUM(J12:J42)</f>
        <v>0</v>
      </c>
      <c r="M43" s="383">
        <f>SUM(M12:M42)</f>
        <v>0</v>
      </c>
      <c r="P43" s="383">
        <f>SUM(P12:P42)</f>
        <v>0</v>
      </c>
      <c r="S43" s="383">
        <f>SUM(S12:S42)</f>
        <v>0</v>
      </c>
      <c r="V43" s="383">
        <f>SUM(V12:V42)</f>
        <v>0</v>
      </c>
      <c r="Y43" s="383">
        <f>SUM(Y12:Y42)</f>
        <v>0</v>
      </c>
      <c r="AB43" s="383">
        <f>SUM(AB12:AB42)</f>
        <v>0</v>
      </c>
      <c r="AE43" s="383">
        <f>SUM(AE12:AE42)</f>
        <v>0</v>
      </c>
      <c r="AH43" s="383">
        <f>SUM(AH12:AH42)</f>
        <v>0</v>
      </c>
      <c r="AK43" s="383">
        <f>SUM(AK12:AK42)</f>
        <v>90101.062500000029</v>
      </c>
      <c r="AN43" s="383">
        <f>SUM(AN12:AN42)</f>
        <v>206467.25694444444</v>
      </c>
      <c r="AQ43" s="383">
        <f>SUM(AQ12:AQ42)</f>
        <v>303817.22222222236</v>
      </c>
      <c r="AT43" s="383">
        <f>SUM(AT12:AT42)</f>
        <v>241904.9166666666</v>
      </c>
      <c r="AW43" s="383">
        <f>SUM(AW12:AW42)</f>
        <v>168307.33333333331</v>
      </c>
      <c r="AZ43" s="383">
        <f>SUM(AZ12:AZ42)</f>
        <v>19416.666666666668</v>
      </c>
      <c r="BC43" s="383">
        <f>SUM(BC12:BC42)</f>
        <v>0</v>
      </c>
      <c r="BF43" s="383">
        <f>SUM(BF12:BF42)</f>
        <v>0</v>
      </c>
      <c r="BI43" s="383">
        <f>SUM(BI12:BI42)</f>
        <v>0</v>
      </c>
      <c r="BL43" s="383">
        <f>SUM(BL12:BL42)</f>
        <v>0</v>
      </c>
      <c r="BO43" s="383">
        <f>SUM(BO12:BO42)</f>
        <v>0</v>
      </c>
      <c r="BR43" s="383">
        <f>SUM(BR12:BR42)</f>
        <v>0</v>
      </c>
      <c r="BU43" s="383">
        <f>SUM(BU12:BU42)</f>
        <v>0</v>
      </c>
      <c r="BX43" s="383">
        <f>SUM(BX12:BX42)</f>
        <v>0</v>
      </c>
      <c r="CA43" s="383">
        <f>SUM(CA12:CA42)</f>
        <v>0</v>
      </c>
      <c r="CD43" s="383">
        <f>SUM(CD12:CD42)</f>
        <v>0</v>
      </c>
      <c r="CG43" s="383">
        <f>SUM(CG12:CG42)</f>
        <v>0</v>
      </c>
      <c r="CJ43" s="383">
        <f>SUM(CJ12:CJ42)</f>
        <v>0</v>
      </c>
      <c r="CM43" s="383">
        <f>SUM(CM12:CM42)</f>
        <v>0</v>
      </c>
      <c r="CP43" s="383">
        <f>SUM(CP12:CP42)</f>
        <v>0</v>
      </c>
      <c r="CS43" s="383">
        <f>SUM(CS12:CS42)</f>
        <v>0</v>
      </c>
      <c r="CV43" s="383">
        <f>SUM(CV12:CV42)</f>
        <v>0</v>
      </c>
      <c r="CY43" s="383">
        <f>SUM(CY12:CY42)</f>
        <v>0</v>
      </c>
      <c r="DB43" s="383">
        <f>SUM(DB12:DB42)</f>
        <v>0</v>
      </c>
      <c r="DE43" s="383">
        <f>SUM(DE12:DE42)</f>
        <v>0</v>
      </c>
      <c r="DH43" s="383">
        <f>SUM(DH12:DH42)</f>
        <v>0</v>
      </c>
      <c r="DK43" s="383">
        <f>SUM(DK12:DK42)</f>
        <v>0</v>
      </c>
      <c r="DN43" s="383">
        <f>SUM(DN12:DN42)</f>
        <v>0</v>
      </c>
      <c r="DQ43" s="383">
        <f>SUM(DQ12:DQ42)</f>
        <v>0</v>
      </c>
      <c r="DT43" s="383">
        <f>SUM(DT12:DT42)</f>
        <v>0</v>
      </c>
      <c r="DW43" s="383">
        <f>SUM(DW12:DW42)</f>
        <v>0</v>
      </c>
      <c r="DY43" s="384"/>
      <c r="DZ43" s="366"/>
      <c r="EA43" s="366"/>
      <c r="EB43" s="379"/>
      <c r="EC43" s="379"/>
      <c r="ED43" s="383">
        <f>SUM(ED12:ED42)</f>
        <v>1102290.9314649582</v>
      </c>
      <c r="EE43" s="380"/>
      <c r="EG43" s="379"/>
      <c r="EH43" s="383">
        <f>SUM(EH12:EH42)</f>
        <v>0</v>
      </c>
      <c r="EI43" s="380"/>
      <c r="EJ43" s="380"/>
      <c r="EK43" s="379"/>
      <c r="EL43" s="379"/>
      <c r="EM43" s="383">
        <f>SUM(EM12:EM42)</f>
        <v>1030014.4583333334</v>
      </c>
      <c r="EN43" s="380"/>
    </row>
    <row r="45" spans="1:146">
      <c r="EM45" s="390"/>
    </row>
    <row r="47" spans="1:146">
      <c r="EM47" s="379"/>
    </row>
    <row r="48" spans="1:146">
      <c r="EM48" s="379"/>
    </row>
    <row r="49" spans="143:143">
      <c r="EM49" s="379"/>
    </row>
  </sheetData>
  <pageMargins left="0.7" right="0.7" top="0.75" bottom="0.75" header="0.3" footer="0.3"/>
  <pageSetup scale="62" orientation="portrait" r:id="rId1"/>
  <headerFooter>
    <oddFooter>&amp;CSchedule MA-TU
&amp;RAugust 2018 &amp;P of &amp;N
Confidential
4 CSR 240-2.090(9(A).2(D).II)</oddFooter>
  </headerFooter>
  <colBreaks count="3" manualBreakCount="3">
    <brk id="37" max="42" man="1"/>
    <brk id="46" max="42" man="1"/>
    <brk id="135"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zoomScale="80" zoomScaleNormal="80" workbookViewId="0">
      <selection activeCell="E31" sqref="E31"/>
    </sheetView>
  </sheetViews>
  <sheetFormatPr defaultColWidth="9.140625" defaultRowHeight="12.75"/>
  <cols>
    <col min="1" max="1" width="14.5703125" style="372" bestFit="1" customWidth="1"/>
    <col min="2" max="2" width="15.5703125" style="379" hidden="1" customWidth="1"/>
    <col min="3" max="3" width="15.42578125" style="380" hidden="1" customWidth="1"/>
    <col min="4" max="4" width="15.42578125" style="372" hidden="1" customWidth="1"/>
    <col min="5" max="5" width="18" style="379" customWidth="1"/>
    <col min="6" max="6" width="12.28515625" style="380" bestFit="1" customWidth="1"/>
    <col min="7" max="7" width="18.42578125" style="372" bestFit="1" customWidth="1"/>
    <col min="8" max="8" width="15.42578125" style="379" hidden="1" customWidth="1"/>
    <col min="9" max="9" width="10.28515625" style="380" hidden="1" customWidth="1"/>
    <col min="10" max="10" width="13.42578125" style="372" hidden="1" customWidth="1"/>
    <col min="11" max="11" width="14.42578125" style="379" hidden="1" customWidth="1"/>
    <col min="12" max="12" width="10.28515625" style="380" hidden="1" customWidth="1"/>
    <col min="13" max="13" width="11.7109375" style="372" hidden="1" customWidth="1"/>
    <col min="14" max="14" width="14.42578125" style="379" hidden="1" customWidth="1"/>
    <col min="15" max="15" width="10.28515625" style="380" hidden="1" customWidth="1"/>
    <col min="16" max="16" width="11.7109375" style="372" hidden="1" customWidth="1"/>
    <col min="17" max="17" width="15.42578125" style="379" hidden="1" customWidth="1"/>
    <col min="18" max="18" width="10.28515625" style="380" hidden="1" customWidth="1"/>
    <col min="19" max="19" width="11.7109375" style="372" hidden="1" customWidth="1"/>
    <col min="20" max="20" width="15.42578125" style="379" hidden="1" customWidth="1"/>
    <col min="21" max="21" width="10.28515625" style="380" hidden="1" customWidth="1"/>
    <col min="22" max="22" width="11.7109375" style="372" hidden="1" customWidth="1"/>
    <col min="23" max="23" width="15.42578125" style="379" hidden="1" customWidth="1"/>
    <col min="24" max="24" width="10.28515625" style="380" hidden="1" customWidth="1"/>
    <col min="25" max="25" width="11.7109375" style="372" hidden="1" customWidth="1"/>
    <col min="26" max="26" width="15.42578125" style="379" hidden="1" customWidth="1"/>
    <col min="27" max="27" width="10.28515625" style="380" hidden="1" customWidth="1"/>
    <col min="28" max="28" width="11.7109375" style="372" hidden="1" customWidth="1"/>
    <col min="29" max="29" width="15.42578125" style="379" hidden="1" customWidth="1"/>
    <col min="30" max="30" width="10.28515625" style="380" hidden="1" customWidth="1"/>
    <col min="31" max="31" width="11.7109375" style="372" hidden="1" customWidth="1"/>
    <col min="32" max="32" width="14.42578125" style="379" hidden="1" customWidth="1"/>
    <col min="33" max="33" width="10.28515625" style="380" hidden="1" customWidth="1"/>
    <col min="34" max="34" width="10.7109375" style="372" hidden="1" customWidth="1"/>
    <col min="35" max="35" width="14.42578125" style="379" customWidth="1"/>
    <col min="36" max="36" width="12" style="380" bestFit="1" customWidth="1"/>
    <col min="37" max="37" width="13" style="372" bestFit="1" customWidth="1"/>
    <col min="38" max="38" width="14.42578125" style="379" customWidth="1"/>
    <col min="39" max="39" width="12" style="380" bestFit="1" customWidth="1"/>
    <col min="40" max="40" width="12.5703125" style="372" bestFit="1" customWidth="1"/>
    <col min="41" max="41" width="15.42578125" style="379" bestFit="1" customWidth="1"/>
    <col min="42" max="42" width="12.28515625" style="380" bestFit="1" customWidth="1"/>
    <col min="43" max="43" width="14.140625" style="372" bestFit="1" customWidth="1"/>
    <col min="44" max="44" width="15.42578125" style="379" bestFit="1" customWidth="1"/>
    <col min="45" max="45" width="12" style="380" bestFit="1" customWidth="1"/>
    <col min="46" max="46" width="13.28515625" style="372" bestFit="1" customWidth="1"/>
    <col min="47" max="47" width="14.42578125" style="379" customWidth="1"/>
    <col min="48" max="48" width="12" style="380" bestFit="1" customWidth="1"/>
    <col min="49" max="49" width="12.5703125" style="372" bestFit="1" customWidth="1"/>
    <col min="50" max="50" width="14.42578125" style="379" customWidth="1"/>
    <col min="51" max="51" width="12" style="380" bestFit="1" customWidth="1"/>
    <col min="52" max="52" width="13.7109375" style="372" bestFit="1" customWidth="1"/>
    <col min="53" max="53" width="14.42578125" style="379" hidden="1" customWidth="1"/>
    <col min="54" max="54" width="10.28515625" style="380" hidden="1" customWidth="1"/>
    <col min="55" max="55" width="10.7109375" style="372" hidden="1" customWidth="1"/>
    <col min="56" max="56" width="14.42578125" style="379" hidden="1" customWidth="1"/>
    <col min="57" max="57" width="10.28515625" style="380" hidden="1" customWidth="1"/>
    <col min="58" max="58" width="10.7109375" style="372" hidden="1" customWidth="1"/>
    <col min="59" max="59" width="14.42578125" style="379" hidden="1" customWidth="1"/>
    <col min="60" max="60" width="10.28515625" style="380" hidden="1" customWidth="1"/>
    <col min="61" max="61" width="10.7109375" style="372" hidden="1" customWidth="1"/>
    <col min="62" max="62" width="14.42578125" style="379" hidden="1" customWidth="1"/>
    <col min="63" max="63" width="10.28515625" style="380" hidden="1" customWidth="1"/>
    <col min="64" max="64" width="10.7109375" style="372" hidden="1" customWidth="1"/>
    <col min="65" max="65" width="14.42578125" style="379" hidden="1" customWidth="1"/>
    <col min="66" max="66" width="10.28515625" style="380" hidden="1" customWidth="1"/>
    <col min="67" max="67" width="10.7109375" style="372" hidden="1" customWidth="1"/>
    <col min="68" max="68" width="14.42578125" style="379" hidden="1" customWidth="1"/>
    <col min="69" max="69" width="10.28515625" style="380" hidden="1" customWidth="1"/>
    <col min="70" max="70" width="10.7109375" style="372" hidden="1" customWidth="1"/>
    <col min="71" max="71" width="14.42578125" style="379" hidden="1" customWidth="1"/>
    <col min="72" max="72" width="10.28515625" style="380" hidden="1" customWidth="1"/>
    <col min="73" max="73" width="10.7109375" style="372" hidden="1" customWidth="1"/>
    <col min="74" max="74" width="14.42578125" style="379" hidden="1" customWidth="1"/>
    <col min="75" max="75" width="10.28515625" style="380" hidden="1" customWidth="1"/>
    <col min="76" max="76" width="10.7109375" style="372" hidden="1" customWidth="1"/>
    <col min="77" max="77" width="14.42578125" style="379" hidden="1" customWidth="1"/>
    <col min="78" max="78" width="10.28515625" style="380" hidden="1" customWidth="1"/>
    <col min="79" max="79" width="10.7109375" style="372" hidden="1" customWidth="1"/>
    <col min="80" max="80" width="14.42578125" style="379" hidden="1" customWidth="1"/>
    <col min="81" max="81" width="10.28515625" style="380" hidden="1" customWidth="1"/>
    <col min="82" max="82" width="10.7109375" style="372" hidden="1" customWidth="1"/>
    <col min="83" max="83" width="14.42578125" style="379" hidden="1" customWidth="1"/>
    <col min="84" max="84" width="10.28515625" style="380" hidden="1" customWidth="1"/>
    <col min="85" max="85" width="10.7109375" style="372" hidden="1" customWidth="1"/>
    <col min="86" max="86" width="14.42578125" style="379" hidden="1" customWidth="1"/>
    <col min="87" max="87" width="10.28515625" style="380" hidden="1" customWidth="1"/>
    <col min="88" max="88" width="10.7109375" style="372" hidden="1" customWidth="1"/>
    <col min="89" max="89" width="14.42578125" style="379" hidden="1" customWidth="1"/>
    <col min="90" max="90" width="10.28515625" style="380" hidden="1" customWidth="1"/>
    <col min="91" max="91" width="10.7109375" style="372" hidden="1" customWidth="1"/>
    <col min="92" max="92" width="14.42578125" style="379" hidden="1" customWidth="1"/>
    <col min="93" max="93" width="10.28515625" style="380" hidden="1" customWidth="1"/>
    <col min="94" max="94" width="10.7109375" style="372" hidden="1" customWidth="1"/>
    <col min="95" max="95" width="14.42578125" style="379" hidden="1" customWidth="1"/>
    <col min="96" max="96" width="10.28515625" style="380" hidden="1" customWidth="1"/>
    <col min="97" max="97" width="10.7109375" style="372" hidden="1" customWidth="1"/>
    <col min="98" max="98" width="14.42578125" style="379" hidden="1" customWidth="1"/>
    <col min="99" max="99" width="10.28515625" style="380" hidden="1" customWidth="1"/>
    <col min="100" max="100" width="10.7109375" style="372" hidden="1" customWidth="1"/>
    <col min="101" max="101" width="14.42578125" style="379" hidden="1" customWidth="1"/>
    <col min="102" max="102" width="10.28515625" style="380" hidden="1" customWidth="1"/>
    <col min="103" max="103" width="10.7109375" style="372" hidden="1" customWidth="1"/>
    <col min="104" max="104" width="14.42578125" style="379" hidden="1" customWidth="1"/>
    <col min="105" max="105" width="10.28515625" style="380" hidden="1" customWidth="1"/>
    <col min="106" max="106" width="10.7109375" style="372" hidden="1" customWidth="1"/>
    <col min="107" max="107" width="14.42578125" style="379" hidden="1" customWidth="1"/>
    <col min="108" max="108" width="10.28515625" style="380" hidden="1" customWidth="1"/>
    <col min="109" max="109" width="10.7109375" style="372" hidden="1" customWidth="1"/>
    <col min="110" max="110" width="14.42578125" style="379" hidden="1" customWidth="1"/>
    <col min="111" max="111" width="10.28515625" style="380" hidden="1" customWidth="1"/>
    <col min="112" max="112" width="10.7109375" style="372" hidden="1" customWidth="1"/>
    <col min="113" max="113" width="14.42578125" style="379" hidden="1" customWidth="1"/>
    <col min="114" max="114" width="10.28515625" style="380" hidden="1" customWidth="1"/>
    <col min="115" max="115" width="10.7109375" style="372" hidden="1" customWidth="1"/>
    <col min="116" max="116" width="14.42578125" style="379" hidden="1" customWidth="1"/>
    <col min="117" max="117" width="10.28515625" style="380" hidden="1" customWidth="1"/>
    <col min="118" max="118" width="10.7109375" style="372" hidden="1" customWidth="1"/>
    <col min="119" max="119" width="14.42578125" style="379" hidden="1" customWidth="1"/>
    <col min="120" max="120" width="10.28515625" style="380" hidden="1" customWidth="1"/>
    <col min="121" max="121" width="10.7109375" style="372" hidden="1" customWidth="1"/>
    <col min="122" max="122" width="14.42578125" style="379" hidden="1" customWidth="1"/>
    <col min="123" max="123" width="10.28515625" style="380" hidden="1" customWidth="1"/>
    <col min="124" max="124" width="10.7109375" style="372" hidden="1" customWidth="1"/>
    <col min="125" max="125" width="14.42578125" style="379" hidden="1" customWidth="1"/>
    <col min="126" max="126" width="10.28515625" style="380" hidden="1" customWidth="1"/>
    <col min="127" max="127" width="10.7109375" style="372" hidden="1" customWidth="1"/>
    <col min="128" max="128" width="14.42578125" style="379" hidden="1" customWidth="1"/>
    <col min="129" max="129" width="10.28515625" style="380" hidden="1" customWidth="1"/>
    <col min="130" max="130" width="10.7109375" style="372" hidden="1" customWidth="1"/>
    <col min="131" max="131" width="2.7109375" style="372" customWidth="1"/>
    <col min="132" max="132" width="25.140625" style="372" bestFit="1" customWidth="1"/>
    <col min="133" max="133" width="15.42578125" style="372" hidden="1" customWidth="1"/>
    <col min="134" max="134" width="14.85546875" style="372" bestFit="1" customWidth="1"/>
    <col min="135" max="135" width="22" style="372" bestFit="1" customWidth="1"/>
    <col min="136" max="136" width="2.7109375" style="372" customWidth="1"/>
    <col min="137" max="137" width="15.42578125" style="372" hidden="1" customWidth="1"/>
    <col min="138" max="138" width="14.42578125" style="372" hidden="1" customWidth="1"/>
    <col min="139" max="139" width="12.42578125" style="372" hidden="1" customWidth="1"/>
    <col min="140" max="140" width="2.7109375" style="372" hidden="1" customWidth="1"/>
    <col min="141" max="141" width="18" style="372" bestFit="1" customWidth="1"/>
    <col min="142" max="142" width="15.42578125" style="372" hidden="1" customWidth="1"/>
    <col min="143" max="143" width="14.42578125" style="372" bestFit="1" customWidth="1"/>
    <col min="144" max="144" width="18.42578125" style="372" bestFit="1" customWidth="1"/>
    <col min="145" max="145" width="42.85546875" style="372" bestFit="1" customWidth="1"/>
    <col min="146" max="146" width="21.5703125" style="372" bestFit="1" customWidth="1"/>
    <col min="147" max="147" width="23.140625" style="372" bestFit="1" customWidth="1"/>
    <col min="148" max="16384" width="9.140625" style="372"/>
  </cols>
  <sheetData>
    <row r="1" spans="1:147" s="196" customFormat="1">
      <c r="A1" s="195" t="s">
        <v>111</v>
      </c>
      <c r="B1" s="190"/>
      <c r="C1" s="362"/>
      <c r="E1" s="190"/>
      <c r="F1" s="362"/>
      <c r="H1" s="190"/>
      <c r="I1" s="362"/>
      <c r="K1" s="190"/>
      <c r="L1" s="362"/>
      <c r="N1" s="190"/>
      <c r="O1" s="362"/>
      <c r="Q1" s="190"/>
      <c r="R1" s="362"/>
      <c r="T1" s="190"/>
      <c r="U1" s="362"/>
      <c r="W1" s="190"/>
      <c r="X1" s="362"/>
      <c r="Z1" s="190"/>
      <c r="AA1" s="362"/>
      <c r="AC1" s="190"/>
      <c r="AD1" s="362"/>
      <c r="AF1" s="190"/>
      <c r="AG1" s="362"/>
      <c r="AI1" s="190"/>
      <c r="AJ1" s="362"/>
      <c r="AL1" s="190"/>
      <c r="AM1" s="362"/>
      <c r="AO1" s="190"/>
      <c r="AP1" s="362"/>
      <c r="AR1" s="190"/>
      <c r="AS1" s="362"/>
      <c r="AU1" s="190"/>
      <c r="AV1" s="362"/>
      <c r="AX1" s="190"/>
      <c r="AY1" s="362"/>
      <c r="BA1" s="190"/>
      <c r="BB1" s="362"/>
      <c r="BD1" s="190"/>
      <c r="BE1" s="362"/>
      <c r="BG1" s="190"/>
      <c r="BH1" s="362"/>
      <c r="BJ1" s="190"/>
      <c r="BK1" s="362"/>
      <c r="BM1" s="190"/>
      <c r="BN1" s="362"/>
      <c r="BP1" s="190"/>
      <c r="BQ1" s="362"/>
      <c r="BS1" s="190"/>
      <c r="BT1" s="362"/>
      <c r="BV1" s="190"/>
      <c r="BW1" s="362"/>
      <c r="BY1" s="190"/>
      <c r="BZ1" s="362"/>
      <c r="CB1" s="190"/>
      <c r="CC1" s="362"/>
      <c r="CE1" s="190"/>
      <c r="CF1" s="362"/>
      <c r="CH1" s="190"/>
      <c r="CI1" s="362"/>
      <c r="CK1" s="190"/>
      <c r="CL1" s="362"/>
      <c r="CN1" s="190"/>
      <c r="CO1" s="362"/>
      <c r="CQ1" s="190"/>
      <c r="CR1" s="362"/>
      <c r="CT1" s="190"/>
      <c r="CU1" s="362"/>
      <c r="CW1" s="190"/>
      <c r="CX1" s="362"/>
      <c r="CZ1" s="190"/>
      <c r="DA1" s="362"/>
      <c r="DC1" s="190"/>
      <c r="DD1" s="362"/>
      <c r="DF1" s="190"/>
      <c r="DG1" s="362"/>
      <c r="DI1" s="190"/>
      <c r="DJ1" s="362"/>
      <c r="DL1" s="190"/>
      <c r="DM1" s="362"/>
      <c r="DO1" s="190"/>
      <c r="DP1" s="362"/>
      <c r="DR1" s="190"/>
      <c r="DS1" s="362"/>
      <c r="DU1" s="190"/>
      <c r="DV1" s="362"/>
      <c r="DX1" s="190"/>
      <c r="DY1" s="362"/>
      <c r="DZ1" s="181"/>
      <c r="ED1" s="193"/>
      <c r="EE1" s="363" t="s">
        <v>118</v>
      </c>
      <c r="EI1" s="193" t="s">
        <v>59</v>
      </c>
      <c r="EM1" s="193"/>
      <c r="EN1" s="193" t="s">
        <v>120</v>
      </c>
      <c r="EO1" s="195" t="s">
        <v>121</v>
      </c>
      <c r="EP1" s="195" t="s">
        <v>122</v>
      </c>
      <c r="EQ1" s="195" t="s">
        <v>123</v>
      </c>
    </row>
    <row r="2" spans="1:147" s="196" customFormat="1">
      <c r="A2" s="195" t="s">
        <v>49</v>
      </c>
      <c r="B2" s="190"/>
      <c r="C2" s="362"/>
      <c r="F2" s="362"/>
      <c r="G2" s="388"/>
      <c r="H2" s="190"/>
      <c r="I2" s="362"/>
      <c r="K2" s="190"/>
      <c r="L2" s="362"/>
      <c r="N2" s="190"/>
      <c r="O2" s="362"/>
      <c r="Q2" s="190"/>
      <c r="R2" s="362"/>
      <c r="T2" s="190"/>
      <c r="U2" s="362"/>
      <c r="W2" s="190"/>
      <c r="X2" s="362"/>
      <c r="Z2" s="190"/>
      <c r="AA2" s="362"/>
      <c r="AC2" s="190"/>
      <c r="AD2" s="362"/>
      <c r="AF2" s="190"/>
      <c r="AG2" s="362"/>
      <c r="AI2" s="190"/>
      <c r="AJ2" s="362"/>
      <c r="AL2" s="190"/>
      <c r="AM2" s="362"/>
      <c r="AO2" s="190"/>
      <c r="AP2" s="362"/>
      <c r="AR2" s="190"/>
      <c r="AS2" s="362"/>
      <c r="AU2" s="190"/>
      <c r="AV2" s="362"/>
      <c r="AX2" s="190"/>
      <c r="AY2" s="362"/>
      <c r="BA2" s="190"/>
      <c r="BB2" s="362"/>
      <c r="BD2" s="190"/>
      <c r="BE2" s="362"/>
      <c r="BG2" s="190"/>
      <c r="BH2" s="362"/>
      <c r="BJ2" s="190"/>
      <c r="BK2" s="362"/>
      <c r="BM2" s="190"/>
      <c r="BN2" s="362"/>
      <c r="BP2" s="190"/>
      <c r="BQ2" s="362"/>
      <c r="BS2" s="190"/>
      <c r="BT2" s="362"/>
      <c r="BV2" s="190"/>
      <c r="BW2" s="362"/>
      <c r="BY2" s="190"/>
      <c r="BZ2" s="362"/>
      <c r="CB2" s="190"/>
      <c r="CC2" s="362"/>
      <c r="CE2" s="190"/>
      <c r="CF2" s="362"/>
      <c r="CH2" s="190"/>
      <c r="CI2" s="362"/>
      <c r="CK2" s="190"/>
      <c r="CL2" s="362"/>
      <c r="CN2" s="190"/>
      <c r="CO2" s="362"/>
      <c r="CQ2" s="190"/>
      <c r="CR2" s="362"/>
      <c r="CT2" s="190"/>
      <c r="CU2" s="362"/>
      <c r="CW2" s="190"/>
      <c r="CX2" s="362"/>
      <c r="CZ2" s="190"/>
      <c r="DA2" s="362"/>
      <c r="DC2" s="190"/>
      <c r="DD2" s="362"/>
      <c r="DF2" s="190"/>
      <c r="DG2" s="362"/>
      <c r="DI2" s="190"/>
      <c r="DJ2" s="362"/>
      <c r="DL2" s="190"/>
      <c r="DM2" s="362"/>
      <c r="DO2" s="190"/>
      <c r="DP2" s="362"/>
      <c r="DR2" s="190"/>
      <c r="DS2" s="362"/>
      <c r="DU2" s="190"/>
      <c r="DV2" s="362"/>
      <c r="DX2" s="190"/>
      <c r="DY2" s="362"/>
      <c r="EB2" s="387" t="s">
        <v>51</v>
      </c>
      <c r="EC2" s="387"/>
      <c r="ED2" s="366"/>
      <c r="EE2" s="366">
        <f>EB41</f>
        <v>464360103.35000002</v>
      </c>
      <c r="EI2" s="366">
        <f>EG41</f>
        <v>0</v>
      </c>
      <c r="EM2" s="366"/>
      <c r="EN2" s="366">
        <f>EK41</f>
        <v>412830000</v>
      </c>
      <c r="EO2" s="190">
        <v>-155237.01</v>
      </c>
      <c r="EP2" s="190">
        <f>EN2+EO2</f>
        <v>412674762.99000001</v>
      </c>
      <c r="EQ2" s="190">
        <f>EE2+EO2</f>
        <v>464204866.34000003</v>
      </c>
    </row>
    <row r="3" spans="1:147" s="196" customFormat="1" ht="13.5" thickBot="1">
      <c r="A3" s="364" t="s">
        <v>125</v>
      </c>
      <c r="B3" s="190"/>
      <c r="C3" s="362"/>
      <c r="F3" s="362"/>
      <c r="G3" s="388"/>
      <c r="H3" s="190"/>
      <c r="I3" s="362"/>
      <c r="K3" s="190"/>
      <c r="L3" s="362"/>
      <c r="N3" s="190"/>
      <c r="O3" s="362"/>
      <c r="Q3" s="190"/>
      <c r="R3" s="362"/>
      <c r="T3" s="190"/>
      <c r="U3" s="362"/>
      <c r="W3" s="190"/>
      <c r="X3" s="362"/>
      <c r="Z3" s="190"/>
      <c r="AA3" s="362"/>
      <c r="AC3" s="190"/>
      <c r="AD3" s="362"/>
      <c r="AF3" s="190"/>
      <c r="AG3" s="362"/>
      <c r="AI3" s="190"/>
      <c r="AJ3" s="362"/>
      <c r="AL3" s="190"/>
      <c r="AM3" s="362"/>
      <c r="AO3" s="190"/>
      <c r="AP3" s="362"/>
      <c r="AR3" s="190"/>
      <c r="AS3" s="362"/>
      <c r="AU3" s="190"/>
      <c r="AV3" s="362"/>
      <c r="AX3" s="190"/>
      <c r="AY3" s="362"/>
      <c r="BA3" s="190"/>
      <c r="BB3" s="362"/>
      <c r="BD3" s="190"/>
      <c r="BE3" s="362"/>
      <c r="BG3" s="190"/>
      <c r="BH3" s="362"/>
      <c r="BJ3" s="190"/>
      <c r="BK3" s="362"/>
      <c r="BM3" s="190"/>
      <c r="BN3" s="362"/>
      <c r="BP3" s="190"/>
      <c r="BQ3" s="362"/>
      <c r="BS3" s="190"/>
      <c r="BT3" s="362"/>
      <c r="BV3" s="190"/>
      <c r="BW3" s="362"/>
      <c r="BY3" s="190"/>
      <c r="BZ3" s="362"/>
      <c r="CB3" s="190"/>
      <c r="CC3" s="362"/>
      <c r="CE3" s="190"/>
      <c r="CF3" s="362"/>
      <c r="CH3" s="190"/>
      <c r="CI3" s="362"/>
      <c r="CK3" s="190"/>
      <c r="CL3" s="362"/>
      <c r="CN3" s="190"/>
      <c r="CO3" s="362"/>
      <c r="CQ3" s="190"/>
      <c r="CR3" s="362"/>
      <c r="CT3" s="190"/>
      <c r="CU3" s="362"/>
      <c r="CW3" s="190"/>
      <c r="CX3" s="362"/>
      <c r="CZ3" s="190"/>
      <c r="DA3" s="362"/>
      <c r="DC3" s="190"/>
      <c r="DD3" s="362"/>
      <c r="DF3" s="190"/>
      <c r="DG3" s="362"/>
      <c r="DI3" s="190"/>
      <c r="DJ3" s="362"/>
      <c r="DL3" s="190"/>
      <c r="DM3" s="362"/>
      <c r="DO3" s="190"/>
      <c r="DP3" s="362"/>
      <c r="DR3" s="190"/>
      <c r="DS3" s="362"/>
      <c r="DU3" s="190"/>
      <c r="DV3" s="362"/>
      <c r="DX3" s="190"/>
      <c r="DY3" s="362"/>
      <c r="EB3" s="387"/>
      <c r="EC3" s="387"/>
      <c r="ED3" s="366"/>
      <c r="EE3" s="366"/>
      <c r="EI3" s="366"/>
      <c r="EM3" s="366"/>
      <c r="EN3" s="366"/>
      <c r="EO3" s="190"/>
      <c r="EP3" s="190"/>
      <c r="EQ3" s="190"/>
    </row>
    <row r="4" spans="1:147" ht="13.5" thickTop="1">
      <c r="A4" s="364"/>
      <c r="E4" s="182" t="s">
        <v>50</v>
      </c>
      <c r="F4" s="385"/>
      <c r="G4" s="386"/>
      <c r="EB4" s="387" t="s">
        <v>52</v>
      </c>
      <c r="EC4" s="387"/>
      <c r="ED4" s="366"/>
      <c r="EE4" s="366">
        <f>AVERAGE(EB12:EB41)</f>
        <v>528809404.92100018</v>
      </c>
      <c r="EI4" s="366">
        <f>AVERAGE(EG12:EG41)</f>
        <v>0</v>
      </c>
      <c r="EM4" s="366"/>
      <c r="EN4" s="366">
        <f>AVERAGE(EK12:EK41)</f>
        <v>484324833.33333331</v>
      </c>
    </row>
    <row r="5" spans="1:147">
      <c r="D5" s="387"/>
      <c r="E5" s="365" t="s">
        <v>51</v>
      </c>
      <c r="F5" s="366"/>
      <c r="G5" s="367">
        <f>EQ2</f>
        <v>464204866.34000003</v>
      </c>
      <c r="AI5" s="195" t="s">
        <v>198</v>
      </c>
      <c r="EB5" s="387" t="s">
        <v>53</v>
      </c>
      <c r="EC5" s="387"/>
      <c r="ED5" s="384"/>
      <c r="EE5" s="384">
        <f>IF(EE4=0,0,360*(AVERAGE(ED12:ED41)/EE4))</f>
        <v>2.3289615109145751E-2</v>
      </c>
      <c r="EI5" s="384">
        <f>IF(EI4=0,0,360*(AVERAGE(EH12:EH41)/EI4))</f>
        <v>0</v>
      </c>
      <c r="EM5" s="384"/>
      <c r="EN5" s="384">
        <f>IF(EN4=0,0,360*(AVERAGE(EM12:EM41)/EN4))</f>
        <v>2.3523593049981271E-2</v>
      </c>
      <c r="EO5" s="196" t="s">
        <v>199</v>
      </c>
      <c r="EQ5" s="193"/>
    </row>
    <row r="6" spans="1:147">
      <c r="D6" s="387"/>
      <c r="E6" s="365" t="s">
        <v>52</v>
      </c>
      <c r="F6" s="366"/>
      <c r="G6" s="367">
        <f>EE4</f>
        <v>528809404.92100018</v>
      </c>
      <c r="AI6" s="388" t="s">
        <v>120</v>
      </c>
      <c r="EB6" s="389" t="s">
        <v>57</v>
      </c>
      <c r="EC6" s="389"/>
      <c r="ED6" s="366"/>
      <c r="EE6" s="366">
        <f>MAX(EB12:EB41)</f>
        <v>566444307.48000002</v>
      </c>
      <c r="EI6" s="366">
        <f>MAX(EG12:EG41)</f>
        <v>0</v>
      </c>
      <c r="EM6" s="366"/>
      <c r="EN6" s="366">
        <f>MAX(EK12:EK41)</f>
        <v>543080000</v>
      </c>
    </row>
    <row r="7" spans="1:147">
      <c r="D7" s="387"/>
      <c r="E7" s="365" t="s">
        <v>53</v>
      </c>
      <c r="F7" s="366"/>
      <c r="G7" s="368">
        <f>EE5</f>
        <v>2.3289615109145751E-2</v>
      </c>
    </row>
    <row r="8" spans="1:147" ht="13.5" thickBot="1">
      <c r="D8" s="387"/>
      <c r="E8" s="369" t="s">
        <v>57</v>
      </c>
      <c r="F8" s="370"/>
      <c r="G8" s="371">
        <f>EE6</f>
        <v>566444307.48000002</v>
      </c>
      <c r="AI8" s="388" t="s">
        <v>120</v>
      </c>
      <c r="EB8" s="183" t="s">
        <v>54</v>
      </c>
      <c r="EC8" s="183"/>
      <c r="ED8" s="375"/>
      <c r="EE8" s="375"/>
      <c r="EG8" s="183" t="s">
        <v>55</v>
      </c>
      <c r="EH8" s="375"/>
      <c r="EI8" s="375"/>
      <c r="EJ8" s="376"/>
      <c r="EK8" s="183" t="s">
        <v>56</v>
      </c>
      <c r="EL8" s="183"/>
      <c r="EM8" s="375"/>
      <c r="EN8" s="375"/>
    </row>
    <row r="9" spans="1:147" ht="13.5" thickTop="1">
      <c r="AI9" s="192" t="s">
        <v>112</v>
      </c>
      <c r="AL9" s="192" t="s">
        <v>112</v>
      </c>
      <c r="AO9" s="192" t="s">
        <v>112</v>
      </c>
      <c r="AR9" s="192" t="s">
        <v>112</v>
      </c>
      <c r="AU9" s="192" t="s">
        <v>112</v>
      </c>
      <c r="AX9" s="192" t="s">
        <v>112</v>
      </c>
      <c r="BA9" s="192" t="s">
        <v>112</v>
      </c>
      <c r="BD9" s="192" t="s">
        <v>112</v>
      </c>
      <c r="BG9" s="192" t="s">
        <v>112</v>
      </c>
      <c r="BJ9" s="192" t="s">
        <v>112</v>
      </c>
      <c r="BM9" s="192" t="s">
        <v>112</v>
      </c>
      <c r="BP9" s="192" t="s">
        <v>112</v>
      </c>
      <c r="BS9" s="192" t="s">
        <v>112</v>
      </c>
      <c r="BV9" s="192" t="s">
        <v>112</v>
      </c>
      <c r="BY9" s="192" t="s">
        <v>112</v>
      </c>
      <c r="CB9" s="192" t="s">
        <v>112</v>
      </c>
      <c r="CE9" s="192" t="s">
        <v>112</v>
      </c>
      <c r="CH9" s="192" t="s">
        <v>112</v>
      </c>
      <c r="CK9" s="192" t="s">
        <v>112</v>
      </c>
      <c r="CN9" s="192" t="s">
        <v>112</v>
      </c>
      <c r="CQ9" s="192" t="s">
        <v>112</v>
      </c>
      <c r="CT9" s="192" t="s">
        <v>112</v>
      </c>
      <c r="CW9" s="192" t="s">
        <v>112</v>
      </c>
      <c r="CZ9" s="192" t="s">
        <v>112</v>
      </c>
      <c r="DC9" s="192" t="s">
        <v>112</v>
      </c>
      <c r="DF9" s="192" t="s">
        <v>112</v>
      </c>
      <c r="DI9" s="192" t="s">
        <v>112</v>
      </c>
      <c r="DL9" s="192" t="s">
        <v>112</v>
      </c>
      <c r="DO9" s="192" t="s">
        <v>112</v>
      </c>
      <c r="DR9" s="192" t="s">
        <v>112</v>
      </c>
      <c r="EB9" s="377"/>
      <c r="EC9" s="377"/>
      <c r="ED9" s="377"/>
      <c r="EE9" s="377" t="s">
        <v>58</v>
      </c>
      <c r="EG9" s="377"/>
      <c r="EH9" s="184" t="s">
        <v>59</v>
      </c>
      <c r="EI9" s="377" t="s">
        <v>58</v>
      </c>
      <c r="EJ9" s="377"/>
      <c r="EK9" s="193" t="s">
        <v>113</v>
      </c>
      <c r="EL9" s="193" t="s">
        <v>114</v>
      </c>
      <c r="EM9" s="184" t="s">
        <v>60</v>
      </c>
      <c r="EN9" s="377" t="s">
        <v>58</v>
      </c>
    </row>
    <row r="10" spans="1:147">
      <c r="B10" s="373" t="s">
        <v>61</v>
      </c>
      <c r="C10" s="374"/>
      <c r="D10" s="375"/>
      <c r="E10" s="373" t="s">
        <v>62</v>
      </c>
      <c r="F10" s="374"/>
      <c r="G10" s="375"/>
      <c r="H10" s="373" t="s">
        <v>63</v>
      </c>
      <c r="I10" s="374"/>
      <c r="J10" s="375"/>
      <c r="K10" s="373" t="s">
        <v>64</v>
      </c>
      <c r="L10" s="374"/>
      <c r="M10" s="375"/>
      <c r="N10" s="373" t="s">
        <v>65</v>
      </c>
      <c r="O10" s="374"/>
      <c r="P10" s="375"/>
      <c r="Q10" s="373" t="s">
        <v>66</v>
      </c>
      <c r="R10" s="374"/>
      <c r="S10" s="375"/>
      <c r="T10" s="373" t="s">
        <v>67</v>
      </c>
      <c r="U10" s="374"/>
      <c r="V10" s="375"/>
      <c r="W10" s="373" t="s">
        <v>68</v>
      </c>
      <c r="X10" s="374"/>
      <c r="Y10" s="375"/>
      <c r="Z10" s="373" t="s">
        <v>69</v>
      </c>
      <c r="AA10" s="374"/>
      <c r="AB10" s="375"/>
      <c r="AC10" s="185" t="s">
        <v>70</v>
      </c>
      <c r="AD10" s="374"/>
      <c r="AE10" s="375"/>
      <c r="AF10" s="185" t="s">
        <v>71</v>
      </c>
      <c r="AG10" s="374"/>
      <c r="AH10" s="375"/>
      <c r="AI10" s="373" t="s">
        <v>72</v>
      </c>
      <c r="AJ10" s="374"/>
      <c r="AK10" s="375"/>
      <c r="AL10" s="373" t="s">
        <v>73</v>
      </c>
      <c r="AM10" s="374"/>
      <c r="AN10" s="375"/>
      <c r="AO10" s="373" t="s">
        <v>74</v>
      </c>
      <c r="AP10" s="374"/>
      <c r="AQ10" s="375"/>
      <c r="AR10" s="373" t="s">
        <v>75</v>
      </c>
      <c r="AS10" s="374"/>
      <c r="AT10" s="375"/>
      <c r="AU10" s="373" t="s">
        <v>76</v>
      </c>
      <c r="AV10" s="374"/>
      <c r="AW10" s="375"/>
      <c r="AX10" s="373" t="s">
        <v>77</v>
      </c>
      <c r="AY10" s="374"/>
      <c r="AZ10" s="375"/>
      <c r="BA10" s="373" t="s">
        <v>78</v>
      </c>
      <c r="BB10" s="374"/>
      <c r="BC10" s="375"/>
      <c r="BD10" s="373" t="s">
        <v>79</v>
      </c>
      <c r="BE10" s="374"/>
      <c r="BF10" s="375"/>
      <c r="BG10" s="373" t="s">
        <v>80</v>
      </c>
      <c r="BH10" s="374"/>
      <c r="BI10" s="375"/>
      <c r="BJ10" s="373" t="s">
        <v>81</v>
      </c>
      <c r="BK10" s="374"/>
      <c r="BL10" s="375"/>
      <c r="BM10" s="373" t="s">
        <v>82</v>
      </c>
      <c r="BN10" s="374"/>
      <c r="BO10" s="375"/>
      <c r="BP10" s="373" t="s">
        <v>83</v>
      </c>
      <c r="BQ10" s="374"/>
      <c r="BR10" s="375"/>
      <c r="BS10" s="373" t="s">
        <v>84</v>
      </c>
      <c r="BT10" s="374"/>
      <c r="BU10" s="375"/>
      <c r="BV10" s="373" t="s">
        <v>85</v>
      </c>
      <c r="BW10" s="374"/>
      <c r="BX10" s="375"/>
      <c r="BY10" s="373" t="s">
        <v>86</v>
      </c>
      <c r="BZ10" s="374"/>
      <c r="CA10" s="375"/>
      <c r="CB10" s="373" t="s">
        <v>87</v>
      </c>
      <c r="CC10" s="374"/>
      <c r="CD10" s="375"/>
      <c r="CE10" s="373" t="s">
        <v>88</v>
      </c>
      <c r="CF10" s="374"/>
      <c r="CG10" s="375"/>
      <c r="CH10" s="373" t="s">
        <v>89</v>
      </c>
      <c r="CI10" s="374"/>
      <c r="CJ10" s="375"/>
      <c r="CK10" s="373" t="s">
        <v>90</v>
      </c>
      <c r="CL10" s="374"/>
      <c r="CM10" s="375"/>
      <c r="CN10" s="373" t="s">
        <v>91</v>
      </c>
      <c r="CO10" s="374"/>
      <c r="CP10" s="375"/>
      <c r="CQ10" s="373" t="s">
        <v>92</v>
      </c>
      <c r="CR10" s="374"/>
      <c r="CS10" s="375"/>
      <c r="CT10" s="373" t="s">
        <v>93</v>
      </c>
      <c r="CU10" s="374"/>
      <c r="CV10" s="375"/>
      <c r="CW10" s="373" t="s">
        <v>94</v>
      </c>
      <c r="CX10" s="374"/>
      <c r="CY10" s="375"/>
      <c r="CZ10" s="373" t="s">
        <v>95</v>
      </c>
      <c r="DA10" s="374"/>
      <c r="DB10" s="375"/>
      <c r="DC10" s="373" t="s">
        <v>96</v>
      </c>
      <c r="DD10" s="374"/>
      <c r="DE10" s="375"/>
      <c r="DF10" s="373" t="s">
        <v>97</v>
      </c>
      <c r="DG10" s="374"/>
      <c r="DH10" s="375"/>
      <c r="DI10" s="373" t="s">
        <v>98</v>
      </c>
      <c r="DJ10" s="374"/>
      <c r="DK10" s="375"/>
      <c r="DL10" s="373" t="s">
        <v>99</v>
      </c>
      <c r="DM10" s="374"/>
      <c r="DN10" s="375"/>
      <c r="DO10" s="373" t="s">
        <v>100</v>
      </c>
      <c r="DP10" s="374"/>
      <c r="DQ10" s="375"/>
      <c r="DR10" s="373" t="s">
        <v>101</v>
      </c>
      <c r="DS10" s="374"/>
      <c r="DT10" s="375"/>
      <c r="DU10" s="373" t="s">
        <v>102</v>
      </c>
      <c r="DV10" s="374"/>
      <c r="DW10" s="375"/>
      <c r="DX10" s="194" t="s">
        <v>115</v>
      </c>
      <c r="DY10" s="374"/>
      <c r="DZ10" s="375"/>
      <c r="EA10" s="376"/>
      <c r="EB10" s="193" t="s">
        <v>116</v>
      </c>
      <c r="EC10" s="193" t="s">
        <v>117</v>
      </c>
      <c r="ED10" s="377" t="s">
        <v>103</v>
      </c>
      <c r="EE10" s="377" t="s">
        <v>104</v>
      </c>
      <c r="EG10" s="184" t="s">
        <v>105</v>
      </c>
      <c r="EH10" s="377" t="s">
        <v>103</v>
      </c>
      <c r="EI10" s="377" t="s">
        <v>104</v>
      </c>
      <c r="EJ10" s="377"/>
      <c r="EK10" s="184" t="s">
        <v>60</v>
      </c>
      <c r="EL10" s="184" t="s">
        <v>60</v>
      </c>
      <c r="EM10" s="377" t="s">
        <v>103</v>
      </c>
      <c r="EN10" s="377" t="s">
        <v>104</v>
      </c>
    </row>
    <row r="11" spans="1:147">
      <c r="A11" s="377" t="s">
        <v>106</v>
      </c>
      <c r="B11" s="186" t="s">
        <v>107</v>
      </c>
      <c r="C11" s="187" t="s">
        <v>108</v>
      </c>
      <c r="D11" s="188" t="s">
        <v>109</v>
      </c>
      <c r="E11" s="186" t="s">
        <v>107</v>
      </c>
      <c r="F11" s="187" t="s">
        <v>108</v>
      </c>
      <c r="G11" s="188" t="s">
        <v>109</v>
      </c>
      <c r="H11" s="186" t="s">
        <v>107</v>
      </c>
      <c r="I11" s="187" t="s">
        <v>108</v>
      </c>
      <c r="J11" s="188" t="s">
        <v>109</v>
      </c>
      <c r="K11" s="186" t="s">
        <v>107</v>
      </c>
      <c r="L11" s="187" t="s">
        <v>108</v>
      </c>
      <c r="M11" s="188" t="s">
        <v>109</v>
      </c>
      <c r="N11" s="186" t="s">
        <v>107</v>
      </c>
      <c r="O11" s="187" t="s">
        <v>108</v>
      </c>
      <c r="P11" s="188" t="s">
        <v>109</v>
      </c>
      <c r="Q11" s="186" t="s">
        <v>107</v>
      </c>
      <c r="R11" s="187" t="s">
        <v>108</v>
      </c>
      <c r="S11" s="188" t="s">
        <v>109</v>
      </c>
      <c r="T11" s="186" t="s">
        <v>107</v>
      </c>
      <c r="U11" s="187" t="s">
        <v>108</v>
      </c>
      <c r="V11" s="188" t="s">
        <v>109</v>
      </c>
      <c r="W11" s="186" t="s">
        <v>107</v>
      </c>
      <c r="X11" s="187" t="s">
        <v>108</v>
      </c>
      <c r="Y11" s="188" t="s">
        <v>109</v>
      </c>
      <c r="Z11" s="186" t="s">
        <v>107</v>
      </c>
      <c r="AA11" s="187" t="s">
        <v>108</v>
      </c>
      <c r="AB11" s="188" t="s">
        <v>109</v>
      </c>
      <c r="AC11" s="186" t="s">
        <v>107</v>
      </c>
      <c r="AD11" s="187" t="s">
        <v>108</v>
      </c>
      <c r="AE11" s="188" t="s">
        <v>109</v>
      </c>
      <c r="AF11" s="186" t="s">
        <v>107</v>
      </c>
      <c r="AG11" s="187" t="s">
        <v>108</v>
      </c>
      <c r="AH11" s="188" t="s">
        <v>109</v>
      </c>
      <c r="AI11" s="186" t="s">
        <v>107</v>
      </c>
      <c r="AJ11" s="187" t="s">
        <v>108</v>
      </c>
      <c r="AK11" s="188" t="s">
        <v>109</v>
      </c>
      <c r="AL11" s="186" t="s">
        <v>107</v>
      </c>
      <c r="AM11" s="187" t="s">
        <v>108</v>
      </c>
      <c r="AN11" s="188" t="s">
        <v>109</v>
      </c>
      <c r="AO11" s="186" t="s">
        <v>107</v>
      </c>
      <c r="AP11" s="187" t="s">
        <v>108</v>
      </c>
      <c r="AQ11" s="188" t="s">
        <v>109</v>
      </c>
      <c r="AR11" s="186" t="s">
        <v>107</v>
      </c>
      <c r="AS11" s="187" t="s">
        <v>108</v>
      </c>
      <c r="AT11" s="188" t="s">
        <v>109</v>
      </c>
      <c r="AU11" s="186" t="s">
        <v>107</v>
      </c>
      <c r="AV11" s="187" t="s">
        <v>108</v>
      </c>
      <c r="AW11" s="188" t="s">
        <v>109</v>
      </c>
      <c r="AX11" s="186" t="s">
        <v>107</v>
      </c>
      <c r="AY11" s="187" t="s">
        <v>108</v>
      </c>
      <c r="AZ11" s="188" t="s">
        <v>109</v>
      </c>
      <c r="BA11" s="186" t="s">
        <v>107</v>
      </c>
      <c r="BB11" s="187" t="s">
        <v>108</v>
      </c>
      <c r="BC11" s="188" t="s">
        <v>109</v>
      </c>
      <c r="BD11" s="186" t="s">
        <v>107</v>
      </c>
      <c r="BE11" s="187" t="s">
        <v>108</v>
      </c>
      <c r="BF11" s="188" t="s">
        <v>109</v>
      </c>
      <c r="BG11" s="186" t="s">
        <v>107</v>
      </c>
      <c r="BH11" s="187" t="s">
        <v>108</v>
      </c>
      <c r="BI11" s="188" t="s">
        <v>109</v>
      </c>
      <c r="BJ11" s="186" t="s">
        <v>107</v>
      </c>
      <c r="BK11" s="187" t="s">
        <v>108</v>
      </c>
      <c r="BL11" s="188" t="s">
        <v>109</v>
      </c>
      <c r="BM11" s="186" t="s">
        <v>107</v>
      </c>
      <c r="BN11" s="187" t="s">
        <v>108</v>
      </c>
      <c r="BO11" s="188" t="s">
        <v>109</v>
      </c>
      <c r="BP11" s="186" t="s">
        <v>107</v>
      </c>
      <c r="BQ11" s="187" t="s">
        <v>108</v>
      </c>
      <c r="BR11" s="188" t="s">
        <v>109</v>
      </c>
      <c r="BS11" s="186" t="s">
        <v>107</v>
      </c>
      <c r="BT11" s="187" t="s">
        <v>108</v>
      </c>
      <c r="BU11" s="188" t="s">
        <v>109</v>
      </c>
      <c r="BV11" s="186" t="s">
        <v>107</v>
      </c>
      <c r="BW11" s="187" t="s">
        <v>108</v>
      </c>
      <c r="BX11" s="188" t="s">
        <v>109</v>
      </c>
      <c r="BY11" s="186" t="s">
        <v>107</v>
      </c>
      <c r="BZ11" s="187" t="s">
        <v>108</v>
      </c>
      <c r="CA11" s="188" t="s">
        <v>109</v>
      </c>
      <c r="CB11" s="186" t="s">
        <v>107</v>
      </c>
      <c r="CC11" s="187" t="s">
        <v>108</v>
      </c>
      <c r="CD11" s="188" t="s">
        <v>109</v>
      </c>
      <c r="CE11" s="186" t="s">
        <v>107</v>
      </c>
      <c r="CF11" s="187" t="s">
        <v>108</v>
      </c>
      <c r="CG11" s="188" t="s">
        <v>109</v>
      </c>
      <c r="CH11" s="186" t="s">
        <v>107</v>
      </c>
      <c r="CI11" s="187" t="s">
        <v>108</v>
      </c>
      <c r="CJ11" s="188" t="s">
        <v>109</v>
      </c>
      <c r="CK11" s="186" t="s">
        <v>107</v>
      </c>
      <c r="CL11" s="187" t="s">
        <v>108</v>
      </c>
      <c r="CM11" s="188" t="s">
        <v>109</v>
      </c>
      <c r="CN11" s="186" t="s">
        <v>107</v>
      </c>
      <c r="CO11" s="187" t="s">
        <v>108</v>
      </c>
      <c r="CP11" s="188" t="s">
        <v>109</v>
      </c>
      <c r="CQ11" s="186" t="s">
        <v>107</v>
      </c>
      <c r="CR11" s="187" t="s">
        <v>108</v>
      </c>
      <c r="CS11" s="188" t="s">
        <v>109</v>
      </c>
      <c r="CT11" s="186" t="s">
        <v>107</v>
      </c>
      <c r="CU11" s="187" t="s">
        <v>108</v>
      </c>
      <c r="CV11" s="188" t="s">
        <v>109</v>
      </c>
      <c r="CW11" s="186" t="s">
        <v>107</v>
      </c>
      <c r="CX11" s="187" t="s">
        <v>108</v>
      </c>
      <c r="CY11" s="188" t="s">
        <v>109</v>
      </c>
      <c r="CZ11" s="186" t="s">
        <v>107</v>
      </c>
      <c r="DA11" s="187" t="s">
        <v>108</v>
      </c>
      <c r="DB11" s="188" t="s">
        <v>109</v>
      </c>
      <c r="DC11" s="186" t="s">
        <v>107</v>
      </c>
      <c r="DD11" s="187" t="s">
        <v>108</v>
      </c>
      <c r="DE11" s="188" t="s">
        <v>109</v>
      </c>
      <c r="DF11" s="186" t="s">
        <v>107</v>
      </c>
      <c r="DG11" s="187" t="s">
        <v>108</v>
      </c>
      <c r="DH11" s="188" t="s">
        <v>109</v>
      </c>
      <c r="DI11" s="186" t="s">
        <v>107</v>
      </c>
      <c r="DJ11" s="187" t="s">
        <v>108</v>
      </c>
      <c r="DK11" s="188" t="s">
        <v>109</v>
      </c>
      <c r="DL11" s="186" t="s">
        <v>107</v>
      </c>
      <c r="DM11" s="187" t="s">
        <v>108</v>
      </c>
      <c r="DN11" s="188" t="s">
        <v>109</v>
      </c>
      <c r="DO11" s="186" t="s">
        <v>107</v>
      </c>
      <c r="DP11" s="187" t="s">
        <v>108</v>
      </c>
      <c r="DQ11" s="188" t="s">
        <v>109</v>
      </c>
      <c r="DR11" s="186" t="s">
        <v>107</v>
      </c>
      <c r="DS11" s="187" t="s">
        <v>108</v>
      </c>
      <c r="DT11" s="188" t="s">
        <v>109</v>
      </c>
      <c r="DU11" s="186" t="s">
        <v>107</v>
      </c>
      <c r="DV11" s="187" t="s">
        <v>108</v>
      </c>
      <c r="DW11" s="188" t="s">
        <v>109</v>
      </c>
      <c r="DX11" s="186" t="s">
        <v>107</v>
      </c>
      <c r="DY11" s="187"/>
      <c r="DZ11" s="188"/>
      <c r="EA11" s="188"/>
      <c r="EB11" s="188" t="s">
        <v>110</v>
      </c>
      <c r="EC11" s="188" t="s">
        <v>110</v>
      </c>
      <c r="ED11" s="188" t="s">
        <v>109</v>
      </c>
      <c r="EE11" s="189" t="s">
        <v>108</v>
      </c>
      <c r="EG11" s="188" t="s">
        <v>110</v>
      </c>
      <c r="EH11" s="188" t="s">
        <v>109</v>
      </c>
      <c r="EI11" s="189" t="s">
        <v>108</v>
      </c>
      <c r="EJ11" s="189"/>
      <c r="EK11" s="188" t="s">
        <v>110</v>
      </c>
      <c r="EL11" s="188" t="s">
        <v>110</v>
      </c>
      <c r="EM11" s="188" t="s">
        <v>109</v>
      </c>
      <c r="EN11" s="189" t="s">
        <v>108</v>
      </c>
    </row>
    <row r="12" spans="1:147">
      <c r="A12" s="378">
        <v>43344</v>
      </c>
      <c r="D12" s="379">
        <f>(B12*C12)/360</f>
        <v>0</v>
      </c>
      <c r="E12" s="379">
        <v>40936782.890000001</v>
      </c>
      <c r="F12" s="380">
        <v>2.0199999999999999E-2</v>
      </c>
      <c r="G12" s="379">
        <f>(E12*F12)/360</f>
        <v>2297.0083732722219</v>
      </c>
      <c r="J12" s="379">
        <f>(H12*I12)/360</f>
        <v>0</v>
      </c>
      <c r="M12" s="379">
        <f>(K12*L12)/360</f>
        <v>0</v>
      </c>
      <c r="P12" s="379">
        <f>(N12*O12)/360</f>
        <v>0</v>
      </c>
      <c r="S12" s="379">
        <f>(Q12*R12)/360</f>
        <v>0</v>
      </c>
      <c r="V12" s="379">
        <f>(T12*U12)/360</f>
        <v>0</v>
      </c>
      <c r="Y12" s="379">
        <f>(W12*X12)/360</f>
        <v>0</v>
      </c>
      <c r="AB12" s="379">
        <f>(Z12*AA12)/360</f>
        <v>0</v>
      </c>
      <c r="AE12" s="379">
        <v>0</v>
      </c>
      <c r="AH12" s="379">
        <v>0</v>
      </c>
      <c r="AI12" s="381"/>
      <c r="AJ12" s="382"/>
      <c r="AK12" s="379">
        <f>(AI12*AJ12)/360</f>
        <v>0</v>
      </c>
      <c r="AL12" s="381">
        <f t="shared" ref="AL12:AL30" si="0">30000000</f>
        <v>30000000</v>
      </c>
      <c r="AM12" s="382">
        <v>2.3300000000000001E-2</v>
      </c>
      <c r="AN12" s="379">
        <f>(AL12*AM12)/360</f>
        <v>1941.6666666666667</v>
      </c>
      <c r="AO12" s="381">
        <f>60000000+45175000</f>
        <v>105175000</v>
      </c>
      <c r="AP12" s="382">
        <v>2.35E-2</v>
      </c>
      <c r="AQ12" s="379">
        <f>(AO12*AP12)/360</f>
        <v>6865.5902777777774</v>
      </c>
      <c r="AR12" s="381">
        <f>30000000+44900000+50000000+10000000+10575000+40000000+30000000+25000000+40000000+49500000+44925000</f>
        <v>374900000</v>
      </c>
      <c r="AS12" s="382">
        <v>2.3599999999999999E-2</v>
      </c>
      <c r="AT12" s="379">
        <f>(AR12*AS12)/360</f>
        <v>24576.777777777777</v>
      </c>
      <c r="AU12" s="381"/>
      <c r="AV12" s="382"/>
      <c r="AW12" s="379">
        <f>(AU12*AV12)/360</f>
        <v>0</v>
      </c>
      <c r="AX12" s="381"/>
      <c r="AY12" s="382"/>
      <c r="AZ12" s="379">
        <f>(AX12*AY12)/360</f>
        <v>0</v>
      </c>
      <c r="BC12" s="379">
        <f>(BA12*BB12)/360</f>
        <v>0</v>
      </c>
      <c r="BF12" s="379">
        <f>(BD12*BE12)/360</f>
        <v>0</v>
      </c>
      <c r="BI12" s="379">
        <f>(BG12*BH12)/360</f>
        <v>0</v>
      </c>
      <c r="BL12" s="379">
        <f>(BJ12*BK12)/360</f>
        <v>0</v>
      </c>
      <c r="BO12" s="379">
        <f>(BM12*BN12)/360</f>
        <v>0</v>
      </c>
      <c r="BR12" s="379">
        <f>(BP12*BQ12)/360</f>
        <v>0</v>
      </c>
      <c r="BU12" s="379">
        <f>(BS12*BT12)/360</f>
        <v>0</v>
      </c>
      <c r="BX12" s="379">
        <f>(BV12*BW12)/360</f>
        <v>0</v>
      </c>
      <c r="CA12" s="379">
        <f>(BY12*BZ12)/360</f>
        <v>0</v>
      </c>
      <c r="CD12" s="379">
        <f>(CB12*CC12)/360</f>
        <v>0</v>
      </c>
      <c r="CG12" s="379">
        <f>(CE12*CF12)/360</f>
        <v>0</v>
      </c>
      <c r="CJ12" s="379">
        <f>(CH12*CI12)/360</f>
        <v>0</v>
      </c>
      <c r="CM12" s="379">
        <f>(CK12*CL12)/360</f>
        <v>0</v>
      </c>
      <c r="CP12" s="379">
        <f>(CN12*CO12)/360</f>
        <v>0</v>
      </c>
      <c r="CS12" s="379">
        <f>(CQ12*CR12)/360</f>
        <v>0</v>
      </c>
      <c r="CV12" s="379">
        <f>(CT12*CU12)/360</f>
        <v>0</v>
      </c>
      <c r="CY12" s="379">
        <f>(CW12*CX12)/360</f>
        <v>0</v>
      </c>
      <c r="DB12" s="379">
        <f>(CZ12*DA12)/360</f>
        <v>0</v>
      </c>
      <c r="DE12" s="379">
        <f>(DC12*DD12)/360</f>
        <v>0</v>
      </c>
      <c r="DH12" s="379">
        <f>(DF12*DG12)/360</f>
        <v>0</v>
      </c>
      <c r="DK12" s="379">
        <f>(DI12*DJ12)/360</f>
        <v>0</v>
      </c>
      <c r="DN12" s="379">
        <f>(DL12*DM12)/360</f>
        <v>0</v>
      </c>
      <c r="DQ12" s="379">
        <f>(DO12*DP12)/360</f>
        <v>0</v>
      </c>
      <c r="DT12" s="379">
        <f>(DR12*DS12)/360</f>
        <v>0</v>
      </c>
      <c r="DW12" s="379">
        <f>(DU12*DV12)/360</f>
        <v>0</v>
      </c>
      <c r="DY12" s="384"/>
      <c r="DZ12" s="366"/>
      <c r="EA12" s="379"/>
      <c r="EB12" s="190">
        <f>B12+E12+H12+K12+N12+Q12+T12+W12+Z12+AC12+AF12+AL12+AO12+AR12+AU12+AX12+BA12+BD12+BG12+DU12+AI12+DR12+DO12+DL12+DI12+DF12+DC12+CZ12+CW12+CT12+CQ12+CN12+CK12+CH12+CE12+CB12+BY12+BV12+BS12+BP12+BM12+BJ12</f>
        <v>551011782.88999999</v>
      </c>
      <c r="EC12" s="190">
        <f>EB12-EK12+EL12</f>
        <v>40936782.889999986</v>
      </c>
      <c r="ED12" s="379">
        <f>D12+G12+J12+M12+P12+S12+V12+Y12+AB12+AE12+AH12+AK12+AN12+AQ12+AT12+AW12+AZ12+BC12+BF12+BI12+DW12+DT12+DQ12+DN12+DK12+DH12+DE12+DB12+CY12+CV12+CS12+CP12+CM12+CJ12+CG12+CD12+CA12+BX12+BU12+BR12+BO12+BL12</f>
        <v>35681.043095494446</v>
      </c>
      <c r="EE12" s="380">
        <f>IF(EB12&lt;&gt;0,((ED12/EB12)*360),0)</f>
        <v>2.3311979731189012E-2</v>
      </c>
      <c r="EG12" s="190">
        <f>Q12+T12+W12+Z12+AC12+AF12</f>
        <v>0</v>
      </c>
      <c r="EH12" s="379">
        <f>S12+V12+Y12+AB12+AE12+AH12</f>
        <v>0</v>
      </c>
      <c r="EI12" s="380">
        <f>IF(EG12&lt;&gt;0,((EH12/EG12)*360),0)</f>
        <v>0</v>
      </c>
      <c r="EJ12" s="380"/>
      <c r="EK12" s="190">
        <f>DR12+DL12+DI12+DF12+DC12+CZ12+CW12+CT12+CQ12+CN12+CK12+CH12+CE12+CB12+BY12+BV12+BS12+BP12+BM12+BJ12+BG12+BD12+BA12+AX12+AU12+AR12+AO12+AL12+AI12+DO12</f>
        <v>510075000</v>
      </c>
      <c r="EL12" s="190">
        <f>DX12</f>
        <v>0</v>
      </c>
      <c r="EM12" s="190">
        <f>DT12+DQ12+DN12+DK12+DH12+DE12+DB12+CY12+CV12+CS12+CP12+CM12+CJ12+CG12+CD12+CA12+BX12+BU12+BR12+BO12+BL12+BI12+BF12+BC12+AZ12+AW12+AT12+AQ12+AN12+AK12</f>
        <v>33384.034722222219</v>
      </c>
      <c r="EN12" s="380">
        <f>IF(EK12&lt;&gt;0,((EM12/EK12)*360),0)</f>
        <v>2.356173601921286E-2</v>
      </c>
      <c r="EP12" s="379"/>
    </row>
    <row r="13" spans="1:147">
      <c r="A13" s="378">
        <f>1+A12</f>
        <v>43345</v>
      </c>
      <c r="D13" s="379">
        <f t="shared" ref="D13:D41" si="1">(B13*C13)/360</f>
        <v>0</v>
      </c>
      <c r="E13" s="379">
        <v>40936782.890000001</v>
      </c>
      <c r="F13" s="380">
        <v>2.0199999999999999E-2</v>
      </c>
      <c r="G13" s="379">
        <f t="shared" ref="G13:G41" si="2">(E13*F13)/360</f>
        <v>2297.0083732722219</v>
      </c>
      <c r="J13" s="379">
        <f t="shared" ref="J13:J41" si="3">(H13*I13)/360</f>
        <v>0</v>
      </c>
      <c r="M13" s="379">
        <f t="shared" ref="M13:M41" si="4">(K13*L13)/360</f>
        <v>0</v>
      </c>
      <c r="P13" s="379">
        <f t="shared" ref="P13:P41" si="5">(N13*O13)/360</f>
        <v>0</v>
      </c>
      <c r="S13" s="379">
        <f t="shared" ref="S13:S41" si="6">(Q13*R13)/360</f>
        <v>0</v>
      </c>
      <c r="V13" s="379">
        <f t="shared" ref="V13:V41" si="7">(T13*U13)/360</f>
        <v>0</v>
      </c>
      <c r="Y13" s="379">
        <f t="shared" ref="Y13:Y41" si="8">(W13*X13)/360</f>
        <v>0</v>
      </c>
      <c r="AB13" s="379">
        <f t="shared" ref="AB13:AB41" si="9">(Z13*AA13)/360</f>
        <v>0</v>
      </c>
      <c r="AE13" s="379">
        <v>0</v>
      </c>
      <c r="AH13" s="379">
        <v>0</v>
      </c>
      <c r="AI13" s="381"/>
      <c r="AJ13" s="382"/>
      <c r="AK13" s="379">
        <f t="shared" ref="AK13:AK41" si="10">(AI13*AJ13)/360</f>
        <v>0</v>
      </c>
      <c r="AL13" s="381">
        <f t="shared" si="0"/>
        <v>30000000</v>
      </c>
      <c r="AM13" s="382">
        <v>2.3300000000000001E-2</v>
      </c>
      <c r="AN13" s="379">
        <f t="shared" ref="AN13:AN41" si="11">(AL13*AM13)/360</f>
        <v>1941.6666666666667</v>
      </c>
      <c r="AO13" s="381">
        <f>60000000+45175000</f>
        <v>105175000</v>
      </c>
      <c r="AP13" s="382">
        <v>2.35E-2</v>
      </c>
      <c r="AQ13" s="379">
        <f t="shared" ref="AQ13:AQ41" si="12">(AO13*AP13)/360</f>
        <v>6865.5902777777774</v>
      </c>
      <c r="AR13" s="381">
        <f>30000000+44900000+50000000+10000000+10575000+40000000+30000000+25000000+40000000+49500000+44925000</f>
        <v>374900000</v>
      </c>
      <c r="AS13" s="382">
        <v>2.3599999999999999E-2</v>
      </c>
      <c r="AT13" s="379">
        <f t="shared" ref="AT13:AT41" si="13">(AR13*AS13)/360</f>
        <v>24576.777777777777</v>
      </c>
      <c r="AU13" s="381"/>
      <c r="AV13" s="382"/>
      <c r="AW13" s="379">
        <f t="shared" ref="AW13:AW41" si="14">(AU13*AV13)/360</f>
        <v>0</v>
      </c>
      <c r="AX13" s="381"/>
      <c r="AY13" s="382"/>
      <c r="AZ13" s="379">
        <f t="shared" ref="AZ13:AZ41" si="15">(AX13*AY13)/360</f>
        <v>0</v>
      </c>
      <c r="BC13" s="379">
        <f t="shared" ref="BC13:BC41" si="16">(BA13*BB13)/360</f>
        <v>0</v>
      </c>
      <c r="BF13" s="379">
        <f t="shared" ref="BF13:BF41" si="17">(BD13*BE13)/360</f>
        <v>0</v>
      </c>
      <c r="BI13" s="379">
        <f t="shared" ref="BI13:BI41" si="18">(BG13*BH13)/360</f>
        <v>0</v>
      </c>
      <c r="BL13" s="379">
        <f t="shared" ref="BL13:BL41" si="19">(BJ13*BK13)/360</f>
        <v>0</v>
      </c>
      <c r="BO13" s="379">
        <f t="shared" ref="BO13:BO41" si="20">(BM13*BN13)/360</f>
        <v>0</v>
      </c>
      <c r="BR13" s="379">
        <f t="shared" ref="BR13:BR41" si="21">(BP13*BQ13)/360</f>
        <v>0</v>
      </c>
      <c r="BU13" s="379">
        <f t="shared" ref="BU13:BU41" si="22">(BS13*BT13)/360</f>
        <v>0</v>
      </c>
      <c r="BX13" s="379">
        <f t="shared" ref="BX13:BX41" si="23">(BV13*BW13)/360</f>
        <v>0</v>
      </c>
      <c r="CA13" s="379">
        <f t="shared" ref="CA13:CA41" si="24">(BY13*BZ13)/360</f>
        <v>0</v>
      </c>
      <c r="CD13" s="379">
        <f t="shared" ref="CD13:CD41" si="25">(CB13*CC13)/360</f>
        <v>0</v>
      </c>
      <c r="CG13" s="379">
        <f t="shared" ref="CG13:CG41" si="26">(CE13*CF13)/360</f>
        <v>0</v>
      </c>
      <c r="CJ13" s="379">
        <f t="shared" ref="CJ13:CJ41" si="27">(CH13*CI13)/360</f>
        <v>0</v>
      </c>
      <c r="CM13" s="379">
        <f t="shared" ref="CM13:CM41" si="28">(CK13*CL13)/360</f>
        <v>0</v>
      </c>
      <c r="CP13" s="379">
        <f t="shared" ref="CP13:CP41" si="29">(CN13*CO13)/360</f>
        <v>0</v>
      </c>
      <c r="CS13" s="379">
        <f t="shared" ref="CS13:CS41" si="30">(CQ13*CR13)/360</f>
        <v>0</v>
      </c>
      <c r="CV13" s="379">
        <f t="shared" ref="CV13:CV41" si="31">(CT13*CU13)/360</f>
        <v>0</v>
      </c>
      <c r="CY13" s="379">
        <f t="shared" ref="CY13:CY41" si="32">(CW13*CX13)/360</f>
        <v>0</v>
      </c>
      <c r="DB13" s="379">
        <f t="shared" ref="DB13:DB41" si="33">(CZ13*DA13)/360</f>
        <v>0</v>
      </c>
      <c r="DE13" s="379">
        <f t="shared" ref="DE13:DE41" si="34">(DC13*DD13)/360</f>
        <v>0</v>
      </c>
      <c r="DH13" s="379">
        <f t="shared" ref="DH13:DH41" si="35">(DF13*DG13)/360</f>
        <v>0</v>
      </c>
      <c r="DK13" s="379">
        <f t="shared" ref="DK13:DK41" si="36">(DI13*DJ13)/360</f>
        <v>0</v>
      </c>
      <c r="DN13" s="379">
        <f t="shared" ref="DN13:DN41" si="37">(DL13*DM13)/360</f>
        <v>0</v>
      </c>
      <c r="DQ13" s="379">
        <f t="shared" ref="DQ13:DQ41" si="38">(DO13*DP13)/360</f>
        <v>0</v>
      </c>
      <c r="DT13" s="379">
        <f t="shared" ref="DT13:DT41" si="39">(DR13*DS13)/360</f>
        <v>0</v>
      </c>
      <c r="DW13" s="379">
        <f t="shared" ref="DW13:DW41" si="40">(DU13*DV13)/360</f>
        <v>0</v>
      </c>
      <c r="DY13" s="384"/>
      <c r="DZ13" s="366"/>
      <c r="EA13" s="379"/>
      <c r="EB13" s="190">
        <f t="shared" ref="EB13:EB41" si="41">B13+E13+H13+K13+N13+Q13+T13+W13+Z13+AC13+AF13+AL13+AO13+AR13+AU13+AX13+BA13+BD13+BG13+DU13+AI13+DR13+DO13+DL13+DI13+DF13+DC13+CZ13+CW13+CT13+CQ13+CN13+CK13+CH13+CE13+CB13+BY13+BV13+BS13+BP13+BM13+BJ13</f>
        <v>551011782.88999999</v>
      </c>
      <c r="EC13" s="190">
        <f t="shared" ref="EC13:EC41" si="42">EB13-EK13+EL13</f>
        <v>40936782.889999986</v>
      </c>
      <c r="ED13" s="379">
        <f t="shared" ref="ED13:ED41" si="43">D13+G13+J13+M13+P13+S13+V13+Y13+AB13+AE13+AH13+AK13+AN13+AQ13+AT13+AW13+AZ13+BC13+BF13+BI13+DW13+DT13+DQ13+DN13+DK13+DH13+DE13+DB13+CY13+CV13+CS13+CP13+CM13+CJ13+CG13+CD13+CA13+BX13+BU13+BR13+BO13+BL13</f>
        <v>35681.043095494446</v>
      </c>
      <c r="EE13" s="380">
        <f t="shared" ref="EE13:EE41" si="44">IF(EB13&lt;&gt;0,((ED13/EB13)*360),0)</f>
        <v>2.3311979731189012E-2</v>
      </c>
      <c r="EG13" s="190">
        <f t="shared" ref="EG13:EG41" si="45">Q13+T13+W13+Z13+AC13+AF13</f>
        <v>0</v>
      </c>
      <c r="EH13" s="379">
        <f t="shared" ref="EH13:EH41" si="46">S13+V13+Y13+AB13+AE13+AH13</f>
        <v>0</v>
      </c>
      <c r="EI13" s="380">
        <f t="shared" ref="EI13:EI41" si="47">IF(EG13&lt;&gt;0,((EH13/EG13)*360),0)</f>
        <v>0</v>
      </c>
      <c r="EJ13" s="380"/>
      <c r="EK13" s="190">
        <f t="shared" ref="EK13:EK41" si="48">DR13+DL13+DI13+DF13+DC13+CZ13+CW13+CT13+CQ13+CN13+CK13+CH13+CE13+CB13+BY13+BV13+BS13+BP13+BM13+BJ13+BG13+BD13+BA13+AX13+AU13+AR13+AO13+AL13+AI13+DO13</f>
        <v>510075000</v>
      </c>
      <c r="EL13" s="190">
        <f t="shared" ref="EL13:EL41" si="49">DX13</f>
        <v>0</v>
      </c>
      <c r="EM13" s="190">
        <f t="shared" ref="EM13:EM41" si="50">DT13+DQ13+DN13+DK13+DH13+DE13+DB13+CY13+CV13+CS13+CP13+CM13+CJ13+CG13+CD13+CA13+BX13+BU13+BR13+BO13+BL13+BI13+BF13+BC13+AZ13+AW13+AT13+AQ13+AN13+AK13</f>
        <v>33384.034722222219</v>
      </c>
      <c r="EN13" s="380">
        <f t="shared" ref="EN13:EN41" si="51">IF(EK13&lt;&gt;0,((EM13/EK13)*360),0)</f>
        <v>2.356173601921286E-2</v>
      </c>
      <c r="EP13" s="379"/>
    </row>
    <row r="14" spans="1:147">
      <c r="A14" s="378">
        <f t="shared" ref="A14:A41" si="52">1+A13</f>
        <v>43346</v>
      </c>
      <c r="D14" s="379">
        <f t="shared" si="1"/>
        <v>0</v>
      </c>
      <c r="E14" s="379">
        <v>40936782.890000001</v>
      </c>
      <c r="F14" s="380">
        <v>2.0199999999999999E-2</v>
      </c>
      <c r="G14" s="379">
        <f t="shared" si="2"/>
        <v>2297.0083732722219</v>
      </c>
      <c r="J14" s="379">
        <f t="shared" si="3"/>
        <v>0</v>
      </c>
      <c r="M14" s="379">
        <f t="shared" si="4"/>
        <v>0</v>
      </c>
      <c r="P14" s="379">
        <f t="shared" si="5"/>
        <v>0</v>
      </c>
      <c r="S14" s="379">
        <f t="shared" si="6"/>
        <v>0</v>
      </c>
      <c r="V14" s="379">
        <f t="shared" si="7"/>
        <v>0</v>
      </c>
      <c r="Y14" s="379">
        <f t="shared" si="8"/>
        <v>0</v>
      </c>
      <c r="AB14" s="379">
        <f t="shared" si="9"/>
        <v>0</v>
      </c>
      <c r="AE14" s="379">
        <v>0</v>
      </c>
      <c r="AH14" s="379">
        <v>0</v>
      </c>
      <c r="AI14" s="381"/>
      <c r="AJ14" s="382"/>
      <c r="AK14" s="379">
        <f t="shared" si="10"/>
        <v>0</v>
      </c>
      <c r="AL14" s="381">
        <f t="shared" si="0"/>
        <v>30000000</v>
      </c>
      <c r="AM14" s="382">
        <v>2.3300000000000001E-2</v>
      </c>
      <c r="AN14" s="379">
        <f t="shared" si="11"/>
        <v>1941.6666666666667</v>
      </c>
      <c r="AO14" s="381">
        <f>60000000+45175000</f>
        <v>105175000</v>
      </c>
      <c r="AP14" s="382">
        <v>2.35E-2</v>
      </c>
      <c r="AQ14" s="379">
        <f t="shared" si="12"/>
        <v>6865.5902777777774</v>
      </c>
      <c r="AR14" s="381">
        <f>30000000+44900000+50000000+10000000+10575000+40000000+30000000+25000000+40000000+49500000+44925000</f>
        <v>374900000</v>
      </c>
      <c r="AS14" s="382">
        <v>2.3599999999999999E-2</v>
      </c>
      <c r="AT14" s="379">
        <f t="shared" si="13"/>
        <v>24576.777777777777</v>
      </c>
      <c r="AU14" s="381"/>
      <c r="AV14" s="382"/>
      <c r="AW14" s="379">
        <f t="shared" si="14"/>
        <v>0</v>
      </c>
      <c r="AX14" s="381"/>
      <c r="AY14" s="382"/>
      <c r="AZ14" s="379">
        <f t="shared" si="15"/>
        <v>0</v>
      </c>
      <c r="BC14" s="379">
        <f t="shared" si="16"/>
        <v>0</v>
      </c>
      <c r="BF14" s="379">
        <f t="shared" si="17"/>
        <v>0</v>
      </c>
      <c r="BI14" s="379">
        <f t="shared" si="18"/>
        <v>0</v>
      </c>
      <c r="BL14" s="379">
        <f t="shared" si="19"/>
        <v>0</v>
      </c>
      <c r="BO14" s="379">
        <f t="shared" si="20"/>
        <v>0</v>
      </c>
      <c r="BR14" s="379">
        <f t="shared" si="21"/>
        <v>0</v>
      </c>
      <c r="BU14" s="379">
        <f t="shared" si="22"/>
        <v>0</v>
      </c>
      <c r="BX14" s="379">
        <f t="shared" si="23"/>
        <v>0</v>
      </c>
      <c r="CA14" s="379">
        <f t="shared" si="24"/>
        <v>0</v>
      </c>
      <c r="CD14" s="379">
        <f t="shared" si="25"/>
        <v>0</v>
      </c>
      <c r="CG14" s="379">
        <f t="shared" si="26"/>
        <v>0</v>
      </c>
      <c r="CJ14" s="379">
        <f t="shared" si="27"/>
        <v>0</v>
      </c>
      <c r="CM14" s="379">
        <f t="shared" si="28"/>
        <v>0</v>
      </c>
      <c r="CP14" s="379">
        <f t="shared" si="29"/>
        <v>0</v>
      </c>
      <c r="CS14" s="379">
        <f t="shared" si="30"/>
        <v>0</v>
      </c>
      <c r="CV14" s="379">
        <f t="shared" si="31"/>
        <v>0</v>
      </c>
      <c r="CY14" s="379">
        <f t="shared" si="32"/>
        <v>0</v>
      </c>
      <c r="DB14" s="379">
        <f t="shared" si="33"/>
        <v>0</v>
      </c>
      <c r="DE14" s="379">
        <f t="shared" si="34"/>
        <v>0</v>
      </c>
      <c r="DH14" s="379">
        <f t="shared" si="35"/>
        <v>0</v>
      </c>
      <c r="DK14" s="379">
        <f t="shared" si="36"/>
        <v>0</v>
      </c>
      <c r="DN14" s="379">
        <f t="shared" si="37"/>
        <v>0</v>
      </c>
      <c r="DQ14" s="379">
        <f t="shared" si="38"/>
        <v>0</v>
      </c>
      <c r="DT14" s="379">
        <f t="shared" si="39"/>
        <v>0</v>
      </c>
      <c r="DW14" s="379">
        <f t="shared" si="40"/>
        <v>0</v>
      </c>
      <c r="DY14" s="384"/>
      <c r="DZ14" s="366"/>
      <c r="EA14" s="379"/>
      <c r="EB14" s="190">
        <f t="shared" si="41"/>
        <v>551011782.88999999</v>
      </c>
      <c r="EC14" s="190">
        <f t="shared" si="42"/>
        <v>40936782.889999986</v>
      </c>
      <c r="ED14" s="379">
        <f t="shared" si="43"/>
        <v>35681.043095494446</v>
      </c>
      <c r="EE14" s="380">
        <f t="shared" si="44"/>
        <v>2.3311979731189012E-2</v>
      </c>
      <c r="EG14" s="190">
        <f t="shared" si="45"/>
        <v>0</v>
      </c>
      <c r="EH14" s="379">
        <f t="shared" si="46"/>
        <v>0</v>
      </c>
      <c r="EI14" s="380">
        <f t="shared" si="47"/>
        <v>0</v>
      </c>
      <c r="EJ14" s="380"/>
      <c r="EK14" s="190">
        <f t="shared" si="48"/>
        <v>510075000</v>
      </c>
      <c r="EL14" s="190">
        <f t="shared" si="49"/>
        <v>0</v>
      </c>
      <c r="EM14" s="190">
        <f t="shared" si="50"/>
        <v>33384.034722222219</v>
      </c>
      <c r="EN14" s="380">
        <f t="shared" si="51"/>
        <v>2.356173601921286E-2</v>
      </c>
      <c r="EP14" s="379"/>
    </row>
    <row r="15" spans="1:147">
      <c r="A15" s="378">
        <f t="shared" si="52"/>
        <v>43347</v>
      </c>
      <c r="D15" s="379">
        <f t="shared" si="1"/>
        <v>0</v>
      </c>
      <c r="E15" s="379">
        <v>39708921.109999999</v>
      </c>
      <c r="F15" s="380">
        <v>1.9900000000000001E-2</v>
      </c>
      <c r="G15" s="379">
        <f t="shared" si="2"/>
        <v>2195.0209169138889</v>
      </c>
      <c r="J15" s="379">
        <f t="shared" si="3"/>
        <v>0</v>
      </c>
      <c r="M15" s="379">
        <f t="shared" si="4"/>
        <v>0</v>
      </c>
      <c r="P15" s="379">
        <f t="shared" si="5"/>
        <v>0</v>
      </c>
      <c r="S15" s="379">
        <f t="shared" si="6"/>
        <v>0</v>
      </c>
      <c r="V15" s="379">
        <f t="shared" si="7"/>
        <v>0</v>
      </c>
      <c r="Y15" s="379">
        <f t="shared" si="8"/>
        <v>0</v>
      </c>
      <c r="AB15" s="379">
        <f t="shared" si="9"/>
        <v>0</v>
      </c>
      <c r="AE15" s="379">
        <v>0</v>
      </c>
      <c r="AH15" s="379">
        <v>0</v>
      </c>
      <c r="AI15" s="381"/>
      <c r="AJ15" s="382"/>
      <c r="AK15" s="379">
        <f t="shared" si="10"/>
        <v>0</v>
      </c>
      <c r="AL15" s="381">
        <f t="shared" si="0"/>
        <v>30000000</v>
      </c>
      <c r="AM15" s="382">
        <v>2.3300000000000001E-2</v>
      </c>
      <c r="AN15" s="379">
        <f t="shared" si="11"/>
        <v>1941.6666666666667</v>
      </c>
      <c r="AO15" s="381">
        <f t="shared" ref="AO15:AO41" si="53">60000000+45175000+95875000</f>
        <v>201050000</v>
      </c>
      <c r="AP15" s="382">
        <v>2.35E-2</v>
      </c>
      <c r="AQ15" s="379">
        <f t="shared" si="12"/>
        <v>13124.097222222223</v>
      </c>
      <c r="AR15" s="381">
        <f>30000000+44900000+50000000+10000000+10575000+40000000+30000000+25000000+40000000</f>
        <v>280475000</v>
      </c>
      <c r="AS15" s="382">
        <v>2.3599999999999999E-2</v>
      </c>
      <c r="AT15" s="379">
        <f t="shared" si="13"/>
        <v>18386.694444444445</v>
      </c>
      <c r="AU15" s="381"/>
      <c r="AV15" s="382"/>
      <c r="AW15" s="379">
        <f t="shared" si="14"/>
        <v>0</v>
      </c>
      <c r="AX15" s="381"/>
      <c r="AY15" s="382"/>
      <c r="AZ15" s="379">
        <f t="shared" si="15"/>
        <v>0</v>
      </c>
      <c r="BC15" s="379">
        <f t="shared" si="16"/>
        <v>0</v>
      </c>
      <c r="BF15" s="379">
        <f t="shared" si="17"/>
        <v>0</v>
      </c>
      <c r="BI15" s="379">
        <f t="shared" si="18"/>
        <v>0</v>
      </c>
      <c r="BL15" s="379">
        <f t="shared" si="19"/>
        <v>0</v>
      </c>
      <c r="BO15" s="379">
        <f t="shared" si="20"/>
        <v>0</v>
      </c>
      <c r="BR15" s="379">
        <f t="shared" si="21"/>
        <v>0</v>
      </c>
      <c r="BU15" s="379">
        <f t="shared" si="22"/>
        <v>0</v>
      </c>
      <c r="BX15" s="379">
        <f t="shared" si="23"/>
        <v>0</v>
      </c>
      <c r="CA15" s="379">
        <f t="shared" si="24"/>
        <v>0</v>
      </c>
      <c r="CD15" s="379">
        <f t="shared" si="25"/>
        <v>0</v>
      </c>
      <c r="CG15" s="379">
        <f t="shared" si="26"/>
        <v>0</v>
      </c>
      <c r="CJ15" s="379">
        <f t="shared" si="27"/>
        <v>0</v>
      </c>
      <c r="CM15" s="379">
        <f t="shared" si="28"/>
        <v>0</v>
      </c>
      <c r="CP15" s="379">
        <f t="shared" si="29"/>
        <v>0</v>
      </c>
      <c r="CS15" s="379">
        <f t="shared" si="30"/>
        <v>0</v>
      </c>
      <c r="CV15" s="379">
        <f t="shared" si="31"/>
        <v>0</v>
      </c>
      <c r="CY15" s="379">
        <f t="shared" si="32"/>
        <v>0</v>
      </c>
      <c r="DB15" s="379">
        <f t="shared" si="33"/>
        <v>0</v>
      </c>
      <c r="DE15" s="379">
        <f t="shared" si="34"/>
        <v>0</v>
      </c>
      <c r="DH15" s="379">
        <f t="shared" si="35"/>
        <v>0</v>
      </c>
      <c r="DK15" s="379">
        <f t="shared" si="36"/>
        <v>0</v>
      </c>
      <c r="DN15" s="379">
        <f t="shared" si="37"/>
        <v>0</v>
      </c>
      <c r="DQ15" s="379">
        <f t="shared" si="38"/>
        <v>0</v>
      </c>
      <c r="DT15" s="379">
        <f t="shared" si="39"/>
        <v>0</v>
      </c>
      <c r="DW15" s="379">
        <f t="shared" si="40"/>
        <v>0</v>
      </c>
      <c r="DY15" s="384"/>
      <c r="DZ15" s="366"/>
      <c r="EA15" s="379"/>
      <c r="EB15" s="190">
        <f t="shared" si="41"/>
        <v>551233921.11000001</v>
      </c>
      <c r="EC15" s="190">
        <f t="shared" si="42"/>
        <v>39708921.110000014</v>
      </c>
      <c r="ED15" s="379">
        <f t="shared" si="43"/>
        <v>35647.479250247226</v>
      </c>
      <c r="EE15" s="380">
        <f t="shared" si="44"/>
        <v>2.328066550085935E-2</v>
      </c>
      <c r="EG15" s="190">
        <f t="shared" si="45"/>
        <v>0</v>
      </c>
      <c r="EH15" s="379">
        <f t="shared" si="46"/>
        <v>0</v>
      </c>
      <c r="EI15" s="380">
        <f t="shared" si="47"/>
        <v>0</v>
      </c>
      <c r="EJ15" s="380"/>
      <c r="EK15" s="190">
        <f t="shared" si="48"/>
        <v>511525000</v>
      </c>
      <c r="EL15" s="190">
        <f t="shared" si="49"/>
        <v>0</v>
      </c>
      <c r="EM15" s="190">
        <f t="shared" si="50"/>
        <v>33452.458333333336</v>
      </c>
      <c r="EN15" s="380">
        <f t="shared" si="51"/>
        <v>2.354310151019012E-2</v>
      </c>
      <c r="EP15" s="379"/>
    </row>
    <row r="16" spans="1:147">
      <c r="A16" s="378">
        <f t="shared" si="52"/>
        <v>43348</v>
      </c>
      <c r="D16" s="379">
        <f t="shared" si="1"/>
        <v>0</v>
      </c>
      <c r="E16" s="379">
        <v>47847611.810000002</v>
      </c>
      <c r="F16" s="380">
        <v>1.9699999999999999E-2</v>
      </c>
      <c r="G16" s="379">
        <f t="shared" si="2"/>
        <v>2618.3276462694444</v>
      </c>
      <c r="J16" s="379">
        <f t="shared" si="3"/>
        <v>0</v>
      </c>
      <c r="M16" s="379">
        <f t="shared" si="4"/>
        <v>0</v>
      </c>
      <c r="P16" s="379">
        <f t="shared" si="5"/>
        <v>0</v>
      </c>
      <c r="S16" s="379">
        <f t="shared" si="6"/>
        <v>0</v>
      </c>
      <c r="V16" s="379">
        <f t="shared" si="7"/>
        <v>0</v>
      </c>
      <c r="Y16" s="379">
        <f t="shared" si="8"/>
        <v>0</v>
      </c>
      <c r="AB16" s="379">
        <f t="shared" si="9"/>
        <v>0</v>
      </c>
      <c r="AE16" s="379">
        <v>0</v>
      </c>
      <c r="AH16" s="379">
        <v>0</v>
      </c>
      <c r="AI16" s="381"/>
      <c r="AJ16" s="382"/>
      <c r="AK16" s="379">
        <f t="shared" si="10"/>
        <v>0</v>
      </c>
      <c r="AL16" s="381">
        <f t="shared" si="0"/>
        <v>30000000</v>
      </c>
      <c r="AM16" s="382">
        <v>2.3300000000000001E-2</v>
      </c>
      <c r="AN16" s="379">
        <f t="shared" si="11"/>
        <v>1941.6666666666667</v>
      </c>
      <c r="AO16" s="381">
        <f t="shared" si="53"/>
        <v>201050000</v>
      </c>
      <c r="AP16" s="382">
        <v>2.35E-2</v>
      </c>
      <c r="AQ16" s="379">
        <f t="shared" si="12"/>
        <v>13124.097222222223</v>
      </c>
      <c r="AR16" s="381">
        <f>30000000+44900000+50000000+10000000+10575000+40000000+30000000+25000000</f>
        <v>240475000</v>
      </c>
      <c r="AS16" s="382">
        <v>2.3599999999999999E-2</v>
      </c>
      <c r="AT16" s="379">
        <f t="shared" si="13"/>
        <v>15764.472222222223</v>
      </c>
      <c r="AU16" s="381">
        <f t="shared" ref="AU16:AU41" si="54">31925000</f>
        <v>31925000</v>
      </c>
      <c r="AV16" s="382">
        <v>2.3599999999999999E-2</v>
      </c>
      <c r="AW16" s="379">
        <f t="shared" si="14"/>
        <v>2092.8611111111113</v>
      </c>
      <c r="AX16" s="381"/>
      <c r="AY16" s="382"/>
      <c r="AZ16" s="379">
        <f t="shared" si="15"/>
        <v>0</v>
      </c>
      <c r="BC16" s="379">
        <f t="shared" si="16"/>
        <v>0</v>
      </c>
      <c r="BF16" s="379">
        <f t="shared" si="17"/>
        <v>0</v>
      </c>
      <c r="BI16" s="379">
        <f t="shared" si="18"/>
        <v>0</v>
      </c>
      <c r="BL16" s="379">
        <f t="shared" si="19"/>
        <v>0</v>
      </c>
      <c r="BO16" s="379">
        <f t="shared" si="20"/>
        <v>0</v>
      </c>
      <c r="BR16" s="379">
        <f t="shared" si="21"/>
        <v>0</v>
      </c>
      <c r="BU16" s="379">
        <f t="shared" si="22"/>
        <v>0</v>
      </c>
      <c r="BX16" s="379">
        <f t="shared" si="23"/>
        <v>0</v>
      </c>
      <c r="CA16" s="379">
        <f t="shared" si="24"/>
        <v>0</v>
      </c>
      <c r="CD16" s="379">
        <f t="shared" si="25"/>
        <v>0</v>
      </c>
      <c r="CG16" s="379">
        <f t="shared" si="26"/>
        <v>0</v>
      </c>
      <c r="CJ16" s="379">
        <f t="shared" si="27"/>
        <v>0</v>
      </c>
      <c r="CM16" s="379">
        <f t="shared" si="28"/>
        <v>0</v>
      </c>
      <c r="CP16" s="379">
        <f t="shared" si="29"/>
        <v>0</v>
      </c>
      <c r="CS16" s="379">
        <f t="shared" si="30"/>
        <v>0</v>
      </c>
      <c r="CV16" s="379">
        <f t="shared" si="31"/>
        <v>0</v>
      </c>
      <c r="CY16" s="379">
        <f t="shared" si="32"/>
        <v>0</v>
      </c>
      <c r="DB16" s="379">
        <f t="shared" si="33"/>
        <v>0</v>
      </c>
      <c r="DE16" s="379">
        <f t="shared" si="34"/>
        <v>0</v>
      </c>
      <c r="DH16" s="379">
        <f t="shared" si="35"/>
        <v>0</v>
      </c>
      <c r="DK16" s="379">
        <f t="shared" si="36"/>
        <v>0</v>
      </c>
      <c r="DN16" s="379">
        <f t="shared" si="37"/>
        <v>0</v>
      </c>
      <c r="DQ16" s="379">
        <f t="shared" si="38"/>
        <v>0</v>
      </c>
      <c r="DT16" s="379">
        <f t="shared" si="39"/>
        <v>0</v>
      </c>
      <c r="DW16" s="379">
        <f t="shared" si="40"/>
        <v>0</v>
      </c>
      <c r="DY16" s="384"/>
      <c r="DZ16" s="366"/>
      <c r="EA16" s="379"/>
      <c r="EB16" s="190">
        <f t="shared" si="41"/>
        <v>551297611.80999994</v>
      </c>
      <c r="EC16" s="190">
        <f t="shared" si="42"/>
        <v>47847611.809999943</v>
      </c>
      <c r="ED16" s="379">
        <f t="shared" si="43"/>
        <v>35541.424868491667</v>
      </c>
      <c r="EE16" s="380">
        <f t="shared" si="44"/>
        <v>2.3208721892788931E-2</v>
      </c>
      <c r="EG16" s="190">
        <f t="shared" si="45"/>
        <v>0</v>
      </c>
      <c r="EH16" s="379">
        <f t="shared" si="46"/>
        <v>0</v>
      </c>
      <c r="EI16" s="380">
        <f t="shared" si="47"/>
        <v>0</v>
      </c>
      <c r="EJ16" s="380"/>
      <c r="EK16" s="190">
        <f t="shared" si="48"/>
        <v>503450000</v>
      </c>
      <c r="EL16" s="190">
        <f t="shared" si="49"/>
        <v>0</v>
      </c>
      <c r="EM16" s="190">
        <f t="shared" si="50"/>
        <v>32923.097222222226</v>
      </c>
      <c r="EN16" s="380">
        <f t="shared" si="51"/>
        <v>2.3542188896613369E-2</v>
      </c>
      <c r="EP16" s="379"/>
    </row>
    <row r="17" spans="1:146">
      <c r="A17" s="378">
        <f t="shared" si="52"/>
        <v>43349</v>
      </c>
      <c r="D17" s="379">
        <f t="shared" si="1"/>
        <v>0</v>
      </c>
      <c r="E17" s="379">
        <v>35267530.920000002</v>
      </c>
      <c r="F17" s="380">
        <v>0.02</v>
      </c>
      <c r="G17" s="379">
        <f t="shared" si="2"/>
        <v>1959.3072733333333</v>
      </c>
      <c r="J17" s="379">
        <f t="shared" si="3"/>
        <v>0</v>
      </c>
      <c r="M17" s="379">
        <f t="shared" si="4"/>
        <v>0</v>
      </c>
      <c r="P17" s="379">
        <f t="shared" si="5"/>
        <v>0</v>
      </c>
      <c r="S17" s="379">
        <f t="shared" si="6"/>
        <v>0</v>
      </c>
      <c r="V17" s="379">
        <f t="shared" si="7"/>
        <v>0</v>
      </c>
      <c r="Y17" s="379">
        <f t="shared" si="8"/>
        <v>0</v>
      </c>
      <c r="AB17" s="379">
        <f t="shared" si="9"/>
        <v>0</v>
      </c>
      <c r="AE17" s="379">
        <v>0</v>
      </c>
      <c r="AH17" s="379">
        <v>0</v>
      </c>
      <c r="AI17" s="381"/>
      <c r="AJ17" s="382"/>
      <c r="AK17" s="379">
        <f t="shared" si="10"/>
        <v>0</v>
      </c>
      <c r="AL17" s="381">
        <f t="shared" si="0"/>
        <v>30000000</v>
      </c>
      <c r="AM17" s="382">
        <v>2.3300000000000001E-2</v>
      </c>
      <c r="AN17" s="379">
        <f t="shared" si="11"/>
        <v>1941.6666666666667</v>
      </c>
      <c r="AO17" s="381">
        <f t="shared" si="53"/>
        <v>201050000</v>
      </c>
      <c r="AP17" s="382">
        <v>2.35E-2</v>
      </c>
      <c r="AQ17" s="379">
        <f t="shared" si="12"/>
        <v>13124.097222222223</v>
      </c>
      <c r="AR17" s="381">
        <f>30000000+44900000+50000000+10000000+10575000</f>
        <v>145475000</v>
      </c>
      <c r="AS17" s="382">
        <v>2.3599999999999999E-2</v>
      </c>
      <c r="AT17" s="379">
        <f t="shared" si="13"/>
        <v>9536.6944444444453</v>
      </c>
      <c r="AU17" s="381">
        <f t="shared" si="54"/>
        <v>31925000</v>
      </c>
      <c r="AV17" s="382">
        <v>2.3599999999999999E-2</v>
      </c>
      <c r="AW17" s="379">
        <f t="shared" si="14"/>
        <v>2092.8611111111113</v>
      </c>
      <c r="AX17" s="381">
        <f>70000000+38200000</f>
        <v>108200000</v>
      </c>
      <c r="AY17" s="382">
        <v>2.3800000000000002E-2</v>
      </c>
      <c r="AZ17" s="379">
        <f t="shared" si="15"/>
        <v>7153.2222222222226</v>
      </c>
      <c r="BC17" s="379">
        <f t="shared" si="16"/>
        <v>0</v>
      </c>
      <c r="BF17" s="379">
        <f t="shared" si="17"/>
        <v>0</v>
      </c>
      <c r="BI17" s="379">
        <f t="shared" si="18"/>
        <v>0</v>
      </c>
      <c r="BL17" s="379">
        <f t="shared" si="19"/>
        <v>0</v>
      </c>
      <c r="BO17" s="379">
        <f t="shared" si="20"/>
        <v>0</v>
      </c>
      <c r="BR17" s="379">
        <f t="shared" si="21"/>
        <v>0</v>
      </c>
      <c r="BU17" s="379">
        <f t="shared" si="22"/>
        <v>0</v>
      </c>
      <c r="BX17" s="379">
        <f t="shared" si="23"/>
        <v>0</v>
      </c>
      <c r="CA17" s="379">
        <f t="shared" si="24"/>
        <v>0</v>
      </c>
      <c r="CD17" s="379">
        <f t="shared" si="25"/>
        <v>0</v>
      </c>
      <c r="CG17" s="379">
        <f t="shared" si="26"/>
        <v>0</v>
      </c>
      <c r="CJ17" s="379">
        <f t="shared" si="27"/>
        <v>0</v>
      </c>
      <c r="CM17" s="379">
        <f t="shared" si="28"/>
        <v>0</v>
      </c>
      <c r="CP17" s="379">
        <f t="shared" si="29"/>
        <v>0</v>
      </c>
      <c r="CS17" s="379">
        <f t="shared" si="30"/>
        <v>0</v>
      </c>
      <c r="CV17" s="379">
        <f t="shared" si="31"/>
        <v>0</v>
      </c>
      <c r="CY17" s="379">
        <f t="shared" si="32"/>
        <v>0</v>
      </c>
      <c r="DB17" s="379">
        <f t="shared" si="33"/>
        <v>0</v>
      </c>
      <c r="DE17" s="379">
        <f t="shared" si="34"/>
        <v>0</v>
      </c>
      <c r="DH17" s="379">
        <f t="shared" si="35"/>
        <v>0</v>
      </c>
      <c r="DK17" s="379">
        <f t="shared" si="36"/>
        <v>0</v>
      </c>
      <c r="DN17" s="379">
        <f t="shared" si="37"/>
        <v>0</v>
      </c>
      <c r="DQ17" s="379">
        <f t="shared" si="38"/>
        <v>0</v>
      </c>
      <c r="DT17" s="379">
        <f t="shared" si="39"/>
        <v>0</v>
      </c>
      <c r="DW17" s="379">
        <f t="shared" si="40"/>
        <v>0</v>
      </c>
      <c r="DY17" s="384"/>
      <c r="DZ17" s="366"/>
      <c r="EA17" s="379"/>
      <c r="EB17" s="190">
        <f t="shared" si="41"/>
        <v>551917530.92000008</v>
      </c>
      <c r="EC17" s="190">
        <f t="shared" si="42"/>
        <v>35267530.920000076</v>
      </c>
      <c r="ED17" s="379">
        <f t="shared" si="43"/>
        <v>35807.848939999996</v>
      </c>
      <c r="EE17" s="380">
        <f t="shared" si="44"/>
        <v>2.3356434424019974E-2</v>
      </c>
      <c r="EG17" s="190">
        <f t="shared" si="45"/>
        <v>0</v>
      </c>
      <c r="EH17" s="379">
        <f t="shared" si="46"/>
        <v>0</v>
      </c>
      <c r="EI17" s="380">
        <f t="shared" si="47"/>
        <v>0</v>
      </c>
      <c r="EJ17" s="380"/>
      <c r="EK17" s="190">
        <f t="shared" si="48"/>
        <v>516650000</v>
      </c>
      <c r="EL17" s="190">
        <f t="shared" si="49"/>
        <v>0</v>
      </c>
      <c r="EM17" s="190">
        <f t="shared" si="50"/>
        <v>33848.541666666672</v>
      </c>
      <c r="EN17" s="380">
        <f t="shared" si="51"/>
        <v>2.3585551146811188E-2</v>
      </c>
      <c r="EP17" s="379"/>
    </row>
    <row r="18" spans="1:146">
      <c r="A18" s="378">
        <f t="shared" si="52"/>
        <v>43350</v>
      </c>
      <c r="D18" s="379">
        <f t="shared" si="1"/>
        <v>0</v>
      </c>
      <c r="E18" s="379">
        <v>34141675.049999997</v>
      </c>
      <c r="F18" s="380">
        <v>2.0400000000000001E-2</v>
      </c>
      <c r="G18" s="379">
        <f t="shared" si="2"/>
        <v>1934.6949195</v>
      </c>
      <c r="J18" s="379">
        <f t="shared" si="3"/>
        <v>0</v>
      </c>
      <c r="M18" s="379">
        <f t="shared" si="4"/>
        <v>0</v>
      </c>
      <c r="P18" s="379">
        <f t="shared" si="5"/>
        <v>0</v>
      </c>
      <c r="S18" s="379">
        <f t="shared" si="6"/>
        <v>0</v>
      </c>
      <c r="V18" s="379">
        <f t="shared" si="7"/>
        <v>0</v>
      </c>
      <c r="Y18" s="379">
        <f t="shared" si="8"/>
        <v>0</v>
      </c>
      <c r="AB18" s="379">
        <f t="shared" si="9"/>
        <v>0</v>
      </c>
      <c r="AE18" s="379">
        <v>0</v>
      </c>
      <c r="AH18" s="379">
        <v>0</v>
      </c>
      <c r="AI18" s="381"/>
      <c r="AJ18" s="382"/>
      <c r="AK18" s="379">
        <f t="shared" si="10"/>
        <v>0</v>
      </c>
      <c r="AL18" s="381">
        <f t="shared" si="0"/>
        <v>30000000</v>
      </c>
      <c r="AM18" s="382">
        <v>2.3300000000000001E-2</v>
      </c>
      <c r="AN18" s="379">
        <f t="shared" si="11"/>
        <v>1941.6666666666667</v>
      </c>
      <c r="AO18" s="381">
        <f t="shared" si="53"/>
        <v>201050000</v>
      </c>
      <c r="AP18" s="382">
        <v>2.35E-2</v>
      </c>
      <c r="AQ18" s="379">
        <f t="shared" si="12"/>
        <v>13124.097222222223</v>
      </c>
      <c r="AR18" s="381">
        <f>30000000+44900000</f>
        <v>74900000</v>
      </c>
      <c r="AS18" s="382">
        <v>2.3599999999999999E-2</v>
      </c>
      <c r="AT18" s="379">
        <f t="shared" si="13"/>
        <v>4910.1111111111113</v>
      </c>
      <c r="AU18" s="381">
        <f t="shared" si="54"/>
        <v>31925000</v>
      </c>
      <c r="AV18" s="382">
        <v>2.3599999999999999E-2</v>
      </c>
      <c r="AW18" s="379">
        <f t="shared" si="14"/>
        <v>2092.8611111111113</v>
      </c>
      <c r="AX18" s="381">
        <f t="shared" ref="AX18:AX41" si="55">70000000+38200000+71655000</f>
        <v>179855000</v>
      </c>
      <c r="AY18" s="382">
        <v>2.3800000000000002E-2</v>
      </c>
      <c r="AZ18" s="379">
        <f t="shared" si="15"/>
        <v>11890.413888888888</v>
      </c>
      <c r="BC18" s="379">
        <f t="shared" si="16"/>
        <v>0</v>
      </c>
      <c r="BF18" s="379">
        <f t="shared" si="17"/>
        <v>0</v>
      </c>
      <c r="BI18" s="379">
        <f t="shared" si="18"/>
        <v>0</v>
      </c>
      <c r="BL18" s="379">
        <f t="shared" si="19"/>
        <v>0</v>
      </c>
      <c r="BO18" s="379">
        <f t="shared" si="20"/>
        <v>0</v>
      </c>
      <c r="BR18" s="379">
        <f t="shared" si="21"/>
        <v>0</v>
      </c>
      <c r="BU18" s="379">
        <f t="shared" si="22"/>
        <v>0</v>
      </c>
      <c r="BX18" s="379">
        <f t="shared" si="23"/>
        <v>0</v>
      </c>
      <c r="CA18" s="379">
        <f t="shared" si="24"/>
        <v>0</v>
      </c>
      <c r="CD18" s="379">
        <f t="shared" si="25"/>
        <v>0</v>
      </c>
      <c r="CG18" s="379">
        <f t="shared" si="26"/>
        <v>0</v>
      </c>
      <c r="CJ18" s="379">
        <f t="shared" si="27"/>
        <v>0</v>
      </c>
      <c r="CM18" s="379">
        <f t="shared" si="28"/>
        <v>0</v>
      </c>
      <c r="CP18" s="379">
        <f t="shared" si="29"/>
        <v>0</v>
      </c>
      <c r="CS18" s="379">
        <f t="shared" si="30"/>
        <v>0</v>
      </c>
      <c r="CV18" s="379">
        <f t="shared" si="31"/>
        <v>0</v>
      </c>
      <c r="CY18" s="379">
        <f t="shared" si="32"/>
        <v>0</v>
      </c>
      <c r="DB18" s="379">
        <f t="shared" si="33"/>
        <v>0</v>
      </c>
      <c r="DE18" s="379">
        <f t="shared" si="34"/>
        <v>0</v>
      </c>
      <c r="DH18" s="379">
        <f t="shared" si="35"/>
        <v>0</v>
      </c>
      <c r="DK18" s="379">
        <f t="shared" si="36"/>
        <v>0</v>
      </c>
      <c r="DN18" s="379">
        <f t="shared" si="37"/>
        <v>0</v>
      </c>
      <c r="DQ18" s="379">
        <f t="shared" si="38"/>
        <v>0</v>
      </c>
      <c r="DT18" s="379">
        <f t="shared" si="39"/>
        <v>0</v>
      </c>
      <c r="DW18" s="379">
        <f t="shared" si="40"/>
        <v>0</v>
      </c>
      <c r="DY18" s="384"/>
      <c r="DZ18" s="366"/>
      <c r="EA18" s="379"/>
      <c r="EB18" s="190">
        <f t="shared" si="41"/>
        <v>551871675.04999995</v>
      </c>
      <c r="EC18" s="190">
        <f t="shared" si="42"/>
        <v>34141675.049999952</v>
      </c>
      <c r="ED18" s="379">
        <f t="shared" si="43"/>
        <v>35893.844919499999</v>
      </c>
      <c r="EE18" s="380">
        <f t="shared" si="44"/>
        <v>2.3414472521803689E-2</v>
      </c>
      <c r="EG18" s="190">
        <f t="shared" si="45"/>
        <v>0</v>
      </c>
      <c r="EH18" s="379">
        <f t="shared" si="46"/>
        <v>0</v>
      </c>
      <c r="EI18" s="380">
        <f t="shared" si="47"/>
        <v>0</v>
      </c>
      <c r="EJ18" s="380"/>
      <c r="EK18" s="190">
        <f t="shared" si="48"/>
        <v>517730000</v>
      </c>
      <c r="EL18" s="190">
        <f t="shared" si="49"/>
        <v>0</v>
      </c>
      <c r="EM18" s="190">
        <f t="shared" si="50"/>
        <v>33959.15</v>
      </c>
      <c r="EN18" s="380">
        <f t="shared" si="51"/>
        <v>2.3613261738744132E-2</v>
      </c>
      <c r="EP18" s="379"/>
    </row>
    <row r="19" spans="1:146">
      <c r="A19" s="378">
        <f t="shared" si="52"/>
        <v>43351</v>
      </c>
      <c r="D19" s="379">
        <f t="shared" si="1"/>
        <v>0</v>
      </c>
      <c r="E19" s="379">
        <v>34141675.049999997</v>
      </c>
      <c r="F19" s="380">
        <v>2.0400000000000001E-2</v>
      </c>
      <c r="G19" s="379">
        <f t="shared" si="2"/>
        <v>1934.6949195</v>
      </c>
      <c r="J19" s="379">
        <f t="shared" si="3"/>
        <v>0</v>
      </c>
      <c r="M19" s="379">
        <f t="shared" si="4"/>
        <v>0</v>
      </c>
      <c r="P19" s="379">
        <f t="shared" si="5"/>
        <v>0</v>
      </c>
      <c r="S19" s="379">
        <f t="shared" si="6"/>
        <v>0</v>
      </c>
      <c r="V19" s="379">
        <f t="shared" si="7"/>
        <v>0</v>
      </c>
      <c r="Y19" s="379">
        <f t="shared" si="8"/>
        <v>0</v>
      </c>
      <c r="AB19" s="379">
        <f t="shared" si="9"/>
        <v>0</v>
      </c>
      <c r="AE19" s="379">
        <v>0</v>
      </c>
      <c r="AH19" s="379">
        <v>0</v>
      </c>
      <c r="AI19" s="381"/>
      <c r="AJ19" s="382"/>
      <c r="AK19" s="379">
        <f t="shared" si="10"/>
        <v>0</v>
      </c>
      <c r="AL19" s="381">
        <f t="shared" si="0"/>
        <v>30000000</v>
      </c>
      <c r="AM19" s="382">
        <v>2.3300000000000001E-2</v>
      </c>
      <c r="AN19" s="379">
        <f t="shared" si="11"/>
        <v>1941.6666666666667</v>
      </c>
      <c r="AO19" s="381">
        <f t="shared" si="53"/>
        <v>201050000</v>
      </c>
      <c r="AP19" s="382">
        <v>2.35E-2</v>
      </c>
      <c r="AQ19" s="379">
        <f t="shared" si="12"/>
        <v>13124.097222222223</v>
      </c>
      <c r="AR19" s="381">
        <f>30000000+44900000</f>
        <v>74900000</v>
      </c>
      <c r="AS19" s="382">
        <v>2.3599999999999999E-2</v>
      </c>
      <c r="AT19" s="379">
        <f t="shared" si="13"/>
        <v>4910.1111111111113</v>
      </c>
      <c r="AU19" s="381">
        <f t="shared" si="54"/>
        <v>31925000</v>
      </c>
      <c r="AV19" s="382">
        <v>2.3599999999999999E-2</v>
      </c>
      <c r="AW19" s="379">
        <f t="shared" si="14"/>
        <v>2092.8611111111113</v>
      </c>
      <c r="AX19" s="381">
        <f t="shared" si="55"/>
        <v>179855000</v>
      </c>
      <c r="AY19" s="382">
        <v>2.3800000000000002E-2</v>
      </c>
      <c r="AZ19" s="379">
        <f t="shared" si="15"/>
        <v>11890.413888888888</v>
      </c>
      <c r="BC19" s="379">
        <f t="shared" si="16"/>
        <v>0</v>
      </c>
      <c r="BF19" s="379">
        <f t="shared" si="17"/>
        <v>0</v>
      </c>
      <c r="BI19" s="379">
        <f t="shared" si="18"/>
        <v>0</v>
      </c>
      <c r="BL19" s="379">
        <f t="shared" si="19"/>
        <v>0</v>
      </c>
      <c r="BO19" s="379">
        <f t="shared" si="20"/>
        <v>0</v>
      </c>
      <c r="BR19" s="379">
        <f t="shared" si="21"/>
        <v>0</v>
      </c>
      <c r="BU19" s="379">
        <f t="shared" si="22"/>
        <v>0</v>
      </c>
      <c r="BX19" s="379">
        <f t="shared" si="23"/>
        <v>0</v>
      </c>
      <c r="CA19" s="379">
        <f t="shared" si="24"/>
        <v>0</v>
      </c>
      <c r="CD19" s="379">
        <f t="shared" si="25"/>
        <v>0</v>
      </c>
      <c r="CG19" s="379">
        <f t="shared" si="26"/>
        <v>0</v>
      </c>
      <c r="CJ19" s="379">
        <f t="shared" si="27"/>
        <v>0</v>
      </c>
      <c r="CM19" s="379">
        <f t="shared" si="28"/>
        <v>0</v>
      </c>
      <c r="CP19" s="379">
        <f t="shared" si="29"/>
        <v>0</v>
      </c>
      <c r="CS19" s="379">
        <f t="shared" si="30"/>
        <v>0</v>
      </c>
      <c r="CV19" s="379">
        <f t="shared" si="31"/>
        <v>0</v>
      </c>
      <c r="CY19" s="379">
        <f t="shared" si="32"/>
        <v>0</v>
      </c>
      <c r="DB19" s="379">
        <f t="shared" si="33"/>
        <v>0</v>
      </c>
      <c r="DE19" s="379">
        <f t="shared" si="34"/>
        <v>0</v>
      </c>
      <c r="DH19" s="379">
        <f t="shared" si="35"/>
        <v>0</v>
      </c>
      <c r="DK19" s="379">
        <f t="shared" si="36"/>
        <v>0</v>
      </c>
      <c r="DN19" s="379">
        <f t="shared" si="37"/>
        <v>0</v>
      </c>
      <c r="DQ19" s="379">
        <f t="shared" si="38"/>
        <v>0</v>
      </c>
      <c r="DT19" s="379">
        <f t="shared" si="39"/>
        <v>0</v>
      </c>
      <c r="DW19" s="379">
        <f t="shared" si="40"/>
        <v>0</v>
      </c>
      <c r="DY19" s="384"/>
      <c r="DZ19" s="366"/>
      <c r="EA19" s="379"/>
      <c r="EB19" s="190">
        <f t="shared" si="41"/>
        <v>551871675.04999995</v>
      </c>
      <c r="EC19" s="190">
        <f t="shared" si="42"/>
        <v>34141675.049999952</v>
      </c>
      <c r="ED19" s="379">
        <f t="shared" si="43"/>
        <v>35893.844919499999</v>
      </c>
      <c r="EE19" s="380">
        <f t="shared" si="44"/>
        <v>2.3414472521803689E-2</v>
      </c>
      <c r="EG19" s="190">
        <f t="shared" si="45"/>
        <v>0</v>
      </c>
      <c r="EH19" s="379">
        <f t="shared" si="46"/>
        <v>0</v>
      </c>
      <c r="EI19" s="380">
        <f t="shared" si="47"/>
        <v>0</v>
      </c>
      <c r="EJ19" s="380"/>
      <c r="EK19" s="190">
        <f t="shared" si="48"/>
        <v>517730000</v>
      </c>
      <c r="EL19" s="190">
        <f t="shared" si="49"/>
        <v>0</v>
      </c>
      <c r="EM19" s="190">
        <f t="shared" si="50"/>
        <v>33959.15</v>
      </c>
      <c r="EN19" s="380">
        <f t="shared" si="51"/>
        <v>2.3613261738744132E-2</v>
      </c>
      <c r="EP19" s="379"/>
    </row>
    <row r="20" spans="1:146">
      <c r="A20" s="378">
        <f t="shared" si="52"/>
        <v>43352</v>
      </c>
      <c r="D20" s="379">
        <f t="shared" si="1"/>
        <v>0</v>
      </c>
      <c r="E20" s="379">
        <v>34141675.049999997</v>
      </c>
      <c r="F20" s="380">
        <v>2.0400000000000001E-2</v>
      </c>
      <c r="G20" s="379">
        <f t="shared" si="2"/>
        <v>1934.6949195</v>
      </c>
      <c r="J20" s="379">
        <f t="shared" si="3"/>
        <v>0</v>
      </c>
      <c r="M20" s="379">
        <f t="shared" si="4"/>
        <v>0</v>
      </c>
      <c r="P20" s="379">
        <f t="shared" si="5"/>
        <v>0</v>
      </c>
      <c r="S20" s="379">
        <f t="shared" si="6"/>
        <v>0</v>
      </c>
      <c r="V20" s="379">
        <f t="shared" si="7"/>
        <v>0</v>
      </c>
      <c r="Y20" s="379">
        <f t="shared" si="8"/>
        <v>0</v>
      </c>
      <c r="AB20" s="379">
        <f t="shared" si="9"/>
        <v>0</v>
      </c>
      <c r="AE20" s="379">
        <v>0</v>
      </c>
      <c r="AH20" s="379">
        <v>0</v>
      </c>
      <c r="AI20" s="381"/>
      <c r="AJ20" s="382"/>
      <c r="AK20" s="379">
        <f t="shared" si="10"/>
        <v>0</v>
      </c>
      <c r="AL20" s="381">
        <f t="shared" si="0"/>
        <v>30000000</v>
      </c>
      <c r="AM20" s="382">
        <v>2.3300000000000001E-2</v>
      </c>
      <c r="AN20" s="379">
        <f t="shared" si="11"/>
        <v>1941.6666666666667</v>
      </c>
      <c r="AO20" s="381">
        <f t="shared" si="53"/>
        <v>201050000</v>
      </c>
      <c r="AP20" s="382">
        <v>2.35E-2</v>
      </c>
      <c r="AQ20" s="379">
        <f t="shared" si="12"/>
        <v>13124.097222222223</v>
      </c>
      <c r="AR20" s="381">
        <f>30000000+44900000</f>
        <v>74900000</v>
      </c>
      <c r="AS20" s="382">
        <v>2.3599999999999999E-2</v>
      </c>
      <c r="AT20" s="379">
        <f t="shared" si="13"/>
        <v>4910.1111111111113</v>
      </c>
      <c r="AU20" s="381">
        <f t="shared" si="54"/>
        <v>31925000</v>
      </c>
      <c r="AV20" s="382">
        <v>2.3599999999999999E-2</v>
      </c>
      <c r="AW20" s="379">
        <f t="shared" si="14"/>
        <v>2092.8611111111113</v>
      </c>
      <c r="AX20" s="381">
        <f t="shared" si="55"/>
        <v>179855000</v>
      </c>
      <c r="AY20" s="382">
        <v>2.3800000000000002E-2</v>
      </c>
      <c r="AZ20" s="379">
        <f t="shared" si="15"/>
        <v>11890.413888888888</v>
      </c>
      <c r="BC20" s="379">
        <f t="shared" si="16"/>
        <v>0</v>
      </c>
      <c r="BF20" s="379">
        <f t="shared" si="17"/>
        <v>0</v>
      </c>
      <c r="BI20" s="379">
        <f t="shared" si="18"/>
        <v>0</v>
      </c>
      <c r="BL20" s="379">
        <f t="shared" si="19"/>
        <v>0</v>
      </c>
      <c r="BO20" s="379">
        <f t="shared" si="20"/>
        <v>0</v>
      </c>
      <c r="BR20" s="379">
        <f t="shared" si="21"/>
        <v>0</v>
      </c>
      <c r="BU20" s="379">
        <f t="shared" si="22"/>
        <v>0</v>
      </c>
      <c r="BX20" s="379">
        <f t="shared" si="23"/>
        <v>0</v>
      </c>
      <c r="CA20" s="379">
        <f t="shared" si="24"/>
        <v>0</v>
      </c>
      <c r="CD20" s="379">
        <f t="shared" si="25"/>
        <v>0</v>
      </c>
      <c r="CG20" s="379">
        <f t="shared" si="26"/>
        <v>0</v>
      </c>
      <c r="CJ20" s="379">
        <f t="shared" si="27"/>
        <v>0</v>
      </c>
      <c r="CM20" s="379">
        <f t="shared" si="28"/>
        <v>0</v>
      </c>
      <c r="CP20" s="379">
        <f t="shared" si="29"/>
        <v>0</v>
      </c>
      <c r="CS20" s="379">
        <f t="shared" si="30"/>
        <v>0</v>
      </c>
      <c r="CV20" s="379">
        <f t="shared" si="31"/>
        <v>0</v>
      </c>
      <c r="CY20" s="379">
        <f t="shared" si="32"/>
        <v>0</v>
      </c>
      <c r="DB20" s="379">
        <f t="shared" si="33"/>
        <v>0</v>
      </c>
      <c r="DE20" s="379">
        <f t="shared" si="34"/>
        <v>0</v>
      </c>
      <c r="DH20" s="379">
        <f t="shared" si="35"/>
        <v>0</v>
      </c>
      <c r="DK20" s="379">
        <f t="shared" si="36"/>
        <v>0</v>
      </c>
      <c r="DN20" s="379">
        <f t="shared" si="37"/>
        <v>0</v>
      </c>
      <c r="DQ20" s="379">
        <f t="shared" si="38"/>
        <v>0</v>
      </c>
      <c r="DT20" s="379">
        <f t="shared" si="39"/>
        <v>0</v>
      </c>
      <c r="DW20" s="379">
        <f t="shared" si="40"/>
        <v>0</v>
      </c>
      <c r="DY20" s="384"/>
      <c r="DZ20" s="366"/>
      <c r="EA20" s="379"/>
      <c r="EB20" s="190">
        <f t="shared" si="41"/>
        <v>551871675.04999995</v>
      </c>
      <c r="EC20" s="190">
        <f t="shared" si="42"/>
        <v>34141675.049999952</v>
      </c>
      <c r="ED20" s="379">
        <f t="shared" si="43"/>
        <v>35893.844919499999</v>
      </c>
      <c r="EE20" s="380">
        <f t="shared" si="44"/>
        <v>2.3414472521803689E-2</v>
      </c>
      <c r="EG20" s="190">
        <f t="shared" si="45"/>
        <v>0</v>
      </c>
      <c r="EH20" s="379">
        <f t="shared" si="46"/>
        <v>0</v>
      </c>
      <c r="EI20" s="380">
        <f t="shared" si="47"/>
        <v>0</v>
      </c>
      <c r="EJ20" s="380"/>
      <c r="EK20" s="190">
        <f t="shared" si="48"/>
        <v>517730000</v>
      </c>
      <c r="EL20" s="190">
        <f t="shared" si="49"/>
        <v>0</v>
      </c>
      <c r="EM20" s="190">
        <f t="shared" si="50"/>
        <v>33959.15</v>
      </c>
      <c r="EN20" s="380">
        <f t="shared" si="51"/>
        <v>2.3613261738744132E-2</v>
      </c>
      <c r="EP20" s="379"/>
    </row>
    <row r="21" spans="1:146">
      <c r="A21" s="378">
        <f t="shared" si="52"/>
        <v>43353</v>
      </c>
      <c r="D21" s="379">
        <f t="shared" si="1"/>
        <v>0</v>
      </c>
      <c r="E21" s="379">
        <v>33980241.119999997</v>
      </c>
      <c r="F21" s="380">
        <v>2.0199999999999999E-2</v>
      </c>
      <c r="G21" s="379">
        <f t="shared" si="2"/>
        <v>1906.6690850666666</v>
      </c>
      <c r="J21" s="379">
        <f t="shared" si="3"/>
        <v>0</v>
      </c>
      <c r="M21" s="379">
        <f t="shared" si="4"/>
        <v>0</v>
      </c>
      <c r="P21" s="379">
        <f t="shared" si="5"/>
        <v>0</v>
      </c>
      <c r="S21" s="379">
        <f t="shared" si="6"/>
        <v>0</v>
      </c>
      <c r="V21" s="379">
        <f t="shared" si="7"/>
        <v>0</v>
      </c>
      <c r="Y21" s="379">
        <f t="shared" si="8"/>
        <v>0</v>
      </c>
      <c r="AB21" s="379">
        <f t="shared" si="9"/>
        <v>0</v>
      </c>
      <c r="AE21" s="379">
        <v>0</v>
      </c>
      <c r="AH21" s="379">
        <v>0</v>
      </c>
      <c r="AI21" s="381">
        <f>35000000+40075000</f>
        <v>75075000</v>
      </c>
      <c r="AJ21" s="382">
        <v>2.24E-2</v>
      </c>
      <c r="AK21" s="379">
        <f t="shared" si="10"/>
        <v>4671.333333333333</v>
      </c>
      <c r="AL21" s="381">
        <f t="shared" si="0"/>
        <v>30000000</v>
      </c>
      <c r="AM21" s="382">
        <v>2.3300000000000001E-2</v>
      </c>
      <c r="AN21" s="379">
        <f t="shared" si="11"/>
        <v>1941.6666666666667</v>
      </c>
      <c r="AO21" s="381">
        <f t="shared" si="53"/>
        <v>201050000</v>
      </c>
      <c r="AP21" s="382">
        <v>2.35E-2</v>
      </c>
      <c r="AQ21" s="379">
        <f t="shared" si="12"/>
        <v>13124.097222222223</v>
      </c>
      <c r="AR21" s="381"/>
      <c r="AS21" s="382"/>
      <c r="AT21" s="379">
        <f t="shared" si="13"/>
        <v>0</v>
      </c>
      <c r="AU21" s="381">
        <f t="shared" si="54"/>
        <v>31925000</v>
      </c>
      <c r="AV21" s="382">
        <v>2.3599999999999999E-2</v>
      </c>
      <c r="AW21" s="379">
        <f t="shared" si="14"/>
        <v>2092.8611111111113</v>
      </c>
      <c r="AX21" s="381">
        <f t="shared" si="55"/>
        <v>179855000</v>
      </c>
      <c r="AY21" s="382">
        <v>2.3800000000000002E-2</v>
      </c>
      <c r="AZ21" s="379">
        <f t="shared" si="15"/>
        <v>11890.413888888888</v>
      </c>
      <c r="BC21" s="379">
        <f t="shared" si="16"/>
        <v>0</v>
      </c>
      <c r="BF21" s="379">
        <f t="shared" si="17"/>
        <v>0</v>
      </c>
      <c r="BI21" s="379">
        <f t="shared" si="18"/>
        <v>0</v>
      </c>
      <c r="BL21" s="379">
        <f t="shared" si="19"/>
        <v>0</v>
      </c>
      <c r="BO21" s="379">
        <f t="shared" si="20"/>
        <v>0</v>
      </c>
      <c r="BR21" s="379">
        <f t="shared" si="21"/>
        <v>0</v>
      </c>
      <c r="BU21" s="379">
        <f t="shared" si="22"/>
        <v>0</v>
      </c>
      <c r="BX21" s="379">
        <f t="shared" si="23"/>
        <v>0</v>
      </c>
      <c r="CA21" s="379">
        <f t="shared" si="24"/>
        <v>0</v>
      </c>
      <c r="CD21" s="379">
        <f t="shared" si="25"/>
        <v>0</v>
      </c>
      <c r="CG21" s="379">
        <f t="shared" si="26"/>
        <v>0</v>
      </c>
      <c r="CJ21" s="379">
        <f t="shared" si="27"/>
        <v>0</v>
      </c>
      <c r="CM21" s="379">
        <f t="shared" si="28"/>
        <v>0</v>
      </c>
      <c r="CP21" s="379">
        <f t="shared" si="29"/>
        <v>0</v>
      </c>
      <c r="CS21" s="379">
        <f t="shared" si="30"/>
        <v>0</v>
      </c>
      <c r="CV21" s="379">
        <f t="shared" si="31"/>
        <v>0</v>
      </c>
      <c r="CY21" s="379">
        <f t="shared" si="32"/>
        <v>0</v>
      </c>
      <c r="DB21" s="379">
        <f t="shared" si="33"/>
        <v>0</v>
      </c>
      <c r="DE21" s="379">
        <f t="shared" si="34"/>
        <v>0</v>
      </c>
      <c r="DH21" s="379">
        <f t="shared" si="35"/>
        <v>0</v>
      </c>
      <c r="DK21" s="379">
        <f t="shared" si="36"/>
        <v>0</v>
      </c>
      <c r="DN21" s="379">
        <f t="shared" si="37"/>
        <v>0</v>
      </c>
      <c r="DQ21" s="379">
        <f t="shared" si="38"/>
        <v>0</v>
      </c>
      <c r="DT21" s="379">
        <f t="shared" si="39"/>
        <v>0</v>
      </c>
      <c r="DW21" s="379">
        <f t="shared" si="40"/>
        <v>0</v>
      </c>
      <c r="DY21" s="384"/>
      <c r="DZ21" s="366"/>
      <c r="EA21" s="379"/>
      <c r="EB21" s="190">
        <f t="shared" si="41"/>
        <v>551885241.12</v>
      </c>
      <c r="EC21" s="190">
        <f t="shared" si="42"/>
        <v>33980241.120000005</v>
      </c>
      <c r="ED21" s="379">
        <f t="shared" si="43"/>
        <v>35627.041307288891</v>
      </c>
      <c r="EE21" s="380">
        <f t="shared" si="44"/>
        <v>2.3239858425268555E-2</v>
      </c>
      <c r="EG21" s="190">
        <f t="shared" si="45"/>
        <v>0</v>
      </c>
      <c r="EH21" s="379">
        <f t="shared" si="46"/>
        <v>0</v>
      </c>
      <c r="EI21" s="380">
        <f t="shared" si="47"/>
        <v>0</v>
      </c>
      <c r="EJ21" s="380"/>
      <c r="EK21" s="190">
        <f t="shared" si="48"/>
        <v>517905000</v>
      </c>
      <c r="EL21" s="190">
        <f t="shared" si="49"/>
        <v>0</v>
      </c>
      <c r="EM21" s="190">
        <f t="shared" si="50"/>
        <v>33720.37222222222</v>
      </c>
      <c r="EN21" s="380">
        <f t="shared" si="51"/>
        <v>2.3439306436508624E-2</v>
      </c>
      <c r="EP21" s="379"/>
    </row>
    <row r="22" spans="1:146">
      <c r="A22" s="378">
        <f t="shared" si="52"/>
        <v>43354</v>
      </c>
      <c r="D22" s="379">
        <f t="shared" si="1"/>
        <v>0</v>
      </c>
      <c r="E22" s="379">
        <v>37243490.259999998</v>
      </c>
      <c r="F22" s="380">
        <v>2.0499999999999997E-2</v>
      </c>
      <c r="G22" s="379">
        <f t="shared" si="2"/>
        <v>2120.8098620277774</v>
      </c>
      <c r="J22" s="379">
        <f t="shared" si="3"/>
        <v>0</v>
      </c>
      <c r="M22" s="379">
        <f t="shared" si="4"/>
        <v>0</v>
      </c>
      <c r="P22" s="379">
        <f t="shared" si="5"/>
        <v>0</v>
      </c>
      <c r="S22" s="379">
        <f t="shared" si="6"/>
        <v>0</v>
      </c>
      <c r="V22" s="379">
        <f t="shared" si="7"/>
        <v>0</v>
      </c>
      <c r="Y22" s="379">
        <f t="shared" si="8"/>
        <v>0</v>
      </c>
      <c r="AB22" s="379">
        <f t="shared" si="9"/>
        <v>0</v>
      </c>
      <c r="AE22" s="379">
        <v>0</v>
      </c>
      <c r="AH22" s="379">
        <v>0</v>
      </c>
      <c r="AI22" s="381">
        <f>35000000+36825000</f>
        <v>71825000</v>
      </c>
      <c r="AJ22" s="382">
        <v>2.24E-2</v>
      </c>
      <c r="AK22" s="379">
        <f t="shared" si="10"/>
        <v>4469.1111111111113</v>
      </c>
      <c r="AL22" s="381">
        <f t="shared" si="0"/>
        <v>30000000</v>
      </c>
      <c r="AM22" s="382">
        <v>2.3300000000000001E-2</v>
      </c>
      <c r="AN22" s="379">
        <f t="shared" si="11"/>
        <v>1941.6666666666667</v>
      </c>
      <c r="AO22" s="381">
        <f t="shared" si="53"/>
        <v>201050000</v>
      </c>
      <c r="AP22" s="382">
        <v>2.35E-2</v>
      </c>
      <c r="AQ22" s="379">
        <f t="shared" si="12"/>
        <v>13124.097222222223</v>
      </c>
      <c r="AR22" s="381"/>
      <c r="AS22" s="382"/>
      <c r="AT22" s="379">
        <f t="shared" si="13"/>
        <v>0</v>
      </c>
      <c r="AU22" s="381">
        <f t="shared" si="54"/>
        <v>31925000</v>
      </c>
      <c r="AV22" s="382">
        <v>2.3599999999999999E-2</v>
      </c>
      <c r="AW22" s="379">
        <f t="shared" si="14"/>
        <v>2092.8611111111113</v>
      </c>
      <c r="AX22" s="381">
        <f t="shared" si="55"/>
        <v>179855000</v>
      </c>
      <c r="AY22" s="382">
        <v>2.3800000000000002E-2</v>
      </c>
      <c r="AZ22" s="379">
        <f t="shared" si="15"/>
        <v>11890.413888888888</v>
      </c>
      <c r="BC22" s="379">
        <f t="shared" si="16"/>
        <v>0</v>
      </c>
      <c r="BF22" s="379">
        <f t="shared" si="17"/>
        <v>0</v>
      </c>
      <c r="BI22" s="379">
        <f t="shared" si="18"/>
        <v>0</v>
      </c>
      <c r="BL22" s="379">
        <f t="shared" si="19"/>
        <v>0</v>
      </c>
      <c r="BO22" s="379">
        <f t="shared" si="20"/>
        <v>0</v>
      </c>
      <c r="BR22" s="379">
        <f t="shared" si="21"/>
        <v>0</v>
      </c>
      <c r="BU22" s="379">
        <f t="shared" si="22"/>
        <v>0</v>
      </c>
      <c r="BX22" s="379">
        <f t="shared" si="23"/>
        <v>0</v>
      </c>
      <c r="CA22" s="379">
        <f t="shared" si="24"/>
        <v>0</v>
      </c>
      <c r="CD22" s="379">
        <f t="shared" si="25"/>
        <v>0</v>
      </c>
      <c r="CG22" s="379">
        <f t="shared" si="26"/>
        <v>0</v>
      </c>
      <c r="CJ22" s="379">
        <f t="shared" si="27"/>
        <v>0</v>
      </c>
      <c r="CM22" s="379">
        <f t="shared" si="28"/>
        <v>0</v>
      </c>
      <c r="CP22" s="379">
        <f t="shared" si="29"/>
        <v>0</v>
      </c>
      <c r="CS22" s="379">
        <f t="shared" si="30"/>
        <v>0</v>
      </c>
      <c r="CV22" s="379">
        <f t="shared" si="31"/>
        <v>0</v>
      </c>
      <c r="CY22" s="379">
        <f t="shared" si="32"/>
        <v>0</v>
      </c>
      <c r="DB22" s="379">
        <f t="shared" si="33"/>
        <v>0</v>
      </c>
      <c r="DE22" s="379">
        <f t="shared" si="34"/>
        <v>0</v>
      </c>
      <c r="DH22" s="379">
        <f t="shared" si="35"/>
        <v>0</v>
      </c>
      <c r="DK22" s="379">
        <f t="shared" si="36"/>
        <v>0</v>
      </c>
      <c r="DN22" s="379">
        <f t="shared" si="37"/>
        <v>0</v>
      </c>
      <c r="DQ22" s="379">
        <f t="shared" si="38"/>
        <v>0</v>
      </c>
      <c r="DT22" s="379">
        <f t="shared" si="39"/>
        <v>0</v>
      </c>
      <c r="DW22" s="379">
        <f t="shared" si="40"/>
        <v>0</v>
      </c>
      <c r="DY22" s="384"/>
      <c r="DZ22" s="366"/>
      <c r="EA22" s="379"/>
      <c r="EB22" s="190">
        <f t="shared" si="41"/>
        <v>551898490.25999999</v>
      </c>
      <c r="EC22" s="190">
        <f t="shared" si="42"/>
        <v>37243490.25999999</v>
      </c>
      <c r="ED22" s="379">
        <f t="shared" si="43"/>
        <v>35638.959862027783</v>
      </c>
      <c r="EE22" s="380">
        <f t="shared" si="44"/>
        <v>2.3247074918225929E-2</v>
      </c>
      <c r="EG22" s="190">
        <f t="shared" si="45"/>
        <v>0</v>
      </c>
      <c r="EH22" s="379">
        <f t="shared" si="46"/>
        <v>0</v>
      </c>
      <c r="EI22" s="380">
        <f t="shared" si="47"/>
        <v>0</v>
      </c>
      <c r="EJ22" s="380"/>
      <c r="EK22" s="190">
        <f t="shared" si="48"/>
        <v>514655000</v>
      </c>
      <c r="EL22" s="190">
        <f t="shared" si="49"/>
        <v>0</v>
      </c>
      <c r="EM22" s="190">
        <f t="shared" si="50"/>
        <v>33518.15</v>
      </c>
      <c r="EN22" s="380">
        <f t="shared" si="51"/>
        <v>2.3445869563105383E-2</v>
      </c>
      <c r="EP22" s="379"/>
    </row>
    <row r="23" spans="1:146">
      <c r="A23" s="378">
        <f t="shared" si="52"/>
        <v>43355</v>
      </c>
      <c r="D23" s="379">
        <f t="shared" si="1"/>
        <v>0</v>
      </c>
      <c r="E23" s="379">
        <v>29046291.449999999</v>
      </c>
      <c r="F23" s="380">
        <v>2.0099999999999996E-2</v>
      </c>
      <c r="G23" s="379">
        <f t="shared" si="2"/>
        <v>1621.7512726249997</v>
      </c>
      <c r="J23" s="379">
        <f t="shared" si="3"/>
        <v>0</v>
      </c>
      <c r="M23" s="379">
        <f t="shared" si="4"/>
        <v>0</v>
      </c>
      <c r="P23" s="379">
        <f t="shared" si="5"/>
        <v>0</v>
      </c>
      <c r="S23" s="379">
        <f t="shared" si="6"/>
        <v>0</v>
      </c>
      <c r="V23" s="379">
        <f t="shared" si="7"/>
        <v>0</v>
      </c>
      <c r="Y23" s="379">
        <f t="shared" si="8"/>
        <v>0</v>
      </c>
      <c r="AB23" s="379">
        <f t="shared" si="9"/>
        <v>0</v>
      </c>
      <c r="AE23" s="379">
        <v>0</v>
      </c>
      <c r="AH23" s="379">
        <v>0</v>
      </c>
      <c r="AI23" s="381">
        <f>35000000+45025000</f>
        <v>80025000</v>
      </c>
      <c r="AJ23" s="382">
        <v>2.2200000000000001E-2</v>
      </c>
      <c r="AK23" s="379">
        <f t="shared" si="10"/>
        <v>4934.875</v>
      </c>
      <c r="AL23" s="381">
        <f t="shared" si="0"/>
        <v>30000000</v>
      </c>
      <c r="AM23" s="382">
        <v>2.3300000000000001E-2</v>
      </c>
      <c r="AN23" s="379">
        <f t="shared" si="11"/>
        <v>1941.6666666666667</v>
      </c>
      <c r="AO23" s="381">
        <f t="shared" si="53"/>
        <v>201050000</v>
      </c>
      <c r="AP23" s="382">
        <v>2.35E-2</v>
      </c>
      <c r="AQ23" s="379">
        <f t="shared" si="12"/>
        <v>13124.097222222223</v>
      </c>
      <c r="AR23" s="381"/>
      <c r="AS23" s="382"/>
      <c r="AT23" s="379">
        <f t="shared" si="13"/>
        <v>0</v>
      </c>
      <c r="AU23" s="381">
        <f t="shared" si="54"/>
        <v>31925000</v>
      </c>
      <c r="AV23" s="382">
        <v>2.3599999999999999E-2</v>
      </c>
      <c r="AW23" s="379">
        <f t="shared" si="14"/>
        <v>2092.8611111111113</v>
      </c>
      <c r="AX23" s="381">
        <f t="shared" si="55"/>
        <v>179855000</v>
      </c>
      <c r="AY23" s="382">
        <v>2.3800000000000002E-2</v>
      </c>
      <c r="AZ23" s="379">
        <f t="shared" si="15"/>
        <v>11890.413888888888</v>
      </c>
      <c r="BC23" s="379">
        <f t="shared" si="16"/>
        <v>0</v>
      </c>
      <c r="BF23" s="379">
        <f t="shared" si="17"/>
        <v>0</v>
      </c>
      <c r="BI23" s="379">
        <f t="shared" si="18"/>
        <v>0</v>
      </c>
      <c r="BL23" s="379">
        <f t="shared" si="19"/>
        <v>0</v>
      </c>
      <c r="BO23" s="379">
        <f t="shared" si="20"/>
        <v>0</v>
      </c>
      <c r="BR23" s="379">
        <f t="shared" si="21"/>
        <v>0</v>
      </c>
      <c r="BU23" s="379">
        <f t="shared" si="22"/>
        <v>0</v>
      </c>
      <c r="BX23" s="379">
        <f t="shared" si="23"/>
        <v>0</v>
      </c>
      <c r="CA23" s="379">
        <f t="shared" si="24"/>
        <v>0</v>
      </c>
      <c r="CD23" s="379">
        <f t="shared" si="25"/>
        <v>0</v>
      </c>
      <c r="CG23" s="379">
        <f t="shared" si="26"/>
        <v>0</v>
      </c>
      <c r="CJ23" s="379">
        <f t="shared" si="27"/>
        <v>0</v>
      </c>
      <c r="CM23" s="379">
        <f t="shared" si="28"/>
        <v>0</v>
      </c>
      <c r="CP23" s="379">
        <f t="shared" si="29"/>
        <v>0</v>
      </c>
      <c r="CS23" s="379">
        <f t="shared" si="30"/>
        <v>0</v>
      </c>
      <c r="CV23" s="379">
        <f t="shared" si="31"/>
        <v>0</v>
      </c>
      <c r="CY23" s="379">
        <f t="shared" si="32"/>
        <v>0</v>
      </c>
      <c r="DB23" s="379">
        <f t="shared" si="33"/>
        <v>0</v>
      </c>
      <c r="DE23" s="379">
        <f t="shared" si="34"/>
        <v>0</v>
      </c>
      <c r="DH23" s="379">
        <f t="shared" si="35"/>
        <v>0</v>
      </c>
      <c r="DK23" s="379">
        <f t="shared" si="36"/>
        <v>0</v>
      </c>
      <c r="DN23" s="379">
        <f t="shared" si="37"/>
        <v>0</v>
      </c>
      <c r="DQ23" s="379">
        <f t="shared" si="38"/>
        <v>0</v>
      </c>
      <c r="DT23" s="379">
        <f t="shared" si="39"/>
        <v>0</v>
      </c>
      <c r="DW23" s="379">
        <f t="shared" si="40"/>
        <v>0</v>
      </c>
      <c r="DY23" s="384"/>
      <c r="DZ23" s="366"/>
      <c r="EA23" s="379"/>
      <c r="EB23" s="190">
        <f t="shared" si="41"/>
        <v>551901291.45000005</v>
      </c>
      <c r="EC23" s="190">
        <f t="shared" si="42"/>
        <v>29046291.450000048</v>
      </c>
      <c r="ED23" s="379">
        <f t="shared" si="43"/>
        <v>35605.665161513884</v>
      </c>
      <c r="EE23" s="380">
        <f t="shared" si="44"/>
        <v>2.3225239108370991E-2</v>
      </c>
      <c r="EG23" s="190">
        <f t="shared" si="45"/>
        <v>0</v>
      </c>
      <c r="EH23" s="379">
        <f t="shared" si="46"/>
        <v>0</v>
      </c>
      <c r="EI23" s="380">
        <f t="shared" si="47"/>
        <v>0</v>
      </c>
      <c r="EJ23" s="380"/>
      <c r="EK23" s="190">
        <f t="shared" si="48"/>
        <v>522855000</v>
      </c>
      <c r="EL23" s="190">
        <f t="shared" si="49"/>
        <v>0</v>
      </c>
      <c r="EM23" s="190">
        <f t="shared" si="50"/>
        <v>33983.913888888885</v>
      </c>
      <c r="EN23" s="380">
        <f t="shared" si="51"/>
        <v>2.3398856279465623E-2</v>
      </c>
      <c r="EP23" s="379"/>
    </row>
    <row r="24" spans="1:146">
      <c r="A24" s="378">
        <f t="shared" si="52"/>
        <v>43356</v>
      </c>
      <c r="D24" s="379">
        <f t="shared" si="1"/>
        <v>0</v>
      </c>
      <c r="E24" s="379">
        <v>26263525.07</v>
      </c>
      <c r="F24" s="380">
        <v>1.9900000000000001E-2</v>
      </c>
      <c r="G24" s="379">
        <f t="shared" si="2"/>
        <v>1451.7893024805558</v>
      </c>
      <c r="J24" s="379">
        <f t="shared" si="3"/>
        <v>0</v>
      </c>
      <c r="M24" s="379">
        <f t="shared" si="4"/>
        <v>0</v>
      </c>
      <c r="P24" s="379">
        <f t="shared" si="5"/>
        <v>0</v>
      </c>
      <c r="S24" s="379">
        <f t="shared" si="6"/>
        <v>0</v>
      </c>
      <c r="V24" s="379">
        <f t="shared" si="7"/>
        <v>0</v>
      </c>
      <c r="Y24" s="379">
        <f t="shared" si="8"/>
        <v>0</v>
      </c>
      <c r="AB24" s="379">
        <f t="shared" si="9"/>
        <v>0</v>
      </c>
      <c r="AE24" s="379">
        <v>0</v>
      </c>
      <c r="AH24" s="379">
        <v>0</v>
      </c>
      <c r="AI24" s="381">
        <f>45000000+37750000+100000</f>
        <v>82850000</v>
      </c>
      <c r="AJ24" s="382">
        <v>2.2200000000000001E-2</v>
      </c>
      <c r="AK24" s="379">
        <f t="shared" si="10"/>
        <v>5109.083333333333</v>
      </c>
      <c r="AL24" s="381">
        <f t="shared" si="0"/>
        <v>30000000</v>
      </c>
      <c r="AM24" s="382">
        <v>2.3300000000000001E-2</v>
      </c>
      <c r="AN24" s="379">
        <f t="shared" si="11"/>
        <v>1941.6666666666667</v>
      </c>
      <c r="AO24" s="381">
        <f t="shared" si="53"/>
        <v>201050000</v>
      </c>
      <c r="AP24" s="382">
        <v>2.35E-2</v>
      </c>
      <c r="AQ24" s="379">
        <f t="shared" si="12"/>
        <v>13124.097222222223</v>
      </c>
      <c r="AR24" s="381"/>
      <c r="AS24" s="382"/>
      <c r="AT24" s="379">
        <f t="shared" si="13"/>
        <v>0</v>
      </c>
      <c r="AU24" s="381">
        <f t="shared" si="54"/>
        <v>31925000</v>
      </c>
      <c r="AV24" s="382">
        <v>2.3599999999999999E-2</v>
      </c>
      <c r="AW24" s="379">
        <f t="shared" si="14"/>
        <v>2092.8611111111113</v>
      </c>
      <c r="AX24" s="381">
        <f t="shared" si="55"/>
        <v>179855000</v>
      </c>
      <c r="AY24" s="382">
        <v>2.3800000000000002E-2</v>
      </c>
      <c r="AZ24" s="379">
        <f t="shared" si="15"/>
        <v>11890.413888888888</v>
      </c>
      <c r="BC24" s="379">
        <f t="shared" si="16"/>
        <v>0</v>
      </c>
      <c r="BF24" s="379">
        <f t="shared" si="17"/>
        <v>0</v>
      </c>
      <c r="BI24" s="379">
        <f t="shared" si="18"/>
        <v>0</v>
      </c>
      <c r="BL24" s="379">
        <f t="shared" si="19"/>
        <v>0</v>
      </c>
      <c r="BO24" s="379">
        <f t="shared" si="20"/>
        <v>0</v>
      </c>
      <c r="BR24" s="379">
        <f t="shared" si="21"/>
        <v>0</v>
      </c>
      <c r="BU24" s="379">
        <f t="shared" si="22"/>
        <v>0</v>
      </c>
      <c r="BX24" s="379">
        <f t="shared" si="23"/>
        <v>0</v>
      </c>
      <c r="CA24" s="379">
        <f t="shared" si="24"/>
        <v>0</v>
      </c>
      <c r="CD24" s="379">
        <f t="shared" si="25"/>
        <v>0</v>
      </c>
      <c r="CG24" s="379">
        <f t="shared" si="26"/>
        <v>0</v>
      </c>
      <c r="CJ24" s="379">
        <f t="shared" si="27"/>
        <v>0</v>
      </c>
      <c r="CM24" s="379">
        <f t="shared" si="28"/>
        <v>0</v>
      </c>
      <c r="CP24" s="379">
        <f t="shared" si="29"/>
        <v>0</v>
      </c>
      <c r="CS24" s="379">
        <f t="shared" si="30"/>
        <v>0</v>
      </c>
      <c r="CV24" s="379">
        <f t="shared" si="31"/>
        <v>0</v>
      </c>
      <c r="CY24" s="379">
        <f t="shared" si="32"/>
        <v>0</v>
      </c>
      <c r="DB24" s="379">
        <f t="shared" si="33"/>
        <v>0</v>
      </c>
      <c r="DE24" s="379">
        <f t="shared" si="34"/>
        <v>0</v>
      </c>
      <c r="DH24" s="379">
        <f t="shared" si="35"/>
        <v>0</v>
      </c>
      <c r="DK24" s="379">
        <f t="shared" si="36"/>
        <v>0</v>
      </c>
      <c r="DN24" s="379">
        <f t="shared" si="37"/>
        <v>0</v>
      </c>
      <c r="DQ24" s="379">
        <f t="shared" si="38"/>
        <v>0</v>
      </c>
      <c r="DT24" s="379">
        <f t="shared" si="39"/>
        <v>0</v>
      </c>
      <c r="DW24" s="379">
        <f t="shared" si="40"/>
        <v>0</v>
      </c>
      <c r="DY24" s="384"/>
      <c r="DZ24" s="366"/>
      <c r="EA24" s="379"/>
      <c r="EB24" s="190">
        <f t="shared" si="41"/>
        <v>551943525.06999993</v>
      </c>
      <c r="EC24" s="190">
        <f t="shared" si="42"/>
        <v>26263525.069999933</v>
      </c>
      <c r="ED24" s="379">
        <f t="shared" si="43"/>
        <v>35609.91152470278</v>
      </c>
      <c r="EE24" s="380">
        <f t="shared" si="44"/>
        <v>2.3226231609958948E-2</v>
      </c>
      <c r="EG24" s="190">
        <f t="shared" si="45"/>
        <v>0</v>
      </c>
      <c r="EH24" s="379">
        <f t="shared" si="46"/>
        <v>0</v>
      </c>
      <c r="EI24" s="380">
        <f t="shared" si="47"/>
        <v>0</v>
      </c>
      <c r="EJ24" s="380"/>
      <c r="EK24" s="190">
        <f t="shared" si="48"/>
        <v>525680000</v>
      </c>
      <c r="EL24" s="190">
        <f t="shared" si="49"/>
        <v>0</v>
      </c>
      <c r="EM24" s="190">
        <f t="shared" si="50"/>
        <v>34158.12222222222</v>
      </c>
      <c r="EN24" s="380">
        <f t="shared" si="51"/>
        <v>2.3392413635671891E-2</v>
      </c>
      <c r="EP24" s="379"/>
    </row>
    <row r="25" spans="1:146">
      <c r="A25" s="378">
        <f t="shared" si="52"/>
        <v>43357</v>
      </c>
      <c r="D25" s="379">
        <f t="shared" si="1"/>
        <v>0</v>
      </c>
      <c r="E25" s="379">
        <v>23218039.84</v>
      </c>
      <c r="F25" s="380">
        <v>2.06E-2</v>
      </c>
      <c r="G25" s="379">
        <f t="shared" si="2"/>
        <v>1328.587835288889</v>
      </c>
      <c r="J25" s="379">
        <f t="shared" si="3"/>
        <v>0</v>
      </c>
      <c r="M25" s="379">
        <f t="shared" si="4"/>
        <v>0</v>
      </c>
      <c r="P25" s="379">
        <f t="shared" si="5"/>
        <v>0</v>
      </c>
      <c r="S25" s="379">
        <f t="shared" si="6"/>
        <v>0</v>
      </c>
      <c r="V25" s="379">
        <f t="shared" si="7"/>
        <v>0</v>
      </c>
      <c r="Y25" s="379">
        <f t="shared" si="8"/>
        <v>0</v>
      </c>
      <c r="AB25" s="379">
        <f t="shared" si="9"/>
        <v>0</v>
      </c>
      <c r="AE25" s="379">
        <v>0</v>
      </c>
      <c r="AH25" s="379">
        <v>0</v>
      </c>
      <c r="AI25" s="381">
        <f>45000000+39950000</f>
        <v>84950000</v>
      </c>
      <c r="AJ25" s="382">
        <v>2.2200000000000001E-2</v>
      </c>
      <c r="AK25" s="379">
        <f t="shared" si="10"/>
        <v>5238.583333333333</v>
      </c>
      <c r="AL25" s="381">
        <f t="shared" si="0"/>
        <v>30000000</v>
      </c>
      <c r="AM25" s="382">
        <v>2.3300000000000001E-2</v>
      </c>
      <c r="AN25" s="379">
        <f t="shared" si="11"/>
        <v>1941.6666666666667</v>
      </c>
      <c r="AO25" s="381">
        <f t="shared" si="53"/>
        <v>201050000</v>
      </c>
      <c r="AP25" s="382">
        <v>2.35E-2</v>
      </c>
      <c r="AQ25" s="379">
        <f t="shared" si="12"/>
        <v>13124.097222222223</v>
      </c>
      <c r="AR25" s="381"/>
      <c r="AS25" s="382"/>
      <c r="AT25" s="379">
        <f t="shared" si="13"/>
        <v>0</v>
      </c>
      <c r="AU25" s="381">
        <f t="shared" si="54"/>
        <v>31925000</v>
      </c>
      <c r="AV25" s="382">
        <v>2.3599999999999999E-2</v>
      </c>
      <c r="AW25" s="379">
        <f t="shared" si="14"/>
        <v>2092.8611111111113</v>
      </c>
      <c r="AX25" s="381">
        <f t="shared" si="55"/>
        <v>179855000</v>
      </c>
      <c r="AY25" s="382">
        <v>2.3800000000000002E-2</v>
      </c>
      <c r="AZ25" s="379">
        <f t="shared" si="15"/>
        <v>11890.413888888888</v>
      </c>
      <c r="BC25" s="379">
        <f t="shared" si="16"/>
        <v>0</v>
      </c>
      <c r="BF25" s="379">
        <f t="shared" si="17"/>
        <v>0</v>
      </c>
      <c r="BI25" s="379">
        <f t="shared" si="18"/>
        <v>0</v>
      </c>
      <c r="BL25" s="379">
        <f t="shared" si="19"/>
        <v>0</v>
      </c>
      <c r="BO25" s="379">
        <f t="shared" si="20"/>
        <v>0</v>
      </c>
      <c r="BR25" s="379">
        <f t="shared" si="21"/>
        <v>0</v>
      </c>
      <c r="BU25" s="379">
        <f t="shared" si="22"/>
        <v>0</v>
      </c>
      <c r="BX25" s="379">
        <f t="shared" si="23"/>
        <v>0</v>
      </c>
      <c r="CA25" s="379">
        <f t="shared" si="24"/>
        <v>0</v>
      </c>
      <c r="CD25" s="379">
        <f t="shared" si="25"/>
        <v>0</v>
      </c>
      <c r="CG25" s="379">
        <f t="shared" si="26"/>
        <v>0</v>
      </c>
      <c r="CJ25" s="379">
        <f t="shared" si="27"/>
        <v>0</v>
      </c>
      <c r="CM25" s="379">
        <f t="shared" si="28"/>
        <v>0</v>
      </c>
      <c r="CP25" s="379">
        <f t="shared" si="29"/>
        <v>0</v>
      </c>
      <c r="CS25" s="379">
        <f t="shared" si="30"/>
        <v>0</v>
      </c>
      <c r="CV25" s="379">
        <f t="shared" si="31"/>
        <v>0</v>
      </c>
      <c r="CY25" s="379">
        <f t="shared" si="32"/>
        <v>0</v>
      </c>
      <c r="DB25" s="379">
        <f t="shared" si="33"/>
        <v>0</v>
      </c>
      <c r="DE25" s="379">
        <f t="shared" si="34"/>
        <v>0</v>
      </c>
      <c r="DH25" s="379">
        <f t="shared" si="35"/>
        <v>0</v>
      </c>
      <c r="DK25" s="379">
        <f t="shared" si="36"/>
        <v>0</v>
      </c>
      <c r="DN25" s="379">
        <f t="shared" si="37"/>
        <v>0</v>
      </c>
      <c r="DQ25" s="379">
        <f t="shared" si="38"/>
        <v>0</v>
      </c>
      <c r="DT25" s="379">
        <f t="shared" si="39"/>
        <v>0</v>
      </c>
      <c r="DW25" s="379">
        <f t="shared" si="40"/>
        <v>0</v>
      </c>
      <c r="DY25" s="384"/>
      <c r="DZ25" s="366"/>
      <c r="EA25" s="379"/>
      <c r="EB25" s="190">
        <f t="shared" si="41"/>
        <v>550998039.84000003</v>
      </c>
      <c r="EC25" s="190">
        <f t="shared" si="42"/>
        <v>23218039.840000033</v>
      </c>
      <c r="ED25" s="379">
        <f t="shared" si="43"/>
        <v>35616.210057511111</v>
      </c>
      <c r="EE25" s="380">
        <f t="shared" si="44"/>
        <v>2.3270201876629603E-2</v>
      </c>
      <c r="EG25" s="190">
        <f t="shared" si="45"/>
        <v>0</v>
      </c>
      <c r="EH25" s="379">
        <f t="shared" si="46"/>
        <v>0</v>
      </c>
      <c r="EI25" s="380">
        <f t="shared" si="47"/>
        <v>0</v>
      </c>
      <c r="EJ25" s="380"/>
      <c r="EK25" s="190">
        <f t="shared" si="48"/>
        <v>527780000</v>
      </c>
      <c r="EL25" s="190">
        <f t="shared" si="49"/>
        <v>0</v>
      </c>
      <c r="EM25" s="190">
        <f t="shared" si="50"/>
        <v>34287.62222222222</v>
      </c>
      <c r="EN25" s="380">
        <f t="shared" si="51"/>
        <v>2.3387669104551138E-2</v>
      </c>
      <c r="EP25" s="379"/>
    </row>
    <row r="26" spans="1:146">
      <c r="A26" s="378">
        <f t="shared" si="52"/>
        <v>43358</v>
      </c>
      <c r="D26" s="379">
        <f t="shared" si="1"/>
        <v>0</v>
      </c>
      <c r="E26" s="379">
        <v>23218039.84</v>
      </c>
      <c r="F26" s="380">
        <v>2.06E-2</v>
      </c>
      <c r="G26" s="379">
        <f t="shared" si="2"/>
        <v>1328.587835288889</v>
      </c>
      <c r="J26" s="379">
        <f t="shared" si="3"/>
        <v>0</v>
      </c>
      <c r="M26" s="379">
        <f t="shared" si="4"/>
        <v>0</v>
      </c>
      <c r="P26" s="379">
        <f t="shared" si="5"/>
        <v>0</v>
      </c>
      <c r="S26" s="379">
        <f t="shared" si="6"/>
        <v>0</v>
      </c>
      <c r="V26" s="379">
        <f t="shared" si="7"/>
        <v>0</v>
      </c>
      <c r="Y26" s="379">
        <f t="shared" si="8"/>
        <v>0</v>
      </c>
      <c r="AB26" s="379">
        <f t="shared" si="9"/>
        <v>0</v>
      </c>
      <c r="AE26" s="379">
        <v>0</v>
      </c>
      <c r="AH26" s="379">
        <v>0</v>
      </c>
      <c r="AI26" s="381">
        <f>45000000+39950000</f>
        <v>84950000</v>
      </c>
      <c r="AJ26" s="382">
        <v>2.2200000000000001E-2</v>
      </c>
      <c r="AK26" s="379">
        <f t="shared" si="10"/>
        <v>5238.583333333333</v>
      </c>
      <c r="AL26" s="381">
        <f t="shared" si="0"/>
        <v>30000000</v>
      </c>
      <c r="AM26" s="382">
        <v>2.3300000000000001E-2</v>
      </c>
      <c r="AN26" s="379">
        <f t="shared" si="11"/>
        <v>1941.6666666666667</v>
      </c>
      <c r="AO26" s="381">
        <f t="shared" si="53"/>
        <v>201050000</v>
      </c>
      <c r="AP26" s="382">
        <v>2.35E-2</v>
      </c>
      <c r="AQ26" s="379">
        <f t="shared" si="12"/>
        <v>13124.097222222223</v>
      </c>
      <c r="AR26" s="381"/>
      <c r="AS26" s="382"/>
      <c r="AT26" s="379">
        <f t="shared" si="13"/>
        <v>0</v>
      </c>
      <c r="AU26" s="381">
        <f t="shared" si="54"/>
        <v>31925000</v>
      </c>
      <c r="AV26" s="382">
        <v>2.3599999999999999E-2</v>
      </c>
      <c r="AW26" s="379">
        <f t="shared" si="14"/>
        <v>2092.8611111111113</v>
      </c>
      <c r="AX26" s="381">
        <f t="shared" si="55"/>
        <v>179855000</v>
      </c>
      <c r="AY26" s="382">
        <v>2.3800000000000002E-2</v>
      </c>
      <c r="AZ26" s="379">
        <f t="shared" si="15"/>
        <v>11890.413888888888</v>
      </c>
      <c r="BC26" s="379">
        <f t="shared" si="16"/>
        <v>0</v>
      </c>
      <c r="BF26" s="379">
        <f t="shared" si="17"/>
        <v>0</v>
      </c>
      <c r="BI26" s="379">
        <f t="shared" si="18"/>
        <v>0</v>
      </c>
      <c r="BL26" s="379">
        <f t="shared" si="19"/>
        <v>0</v>
      </c>
      <c r="BO26" s="379">
        <f t="shared" si="20"/>
        <v>0</v>
      </c>
      <c r="BR26" s="379">
        <f t="shared" si="21"/>
        <v>0</v>
      </c>
      <c r="BU26" s="379">
        <f t="shared" si="22"/>
        <v>0</v>
      </c>
      <c r="BX26" s="379">
        <f t="shared" si="23"/>
        <v>0</v>
      </c>
      <c r="CA26" s="379">
        <f t="shared" si="24"/>
        <v>0</v>
      </c>
      <c r="CD26" s="379">
        <f t="shared" si="25"/>
        <v>0</v>
      </c>
      <c r="CG26" s="379">
        <f t="shared" si="26"/>
        <v>0</v>
      </c>
      <c r="CJ26" s="379">
        <f t="shared" si="27"/>
        <v>0</v>
      </c>
      <c r="CM26" s="379">
        <f t="shared" si="28"/>
        <v>0</v>
      </c>
      <c r="CP26" s="379">
        <f t="shared" si="29"/>
        <v>0</v>
      </c>
      <c r="CS26" s="379">
        <f t="shared" si="30"/>
        <v>0</v>
      </c>
      <c r="CV26" s="379">
        <f t="shared" si="31"/>
        <v>0</v>
      </c>
      <c r="CY26" s="379">
        <f t="shared" si="32"/>
        <v>0</v>
      </c>
      <c r="DB26" s="379">
        <f t="shared" si="33"/>
        <v>0</v>
      </c>
      <c r="DE26" s="379">
        <f t="shared" si="34"/>
        <v>0</v>
      </c>
      <c r="DH26" s="379">
        <f t="shared" si="35"/>
        <v>0</v>
      </c>
      <c r="DK26" s="379">
        <f t="shared" si="36"/>
        <v>0</v>
      </c>
      <c r="DN26" s="379">
        <f t="shared" si="37"/>
        <v>0</v>
      </c>
      <c r="DQ26" s="379">
        <f t="shared" si="38"/>
        <v>0</v>
      </c>
      <c r="DT26" s="379">
        <f t="shared" si="39"/>
        <v>0</v>
      </c>
      <c r="DW26" s="379">
        <f t="shared" si="40"/>
        <v>0</v>
      </c>
      <c r="DY26" s="384"/>
      <c r="DZ26" s="366"/>
      <c r="EA26" s="379"/>
      <c r="EB26" s="190">
        <f t="shared" si="41"/>
        <v>550998039.84000003</v>
      </c>
      <c r="EC26" s="190">
        <f t="shared" si="42"/>
        <v>23218039.840000033</v>
      </c>
      <c r="ED26" s="379">
        <f t="shared" si="43"/>
        <v>35616.210057511111</v>
      </c>
      <c r="EE26" s="380">
        <f t="shared" si="44"/>
        <v>2.3270201876629603E-2</v>
      </c>
      <c r="EG26" s="190">
        <f t="shared" si="45"/>
        <v>0</v>
      </c>
      <c r="EH26" s="379">
        <f t="shared" si="46"/>
        <v>0</v>
      </c>
      <c r="EI26" s="380">
        <f t="shared" si="47"/>
        <v>0</v>
      </c>
      <c r="EJ26" s="380"/>
      <c r="EK26" s="190">
        <f t="shared" si="48"/>
        <v>527780000</v>
      </c>
      <c r="EL26" s="190">
        <f t="shared" si="49"/>
        <v>0</v>
      </c>
      <c r="EM26" s="190">
        <f t="shared" si="50"/>
        <v>34287.62222222222</v>
      </c>
      <c r="EN26" s="380">
        <f t="shared" si="51"/>
        <v>2.3387669104551138E-2</v>
      </c>
      <c r="EP26" s="379"/>
    </row>
    <row r="27" spans="1:146">
      <c r="A27" s="378">
        <f t="shared" si="52"/>
        <v>43359</v>
      </c>
      <c r="D27" s="379">
        <f t="shared" si="1"/>
        <v>0</v>
      </c>
      <c r="E27" s="379">
        <v>23218039.84</v>
      </c>
      <c r="F27" s="380">
        <v>2.06E-2</v>
      </c>
      <c r="G27" s="379">
        <f t="shared" si="2"/>
        <v>1328.587835288889</v>
      </c>
      <c r="J27" s="379">
        <f t="shared" si="3"/>
        <v>0</v>
      </c>
      <c r="M27" s="379">
        <f t="shared" si="4"/>
        <v>0</v>
      </c>
      <c r="P27" s="379">
        <f t="shared" si="5"/>
        <v>0</v>
      </c>
      <c r="S27" s="379">
        <f t="shared" si="6"/>
        <v>0</v>
      </c>
      <c r="V27" s="379">
        <f t="shared" si="7"/>
        <v>0</v>
      </c>
      <c r="Y27" s="379">
        <f t="shared" si="8"/>
        <v>0</v>
      </c>
      <c r="AB27" s="379">
        <f t="shared" si="9"/>
        <v>0</v>
      </c>
      <c r="AE27" s="379">
        <v>0</v>
      </c>
      <c r="AH27" s="379">
        <v>0</v>
      </c>
      <c r="AI27" s="381">
        <f>45000000+39950000</f>
        <v>84950000</v>
      </c>
      <c r="AJ27" s="382">
        <v>2.2200000000000001E-2</v>
      </c>
      <c r="AK27" s="379">
        <f t="shared" si="10"/>
        <v>5238.583333333333</v>
      </c>
      <c r="AL27" s="381">
        <f t="shared" si="0"/>
        <v>30000000</v>
      </c>
      <c r="AM27" s="382">
        <v>2.3300000000000001E-2</v>
      </c>
      <c r="AN27" s="379">
        <f t="shared" si="11"/>
        <v>1941.6666666666667</v>
      </c>
      <c r="AO27" s="381">
        <f t="shared" si="53"/>
        <v>201050000</v>
      </c>
      <c r="AP27" s="382">
        <v>2.35E-2</v>
      </c>
      <c r="AQ27" s="379">
        <f t="shared" si="12"/>
        <v>13124.097222222223</v>
      </c>
      <c r="AR27" s="381"/>
      <c r="AS27" s="382"/>
      <c r="AT27" s="379">
        <f t="shared" si="13"/>
        <v>0</v>
      </c>
      <c r="AU27" s="381">
        <f t="shared" si="54"/>
        <v>31925000</v>
      </c>
      <c r="AV27" s="382">
        <v>2.3599999999999999E-2</v>
      </c>
      <c r="AW27" s="379">
        <f t="shared" si="14"/>
        <v>2092.8611111111113</v>
      </c>
      <c r="AX27" s="381">
        <f t="shared" si="55"/>
        <v>179855000</v>
      </c>
      <c r="AY27" s="382">
        <v>2.3800000000000002E-2</v>
      </c>
      <c r="AZ27" s="379">
        <f t="shared" si="15"/>
        <v>11890.413888888888</v>
      </c>
      <c r="BC27" s="379">
        <f t="shared" si="16"/>
        <v>0</v>
      </c>
      <c r="BF27" s="379">
        <f t="shared" si="17"/>
        <v>0</v>
      </c>
      <c r="BI27" s="379">
        <f t="shared" si="18"/>
        <v>0</v>
      </c>
      <c r="BL27" s="379">
        <f t="shared" si="19"/>
        <v>0</v>
      </c>
      <c r="BO27" s="379">
        <f t="shared" si="20"/>
        <v>0</v>
      </c>
      <c r="BR27" s="379">
        <f t="shared" si="21"/>
        <v>0</v>
      </c>
      <c r="BU27" s="379">
        <f t="shared" si="22"/>
        <v>0</v>
      </c>
      <c r="BX27" s="379">
        <f t="shared" si="23"/>
        <v>0</v>
      </c>
      <c r="CA27" s="379">
        <f t="shared" si="24"/>
        <v>0</v>
      </c>
      <c r="CD27" s="379">
        <f t="shared" si="25"/>
        <v>0</v>
      </c>
      <c r="CG27" s="379">
        <f t="shared" si="26"/>
        <v>0</v>
      </c>
      <c r="CJ27" s="379">
        <f t="shared" si="27"/>
        <v>0</v>
      </c>
      <c r="CM27" s="379">
        <f t="shared" si="28"/>
        <v>0</v>
      </c>
      <c r="CP27" s="379">
        <f t="shared" si="29"/>
        <v>0</v>
      </c>
      <c r="CS27" s="379">
        <f t="shared" si="30"/>
        <v>0</v>
      </c>
      <c r="CV27" s="379">
        <f t="shared" si="31"/>
        <v>0</v>
      </c>
      <c r="CY27" s="379">
        <f t="shared" si="32"/>
        <v>0</v>
      </c>
      <c r="DB27" s="379">
        <f t="shared" si="33"/>
        <v>0</v>
      </c>
      <c r="DE27" s="379">
        <f t="shared" si="34"/>
        <v>0</v>
      </c>
      <c r="DH27" s="379">
        <f t="shared" si="35"/>
        <v>0</v>
      </c>
      <c r="DK27" s="379">
        <f t="shared" si="36"/>
        <v>0</v>
      </c>
      <c r="DN27" s="379">
        <f t="shared" si="37"/>
        <v>0</v>
      </c>
      <c r="DQ27" s="379">
        <f t="shared" si="38"/>
        <v>0</v>
      </c>
      <c r="DT27" s="379">
        <f t="shared" si="39"/>
        <v>0</v>
      </c>
      <c r="DW27" s="379">
        <f t="shared" si="40"/>
        <v>0</v>
      </c>
      <c r="DY27" s="384"/>
      <c r="DZ27" s="366"/>
      <c r="EA27" s="379"/>
      <c r="EB27" s="190">
        <f t="shared" si="41"/>
        <v>550998039.84000003</v>
      </c>
      <c r="EC27" s="190">
        <f t="shared" si="42"/>
        <v>23218039.840000033</v>
      </c>
      <c r="ED27" s="379">
        <f t="shared" si="43"/>
        <v>35616.210057511111</v>
      </c>
      <c r="EE27" s="380">
        <f t="shared" si="44"/>
        <v>2.3270201876629603E-2</v>
      </c>
      <c r="EG27" s="190">
        <f t="shared" si="45"/>
        <v>0</v>
      </c>
      <c r="EH27" s="379">
        <f t="shared" si="46"/>
        <v>0</v>
      </c>
      <c r="EI27" s="380">
        <f t="shared" si="47"/>
        <v>0</v>
      </c>
      <c r="EJ27" s="380"/>
      <c r="EK27" s="190">
        <f t="shared" si="48"/>
        <v>527780000</v>
      </c>
      <c r="EL27" s="190">
        <f t="shared" si="49"/>
        <v>0</v>
      </c>
      <c r="EM27" s="190">
        <f t="shared" si="50"/>
        <v>34287.62222222222</v>
      </c>
      <c r="EN27" s="380">
        <f t="shared" si="51"/>
        <v>2.3387669104551138E-2</v>
      </c>
      <c r="EP27" s="379"/>
    </row>
    <row r="28" spans="1:146">
      <c r="A28" s="378">
        <f t="shared" si="52"/>
        <v>43360</v>
      </c>
      <c r="D28" s="379">
        <f t="shared" si="1"/>
        <v>0</v>
      </c>
      <c r="E28" s="379">
        <v>23213034.780000001</v>
      </c>
      <c r="F28" s="380">
        <v>2.0299999999999999E-2</v>
      </c>
      <c r="G28" s="379">
        <f t="shared" si="2"/>
        <v>1308.9572389833334</v>
      </c>
      <c r="J28" s="379">
        <f t="shared" si="3"/>
        <v>0</v>
      </c>
      <c r="M28" s="379">
        <f t="shared" si="4"/>
        <v>0</v>
      </c>
      <c r="P28" s="379">
        <f t="shared" si="5"/>
        <v>0</v>
      </c>
      <c r="S28" s="379">
        <f t="shared" si="6"/>
        <v>0</v>
      </c>
      <c r="V28" s="379">
        <f t="shared" si="7"/>
        <v>0</v>
      </c>
      <c r="Y28" s="379">
        <f t="shared" si="8"/>
        <v>0</v>
      </c>
      <c r="AB28" s="379">
        <f t="shared" si="9"/>
        <v>0</v>
      </c>
      <c r="AE28" s="379">
        <v>0</v>
      </c>
      <c r="AH28" s="379">
        <v>0</v>
      </c>
      <c r="AI28" s="381">
        <f>55000000+42350000</f>
        <v>97350000</v>
      </c>
      <c r="AJ28" s="382">
        <v>2.2200000000000001E-2</v>
      </c>
      <c r="AK28" s="379">
        <f t="shared" si="10"/>
        <v>6003.25</v>
      </c>
      <c r="AL28" s="381">
        <f t="shared" si="0"/>
        <v>30000000</v>
      </c>
      <c r="AM28" s="382">
        <v>2.3300000000000001E-2</v>
      </c>
      <c r="AN28" s="379">
        <f t="shared" si="11"/>
        <v>1941.6666666666667</v>
      </c>
      <c r="AO28" s="381">
        <f t="shared" si="53"/>
        <v>201050000</v>
      </c>
      <c r="AP28" s="382">
        <v>2.35E-2</v>
      </c>
      <c r="AQ28" s="379">
        <f t="shared" si="12"/>
        <v>13124.097222222223</v>
      </c>
      <c r="AR28" s="381"/>
      <c r="AS28" s="382"/>
      <c r="AT28" s="379">
        <f t="shared" si="13"/>
        <v>0</v>
      </c>
      <c r="AU28" s="381">
        <f t="shared" si="54"/>
        <v>31925000</v>
      </c>
      <c r="AV28" s="382">
        <v>2.3599999999999999E-2</v>
      </c>
      <c r="AW28" s="379">
        <f t="shared" si="14"/>
        <v>2092.8611111111113</v>
      </c>
      <c r="AX28" s="381">
        <f t="shared" si="55"/>
        <v>179855000</v>
      </c>
      <c r="AY28" s="382">
        <v>2.3800000000000002E-2</v>
      </c>
      <c r="AZ28" s="379">
        <f t="shared" si="15"/>
        <v>11890.413888888888</v>
      </c>
      <c r="BC28" s="379">
        <f t="shared" si="16"/>
        <v>0</v>
      </c>
      <c r="BF28" s="379">
        <f t="shared" si="17"/>
        <v>0</v>
      </c>
      <c r="BI28" s="379">
        <f t="shared" si="18"/>
        <v>0</v>
      </c>
      <c r="BL28" s="379">
        <f t="shared" si="19"/>
        <v>0</v>
      </c>
      <c r="BO28" s="379">
        <f t="shared" si="20"/>
        <v>0</v>
      </c>
      <c r="BR28" s="379">
        <f t="shared" si="21"/>
        <v>0</v>
      </c>
      <c r="BU28" s="379">
        <f t="shared" si="22"/>
        <v>0</v>
      </c>
      <c r="BX28" s="379">
        <f t="shared" si="23"/>
        <v>0</v>
      </c>
      <c r="CA28" s="379">
        <f t="shared" si="24"/>
        <v>0</v>
      </c>
      <c r="CD28" s="379">
        <f t="shared" si="25"/>
        <v>0</v>
      </c>
      <c r="CG28" s="379">
        <f t="shared" si="26"/>
        <v>0</v>
      </c>
      <c r="CJ28" s="379">
        <f t="shared" si="27"/>
        <v>0</v>
      </c>
      <c r="CM28" s="379">
        <f t="shared" si="28"/>
        <v>0</v>
      </c>
      <c r="CP28" s="379">
        <f t="shared" si="29"/>
        <v>0</v>
      </c>
      <c r="CS28" s="379">
        <f t="shared" si="30"/>
        <v>0</v>
      </c>
      <c r="CV28" s="379">
        <f t="shared" si="31"/>
        <v>0</v>
      </c>
      <c r="CY28" s="379">
        <f t="shared" si="32"/>
        <v>0</v>
      </c>
      <c r="DB28" s="379">
        <f t="shared" si="33"/>
        <v>0</v>
      </c>
      <c r="DE28" s="379">
        <f t="shared" si="34"/>
        <v>0</v>
      </c>
      <c r="DH28" s="379">
        <f t="shared" si="35"/>
        <v>0</v>
      </c>
      <c r="DK28" s="379">
        <f t="shared" si="36"/>
        <v>0</v>
      </c>
      <c r="DN28" s="379">
        <f t="shared" si="37"/>
        <v>0</v>
      </c>
      <c r="DQ28" s="379">
        <f t="shared" si="38"/>
        <v>0</v>
      </c>
      <c r="DT28" s="379">
        <f t="shared" si="39"/>
        <v>0</v>
      </c>
      <c r="DW28" s="379">
        <f t="shared" si="40"/>
        <v>0</v>
      </c>
      <c r="DY28" s="384"/>
      <c r="DZ28" s="366"/>
      <c r="EA28" s="379"/>
      <c r="EB28" s="190">
        <f t="shared" si="41"/>
        <v>563393034.77999997</v>
      </c>
      <c r="EC28" s="190">
        <f t="shared" si="42"/>
        <v>23213034.779999971</v>
      </c>
      <c r="ED28" s="379">
        <f t="shared" si="43"/>
        <v>36361.246127872218</v>
      </c>
      <c r="EE28" s="380">
        <f t="shared" si="44"/>
        <v>2.3234310326796192E-2</v>
      </c>
      <c r="EG28" s="190">
        <f t="shared" si="45"/>
        <v>0</v>
      </c>
      <c r="EH28" s="379">
        <f t="shared" si="46"/>
        <v>0</v>
      </c>
      <c r="EI28" s="380">
        <f t="shared" si="47"/>
        <v>0</v>
      </c>
      <c r="EJ28" s="380"/>
      <c r="EK28" s="190">
        <f t="shared" si="48"/>
        <v>540180000</v>
      </c>
      <c r="EL28" s="190">
        <f t="shared" si="49"/>
        <v>0</v>
      </c>
      <c r="EM28" s="190">
        <f t="shared" si="50"/>
        <v>35052.288888888885</v>
      </c>
      <c r="EN28" s="380">
        <f t="shared" si="51"/>
        <v>2.3360405790662366E-2</v>
      </c>
      <c r="EP28" s="379"/>
    </row>
    <row r="29" spans="1:146">
      <c r="A29" s="378">
        <f t="shared" si="52"/>
        <v>43361</v>
      </c>
      <c r="D29" s="379">
        <f t="shared" si="1"/>
        <v>0</v>
      </c>
      <c r="E29" s="379">
        <v>20329239.59</v>
      </c>
      <c r="F29" s="380">
        <v>2.0899999999999998E-2</v>
      </c>
      <c r="G29" s="379">
        <f t="shared" si="2"/>
        <v>1180.2252984194445</v>
      </c>
      <c r="J29" s="379">
        <f t="shared" si="3"/>
        <v>0</v>
      </c>
      <c r="M29" s="379">
        <f t="shared" si="4"/>
        <v>0</v>
      </c>
      <c r="P29" s="379">
        <f t="shared" si="5"/>
        <v>0</v>
      </c>
      <c r="S29" s="379">
        <f t="shared" si="6"/>
        <v>0</v>
      </c>
      <c r="V29" s="379">
        <f t="shared" si="7"/>
        <v>0</v>
      </c>
      <c r="Y29" s="379">
        <f t="shared" si="8"/>
        <v>0</v>
      </c>
      <c r="AB29" s="379">
        <f t="shared" si="9"/>
        <v>0</v>
      </c>
      <c r="AE29" s="379">
        <v>0</v>
      </c>
      <c r="AH29" s="379">
        <v>0</v>
      </c>
      <c r="AI29" s="381">
        <f>55000000+45250000</f>
        <v>100250000</v>
      </c>
      <c r="AJ29" s="382">
        <v>2.2200000000000001E-2</v>
      </c>
      <c r="AK29" s="379">
        <f t="shared" si="10"/>
        <v>6182.083333333333</v>
      </c>
      <c r="AL29" s="381">
        <f t="shared" si="0"/>
        <v>30000000</v>
      </c>
      <c r="AM29" s="382">
        <v>2.3300000000000001E-2</v>
      </c>
      <c r="AN29" s="379">
        <f t="shared" si="11"/>
        <v>1941.6666666666667</v>
      </c>
      <c r="AO29" s="381">
        <f t="shared" si="53"/>
        <v>201050000</v>
      </c>
      <c r="AP29" s="382">
        <v>2.35E-2</v>
      </c>
      <c r="AQ29" s="379">
        <f t="shared" si="12"/>
        <v>13124.097222222223</v>
      </c>
      <c r="AR29" s="381"/>
      <c r="AS29" s="382"/>
      <c r="AT29" s="379">
        <f t="shared" si="13"/>
        <v>0</v>
      </c>
      <c r="AU29" s="381">
        <f t="shared" si="54"/>
        <v>31925000</v>
      </c>
      <c r="AV29" s="382">
        <v>2.3599999999999999E-2</v>
      </c>
      <c r="AW29" s="379">
        <f t="shared" si="14"/>
        <v>2092.8611111111113</v>
      </c>
      <c r="AX29" s="381">
        <f t="shared" si="55"/>
        <v>179855000</v>
      </c>
      <c r="AY29" s="382">
        <v>2.3800000000000002E-2</v>
      </c>
      <c r="AZ29" s="379">
        <f t="shared" si="15"/>
        <v>11890.413888888888</v>
      </c>
      <c r="BC29" s="379">
        <f t="shared" si="16"/>
        <v>0</v>
      </c>
      <c r="BF29" s="379">
        <f t="shared" si="17"/>
        <v>0</v>
      </c>
      <c r="BI29" s="379">
        <f t="shared" si="18"/>
        <v>0</v>
      </c>
      <c r="BL29" s="379">
        <f t="shared" si="19"/>
        <v>0</v>
      </c>
      <c r="BO29" s="379">
        <f t="shared" si="20"/>
        <v>0</v>
      </c>
      <c r="BR29" s="379">
        <f t="shared" si="21"/>
        <v>0</v>
      </c>
      <c r="BU29" s="379">
        <f t="shared" si="22"/>
        <v>0</v>
      </c>
      <c r="BX29" s="379">
        <f t="shared" si="23"/>
        <v>0</v>
      </c>
      <c r="CA29" s="379">
        <f t="shared" si="24"/>
        <v>0</v>
      </c>
      <c r="CD29" s="379">
        <f t="shared" si="25"/>
        <v>0</v>
      </c>
      <c r="CG29" s="379">
        <f t="shared" si="26"/>
        <v>0</v>
      </c>
      <c r="CJ29" s="379">
        <f t="shared" si="27"/>
        <v>0</v>
      </c>
      <c r="CM29" s="379">
        <f t="shared" si="28"/>
        <v>0</v>
      </c>
      <c r="CP29" s="379">
        <f t="shared" si="29"/>
        <v>0</v>
      </c>
      <c r="CS29" s="379">
        <f t="shared" si="30"/>
        <v>0</v>
      </c>
      <c r="CV29" s="379">
        <f t="shared" si="31"/>
        <v>0</v>
      </c>
      <c r="CY29" s="379">
        <f t="shared" si="32"/>
        <v>0</v>
      </c>
      <c r="DB29" s="379">
        <f t="shared" si="33"/>
        <v>0</v>
      </c>
      <c r="DE29" s="379">
        <f t="shared" si="34"/>
        <v>0</v>
      </c>
      <c r="DH29" s="379">
        <f t="shared" si="35"/>
        <v>0</v>
      </c>
      <c r="DK29" s="379">
        <f t="shared" si="36"/>
        <v>0</v>
      </c>
      <c r="DN29" s="379">
        <f t="shared" si="37"/>
        <v>0</v>
      </c>
      <c r="DQ29" s="379">
        <f t="shared" si="38"/>
        <v>0</v>
      </c>
      <c r="DT29" s="379">
        <f t="shared" si="39"/>
        <v>0</v>
      </c>
      <c r="DW29" s="379">
        <f t="shared" si="40"/>
        <v>0</v>
      </c>
      <c r="DY29" s="384"/>
      <c r="DZ29" s="366"/>
      <c r="EA29" s="379"/>
      <c r="EB29" s="190">
        <f t="shared" si="41"/>
        <v>563409239.59000003</v>
      </c>
      <c r="EC29" s="190">
        <f t="shared" si="42"/>
        <v>20329239.590000033</v>
      </c>
      <c r="ED29" s="379">
        <f t="shared" si="43"/>
        <v>36411.347520641662</v>
      </c>
      <c r="EE29" s="380">
        <f t="shared" si="44"/>
        <v>2.3265655204678427E-2</v>
      </c>
      <c r="EG29" s="190">
        <f t="shared" si="45"/>
        <v>0</v>
      </c>
      <c r="EH29" s="379">
        <f t="shared" si="46"/>
        <v>0</v>
      </c>
      <c r="EI29" s="380">
        <f t="shared" si="47"/>
        <v>0</v>
      </c>
      <c r="EJ29" s="380"/>
      <c r="EK29" s="190">
        <f t="shared" si="48"/>
        <v>543080000</v>
      </c>
      <c r="EL29" s="190">
        <f t="shared" si="49"/>
        <v>0</v>
      </c>
      <c r="EM29" s="190">
        <f t="shared" si="50"/>
        <v>35231.12222222222</v>
      </c>
      <c r="EN29" s="380">
        <f t="shared" si="51"/>
        <v>2.3354209324593062E-2</v>
      </c>
      <c r="EP29" s="379"/>
    </row>
    <row r="30" spans="1:146">
      <c r="A30" s="378">
        <f t="shared" si="52"/>
        <v>43362</v>
      </c>
      <c r="D30" s="379">
        <f t="shared" si="1"/>
        <v>0</v>
      </c>
      <c r="E30" s="379">
        <v>65514307.479999997</v>
      </c>
      <c r="F30" s="380">
        <v>2.0899999999999998E-2</v>
      </c>
      <c r="G30" s="379">
        <f t="shared" si="2"/>
        <v>3803.4695175888883</v>
      </c>
      <c r="J30" s="379">
        <f t="shared" si="3"/>
        <v>0</v>
      </c>
      <c r="M30" s="379">
        <f t="shared" si="4"/>
        <v>0</v>
      </c>
      <c r="P30" s="379">
        <f t="shared" si="5"/>
        <v>0</v>
      </c>
      <c r="S30" s="379">
        <f t="shared" si="6"/>
        <v>0</v>
      </c>
      <c r="V30" s="379">
        <f t="shared" si="7"/>
        <v>0</v>
      </c>
      <c r="Y30" s="379">
        <f t="shared" si="8"/>
        <v>0</v>
      </c>
      <c r="AB30" s="379">
        <f t="shared" si="9"/>
        <v>0</v>
      </c>
      <c r="AE30" s="379">
        <v>0</v>
      </c>
      <c r="AH30" s="379">
        <v>0</v>
      </c>
      <c r="AI30" s="381">
        <f>34000000+24100000</f>
        <v>58100000</v>
      </c>
      <c r="AJ30" s="382">
        <v>2.2200000000000001E-2</v>
      </c>
      <c r="AK30" s="379">
        <f t="shared" si="10"/>
        <v>3582.8333333333335</v>
      </c>
      <c r="AL30" s="381">
        <f t="shared" si="0"/>
        <v>30000000</v>
      </c>
      <c r="AM30" s="382">
        <v>2.3300000000000001E-2</v>
      </c>
      <c r="AN30" s="379">
        <f t="shared" si="11"/>
        <v>1941.6666666666667</v>
      </c>
      <c r="AO30" s="381">
        <f t="shared" si="53"/>
        <v>201050000</v>
      </c>
      <c r="AP30" s="382">
        <v>2.35E-2</v>
      </c>
      <c r="AQ30" s="379">
        <f t="shared" si="12"/>
        <v>13124.097222222223</v>
      </c>
      <c r="AR30" s="381"/>
      <c r="AS30" s="382"/>
      <c r="AT30" s="379">
        <f t="shared" si="13"/>
        <v>0</v>
      </c>
      <c r="AU30" s="381">
        <f t="shared" si="54"/>
        <v>31925000</v>
      </c>
      <c r="AV30" s="382">
        <v>2.3599999999999999E-2</v>
      </c>
      <c r="AW30" s="379">
        <f t="shared" si="14"/>
        <v>2092.8611111111113</v>
      </c>
      <c r="AX30" s="381">
        <f t="shared" si="55"/>
        <v>179855000</v>
      </c>
      <c r="AY30" s="382">
        <v>2.3800000000000002E-2</v>
      </c>
      <c r="AZ30" s="379">
        <f t="shared" si="15"/>
        <v>11890.413888888888</v>
      </c>
      <c r="BC30" s="379">
        <f t="shared" si="16"/>
        <v>0</v>
      </c>
      <c r="BF30" s="379">
        <f t="shared" si="17"/>
        <v>0</v>
      </c>
      <c r="BI30" s="379">
        <f t="shared" si="18"/>
        <v>0</v>
      </c>
      <c r="BL30" s="379">
        <f t="shared" si="19"/>
        <v>0</v>
      </c>
      <c r="BO30" s="379">
        <f t="shared" si="20"/>
        <v>0</v>
      </c>
      <c r="BR30" s="379">
        <f t="shared" si="21"/>
        <v>0</v>
      </c>
      <c r="BU30" s="379">
        <f t="shared" si="22"/>
        <v>0</v>
      </c>
      <c r="BX30" s="379">
        <f t="shared" si="23"/>
        <v>0</v>
      </c>
      <c r="CA30" s="379">
        <f t="shared" si="24"/>
        <v>0</v>
      </c>
      <c r="CD30" s="379">
        <f t="shared" si="25"/>
        <v>0</v>
      </c>
      <c r="CG30" s="379">
        <f t="shared" si="26"/>
        <v>0</v>
      </c>
      <c r="CJ30" s="379">
        <f t="shared" si="27"/>
        <v>0</v>
      </c>
      <c r="CM30" s="379">
        <f t="shared" si="28"/>
        <v>0</v>
      </c>
      <c r="CP30" s="379">
        <f t="shared" si="29"/>
        <v>0</v>
      </c>
      <c r="CS30" s="379">
        <f t="shared" si="30"/>
        <v>0</v>
      </c>
      <c r="CV30" s="379">
        <f t="shared" si="31"/>
        <v>0</v>
      </c>
      <c r="CY30" s="379">
        <f t="shared" si="32"/>
        <v>0</v>
      </c>
      <c r="DB30" s="379">
        <f t="shared" si="33"/>
        <v>0</v>
      </c>
      <c r="DE30" s="379">
        <f t="shared" si="34"/>
        <v>0</v>
      </c>
      <c r="DH30" s="379">
        <f t="shared" si="35"/>
        <v>0</v>
      </c>
      <c r="DK30" s="379">
        <f t="shared" si="36"/>
        <v>0</v>
      </c>
      <c r="DN30" s="379">
        <f t="shared" si="37"/>
        <v>0</v>
      </c>
      <c r="DQ30" s="379">
        <f t="shared" si="38"/>
        <v>0</v>
      </c>
      <c r="DT30" s="379">
        <f t="shared" si="39"/>
        <v>0</v>
      </c>
      <c r="DW30" s="379">
        <f t="shared" si="40"/>
        <v>0</v>
      </c>
      <c r="DY30" s="384"/>
      <c r="DZ30" s="366"/>
      <c r="EA30" s="379"/>
      <c r="EB30" s="190">
        <f t="shared" si="41"/>
        <v>566444307.48000002</v>
      </c>
      <c r="EC30" s="190">
        <f t="shared" si="42"/>
        <v>65514307.480000019</v>
      </c>
      <c r="ED30" s="379">
        <f t="shared" si="43"/>
        <v>36435.341739811105</v>
      </c>
      <c r="EE30" s="380">
        <f t="shared" si="44"/>
        <v>2.3156244758969744E-2</v>
      </c>
      <c r="EG30" s="190">
        <f t="shared" si="45"/>
        <v>0</v>
      </c>
      <c r="EH30" s="379">
        <f t="shared" si="46"/>
        <v>0</v>
      </c>
      <c r="EI30" s="380">
        <f t="shared" si="47"/>
        <v>0</v>
      </c>
      <c r="EJ30" s="380"/>
      <c r="EK30" s="190">
        <f t="shared" si="48"/>
        <v>500930000</v>
      </c>
      <c r="EL30" s="190">
        <f t="shared" si="49"/>
        <v>0</v>
      </c>
      <c r="EM30" s="190">
        <f t="shared" si="50"/>
        <v>32631.87222222222</v>
      </c>
      <c r="EN30" s="380">
        <f t="shared" si="51"/>
        <v>2.3451328528936177E-2</v>
      </c>
      <c r="EP30" s="379"/>
    </row>
    <row r="31" spans="1:146">
      <c r="A31" s="378">
        <f t="shared" si="52"/>
        <v>43363</v>
      </c>
      <c r="D31" s="379">
        <f t="shared" si="1"/>
        <v>0</v>
      </c>
      <c r="E31" s="379">
        <v>66999718.630000003</v>
      </c>
      <c r="F31" s="380">
        <v>2.18E-2</v>
      </c>
      <c r="G31" s="379">
        <f t="shared" si="2"/>
        <v>4057.2051837055556</v>
      </c>
      <c r="J31" s="379">
        <f t="shared" si="3"/>
        <v>0</v>
      </c>
      <c r="M31" s="379">
        <f t="shared" si="4"/>
        <v>0</v>
      </c>
      <c r="P31" s="379">
        <f t="shared" si="5"/>
        <v>0</v>
      </c>
      <c r="S31" s="379">
        <f t="shared" si="6"/>
        <v>0</v>
      </c>
      <c r="V31" s="379">
        <f t="shared" si="7"/>
        <v>0</v>
      </c>
      <c r="Y31" s="379">
        <f t="shared" si="8"/>
        <v>0</v>
      </c>
      <c r="AB31" s="379">
        <f t="shared" si="9"/>
        <v>0</v>
      </c>
      <c r="AE31" s="379">
        <v>0</v>
      </c>
      <c r="AH31" s="379">
        <v>0</v>
      </c>
      <c r="AI31" s="381">
        <f>14700000</f>
        <v>14700000</v>
      </c>
      <c r="AJ31" s="382">
        <v>2.2200000000000001E-2</v>
      </c>
      <c r="AK31" s="379">
        <f t="shared" si="10"/>
        <v>906.5</v>
      </c>
      <c r="AL31" s="381"/>
      <c r="AM31" s="382"/>
      <c r="AN31" s="379">
        <f t="shared" si="11"/>
        <v>0</v>
      </c>
      <c r="AO31" s="381">
        <f t="shared" si="53"/>
        <v>201050000</v>
      </c>
      <c r="AP31" s="382">
        <v>2.35E-2</v>
      </c>
      <c r="AQ31" s="379">
        <f t="shared" si="12"/>
        <v>13124.097222222223</v>
      </c>
      <c r="AR31" s="381"/>
      <c r="AS31" s="382"/>
      <c r="AT31" s="379">
        <f t="shared" si="13"/>
        <v>0</v>
      </c>
      <c r="AU31" s="381">
        <f t="shared" si="54"/>
        <v>31925000</v>
      </c>
      <c r="AV31" s="382">
        <v>2.3599999999999999E-2</v>
      </c>
      <c r="AW31" s="379">
        <f t="shared" si="14"/>
        <v>2092.8611111111113</v>
      </c>
      <c r="AX31" s="381">
        <f t="shared" si="55"/>
        <v>179855000</v>
      </c>
      <c r="AY31" s="382">
        <v>2.3800000000000002E-2</v>
      </c>
      <c r="AZ31" s="379">
        <f t="shared" si="15"/>
        <v>11890.413888888888</v>
      </c>
      <c r="BC31" s="379">
        <f t="shared" si="16"/>
        <v>0</v>
      </c>
      <c r="BF31" s="379">
        <f t="shared" si="17"/>
        <v>0</v>
      </c>
      <c r="BI31" s="379">
        <f t="shared" si="18"/>
        <v>0</v>
      </c>
      <c r="BL31" s="379">
        <f t="shared" si="19"/>
        <v>0</v>
      </c>
      <c r="BO31" s="379">
        <f t="shared" si="20"/>
        <v>0</v>
      </c>
      <c r="BR31" s="379">
        <f t="shared" si="21"/>
        <v>0</v>
      </c>
      <c r="BU31" s="379">
        <f t="shared" si="22"/>
        <v>0</v>
      </c>
      <c r="BX31" s="379">
        <f t="shared" si="23"/>
        <v>0</v>
      </c>
      <c r="CA31" s="379">
        <f t="shared" si="24"/>
        <v>0</v>
      </c>
      <c r="CD31" s="379">
        <f t="shared" si="25"/>
        <v>0</v>
      </c>
      <c r="CG31" s="379">
        <f t="shared" si="26"/>
        <v>0</v>
      </c>
      <c r="CJ31" s="379">
        <f t="shared" si="27"/>
        <v>0</v>
      </c>
      <c r="CM31" s="379">
        <f t="shared" si="28"/>
        <v>0</v>
      </c>
      <c r="CP31" s="379">
        <f t="shared" si="29"/>
        <v>0</v>
      </c>
      <c r="CS31" s="379">
        <f t="shared" si="30"/>
        <v>0</v>
      </c>
      <c r="CV31" s="379">
        <f t="shared" si="31"/>
        <v>0</v>
      </c>
      <c r="CY31" s="379">
        <f t="shared" si="32"/>
        <v>0</v>
      </c>
      <c r="DB31" s="379">
        <f t="shared" si="33"/>
        <v>0</v>
      </c>
      <c r="DE31" s="379">
        <f t="shared" si="34"/>
        <v>0</v>
      </c>
      <c r="DH31" s="379">
        <f t="shared" si="35"/>
        <v>0</v>
      </c>
      <c r="DK31" s="379">
        <f t="shared" si="36"/>
        <v>0</v>
      </c>
      <c r="DN31" s="379">
        <f t="shared" si="37"/>
        <v>0</v>
      </c>
      <c r="DQ31" s="379">
        <f t="shared" si="38"/>
        <v>0</v>
      </c>
      <c r="DT31" s="379">
        <f t="shared" si="39"/>
        <v>0</v>
      </c>
      <c r="DW31" s="379">
        <f t="shared" si="40"/>
        <v>0</v>
      </c>
      <c r="DY31" s="384"/>
      <c r="DZ31" s="366"/>
      <c r="EA31" s="379"/>
      <c r="EB31" s="190">
        <f t="shared" si="41"/>
        <v>494529718.63</v>
      </c>
      <c r="EC31" s="190">
        <f t="shared" si="42"/>
        <v>66999718.629999995</v>
      </c>
      <c r="ED31" s="379">
        <f t="shared" si="43"/>
        <v>32071.077405927779</v>
      </c>
      <c r="EE31" s="380">
        <f t="shared" si="44"/>
        <v>2.3346600681792881E-2</v>
      </c>
      <c r="EG31" s="190">
        <f t="shared" si="45"/>
        <v>0</v>
      </c>
      <c r="EH31" s="379">
        <f t="shared" si="46"/>
        <v>0</v>
      </c>
      <c r="EI31" s="380">
        <f t="shared" si="47"/>
        <v>0</v>
      </c>
      <c r="EJ31" s="380"/>
      <c r="EK31" s="190">
        <f t="shared" si="48"/>
        <v>427530000</v>
      </c>
      <c r="EL31" s="190">
        <f t="shared" si="49"/>
        <v>0</v>
      </c>
      <c r="EM31" s="190">
        <f t="shared" si="50"/>
        <v>28013.87222222222</v>
      </c>
      <c r="EN31" s="380">
        <f t="shared" si="51"/>
        <v>2.3588973873178491E-2</v>
      </c>
      <c r="EP31" s="379"/>
    </row>
    <row r="32" spans="1:146">
      <c r="A32" s="378">
        <f t="shared" si="52"/>
        <v>43364</v>
      </c>
      <c r="D32" s="379">
        <f t="shared" si="1"/>
        <v>0</v>
      </c>
      <c r="E32" s="379">
        <v>66890872.950000003</v>
      </c>
      <c r="F32" s="380">
        <v>2.1000000000000001E-2</v>
      </c>
      <c r="G32" s="379">
        <f t="shared" si="2"/>
        <v>3901.9675887500007</v>
      </c>
      <c r="J32" s="379">
        <f t="shared" si="3"/>
        <v>0</v>
      </c>
      <c r="M32" s="379">
        <f t="shared" si="4"/>
        <v>0</v>
      </c>
      <c r="P32" s="379">
        <f t="shared" si="5"/>
        <v>0</v>
      </c>
      <c r="S32" s="379">
        <f t="shared" si="6"/>
        <v>0</v>
      </c>
      <c r="V32" s="379">
        <f t="shared" si="7"/>
        <v>0</v>
      </c>
      <c r="Y32" s="379">
        <f t="shared" si="8"/>
        <v>0</v>
      </c>
      <c r="AB32" s="379">
        <f t="shared" si="9"/>
        <v>0</v>
      </c>
      <c r="AE32" s="379">
        <v>0</v>
      </c>
      <c r="AH32" s="379">
        <v>0</v>
      </c>
      <c r="AI32" s="381">
        <f>14800000</f>
        <v>14800000</v>
      </c>
      <c r="AJ32" s="382">
        <v>2.2200000000000001E-2</v>
      </c>
      <c r="AK32" s="379">
        <f t="shared" si="10"/>
        <v>912.66666666666663</v>
      </c>
      <c r="AL32" s="381"/>
      <c r="AM32" s="382"/>
      <c r="AN32" s="379">
        <f t="shared" si="11"/>
        <v>0</v>
      </c>
      <c r="AO32" s="381">
        <f t="shared" si="53"/>
        <v>201050000</v>
      </c>
      <c r="AP32" s="382">
        <v>2.35E-2</v>
      </c>
      <c r="AQ32" s="379">
        <f t="shared" si="12"/>
        <v>13124.097222222223</v>
      </c>
      <c r="AR32" s="381"/>
      <c r="AS32" s="382"/>
      <c r="AT32" s="379">
        <f t="shared" si="13"/>
        <v>0</v>
      </c>
      <c r="AU32" s="381">
        <f t="shared" si="54"/>
        <v>31925000</v>
      </c>
      <c r="AV32" s="382">
        <v>2.3599999999999999E-2</v>
      </c>
      <c r="AW32" s="379">
        <f t="shared" si="14"/>
        <v>2092.8611111111113</v>
      </c>
      <c r="AX32" s="381">
        <f t="shared" si="55"/>
        <v>179855000</v>
      </c>
      <c r="AY32" s="382">
        <v>2.3800000000000002E-2</v>
      </c>
      <c r="AZ32" s="379">
        <f t="shared" si="15"/>
        <v>11890.413888888888</v>
      </c>
      <c r="BC32" s="379">
        <f t="shared" si="16"/>
        <v>0</v>
      </c>
      <c r="BF32" s="379">
        <f t="shared" si="17"/>
        <v>0</v>
      </c>
      <c r="BI32" s="379">
        <f t="shared" si="18"/>
        <v>0</v>
      </c>
      <c r="BL32" s="379">
        <f t="shared" si="19"/>
        <v>0</v>
      </c>
      <c r="BO32" s="379">
        <f t="shared" si="20"/>
        <v>0</v>
      </c>
      <c r="BR32" s="379">
        <f t="shared" si="21"/>
        <v>0</v>
      </c>
      <c r="BU32" s="379">
        <f t="shared" si="22"/>
        <v>0</v>
      </c>
      <c r="BX32" s="379">
        <f t="shared" si="23"/>
        <v>0</v>
      </c>
      <c r="CA32" s="379">
        <f t="shared" si="24"/>
        <v>0</v>
      </c>
      <c r="CD32" s="379">
        <f t="shared" si="25"/>
        <v>0</v>
      </c>
      <c r="CG32" s="379">
        <f t="shared" si="26"/>
        <v>0</v>
      </c>
      <c r="CJ32" s="379">
        <f t="shared" si="27"/>
        <v>0</v>
      </c>
      <c r="CM32" s="379">
        <f t="shared" si="28"/>
        <v>0</v>
      </c>
      <c r="CP32" s="379">
        <f t="shared" si="29"/>
        <v>0</v>
      </c>
      <c r="CS32" s="379">
        <f t="shared" si="30"/>
        <v>0</v>
      </c>
      <c r="CV32" s="379">
        <f t="shared" si="31"/>
        <v>0</v>
      </c>
      <c r="CY32" s="379">
        <f t="shared" si="32"/>
        <v>0</v>
      </c>
      <c r="DB32" s="379">
        <f t="shared" si="33"/>
        <v>0</v>
      </c>
      <c r="DE32" s="379">
        <f t="shared" si="34"/>
        <v>0</v>
      </c>
      <c r="DH32" s="379">
        <f t="shared" si="35"/>
        <v>0</v>
      </c>
      <c r="DK32" s="379">
        <f t="shared" si="36"/>
        <v>0</v>
      </c>
      <c r="DN32" s="379">
        <f t="shared" si="37"/>
        <v>0</v>
      </c>
      <c r="DQ32" s="379">
        <f t="shared" si="38"/>
        <v>0</v>
      </c>
      <c r="DT32" s="379">
        <f t="shared" si="39"/>
        <v>0</v>
      </c>
      <c r="DW32" s="379">
        <f t="shared" si="40"/>
        <v>0</v>
      </c>
      <c r="DY32" s="384"/>
      <c r="DZ32" s="366"/>
      <c r="EA32" s="379"/>
      <c r="EB32" s="190">
        <f t="shared" si="41"/>
        <v>494520872.94999999</v>
      </c>
      <c r="EC32" s="190">
        <f t="shared" si="42"/>
        <v>66890872.949999988</v>
      </c>
      <c r="ED32" s="379">
        <f t="shared" si="43"/>
        <v>31922.006477638886</v>
      </c>
      <c r="EE32" s="380">
        <f t="shared" si="44"/>
        <v>2.3238498030217471E-2</v>
      </c>
      <c r="EG32" s="190">
        <f t="shared" si="45"/>
        <v>0</v>
      </c>
      <c r="EH32" s="379">
        <f t="shared" si="46"/>
        <v>0</v>
      </c>
      <c r="EI32" s="380">
        <f t="shared" si="47"/>
        <v>0</v>
      </c>
      <c r="EJ32" s="380"/>
      <c r="EK32" s="190">
        <f t="shared" si="48"/>
        <v>427630000</v>
      </c>
      <c r="EL32" s="190">
        <f t="shared" si="49"/>
        <v>0</v>
      </c>
      <c r="EM32" s="190">
        <f t="shared" si="50"/>
        <v>28020.038888888888</v>
      </c>
      <c r="EN32" s="380">
        <f t="shared" si="51"/>
        <v>2.3588649065781165E-2</v>
      </c>
      <c r="EP32" s="379"/>
    </row>
    <row r="33" spans="1:146">
      <c r="A33" s="378">
        <f t="shared" si="52"/>
        <v>43365</v>
      </c>
      <c r="D33" s="379">
        <f t="shared" si="1"/>
        <v>0</v>
      </c>
      <c r="E33" s="379">
        <v>66890872.950000003</v>
      </c>
      <c r="F33" s="380">
        <v>2.1000000000000001E-2</v>
      </c>
      <c r="G33" s="379">
        <f t="shared" si="2"/>
        <v>3901.9675887500007</v>
      </c>
      <c r="J33" s="379">
        <f t="shared" si="3"/>
        <v>0</v>
      </c>
      <c r="M33" s="379">
        <f t="shared" si="4"/>
        <v>0</v>
      </c>
      <c r="P33" s="379">
        <f t="shared" si="5"/>
        <v>0</v>
      </c>
      <c r="S33" s="379">
        <f t="shared" si="6"/>
        <v>0</v>
      </c>
      <c r="V33" s="379">
        <f t="shared" si="7"/>
        <v>0</v>
      </c>
      <c r="Y33" s="379">
        <f t="shared" si="8"/>
        <v>0</v>
      </c>
      <c r="AB33" s="379">
        <f t="shared" si="9"/>
        <v>0</v>
      </c>
      <c r="AE33" s="379">
        <v>0</v>
      </c>
      <c r="AH33" s="379">
        <v>0</v>
      </c>
      <c r="AI33" s="381">
        <f>14800000</f>
        <v>14800000</v>
      </c>
      <c r="AJ33" s="382">
        <v>2.2200000000000001E-2</v>
      </c>
      <c r="AK33" s="379">
        <f t="shared" si="10"/>
        <v>912.66666666666663</v>
      </c>
      <c r="AL33" s="381"/>
      <c r="AM33" s="382"/>
      <c r="AN33" s="379">
        <f t="shared" si="11"/>
        <v>0</v>
      </c>
      <c r="AO33" s="381">
        <f t="shared" si="53"/>
        <v>201050000</v>
      </c>
      <c r="AP33" s="382">
        <v>2.35E-2</v>
      </c>
      <c r="AQ33" s="379">
        <f t="shared" si="12"/>
        <v>13124.097222222223</v>
      </c>
      <c r="AR33" s="381"/>
      <c r="AS33" s="382"/>
      <c r="AT33" s="379">
        <f t="shared" si="13"/>
        <v>0</v>
      </c>
      <c r="AU33" s="381">
        <f t="shared" si="54"/>
        <v>31925000</v>
      </c>
      <c r="AV33" s="382">
        <v>2.3599999999999999E-2</v>
      </c>
      <c r="AW33" s="379">
        <f t="shared" si="14"/>
        <v>2092.8611111111113</v>
      </c>
      <c r="AX33" s="381">
        <f t="shared" si="55"/>
        <v>179855000</v>
      </c>
      <c r="AY33" s="382">
        <v>2.3800000000000002E-2</v>
      </c>
      <c r="AZ33" s="379">
        <f t="shared" si="15"/>
        <v>11890.413888888888</v>
      </c>
      <c r="BC33" s="379">
        <f t="shared" si="16"/>
        <v>0</v>
      </c>
      <c r="BF33" s="379">
        <f t="shared" si="17"/>
        <v>0</v>
      </c>
      <c r="BI33" s="379">
        <f t="shared" si="18"/>
        <v>0</v>
      </c>
      <c r="BL33" s="379">
        <f t="shared" si="19"/>
        <v>0</v>
      </c>
      <c r="BO33" s="379">
        <f t="shared" si="20"/>
        <v>0</v>
      </c>
      <c r="BR33" s="379">
        <f t="shared" si="21"/>
        <v>0</v>
      </c>
      <c r="BU33" s="379">
        <f t="shared" si="22"/>
        <v>0</v>
      </c>
      <c r="BX33" s="379">
        <f t="shared" si="23"/>
        <v>0</v>
      </c>
      <c r="CA33" s="379">
        <f t="shared" si="24"/>
        <v>0</v>
      </c>
      <c r="CD33" s="379">
        <f t="shared" si="25"/>
        <v>0</v>
      </c>
      <c r="CG33" s="379">
        <f t="shared" si="26"/>
        <v>0</v>
      </c>
      <c r="CJ33" s="379">
        <f t="shared" si="27"/>
        <v>0</v>
      </c>
      <c r="CM33" s="379">
        <f t="shared" si="28"/>
        <v>0</v>
      </c>
      <c r="CP33" s="379">
        <f t="shared" si="29"/>
        <v>0</v>
      </c>
      <c r="CS33" s="379">
        <f t="shared" si="30"/>
        <v>0</v>
      </c>
      <c r="CV33" s="379">
        <f t="shared" si="31"/>
        <v>0</v>
      </c>
      <c r="CY33" s="379">
        <f t="shared" si="32"/>
        <v>0</v>
      </c>
      <c r="DB33" s="379">
        <f t="shared" si="33"/>
        <v>0</v>
      </c>
      <c r="DE33" s="379">
        <f t="shared" si="34"/>
        <v>0</v>
      </c>
      <c r="DH33" s="379">
        <f t="shared" si="35"/>
        <v>0</v>
      </c>
      <c r="DK33" s="379">
        <f t="shared" si="36"/>
        <v>0</v>
      </c>
      <c r="DN33" s="379">
        <f t="shared" si="37"/>
        <v>0</v>
      </c>
      <c r="DQ33" s="379">
        <f t="shared" si="38"/>
        <v>0</v>
      </c>
      <c r="DT33" s="379">
        <f t="shared" si="39"/>
        <v>0</v>
      </c>
      <c r="DW33" s="379">
        <f t="shared" si="40"/>
        <v>0</v>
      </c>
      <c r="DY33" s="384"/>
      <c r="DZ33" s="366"/>
      <c r="EA33" s="379"/>
      <c r="EB33" s="190">
        <f t="shared" si="41"/>
        <v>494520872.94999999</v>
      </c>
      <c r="EC33" s="190">
        <f t="shared" si="42"/>
        <v>66890872.949999988</v>
      </c>
      <c r="ED33" s="379">
        <f t="shared" si="43"/>
        <v>31922.006477638886</v>
      </c>
      <c r="EE33" s="380">
        <f t="shared" si="44"/>
        <v>2.3238498030217471E-2</v>
      </c>
      <c r="EG33" s="190">
        <f t="shared" si="45"/>
        <v>0</v>
      </c>
      <c r="EH33" s="379">
        <f t="shared" si="46"/>
        <v>0</v>
      </c>
      <c r="EI33" s="380">
        <f t="shared" si="47"/>
        <v>0</v>
      </c>
      <c r="EJ33" s="380"/>
      <c r="EK33" s="190">
        <f t="shared" si="48"/>
        <v>427630000</v>
      </c>
      <c r="EL33" s="190">
        <f t="shared" si="49"/>
        <v>0</v>
      </c>
      <c r="EM33" s="190">
        <f t="shared" si="50"/>
        <v>28020.038888888888</v>
      </c>
      <c r="EN33" s="380">
        <f t="shared" si="51"/>
        <v>2.3588649065781165E-2</v>
      </c>
      <c r="EP33" s="379"/>
    </row>
    <row r="34" spans="1:146">
      <c r="A34" s="378">
        <f t="shared" si="52"/>
        <v>43366</v>
      </c>
      <c r="D34" s="379">
        <f t="shared" si="1"/>
        <v>0</v>
      </c>
      <c r="E34" s="379">
        <v>66890872.950000003</v>
      </c>
      <c r="F34" s="380">
        <v>2.1000000000000001E-2</v>
      </c>
      <c r="G34" s="379">
        <f t="shared" si="2"/>
        <v>3901.9675887500007</v>
      </c>
      <c r="J34" s="379">
        <f t="shared" si="3"/>
        <v>0</v>
      </c>
      <c r="M34" s="379">
        <f t="shared" si="4"/>
        <v>0</v>
      </c>
      <c r="P34" s="379">
        <f t="shared" si="5"/>
        <v>0</v>
      </c>
      <c r="S34" s="379">
        <f t="shared" si="6"/>
        <v>0</v>
      </c>
      <c r="V34" s="379">
        <f t="shared" si="7"/>
        <v>0</v>
      </c>
      <c r="Y34" s="379">
        <f t="shared" si="8"/>
        <v>0</v>
      </c>
      <c r="AB34" s="379">
        <f t="shared" si="9"/>
        <v>0</v>
      </c>
      <c r="AE34" s="379">
        <v>0</v>
      </c>
      <c r="AH34" s="379">
        <v>0</v>
      </c>
      <c r="AI34" s="381">
        <f>14800000</f>
        <v>14800000</v>
      </c>
      <c r="AJ34" s="382">
        <v>2.2200000000000001E-2</v>
      </c>
      <c r="AK34" s="379">
        <f t="shared" si="10"/>
        <v>912.66666666666663</v>
      </c>
      <c r="AL34" s="381"/>
      <c r="AM34" s="382"/>
      <c r="AN34" s="379">
        <f t="shared" si="11"/>
        <v>0</v>
      </c>
      <c r="AO34" s="381">
        <f t="shared" si="53"/>
        <v>201050000</v>
      </c>
      <c r="AP34" s="382">
        <v>2.35E-2</v>
      </c>
      <c r="AQ34" s="379">
        <f t="shared" si="12"/>
        <v>13124.097222222223</v>
      </c>
      <c r="AR34" s="381"/>
      <c r="AS34" s="382"/>
      <c r="AT34" s="379">
        <f t="shared" si="13"/>
        <v>0</v>
      </c>
      <c r="AU34" s="381">
        <f t="shared" si="54"/>
        <v>31925000</v>
      </c>
      <c r="AV34" s="382">
        <v>2.3599999999999999E-2</v>
      </c>
      <c r="AW34" s="379">
        <f t="shared" si="14"/>
        <v>2092.8611111111113</v>
      </c>
      <c r="AX34" s="381">
        <f t="shared" si="55"/>
        <v>179855000</v>
      </c>
      <c r="AY34" s="382">
        <v>2.3800000000000002E-2</v>
      </c>
      <c r="AZ34" s="379">
        <f t="shared" si="15"/>
        <v>11890.413888888888</v>
      </c>
      <c r="BC34" s="379">
        <f t="shared" si="16"/>
        <v>0</v>
      </c>
      <c r="BF34" s="379">
        <f t="shared" si="17"/>
        <v>0</v>
      </c>
      <c r="BI34" s="379">
        <f t="shared" si="18"/>
        <v>0</v>
      </c>
      <c r="BL34" s="379">
        <f t="shared" si="19"/>
        <v>0</v>
      </c>
      <c r="BO34" s="379">
        <f t="shared" si="20"/>
        <v>0</v>
      </c>
      <c r="BR34" s="379">
        <f t="shared" si="21"/>
        <v>0</v>
      </c>
      <c r="BU34" s="379">
        <f t="shared" si="22"/>
        <v>0</v>
      </c>
      <c r="BX34" s="379">
        <f t="shared" si="23"/>
        <v>0</v>
      </c>
      <c r="CA34" s="379">
        <f t="shared" si="24"/>
        <v>0</v>
      </c>
      <c r="CD34" s="379">
        <f t="shared" si="25"/>
        <v>0</v>
      </c>
      <c r="CG34" s="379">
        <f t="shared" si="26"/>
        <v>0</v>
      </c>
      <c r="CJ34" s="379">
        <f t="shared" si="27"/>
        <v>0</v>
      </c>
      <c r="CM34" s="379">
        <f t="shared" si="28"/>
        <v>0</v>
      </c>
      <c r="CP34" s="379">
        <f t="shared" si="29"/>
        <v>0</v>
      </c>
      <c r="CS34" s="379">
        <f t="shared" si="30"/>
        <v>0</v>
      </c>
      <c r="CV34" s="379">
        <f t="shared" si="31"/>
        <v>0</v>
      </c>
      <c r="CY34" s="379">
        <f t="shared" si="32"/>
        <v>0</v>
      </c>
      <c r="DB34" s="379">
        <f t="shared" si="33"/>
        <v>0</v>
      </c>
      <c r="DE34" s="379">
        <f t="shared" si="34"/>
        <v>0</v>
      </c>
      <c r="DH34" s="379">
        <f t="shared" si="35"/>
        <v>0</v>
      </c>
      <c r="DK34" s="379">
        <f t="shared" si="36"/>
        <v>0</v>
      </c>
      <c r="DN34" s="379">
        <f t="shared" si="37"/>
        <v>0</v>
      </c>
      <c r="DQ34" s="379">
        <f t="shared" si="38"/>
        <v>0</v>
      </c>
      <c r="DT34" s="379">
        <f t="shared" si="39"/>
        <v>0</v>
      </c>
      <c r="DW34" s="379">
        <f t="shared" si="40"/>
        <v>0</v>
      </c>
      <c r="DY34" s="384"/>
      <c r="DZ34" s="366"/>
      <c r="EA34" s="379"/>
      <c r="EB34" s="190">
        <f t="shared" si="41"/>
        <v>494520872.94999999</v>
      </c>
      <c r="EC34" s="190">
        <f t="shared" si="42"/>
        <v>66890872.949999988</v>
      </c>
      <c r="ED34" s="379">
        <f t="shared" si="43"/>
        <v>31922.006477638886</v>
      </c>
      <c r="EE34" s="380">
        <f t="shared" si="44"/>
        <v>2.3238498030217471E-2</v>
      </c>
      <c r="EG34" s="190">
        <f t="shared" si="45"/>
        <v>0</v>
      </c>
      <c r="EH34" s="379">
        <f t="shared" si="46"/>
        <v>0</v>
      </c>
      <c r="EI34" s="380">
        <f t="shared" si="47"/>
        <v>0</v>
      </c>
      <c r="EJ34" s="380"/>
      <c r="EK34" s="190">
        <f t="shared" si="48"/>
        <v>427630000</v>
      </c>
      <c r="EL34" s="190">
        <f t="shared" si="49"/>
        <v>0</v>
      </c>
      <c r="EM34" s="190">
        <f t="shared" si="50"/>
        <v>28020.038888888888</v>
      </c>
      <c r="EN34" s="380">
        <f t="shared" si="51"/>
        <v>2.3588649065781165E-2</v>
      </c>
      <c r="EP34" s="379"/>
    </row>
    <row r="35" spans="1:146">
      <c r="A35" s="378">
        <f t="shared" si="52"/>
        <v>43367</v>
      </c>
      <c r="D35" s="379">
        <f t="shared" si="1"/>
        <v>0</v>
      </c>
      <c r="E35" s="379">
        <v>66335345.460000001</v>
      </c>
      <c r="F35" s="380">
        <v>2.07E-2</v>
      </c>
      <c r="G35" s="379">
        <f t="shared" si="2"/>
        <v>3814.2823639500002</v>
      </c>
      <c r="J35" s="379">
        <f t="shared" si="3"/>
        <v>0</v>
      </c>
      <c r="M35" s="379">
        <f t="shared" si="4"/>
        <v>0</v>
      </c>
      <c r="P35" s="379">
        <f t="shared" si="5"/>
        <v>0</v>
      </c>
      <c r="S35" s="379">
        <f t="shared" si="6"/>
        <v>0</v>
      </c>
      <c r="V35" s="379">
        <f t="shared" si="7"/>
        <v>0</v>
      </c>
      <c r="Y35" s="379">
        <f t="shared" si="8"/>
        <v>0</v>
      </c>
      <c r="AB35" s="379">
        <f t="shared" si="9"/>
        <v>0</v>
      </c>
      <c r="AE35" s="379">
        <v>0</v>
      </c>
      <c r="AH35" s="379">
        <v>0</v>
      </c>
      <c r="AI35" s="381">
        <f>15375000</f>
        <v>15375000</v>
      </c>
      <c r="AJ35" s="382">
        <v>2.2200000000000001E-2</v>
      </c>
      <c r="AK35" s="379">
        <f t="shared" si="10"/>
        <v>948.125</v>
      </c>
      <c r="AL35" s="381"/>
      <c r="AM35" s="382"/>
      <c r="AN35" s="379">
        <f t="shared" si="11"/>
        <v>0</v>
      </c>
      <c r="AO35" s="381">
        <f t="shared" si="53"/>
        <v>201050000</v>
      </c>
      <c r="AP35" s="382">
        <v>2.35E-2</v>
      </c>
      <c r="AQ35" s="379">
        <f t="shared" si="12"/>
        <v>13124.097222222223</v>
      </c>
      <c r="AR35" s="381"/>
      <c r="AS35" s="382"/>
      <c r="AT35" s="379">
        <f t="shared" si="13"/>
        <v>0</v>
      </c>
      <c r="AU35" s="381">
        <f t="shared" si="54"/>
        <v>31925000</v>
      </c>
      <c r="AV35" s="382">
        <v>2.3599999999999999E-2</v>
      </c>
      <c r="AW35" s="379">
        <f t="shared" si="14"/>
        <v>2092.8611111111113</v>
      </c>
      <c r="AX35" s="381">
        <f t="shared" si="55"/>
        <v>179855000</v>
      </c>
      <c r="AY35" s="382">
        <v>2.3800000000000002E-2</v>
      </c>
      <c r="AZ35" s="379">
        <f t="shared" si="15"/>
        <v>11890.413888888888</v>
      </c>
      <c r="BC35" s="379">
        <f t="shared" si="16"/>
        <v>0</v>
      </c>
      <c r="BF35" s="379">
        <f t="shared" si="17"/>
        <v>0</v>
      </c>
      <c r="BI35" s="379">
        <f t="shared" si="18"/>
        <v>0</v>
      </c>
      <c r="BL35" s="379">
        <f t="shared" si="19"/>
        <v>0</v>
      </c>
      <c r="BO35" s="379">
        <f t="shared" si="20"/>
        <v>0</v>
      </c>
      <c r="BR35" s="379">
        <f t="shared" si="21"/>
        <v>0</v>
      </c>
      <c r="BU35" s="379">
        <f t="shared" si="22"/>
        <v>0</v>
      </c>
      <c r="BX35" s="379">
        <f t="shared" si="23"/>
        <v>0</v>
      </c>
      <c r="CA35" s="379">
        <f t="shared" si="24"/>
        <v>0</v>
      </c>
      <c r="CD35" s="379">
        <f t="shared" si="25"/>
        <v>0</v>
      </c>
      <c r="CG35" s="379">
        <f t="shared" si="26"/>
        <v>0</v>
      </c>
      <c r="CJ35" s="379">
        <f t="shared" si="27"/>
        <v>0</v>
      </c>
      <c r="CM35" s="379">
        <f t="shared" si="28"/>
        <v>0</v>
      </c>
      <c r="CP35" s="379">
        <f t="shared" si="29"/>
        <v>0</v>
      </c>
      <c r="CS35" s="379">
        <f t="shared" si="30"/>
        <v>0</v>
      </c>
      <c r="CV35" s="379">
        <f t="shared" si="31"/>
        <v>0</v>
      </c>
      <c r="CY35" s="379">
        <f t="shared" si="32"/>
        <v>0</v>
      </c>
      <c r="DB35" s="379">
        <f t="shared" si="33"/>
        <v>0</v>
      </c>
      <c r="DE35" s="379">
        <f t="shared" si="34"/>
        <v>0</v>
      </c>
      <c r="DH35" s="379">
        <f t="shared" si="35"/>
        <v>0</v>
      </c>
      <c r="DK35" s="379">
        <f t="shared" si="36"/>
        <v>0</v>
      </c>
      <c r="DN35" s="379">
        <f t="shared" si="37"/>
        <v>0</v>
      </c>
      <c r="DQ35" s="379">
        <f t="shared" si="38"/>
        <v>0</v>
      </c>
      <c r="DT35" s="379">
        <f t="shared" si="39"/>
        <v>0</v>
      </c>
      <c r="DW35" s="379">
        <f t="shared" si="40"/>
        <v>0</v>
      </c>
      <c r="DY35" s="384"/>
      <c r="DZ35" s="366"/>
      <c r="EA35" s="379"/>
      <c r="EB35" s="190">
        <f t="shared" si="41"/>
        <v>494540345.46000004</v>
      </c>
      <c r="EC35" s="190">
        <f t="shared" si="42"/>
        <v>66335345.460000038</v>
      </c>
      <c r="ED35" s="379">
        <f t="shared" si="43"/>
        <v>31869.779586172222</v>
      </c>
      <c r="EE35" s="380">
        <f t="shared" si="44"/>
        <v>2.3199564517532335E-2</v>
      </c>
      <c r="EG35" s="190">
        <f t="shared" si="45"/>
        <v>0</v>
      </c>
      <c r="EH35" s="379">
        <f t="shared" si="46"/>
        <v>0</v>
      </c>
      <c r="EI35" s="380">
        <f t="shared" si="47"/>
        <v>0</v>
      </c>
      <c r="EJ35" s="380"/>
      <c r="EK35" s="190">
        <f t="shared" si="48"/>
        <v>428205000</v>
      </c>
      <c r="EL35" s="190">
        <f t="shared" si="49"/>
        <v>0</v>
      </c>
      <c r="EM35" s="190">
        <f t="shared" si="50"/>
        <v>28055.49722222222</v>
      </c>
      <c r="EN35" s="380">
        <f t="shared" si="51"/>
        <v>2.3586784367300707E-2</v>
      </c>
      <c r="EP35" s="379"/>
    </row>
    <row r="36" spans="1:146">
      <c r="A36" s="378">
        <f t="shared" si="52"/>
        <v>43368</v>
      </c>
      <c r="D36" s="379">
        <f t="shared" si="1"/>
        <v>0</v>
      </c>
      <c r="E36" s="379">
        <v>69163233.349999994</v>
      </c>
      <c r="F36" s="380">
        <v>2.0899999999999998E-2</v>
      </c>
      <c r="G36" s="379">
        <f t="shared" si="2"/>
        <v>4015.309936152777</v>
      </c>
      <c r="J36" s="379">
        <f t="shared" si="3"/>
        <v>0</v>
      </c>
      <c r="M36" s="379">
        <f t="shared" si="4"/>
        <v>0</v>
      </c>
      <c r="P36" s="379">
        <f t="shared" si="5"/>
        <v>0</v>
      </c>
      <c r="S36" s="379">
        <f t="shared" si="6"/>
        <v>0</v>
      </c>
      <c r="V36" s="379">
        <f t="shared" si="7"/>
        <v>0</v>
      </c>
      <c r="Y36" s="379">
        <f t="shared" si="8"/>
        <v>0</v>
      </c>
      <c r="AB36" s="379">
        <f t="shared" si="9"/>
        <v>0</v>
      </c>
      <c r="AE36" s="379">
        <v>0</v>
      </c>
      <c r="AH36" s="379">
        <v>0</v>
      </c>
      <c r="AI36" s="381">
        <f>11750000</f>
        <v>11750000</v>
      </c>
      <c r="AJ36" s="382">
        <v>2.2200000000000001E-2</v>
      </c>
      <c r="AK36" s="379">
        <f t="shared" si="10"/>
        <v>724.58333333333337</v>
      </c>
      <c r="AL36" s="381"/>
      <c r="AM36" s="382"/>
      <c r="AN36" s="379">
        <f t="shared" si="11"/>
        <v>0</v>
      </c>
      <c r="AO36" s="381">
        <f t="shared" si="53"/>
        <v>201050000</v>
      </c>
      <c r="AP36" s="382">
        <v>2.35E-2</v>
      </c>
      <c r="AQ36" s="379">
        <f t="shared" si="12"/>
        <v>13124.097222222223</v>
      </c>
      <c r="AR36" s="381"/>
      <c r="AS36" s="382"/>
      <c r="AT36" s="379">
        <f t="shared" si="13"/>
        <v>0</v>
      </c>
      <c r="AU36" s="381">
        <f t="shared" si="54"/>
        <v>31925000</v>
      </c>
      <c r="AV36" s="382">
        <v>2.3599999999999999E-2</v>
      </c>
      <c r="AW36" s="379">
        <f t="shared" si="14"/>
        <v>2092.8611111111113</v>
      </c>
      <c r="AX36" s="381">
        <f t="shared" si="55"/>
        <v>179855000</v>
      </c>
      <c r="AY36" s="382">
        <v>2.3800000000000002E-2</v>
      </c>
      <c r="AZ36" s="379">
        <f t="shared" si="15"/>
        <v>11890.413888888888</v>
      </c>
      <c r="BC36" s="379">
        <f t="shared" si="16"/>
        <v>0</v>
      </c>
      <c r="BF36" s="379">
        <f t="shared" si="17"/>
        <v>0</v>
      </c>
      <c r="BI36" s="379">
        <f t="shared" si="18"/>
        <v>0</v>
      </c>
      <c r="BL36" s="379">
        <f t="shared" si="19"/>
        <v>0</v>
      </c>
      <c r="BO36" s="379">
        <f t="shared" si="20"/>
        <v>0</v>
      </c>
      <c r="BR36" s="379">
        <f t="shared" si="21"/>
        <v>0</v>
      </c>
      <c r="BU36" s="379">
        <f t="shared" si="22"/>
        <v>0</v>
      </c>
      <c r="BX36" s="379">
        <f t="shared" si="23"/>
        <v>0</v>
      </c>
      <c r="CA36" s="379">
        <f t="shared" si="24"/>
        <v>0</v>
      </c>
      <c r="CD36" s="379">
        <f t="shared" si="25"/>
        <v>0</v>
      </c>
      <c r="CG36" s="379">
        <f t="shared" si="26"/>
        <v>0</v>
      </c>
      <c r="CJ36" s="379">
        <f t="shared" si="27"/>
        <v>0</v>
      </c>
      <c r="CM36" s="379">
        <f t="shared" si="28"/>
        <v>0</v>
      </c>
      <c r="CP36" s="379">
        <f t="shared" si="29"/>
        <v>0</v>
      </c>
      <c r="CS36" s="379">
        <f t="shared" si="30"/>
        <v>0</v>
      </c>
      <c r="CV36" s="379">
        <f t="shared" si="31"/>
        <v>0</v>
      </c>
      <c r="CY36" s="379">
        <f t="shared" si="32"/>
        <v>0</v>
      </c>
      <c r="DB36" s="379">
        <f t="shared" si="33"/>
        <v>0</v>
      </c>
      <c r="DE36" s="379">
        <f t="shared" si="34"/>
        <v>0</v>
      </c>
      <c r="DH36" s="379">
        <f t="shared" si="35"/>
        <v>0</v>
      </c>
      <c r="DK36" s="379">
        <f t="shared" si="36"/>
        <v>0</v>
      </c>
      <c r="DN36" s="379">
        <f t="shared" si="37"/>
        <v>0</v>
      </c>
      <c r="DQ36" s="379">
        <f t="shared" si="38"/>
        <v>0</v>
      </c>
      <c r="DT36" s="379">
        <f t="shared" si="39"/>
        <v>0</v>
      </c>
      <c r="DW36" s="379">
        <f t="shared" si="40"/>
        <v>0</v>
      </c>
      <c r="DY36" s="384"/>
      <c r="DZ36" s="366"/>
      <c r="EA36" s="379"/>
      <c r="EB36" s="190">
        <f t="shared" si="41"/>
        <v>493743233.35000002</v>
      </c>
      <c r="EC36" s="190">
        <f t="shared" si="42"/>
        <v>69163233.350000024</v>
      </c>
      <c r="ED36" s="379">
        <f t="shared" si="43"/>
        <v>31847.265491708331</v>
      </c>
      <c r="EE36" s="380">
        <f t="shared" si="44"/>
        <v>2.3220602942193209E-2</v>
      </c>
      <c r="EG36" s="190">
        <f t="shared" si="45"/>
        <v>0</v>
      </c>
      <c r="EH36" s="379">
        <f t="shared" si="46"/>
        <v>0</v>
      </c>
      <c r="EI36" s="380">
        <f t="shared" si="47"/>
        <v>0</v>
      </c>
      <c r="EJ36" s="380"/>
      <c r="EK36" s="190">
        <f t="shared" si="48"/>
        <v>424580000</v>
      </c>
      <c r="EL36" s="190">
        <f t="shared" si="49"/>
        <v>0</v>
      </c>
      <c r="EM36" s="190">
        <f t="shared" si="50"/>
        <v>27831.955555555553</v>
      </c>
      <c r="EN36" s="380">
        <f t="shared" si="51"/>
        <v>2.3598624523058082E-2</v>
      </c>
      <c r="EP36" s="379"/>
    </row>
    <row r="37" spans="1:146">
      <c r="A37" s="378">
        <f t="shared" si="52"/>
        <v>43369</v>
      </c>
      <c r="D37" s="379">
        <f t="shared" si="1"/>
        <v>0</v>
      </c>
      <c r="E37" s="379">
        <v>61435797.18</v>
      </c>
      <c r="F37" s="380">
        <v>2.1099999999999997E-2</v>
      </c>
      <c r="G37" s="379">
        <f t="shared" si="2"/>
        <v>3600.8203347166664</v>
      </c>
      <c r="J37" s="379">
        <f t="shared" si="3"/>
        <v>0</v>
      </c>
      <c r="M37" s="379">
        <f t="shared" si="4"/>
        <v>0</v>
      </c>
      <c r="P37" s="379">
        <f t="shared" si="5"/>
        <v>0</v>
      </c>
      <c r="S37" s="379">
        <f t="shared" si="6"/>
        <v>0</v>
      </c>
      <c r="V37" s="379">
        <f t="shared" si="7"/>
        <v>0</v>
      </c>
      <c r="Y37" s="379">
        <f t="shared" si="8"/>
        <v>0</v>
      </c>
      <c r="AB37" s="379">
        <f t="shared" si="9"/>
        <v>0</v>
      </c>
      <c r="AE37" s="379">
        <v>0</v>
      </c>
      <c r="AH37" s="379">
        <v>0</v>
      </c>
      <c r="AI37" s="381">
        <f>19475000</f>
        <v>19475000</v>
      </c>
      <c r="AJ37" s="382">
        <v>2.2200000000000001E-2</v>
      </c>
      <c r="AK37" s="379">
        <f t="shared" si="10"/>
        <v>1200.9583333333333</v>
      </c>
      <c r="AL37" s="381"/>
      <c r="AM37" s="382"/>
      <c r="AN37" s="379">
        <f t="shared" si="11"/>
        <v>0</v>
      </c>
      <c r="AO37" s="381">
        <f t="shared" si="53"/>
        <v>201050000</v>
      </c>
      <c r="AP37" s="382">
        <v>2.35E-2</v>
      </c>
      <c r="AQ37" s="379">
        <f t="shared" si="12"/>
        <v>13124.097222222223</v>
      </c>
      <c r="AR37" s="381"/>
      <c r="AS37" s="382"/>
      <c r="AT37" s="379">
        <f t="shared" si="13"/>
        <v>0</v>
      </c>
      <c r="AU37" s="381">
        <f t="shared" si="54"/>
        <v>31925000</v>
      </c>
      <c r="AV37" s="382">
        <v>2.3599999999999999E-2</v>
      </c>
      <c r="AW37" s="379">
        <f t="shared" si="14"/>
        <v>2092.8611111111113</v>
      </c>
      <c r="AX37" s="381">
        <f t="shared" si="55"/>
        <v>179855000</v>
      </c>
      <c r="AY37" s="382">
        <v>2.3800000000000002E-2</v>
      </c>
      <c r="AZ37" s="379">
        <f t="shared" si="15"/>
        <v>11890.413888888888</v>
      </c>
      <c r="BC37" s="379">
        <f t="shared" si="16"/>
        <v>0</v>
      </c>
      <c r="BF37" s="379">
        <f t="shared" si="17"/>
        <v>0</v>
      </c>
      <c r="BI37" s="379">
        <f t="shared" si="18"/>
        <v>0</v>
      </c>
      <c r="BL37" s="379">
        <f t="shared" si="19"/>
        <v>0</v>
      </c>
      <c r="BO37" s="379">
        <f t="shared" si="20"/>
        <v>0</v>
      </c>
      <c r="BR37" s="379">
        <f t="shared" si="21"/>
        <v>0</v>
      </c>
      <c r="BU37" s="379">
        <f t="shared" si="22"/>
        <v>0</v>
      </c>
      <c r="BX37" s="379">
        <f t="shared" si="23"/>
        <v>0</v>
      </c>
      <c r="CA37" s="379">
        <f t="shared" si="24"/>
        <v>0</v>
      </c>
      <c r="CD37" s="379">
        <f t="shared" si="25"/>
        <v>0</v>
      </c>
      <c r="CG37" s="379">
        <f t="shared" si="26"/>
        <v>0</v>
      </c>
      <c r="CJ37" s="379">
        <f t="shared" si="27"/>
        <v>0</v>
      </c>
      <c r="CM37" s="379">
        <f t="shared" si="28"/>
        <v>0</v>
      </c>
      <c r="CP37" s="379">
        <f t="shared" si="29"/>
        <v>0</v>
      </c>
      <c r="CS37" s="379">
        <f t="shared" si="30"/>
        <v>0</v>
      </c>
      <c r="CV37" s="379">
        <f t="shared" si="31"/>
        <v>0</v>
      </c>
      <c r="CY37" s="379">
        <f t="shared" si="32"/>
        <v>0</v>
      </c>
      <c r="DB37" s="379">
        <f t="shared" si="33"/>
        <v>0</v>
      </c>
      <c r="DE37" s="379">
        <f t="shared" si="34"/>
        <v>0</v>
      </c>
      <c r="DH37" s="379">
        <f t="shared" si="35"/>
        <v>0</v>
      </c>
      <c r="DK37" s="379">
        <f t="shared" si="36"/>
        <v>0</v>
      </c>
      <c r="DN37" s="379">
        <f t="shared" si="37"/>
        <v>0</v>
      </c>
      <c r="DQ37" s="379">
        <f t="shared" si="38"/>
        <v>0</v>
      </c>
      <c r="DT37" s="379">
        <f t="shared" si="39"/>
        <v>0</v>
      </c>
      <c r="DW37" s="379">
        <f t="shared" si="40"/>
        <v>0</v>
      </c>
      <c r="DY37" s="384"/>
      <c r="DZ37" s="366"/>
      <c r="EA37" s="379"/>
      <c r="EB37" s="190">
        <f t="shared" si="41"/>
        <v>493740797.18000001</v>
      </c>
      <c r="EC37" s="190">
        <f t="shared" si="42"/>
        <v>61435797.180000007</v>
      </c>
      <c r="ED37" s="379">
        <f t="shared" si="43"/>
        <v>31909.150890272223</v>
      </c>
      <c r="EE37" s="380">
        <f t="shared" si="44"/>
        <v>2.3265839861943086E-2</v>
      </c>
      <c r="EG37" s="190">
        <f t="shared" si="45"/>
        <v>0</v>
      </c>
      <c r="EH37" s="379">
        <f t="shared" si="46"/>
        <v>0</v>
      </c>
      <c r="EI37" s="380">
        <f t="shared" si="47"/>
        <v>0</v>
      </c>
      <c r="EJ37" s="380"/>
      <c r="EK37" s="190">
        <f t="shared" si="48"/>
        <v>432305000</v>
      </c>
      <c r="EL37" s="190">
        <f t="shared" si="49"/>
        <v>0</v>
      </c>
      <c r="EM37" s="190">
        <f t="shared" si="50"/>
        <v>28308.330555555553</v>
      </c>
      <c r="EN37" s="380">
        <f t="shared" si="51"/>
        <v>2.3573632042192431E-2</v>
      </c>
      <c r="EP37" s="379"/>
    </row>
    <row r="38" spans="1:146">
      <c r="A38" s="378">
        <f t="shared" si="52"/>
        <v>43370</v>
      </c>
      <c r="D38" s="379">
        <f t="shared" si="1"/>
        <v>0</v>
      </c>
      <c r="E38" s="379">
        <v>62036437.18</v>
      </c>
      <c r="F38" s="380">
        <v>2.1499999999999998E-2</v>
      </c>
      <c r="G38" s="379">
        <f t="shared" si="2"/>
        <v>3704.9538871388891</v>
      </c>
      <c r="J38" s="379">
        <f t="shared" si="3"/>
        <v>0</v>
      </c>
      <c r="M38" s="379">
        <f t="shared" si="4"/>
        <v>0</v>
      </c>
      <c r="P38" s="379">
        <f t="shared" si="5"/>
        <v>0</v>
      </c>
      <c r="S38" s="379">
        <f t="shared" si="6"/>
        <v>0</v>
      </c>
      <c r="V38" s="379">
        <f t="shared" si="7"/>
        <v>0</v>
      </c>
      <c r="Y38" s="379">
        <f t="shared" si="8"/>
        <v>0</v>
      </c>
      <c r="AB38" s="379">
        <f t="shared" si="9"/>
        <v>0</v>
      </c>
      <c r="AE38" s="379">
        <v>0</v>
      </c>
      <c r="AH38" s="379">
        <v>0</v>
      </c>
      <c r="AI38" s="381">
        <f>19250000</f>
        <v>19250000</v>
      </c>
      <c r="AJ38" s="382">
        <v>2.4500000000000001E-2</v>
      </c>
      <c r="AK38" s="379">
        <f t="shared" si="10"/>
        <v>1310.0694444444443</v>
      </c>
      <c r="AL38" s="381"/>
      <c r="AM38" s="382"/>
      <c r="AN38" s="379">
        <f t="shared" si="11"/>
        <v>0</v>
      </c>
      <c r="AO38" s="381">
        <f t="shared" si="53"/>
        <v>201050000</v>
      </c>
      <c r="AP38" s="382">
        <v>2.35E-2</v>
      </c>
      <c r="AQ38" s="379">
        <f t="shared" si="12"/>
        <v>13124.097222222223</v>
      </c>
      <c r="AR38" s="381"/>
      <c r="AS38" s="382"/>
      <c r="AT38" s="379">
        <f t="shared" si="13"/>
        <v>0</v>
      </c>
      <c r="AU38" s="381">
        <f t="shared" si="54"/>
        <v>31925000</v>
      </c>
      <c r="AV38" s="382">
        <v>2.3599999999999999E-2</v>
      </c>
      <c r="AW38" s="379">
        <f t="shared" si="14"/>
        <v>2092.8611111111113</v>
      </c>
      <c r="AX38" s="381">
        <f t="shared" si="55"/>
        <v>179855000</v>
      </c>
      <c r="AY38" s="382">
        <v>2.3800000000000002E-2</v>
      </c>
      <c r="AZ38" s="379">
        <f t="shared" si="15"/>
        <v>11890.413888888888</v>
      </c>
      <c r="BC38" s="379">
        <f t="shared" si="16"/>
        <v>0</v>
      </c>
      <c r="BF38" s="379">
        <f t="shared" si="17"/>
        <v>0</v>
      </c>
      <c r="BI38" s="379">
        <f t="shared" si="18"/>
        <v>0</v>
      </c>
      <c r="BL38" s="379">
        <f t="shared" si="19"/>
        <v>0</v>
      </c>
      <c r="BO38" s="379">
        <f t="shared" si="20"/>
        <v>0</v>
      </c>
      <c r="BR38" s="379">
        <f t="shared" si="21"/>
        <v>0</v>
      </c>
      <c r="BU38" s="379">
        <f t="shared" si="22"/>
        <v>0</v>
      </c>
      <c r="BX38" s="379">
        <f t="shared" si="23"/>
        <v>0</v>
      </c>
      <c r="CA38" s="379">
        <f t="shared" si="24"/>
        <v>0</v>
      </c>
      <c r="CD38" s="379">
        <f t="shared" si="25"/>
        <v>0</v>
      </c>
      <c r="CG38" s="379">
        <f t="shared" si="26"/>
        <v>0</v>
      </c>
      <c r="CJ38" s="379">
        <f t="shared" si="27"/>
        <v>0</v>
      </c>
      <c r="CM38" s="379">
        <f t="shared" si="28"/>
        <v>0</v>
      </c>
      <c r="CP38" s="379">
        <f t="shared" si="29"/>
        <v>0</v>
      </c>
      <c r="CS38" s="379">
        <f t="shared" si="30"/>
        <v>0</v>
      </c>
      <c r="CV38" s="379">
        <f t="shared" si="31"/>
        <v>0</v>
      </c>
      <c r="CY38" s="379">
        <f t="shared" si="32"/>
        <v>0</v>
      </c>
      <c r="DB38" s="379">
        <f t="shared" si="33"/>
        <v>0</v>
      </c>
      <c r="DE38" s="379">
        <f t="shared" si="34"/>
        <v>0</v>
      </c>
      <c r="DH38" s="379">
        <f t="shared" si="35"/>
        <v>0</v>
      </c>
      <c r="DK38" s="379">
        <f t="shared" si="36"/>
        <v>0</v>
      </c>
      <c r="DN38" s="379">
        <f t="shared" si="37"/>
        <v>0</v>
      </c>
      <c r="DQ38" s="379">
        <f t="shared" si="38"/>
        <v>0</v>
      </c>
      <c r="DT38" s="379">
        <f t="shared" si="39"/>
        <v>0</v>
      </c>
      <c r="DW38" s="379">
        <f t="shared" si="40"/>
        <v>0</v>
      </c>
      <c r="DY38" s="384"/>
      <c r="DZ38" s="366"/>
      <c r="EA38" s="379"/>
      <c r="EB38" s="190">
        <f t="shared" si="41"/>
        <v>494116437.18000001</v>
      </c>
      <c r="EC38" s="190">
        <f t="shared" si="42"/>
        <v>62036437.180000007</v>
      </c>
      <c r="ED38" s="379">
        <f t="shared" si="43"/>
        <v>32122.395553805556</v>
      </c>
      <c r="EE38" s="380">
        <f t="shared" si="44"/>
        <v>2.3403516922788317E-2</v>
      </c>
      <c r="EG38" s="190">
        <f t="shared" si="45"/>
        <v>0</v>
      </c>
      <c r="EH38" s="379">
        <f t="shared" si="46"/>
        <v>0</v>
      </c>
      <c r="EI38" s="380">
        <f t="shared" si="47"/>
        <v>0</v>
      </c>
      <c r="EJ38" s="380"/>
      <c r="EK38" s="190">
        <f t="shared" si="48"/>
        <v>432080000</v>
      </c>
      <c r="EL38" s="190">
        <f t="shared" si="49"/>
        <v>0</v>
      </c>
      <c r="EM38" s="190">
        <f t="shared" si="50"/>
        <v>28417.441666666666</v>
      </c>
      <c r="EN38" s="380">
        <f t="shared" si="51"/>
        <v>2.3676816793186443E-2</v>
      </c>
      <c r="EP38" s="379"/>
    </row>
    <row r="39" spans="1:146">
      <c r="A39" s="378">
        <f t="shared" si="52"/>
        <v>43371</v>
      </c>
      <c r="D39" s="379">
        <f t="shared" si="1"/>
        <v>0</v>
      </c>
      <c r="E39" s="379">
        <v>51530103.350000001</v>
      </c>
      <c r="F39" s="380">
        <v>2.1299999999999999E-2</v>
      </c>
      <c r="G39" s="379">
        <f t="shared" si="2"/>
        <v>3048.8644482083332</v>
      </c>
      <c r="J39" s="379">
        <f t="shared" si="3"/>
        <v>0</v>
      </c>
      <c r="M39" s="379">
        <f t="shared" si="4"/>
        <v>0</v>
      </c>
      <c r="P39" s="379">
        <f t="shared" si="5"/>
        <v>0</v>
      </c>
      <c r="S39" s="379">
        <f t="shared" si="6"/>
        <v>0</v>
      </c>
      <c r="V39" s="379">
        <f t="shared" si="7"/>
        <v>0</v>
      </c>
      <c r="Y39" s="379">
        <f t="shared" si="8"/>
        <v>0</v>
      </c>
      <c r="AB39" s="379">
        <f t="shared" si="9"/>
        <v>0</v>
      </c>
      <c r="AE39" s="379">
        <v>0</v>
      </c>
      <c r="AH39" s="379">
        <v>0</v>
      </c>
      <c r="AK39" s="379">
        <f t="shared" si="10"/>
        <v>0</v>
      </c>
      <c r="AL39" s="381"/>
      <c r="AM39" s="382"/>
      <c r="AN39" s="379">
        <f t="shared" si="11"/>
        <v>0</v>
      </c>
      <c r="AO39" s="381">
        <f t="shared" si="53"/>
        <v>201050000</v>
      </c>
      <c r="AP39" s="382">
        <v>2.35E-2</v>
      </c>
      <c r="AQ39" s="379">
        <f t="shared" si="12"/>
        <v>13124.097222222223</v>
      </c>
      <c r="AR39" s="381"/>
      <c r="AS39" s="382"/>
      <c r="AT39" s="379">
        <f t="shared" si="13"/>
        <v>0</v>
      </c>
      <c r="AU39" s="381">
        <f t="shared" si="54"/>
        <v>31925000</v>
      </c>
      <c r="AV39" s="382">
        <v>2.3599999999999999E-2</v>
      </c>
      <c r="AW39" s="379">
        <f t="shared" si="14"/>
        <v>2092.8611111111113</v>
      </c>
      <c r="AX39" s="381">
        <f t="shared" si="55"/>
        <v>179855000</v>
      </c>
      <c r="AY39" s="382">
        <v>2.3800000000000002E-2</v>
      </c>
      <c r="AZ39" s="379">
        <f t="shared" si="15"/>
        <v>11890.413888888888</v>
      </c>
      <c r="BC39" s="379">
        <f t="shared" si="16"/>
        <v>0</v>
      </c>
      <c r="BF39" s="379">
        <f t="shared" si="17"/>
        <v>0</v>
      </c>
      <c r="BI39" s="379">
        <f t="shared" si="18"/>
        <v>0</v>
      </c>
      <c r="BL39" s="379">
        <f t="shared" si="19"/>
        <v>0</v>
      </c>
      <c r="BO39" s="379">
        <f t="shared" si="20"/>
        <v>0</v>
      </c>
      <c r="BR39" s="379">
        <f t="shared" si="21"/>
        <v>0</v>
      </c>
      <c r="BU39" s="379">
        <f t="shared" si="22"/>
        <v>0</v>
      </c>
      <c r="BX39" s="379">
        <f t="shared" si="23"/>
        <v>0</v>
      </c>
      <c r="CA39" s="379">
        <f t="shared" si="24"/>
        <v>0</v>
      </c>
      <c r="CD39" s="379">
        <f t="shared" si="25"/>
        <v>0</v>
      </c>
      <c r="CG39" s="379">
        <f t="shared" si="26"/>
        <v>0</v>
      </c>
      <c r="CJ39" s="379">
        <f t="shared" si="27"/>
        <v>0</v>
      </c>
      <c r="CM39" s="379">
        <f t="shared" si="28"/>
        <v>0</v>
      </c>
      <c r="CP39" s="379">
        <f t="shared" si="29"/>
        <v>0</v>
      </c>
      <c r="CS39" s="379">
        <f t="shared" si="30"/>
        <v>0</v>
      </c>
      <c r="CV39" s="379">
        <f t="shared" si="31"/>
        <v>0</v>
      </c>
      <c r="CY39" s="379">
        <f t="shared" si="32"/>
        <v>0</v>
      </c>
      <c r="DB39" s="379">
        <f t="shared" si="33"/>
        <v>0</v>
      </c>
      <c r="DE39" s="379">
        <f t="shared" si="34"/>
        <v>0</v>
      </c>
      <c r="DH39" s="379">
        <f t="shared" si="35"/>
        <v>0</v>
      </c>
      <c r="DK39" s="379">
        <f t="shared" si="36"/>
        <v>0</v>
      </c>
      <c r="DN39" s="379">
        <f t="shared" si="37"/>
        <v>0</v>
      </c>
      <c r="DQ39" s="379">
        <f t="shared" si="38"/>
        <v>0</v>
      </c>
      <c r="DT39" s="379">
        <f t="shared" si="39"/>
        <v>0</v>
      </c>
      <c r="DW39" s="379">
        <f t="shared" si="40"/>
        <v>0</v>
      </c>
      <c r="DY39" s="384"/>
      <c r="DZ39" s="366"/>
      <c r="EA39" s="379"/>
      <c r="EB39" s="190">
        <f t="shared" si="41"/>
        <v>464360103.35000002</v>
      </c>
      <c r="EC39" s="190">
        <f t="shared" si="42"/>
        <v>51530103.350000024</v>
      </c>
      <c r="ED39" s="379">
        <f t="shared" si="43"/>
        <v>30156.236670430557</v>
      </c>
      <c r="EE39" s="380">
        <f t="shared" si="44"/>
        <v>2.3378936138215931E-2</v>
      </c>
      <c r="EG39" s="190">
        <f t="shared" si="45"/>
        <v>0</v>
      </c>
      <c r="EH39" s="379">
        <f t="shared" si="46"/>
        <v>0</v>
      </c>
      <c r="EI39" s="380">
        <f t="shared" si="47"/>
        <v>0</v>
      </c>
      <c r="EJ39" s="380"/>
      <c r="EK39" s="190">
        <f t="shared" si="48"/>
        <v>412830000</v>
      </c>
      <c r="EL39" s="190">
        <f t="shared" si="49"/>
        <v>0</v>
      </c>
      <c r="EM39" s="190">
        <f t="shared" si="50"/>
        <v>27107.37222222222</v>
      </c>
      <c r="EN39" s="380">
        <f t="shared" si="51"/>
        <v>2.3638432284475448E-2</v>
      </c>
      <c r="EP39" s="379"/>
    </row>
    <row r="40" spans="1:146">
      <c r="A40" s="378">
        <f t="shared" si="52"/>
        <v>43372</v>
      </c>
      <c r="D40" s="379">
        <f t="shared" si="1"/>
        <v>0</v>
      </c>
      <c r="E40" s="379">
        <v>51530103.350000001</v>
      </c>
      <c r="F40" s="380">
        <v>2.1299999999999999E-2</v>
      </c>
      <c r="G40" s="379">
        <f t="shared" si="2"/>
        <v>3048.8644482083332</v>
      </c>
      <c r="J40" s="379">
        <f t="shared" si="3"/>
        <v>0</v>
      </c>
      <c r="M40" s="379">
        <f t="shared" si="4"/>
        <v>0</v>
      </c>
      <c r="P40" s="379">
        <f t="shared" si="5"/>
        <v>0</v>
      </c>
      <c r="S40" s="379">
        <f t="shared" si="6"/>
        <v>0</v>
      </c>
      <c r="V40" s="379">
        <f t="shared" si="7"/>
        <v>0</v>
      </c>
      <c r="Y40" s="379">
        <f t="shared" si="8"/>
        <v>0</v>
      </c>
      <c r="AB40" s="379">
        <f t="shared" si="9"/>
        <v>0</v>
      </c>
      <c r="AE40" s="379">
        <v>0</v>
      </c>
      <c r="AH40" s="379">
        <v>0</v>
      </c>
      <c r="AK40" s="379">
        <f t="shared" si="10"/>
        <v>0</v>
      </c>
      <c r="AL40" s="381"/>
      <c r="AM40" s="382"/>
      <c r="AN40" s="379">
        <f t="shared" si="11"/>
        <v>0</v>
      </c>
      <c r="AO40" s="381">
        <f t="shared" si="53"/>
        <v>201050000</v>
      </c>
      <c r="AP40" s="382">
        <v>2.35E-2</v>
      </c>
      <c r="AQ40" s="379">
        <f t="shared" si="12"/>
        <v>13124.097222222223</v>
      </c>
      <c r="AR40" s="381"/>
      <c r="AS40" s="382"/>
      <c r="AT40" s="379">
        <f t="shared" si="13"/>
        <v>0</v>
      </c>
      <c r="AU40" s="381">
        <f t="shared" si="54"/>
        <v>31925000</v>
      </c>
      <c r="AV40" s="382">
        <v>2.3599999999999999E-2</v>
      </c>
      <c r="AW40" s="379">
        <f t="shared" si="14"/>
        <v>2092.8611111111113</v>
      </c>
      <c r="AX40" s="381">
        <f t="shared" si="55"/>
        <v>179855000</v>
      </c>
      <c r="AY40" s="382">
        <v>2.3800000000000002E-2</v>
      </c>
      <c r="AZ40" s="379">
        <f t="shared" si="15"/>
        <v>11890.413888888888</v>
      </c>
      <c r="BC40" s="379">
        <f t="shared" si="16"/>
        <v>0</v>
      </c>
      <c r="BF40" s="379">
        <f t="shared" si="17"/>
        <v>0</v>
      </c>
      <c r="BI40" s="379">
        <f t="shared" si="18"/>
        <v>0</v>
      </c>
      <c r="BL40" s="379">
        <f t="shared" si="19"/>
        <v>0</v>
      </c>
      <c r="BO40" s="379">
        <f t="shared" si="20"/>
        <v>0</v>
      </c>
      <c r="BR40" s="379">
        <f t="shared" si="21"/>
        <v>0</v>
      </c>
      <c r="BU40" s="379">
        <f t="shared" si="22"/>
        <v>0</v>
      </c>
      <c r="BX40" s="379">
        <f t="shared" si="23"/>
        <v>0</v>
      </c>
      <c r="CA40" s="379">
        <f t="shared" si="24"/>
        <v>0</v>
      </c>
      <c r="CD40" s="379">
        <f t="shared" si="25"/>
        <v>0</v>
      </c>
      <c r="CG40" s="379">
        <f t="shared" si="26"/>
        <v>0</v>
      </c>
      <c r="CJ40" s="379">
        <f t="shared" si="27"/>
        <v>0</v>
      </c>
      <c r="CM40" s="379">
        <f t="shared" si="28"/>
        <v>0</v>
      </c>
      <c r="CP40" s="379">
        <f t="shared" si="29"/>
        <v>0</v>
      </c>
      <c r="CS40" s="379">
        <f t="shared" si="30"/>
        <v>0</v>
      </c>
      <c r="CV40" s="379">
        <f t="shared" si="31"/>
        <v>0</v>
      </c>
      <c r="CY40" s="379">
        <f t="shared" si="32"/>
        <v>0</v>
      </c>
      <c r="DB40" s="379">
        <f t="shared" si="33"/>
        <v>0</v>
      </c>
      <c r="DE40" s="379">
        <f t="shared" si="34"/>
        <v>0</v>
      </c>
      <c r="DH40" s="379">
        <f t="shared" si="35"/>
        <v>0</v>
      </c>
      <c r="DK40" s="379">
        <f t="shared" si="36"/>
        <v>0</v>
      </c>
      <c r="DN40" s="379">
        <f t="shared" si="37"/>
        <v>0</v>
      </c>
      <c r="DQ40" s="379">
        <f t="shared" si="38"/>
        <v>0</v>
      </c>
      <c r="DT40" s="379">
        <f t="shared" si="39"/>
        <v>0</v>
      </c>
      <c r="DW40" s="379">
        <f t="shared" si="40"/>
        <v>0</v>
      </c>
      <c r="DY40" s="384"/>
      <c r="DZ40" s="366"/>
      <c r="EA40" s="379"/>
      <c r="EB40" s="190">
        <f t="shared" si="41"/>
        <v>464360103.35000002</v>
      </c>
      <c r="EC40" s="190">
        <f t="shared" si="42"/>
        <v>51530103.350000024</v>
      </c>
      <c r="ED40" s="379">
        <f t="shared" si="43"/>
        <v>30156.236670430557</v>
      </c>
      <c r="EE40" s="380">
        <f t="shared" si="44"/>
        <v>2.3378936138215931E-2</v>
      </c>
      <c r="EG40" s="190">
        <f t="shared" si="45"/>
        <v>0</v>
      </c>
      <c r="EH40" s="379">
        <f t="shared" si="46"/>
        <v>0</v>
      </c>
      <c r="EI40" s="380">
        <f t="shared" si="47"/>
        <v>0</v>
      </c>
      <c r="EJ40" s="380"/>
      <c r="EK40" s="190">
        <f t="shared" si="48"/>
        <v>412830000</v>
      </c>
      <c r="EL40" s="190">
        <f t="shared" si="49"/>
        <v>0</v>
      </c>
      <c r="EM40" s="190">
        <f t="shared" si="50"/>
        <v>27107.37222222222</v>
      </c>
      <c r="EN40" s="380">
        <f t="shared" si="51"/>
        <v>2.3638432284475448E-2</v>
      </c>
      <c r="EP40" s="379"/>
    </row>
    <row r="41" spans="1:146">
      <c r="A41" s="378">
        <f t="shared" si="52"/>
        <v>43373</v>
      </c>
      <c r="D41" s="379">
        <f t="shared" si="1"/>
        <v>0</v>
      </c>
      <c r="E41" s="379">
        <v>51530103.350000001</v>
      </c>
      <c r="F41" s="380">
        <v>2.1299999999999999E-2</v>
      </c>
      <c r="G41" s="379">
        <f t="shared" si="2"/>
        <v>3048.8644482083332</v>
      </c>
      <c r="J41" s="379">
        <f t="shared" si="3"/>
        <v>0</v>
      </c>
      <c r="M41" s="379">
        <f t="shared" si="4"/>
        <v>0</v>
      </c>
      <c r="P41" s="379">
        <f t="shared" si="5"/>
        <v>0</v>
      </c>
      <c r="S41" s="379">
        <f t="shared" si="6"/>
        <v>0</v>
      </c>
      <c r="V41" s="379">
        <f t="shared" si="7"/>
        <v>0</v>
      </c>
      <c r="Y41" s="379">
        <f t="shared" si="8"/>
        <v>0</v>
      </c>
      <c r="AB41" s="379">
        <f t="shared" si="9"/>
        <v>0</v>
      </c>
      <c r="AE41" s="379">
        <v>0</v>
      </c>
      <c r="AH41" s="379">
        <v>0</v>
      </c>
      <c r="AK41" s="379">
        <f t="shared" si="10"/>
        <v>0</v>
      </c>
      <c r="AL41" s="381"/>
      <c r="AM41" s="382"/>
      <c r="AN41" s="379">
        <f t="shared" si="11"/>
        <v>0</v>
      </c>
      <c r="AO41" s="381">
        <f t="shared" si="53"/>
        <v>201050000</v>
      </c>
      <c r="AP41" s="382">
        <v>2.35E-2</v>
      </c>
      <c r="AQ41" s="379">
        <f t="shared" si="12"/>
        <v>13124.097222222223</v>
      </c>
      <c r="AR41" s="381"/>
      <c r="AS41" s="382"/>
      <c r="AT41" s="379">
        <f t="shared" si="13"/>
        <v>0</v>
      </c>
      <c r="AU41" s="381">
        <f t="shared" si="54"/>
        <v>31925000</v>
      </c>
      <c r="AV41" s="382">
        <v>2.3599999999999999E-2</v>
      </c>
      <c r="AW41" s="379">
        <f t="shared" si="14"/>
        <v>2092.8611111111113</v>
      </c>
      <c r="AX41" s="381">
        <f t="shared" si="55"/>
        <v>179855000</v>
      </c>
      <c r="AY41" s="382">
        <v>2.3800000000000002E-2</v>
      </c>
      <c r="AZ41" s="379">
        <f t="shared" si="15"/>
        <v>11890.413888888888</v>
      </c>
      <c r="BC41" s="379">
        <f t="shared" si="16"/>
        <v>0</v>
      </c>
      <c r="BF41" s="379">
        <f t="shared" si="17"/>
        <v>0</v>
      </c>
      <c r="BI41" s="379">
        <f t="shared" si="18"/>
        <v>0</v>
      </c>
      <c r="BL41" s="379">
        <f t="shared" si="19"/>
        <v>0</v>
      </c>
      <c r="BO41" s="379">
        <f t="shared" si="20"/>
        <v>0</v>
      </c>
      <c r="BR41" s="379">
        <f t="shared" si="21"/>
        <v>0</v>
      </c>
      <c r="BU41" s="379">
        <f t="shared" si="22"/>
        <v>0</v>
      </c>
      <c r="BX41" s="379">
        <f t="shared" si="23"/>
        <v>0</v>
      </c>
      <c r="CA41" s="379">
        <f t="shared" si="24"/>
        <v>0</v>
      </c>
      <c r="CD41" s="379">
        <f t="shared" si="25"/>
        <v>0</v>
      </c>
      <c r="CG41" s="379">
        <f t="shared" si="26"/>
        <v>0</v>
      </c>
      <c r="CJ41" s="379">
        <f t="shared" si="27"/>
        <v>0</v>
      </c>
      <c r="CM41" s="379">
        <f t="shared" si="28"/>
        <v>0</v>
      </c>
      <c r="CP41" s="379">
        <f t="shared" si="29"/>
        <v>0</v>
      </c>
      <c r="CS41" s="379">
        <f t="shared" si="30"/>
        <v>0</v>
      </c>
      <c r="CV41" s="379">
        <f t="shared" si="31"/>
        <v>0</v>
      </c>
      <c r="CY41" s="379">
        <f t="shared" si="32"/>
        <v>0</v>
      </c>
      <c r="DB41" s="379">
        <f t="shared" si="33"/>
        <v>0</v>
      </c>
      <c r="DE41" s="379">
        <f t="shared" si="34"/>
        <v>0</v>
      </c>
      <c r="DH41" s="379">
        <f t="shared" si="35"/>
        <v>0</v>
      </c>
      <c r="DK41" s="379">
        <f t="shared" si="36"/>
        <v>0</v>
      </c>
      <c r="DN41" s="379">
        <f t="shared" si="37"/>
        <v>0</v>
      </c>
      <c r="DQ41" s="379">
        <f t="shared" si="38"/>
        <v>0</v>
      </c>
      <c r="DT41" s="379">
        <f t="shared" si="39"/>
        <v>0</v>
      </c>
      <c r="DW41" s="379">
        <f t="shared" si="40"/>
        <v>0</v>
      </c>
      <c r="DY41" s="384"/>
      <c r="DZ41" s="366"/>
      <c r="EA41" s="379"/>
      <c r="EB41" s="190">
        <f t="shared" si="41"/>
        <v>464360103.35000002</v>
      </c>
      <c r="EC41" s="190">
        <f t="shared" si="42"/>
        <v>51530103.350000024</v>
      </c>
      <c r="ED41" s="379">
        <f t="shared" si="43"/>
        <v>30156.236670430557</v>
      </c>
      <c r="EE41" s="380">
        <f t="shared" si="44"/>
        <v>2.3378936138215931E-2</v>
      </c>
      <c r="EG41" s="190">
        <f t="shared" si="45"/>
        <v>0</v>
      </c>
      <c r="EH41" s="379">
        <f t="shared" si="46"/>
        <v>0</v>
      </c>
      <c r="EI41" s="380">
        <f t="shared" si="47"/>
        <v>0</v>
      </c>
      <c r="EJ41" s="380"/>
      <c r="EK41" s="190">
        <f t="shared" si="48"/>
        <v>412830000</v>
      </c>
      <c r="EL41" s="190">
        <f t="shared" si="49"/>
        <v>0</v>
      </c>
      <c r="EM41" s="190">
        <f t="shared" si="50"/>
        <v>27107.37222222222</v>
      </c>
      <c r="EN41" s="380">
        <f t="shared" si="51"/>
        <v>2.3638432284475448E-2</v>
      </c>
      <c r="EP41" s="379"/>
    </row>
    <row r="42" spans="1:146">
      <c r="A42" s="191" t="s">
        <v>13</v>
      </c>
      <c r="D42" s="383">
        <f>SUM(D12:D41)</f>
        <v>0</v>
      </c>
      <c r="G42" s="383">
        <f>SUM(G12:G41)</f>
        <v>76892.268614430548</v>
      </c>
      <c r="J42" s="383">
        <f>SUM(J12:J41)</f>
        <v>0</v>
      </c>
      <c r="M42" s="383">
        <f>SUM(M12:M41)</f>
        <v>0</v>
      </c>
      <c r="P42" s="383">
        <f>SUM(P12:P41)</f>
        <v>0</v>
      </c>
      <c r="S42" s="383">
        <f>SUM(S12:S41)</f>
        <v>0</v>
      </c>
      <c r="V42" s="383">
        <f>SUM(V12:V41)</f>
        <v>0</v>
      </c>
      <c r="Y42" s="383">
        <f>SUM(Y12:Y41)</f>
        <v>0</v>
      </c>
      <c r="AB42" s="383">
        <f>SUM(AB12:AB41)</f>
        <v>0</v>
      </c>
      <c r="AE42" s="383">
        <f>SUM(AE12:AE41)</f>
        <v>0</v>
      </c>
      <c r="AH42" s="383">
        <f>SUM(AH12:AH41)</f>
        <v>0</v>
      </c>
      <c r="AK42" s="383">
        <f>SUM(AK12:AK41)</f>
        <v>58496.555555555555</v>
      </c>
      <c r="AN42" s="383">
        <f>SUM(AN12:AN41)</f>
        <v>36891.666666666672</v>
      </c>
      <c r="AQ42" s="383">
        <f>SUM(AQ12:AQ41)</f>
        <v>374947.39583333349</v>
      </c>
      <c r="AT42" s="383">
        <f>SUM(AT12:AT41)</f>
        <v>132148.52777777778</v>
      </c>
      <c r="AW42" s="383">
        <f>SUM(AW12:AW41)</f>
        <v>54414.388888888861</v>
      </c>
      <c r="AZ42" s="383">
        <f>SUM(AZ12:AZ41)</f>
        <v>292523.15555555566</v>
      </c>
      <c r="BC42" s="383">
        <f>SUM(BC12:BC41)</f>
        <v>0</v>
      </c>
      <c r="BF42" s="383">
        <f>SUM(BF12:BF41)</f>
        <v>0</v>
      </c>
      <c r="BI42" s="383">
        <f>SUM(BI12:BI41)</f>
        <v>0</v>
      </c>
      <c r="BL42" s="383">
        <f>SUM(BL12:BL41)</f>
        <v>0</v>
      </c>
      <c r="BO42" s="383">
        <f>SUM(BO12:BO41)</f>
        <v>0</v>
      </c>
      <c r="BR42" s="383">
        <f>SUM(BR12:BR41)</f>
        <v>0</v>
      </c>
      <c r="BU42" s="383">
        <f>SUM(BU12:BU41)</f>
        <v>0</v>
      </c>
      <c r="BX42" s="383">
        <f>SUM(BX12:BX41)</f>
        <v>0</v>
      </c>
      <c r="CA42" s="383">
        <f>SUM(CA12:CA41)</f>
        <v>0</v>
      </c>
      <c r="CD42" s="383">
        <f>SUM(CD12:CD41)</f>
        <v>0</v>
      </c>
      <c r="CG42" s="383">
        <f>SUM(CG12:CG41)</f>
        <v>0</v>
      </c>
      <c r="CJ42" s="383">
        <f>SUM(CJ12:CJ41)</f>
        <v>0</v>
      </c>
      <c r="CM42" s="383">
        <f>SUM(CM12:CM41)</f>
        <v>0</v>
      </c>
      <c r="CP42" s="383">
        <f>SUM(CP12:CP41)</f>
        <v>0</v>
      </c>
      <c r="CS42" s="383">
        <f>SUM(CS12:CS41)</f>
        <v>0</v>
      </c>
      <c r="CV42" s="383">
        <f>SUM(CV12:CV41)</f>
        <v>0</v>
      </c>
      <c r="CY42" s="383">
        <f>SUM(CY12:CY41)</f>
        <v>0</v>
      </c>
      <c r="DB42" s="383">
        <f>SUM(DB12:DB41)</f>
        <v>0</v>
      </c>
      <c r="DE42" s="383">
        <f>SUM(DE12:DE41)</f>
        <v>0</v>
      </c>
      <c r="DH42" s="383">
        <f>SUM(DH12:DH41)</f>
        <v>0</v>
      </c>
      <c r="DK42" s="383">
        <f>SUM(DK12:DK41)</f>
        <v>0</v>
      </c>
      <c r="DN42" s="383">
        <f>SUM(DN12:DN41)</f>
        <v>0</v>
      </c>
      <c r="DQ42" s="383">
        <f>SUM(DQ12:DQ41)</f>
        <v>0</v>
      </c>
      <c r="DT42" s="383">
        <f>SUM(DT12:DT41)</f>
        <v>0</v>
      </c>
      <c r="DW42" s="383">
        <f>SUM(DW12:DW41)</f>
        <v>0</v>
      </c>
      <c r="DY42" s="384"/>
      <c r="DZ42" s="366"/>
      <c r="EA42" s="366"/>
      <c r="EB42" s="379"/>
      <c r="EC42" s="379"/>
      <c r="ED42" s="383">
        <f>SUM(ED12:ED41)</f>
        <v>1026313.9588922082</v>
      </c>
      <c r="EE42" s="380"/>
      <c r="EG42" s="379"/>
      <c r="EH42" s="383">
        <f>SUM(EH12:EH41)</f>
        <v>0</v>
      </c>
      <c r="EI42" s="380"/>
      <c r="EJ42" s="380"/>
      <c r="EK42" s="379"/>
      <c r="EL42" s="379"/>
      <c r="EM42" s="383">
        <f>SUM(EM12:EM41)</f>
        <v>949421.69027777808</v>
      </c>
      <c r="EN42" s="380"/>
    </row>
    <row r="44" spans="1:146">
      <c r="EM44" s="390"/>
    </row>
    <row r="45" spans="1:146">
      <c r="EM45" s="390"/>
    </row>
    <row r="46" spans="1:146">
      <c r="EM46" s="379"/>
    </row>
    <row r="47" spans="1:146">
      <c r="EM47" s="379"/>
    </row>
    <row r="48" spans="1:146">
      <c r="EM48" s="379"/>
    </row>
  </sheetData>
  <pageMargins left="0.7" right="0.7" top="0.75" bottom="0.75" header="0.3" footer="0.3"/>
  <pageSetup scale="61" orientation="portrait" r:id="rId1"/>
  <headerFooter>
    <oddFooter>&amp;CSchedule MA-TU
&amp;RSeptember 2018 &amp;P of &amp;N
Confidential
4 CSR 240-2.090(9(A).2(D).II)</oddFooter>
  </headerFooter>
  <colBreaks count="3" manualBreakCount="3">
    <brk id="37" max="41" man="1"/>
    <brk id="46" max="41" man="1"/>
    <brk id="135" max="4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57"/>
  <sheetViews>
    <sheetView topLeftCell="E1" zoomScale="80" zoomScaleNormal="80" workbookViewId="0">
      <selection activeCell="E31" sqref="E31"/>
    </sheetView>
  </sheetViews>
  <sheetFormatPr defaultColWidth="9.140625" defaultRowHeight="12.75"/>
  <cols>
    <col min="1" max="1" width="14.5703125" style="372" bestFit="1" customWidth="1"/>
    <col min="2" max="2" width="15.5703125" style="379" hidden="1" customWidth="1"/>
    <col min="3" max="3" width="15.42578125" style="380" hidden="1" customWidth="1"/>
    <col min="4" max="4" width="15.42578125" style="372" hidden="1" customWidth="1"/>
    <col min="5" max="5" width="17.7109375" style="379" customWidth="1"/>
    <col min="6" max="6" width="12.28515625" style="380" bestFit="1" customWidth="1"/>
    <col min="7" max="7" width="18.42578125" style="372" bestFit="1" customWidth="1"/>
    <col min="8" max="8" width="15.42578125" style="379" hidden="1" customWidth="1"/>
    <col min="9" max="9" width="10.28515625" style="380" hidden="1" customWidth="1"/>
    <col min="10" max="10" width="13.42578125" style="372" hidden="1" customWidth="1"/>
    <col min="11" max="11" width="14.42578125" style="379" hidden="1" customWidth="1"/>
    <col min="12" max="12" width="10.28515625" style="380" hidden="1" customWidth="1"/>
    <col min="13" max="13" width="11.7109375" style="372" hidden="1" customWidth="1"/>
    <col min="14" max="14" width="14.42578125" style="379" hidden="1" customWidth="1"/>
    <col min="15" max="15" width="10.28515625" style="380" hidden="1" customWidth="1"/>
    <col min="16" max="16" width="11.7109375" style="372" hidden="1" customWidth="1"/>
    <col min="17" max="17" width="15.42578125" style="379" hidden="1" customWidth="1"/>
    <col min="18" max="18" width="10.28515625" style="380" hidden="1" customWidth="1"/>
    <col min="19" max="19" width="11.7109375" style="372" hidden="1" customWidth="1"/>
    <col min="20" max="20" width="15.42578125" style="379" hidden="1" customWidth="1"/>
    <col min="21" max="21" width="10.28515625" style="380" hidden="1" customWidth="1"/>
    <col min="22" max="22" width="11.7109375" style="372" hidden="1" customWidth="1"/>
    <col min="23" max="23" width="15.42578125" style="379" hidden="1" customWidth="1"/>
    <col min="24" max="24" width="10.28515625" style="380" hidden="1" customWidth="1"/>
    <col min="25" max="25" width="11.7109375" style="372" hidden="1" customWidth="1"/>
    <col min="26" max="26" width="15.42578125" style="379" hidden="1" customWidth="1"/>
    <col min="27" max="27" width="10.28515625" style="380" hidden="1" customWidth="1"/>
    <col min="28" max="28" width="11.7109375" style="372" hidden="1" customWidth="1"/>
    <col min="29" max="29" width="15.42578125" style="379" hidden="1" customWidth="1"/>
    <col min="30" max="30" width="10.28515625" style="380" hidden="1" customWidth="1"/>
    <col min="31" max="31" width="11.7109375" style="372" hidden="1" customWidth="1"/>
    <col min="32" max="32" width="14.42578125" style="379" hidden="1" customWidth="1"/>
    <col min="33" max="33" width="10.28515625" style="380" hidden="1" customWidth="1"/>
    <col min="34" max="34" width="10.7109375" style="372" hidden="1" customWidth="1"/>
    <col min="35" max="35" width="14.42578125" style="379" customWidth="1"/>
    <col min="36" max="36" width="12" style="380" bestFit="1" customWidth="1"/>
    <col min="37" max="37" width="12.5703125" style="372" bestFit="1" customWidth="1"/>
    <col min="38" max="38" width="14.42578125" style="379" customWidth="1"/>
    <col min="39" max="39" width="12" style="380" bestFit="1" customWidth="1"/>
    <col min="40" max="40" width="13.7109375" style="372" bestFit="1" customWidth="1"/>
    <col min="41" max="41" width="15.42578125" style="379" bestFit="1" customWidth="1"/>
    <col min="42" max="42" width="12.28515625" style="380" bestFit="1" customWidth="1"/>
    <col min="43" max="43" width="11.7109375" style="372" bestFit="1" customWidth="1"/>
    <col min="44" max="44" width="15.42578125" style="379" bestFit="1" customWidth="1"/>
    <col min="45" max="45" width="12" style="380" bestFit="1" customWidth="1"/>
    <col min="46" max="46" width="13" style="372" bestFit="1" customWidth="1"/>
    <col min="47" max="47" width="14.42578125" style="379" customWidth="1"/>
    <col min="48" max="48" width="12" style="380" bestFit="1" customWidth="1"/>
    <col min="49" max="49" width="14.140625" style="372" bestFit="1" customWidth="1"/>
    <col min="50" max="50" width="14.42578125" style="379" customWidth="1"/>
    <col min="51" max="51" width="12" style="380" bestFit="1" customWidth="1"/>
    <col min="52" max="52" width="13.7109375" style="372" bestFit="1" customWidth="1"/>
    <col min="53" max="53" width="14.42578125" style="379" hidden="1" customWidth="1"/>
    <col min="54" max="54" width="10.28515625" style="380" hidden="1" customWidth="1"/>
    <col min="55" max="55" width="10.7109375" style="372" hidden="1" customWidth="1"/>
    <col min="56" max="56" width="14.42578125" style="379" hidden="1" customWidth="1"/>
    <col min="57" max="57" width="10.28515625" style="380" hidden="1" customWidth="1"/>
    <col min="58" max="58" width="10.7109375" style="372" hidden="1" customWidth="1"/>
    <col min="59" max="59" width="14.42578125" style="379" hidden="1" customWidth="1"/>
    <col min="60" max="60" width="10.28515625" style="380" hidden="1" customWidth="1"/>
    <col min="61" max="61" width="10.7109375" style="372" hidden="1" customWidth="1"/>
    <col min="62" max="62" width="14.42578125" style="379" hidden="1" customWidth="1"/>
    <col min="63" max="63" width="10.28515625" style="380" hidden="1" customWidth="1"/>
    <col min="64" max="64" width="10.7109375" style="372" hidden="1" customWidth="1"/>
    <col min="65" max="65" width="14.42578125" style="379" hidden="1" customWidth="1"/>
    <col min="66" max="66" width="10.28515625" style="380" hidden="1" customWidth="1"/>
    <col min="67" max="67" width="10.7109375" style="372" hidden="1" customWidth="1"/>
    <col min="68" max="68" width="14.42578125" style="379" hidden="1" customWidth="1"/>
    <col min="69" max="69" width="10.28515625" style="380" hidden="1" customWidth="1"/>
    <col min="70" max="70" width="10.7109375" style="372" hidden="1" customWidth="1"/>
    <col min="71" max="71" width="14.42578125" style="379" hidden="1" customWidth="1"/>
    <col min="72" max="72" width="10.28515625" style="380" hidden="1" customWidth="1"/>
    <col min="73" max="73" width="10.7109375" style="372" hidden="1" customWidth="1"/>
    <col min="74" max="74" width="14.42578125" style="379" hidden="1" customWidth="1"/>
    <col min="75" max="75" width="10.28515625" style="380" hidden="1" customWidth="1"/>
    <col min="76" max="76" width="10.7109375" style="372" hidden="1" customWidth="1"/>
    <col min="77" max="77" width="14.42578125" style="379" hidden="1" customWidth="1"/>
    <col min="78" max="78" width="10.28515625" style="380" hidden="1" customWidth="1"/>
    <col min="79" max="79" width="10.7109375" style="372" hidden="1" customWidth="1"/>
    <col min="80" max="80" width="14.42578125" style="379" hidden="1" customWidth="1"/>
    <col min="81" max="81" width="10.28515625" style="380" hidden="1" customWidth="1"/>
    <col min="82" max="82" width="10.7109375" style="372" hidden="1" customWidth="1"/>
    <col min="83" max="83" width="14.42578125" style="379" hidden="1" customWidth="1"/>
    <col min="84" max="84" width="10.28515625" style="380" hidden="1" customWidth="1"/>
    <col min="85" max="85" width="10.7109375" style="372" hidden="1" customWidth="1"/>
    <col min="86" max="86" width="14.42578125" style="379" hidden="1" customWidth="1"/>
    <col min="87" max="87" width="10.28515625" style="380" hidden="1" customWidth="1"/>
    <col min="88" max="88" width="10.7109375" style="372" hidden="1" customWidth="1"/>
    <col min="89" max="89" width="14.42578125" style="379" hidden="1" customWidth="1"/>
    <col min="90" max="90" width="10.28515625" style="380" hidden="1" customWidth="1"/>
    <col min="91" max="91" width="10.7109375" style="372" hidden="1" customWidth="1"/>
    <col min="92" max="92" width="14.42578125" style="379" hidden="1" customWidth="1"/>
    <col min="93" max="93" width="10.28515625" style="380" hidden="1" customWidth="1"/>
    <col min="94" max="94" width="10.7109375" style="372" hidden="1" customWidth="1"/>
    <col min="95" max="95" width="14.42578125" style="379" hidden="1" customWidth="1"/>
    <col min="96" max="96" width="10.28515625" style="380" hidden="1" customWidth="1"/>
    <col min="97" max="97" width="10.7109375" style="372" hidden="1" customWidth="1"/>
    <col min="98" max="98" width="14.42578125" style="379" hidden="1" customWidth="1"/>
    <col min="99" max="99" width="10.28515625" style="380" hidden="1" customWidth="1"/>
    <col min="100" max="100" width="10.7109375" style="372" hidden="1" customWidth="1"/>
    <col min="101" max="101" width="14.42578125" style="379" hidden="1" customWidth="1"/>
    <col min="102" max="102" width="10.28515625" style="380" hidden="1" customWidth="1"/>
    <col min="103" max="103" width="10.7109375" style="372" hidden="1" customWidth="1"/>
    <col min="104" max="104" width="14.42578125" style="379" hidden="1" customWidth="1"/>
    <col min="105" max="105" width="10.28515625" style="380" hidden="1" customWidth="1"/>
    <col min="106" max="106" width="10.7109375" style="372" hidden="1" customWidth="1"/>
    <col min="107" max="107" width="14.42578125" style="379" hidden="1" customWidth="1"/>
    <col min="108" max="108" width="10.28515625" style="380" hidden="1" customWidth="1"/>
    <col min="109" max="109" width="10.7109375" style="372" hidden="1" customWidth="1"/>
    <col min="110" max="110" width="14.42578125" style="379" hidden="1" customWidth="1"/>
    <col min="111" max="111" width="10.28515625" style="380" hidden="1" customWidth="1"/>
    <col min="112" max="112" width="10.7109375" style="372" hidden="1" customWidth="1"/>
    <col min="113" max="113" width="14.42578125" style="379" hidden="1" customWidth="1"/>
    <col min="114" max="114" width="10.28515625" style="380" hidden="1" customWidth="1"/>
    <col min="115" max="115" width="10.7109375" style="372" hidden="1" customWidth="1"/>
    <col min="116" max="116" width="14.42578125" style="379" hidden="1" customWidth="1"/>
    <col min="117" max="117" width="10.28515625" style="380" hidden="1" customWidth="1"/>
    <col min="118" max="118" width="10.7109375" style="372" hidden="1" customWidth="1"/>
    <col min="119" max="119" width="14.42578125" style="379" hidden="1" customWidth="1"/>
    <col min="120" max="120" width="10.28515625" style="380" hidden="1" customWidth="1"/>
    <col min="121" max="121" width="10.7109375" style="372" hidden="1" customWidth="1"/>
    <col min="122" max="122" width="14.42578125" style="379" hidden="1" customWidth="1"/>
    <col min="123" max="123" width="10.28515625" style="380" hidden="1" customWidth="1"/>
    <col min="124" max="124" width="10.7109375" style="372" hidden="1" customWidth="1"/>
    <col min="125" max="125" width="14.42578125" style="379" hidden="1" customWidth="1"/>
    <col min="126" max="126" width="10.28515625" style="380" hidden="1" customWidth="1"/>
    <col min="127" max="127" width="10.7109375" style="372" hidden="1" customWidth="1"/>
    <col min="128" max="128" width="14.42578125" style="379" hidden="1" customWidth="1"/>
    <col min="129" max="129" width="10.28515625" style="380" hidden="1" customWidth="1"/>
    <col min="130" max="130" width="10.7109375" style="372" hidden="1" customWidth="1"/>
    <col min="131" max="131" width="2.7109375" style="372" customWidth="1"/>
    <col min="132" max="132" width="25.140625" style="372" bestFit="1" customWidth="1"/>
    <col min="133" max="133" width="15.42578125" style="372" hidden="1" customWidth="1"/>
    <col min="134" max="134" width="14.42578125" style="372" bestFit="1" customWidth="1"/>
    <col min="135" max="135" width="22" style="372" bestFit="1" customWidth="1"/>
    <col min="136" max="136" width="2.7109375" style="372" customWidth="1"/>
    <col min="137" max="137" width="15.42578125" style="372" hidden="1" customWidth="1"/>
    <col min="138" max="138" width="14.42578125" style="372" hidden="1" customWidth="1"/>
    <col min="139" max="139" width="12.42578125" style="372" hidden="1" customWidth="1"/>
    <col min="140" max="140" width="2.7109375" style="372" hidden="1" customWidth="1"/>
    <col min="141" max="141" width="18" style="372" bestFit="1" customWidth="1"/>
    <col min="142" max="142" width="15.42578125" style="372" hidden="1" customWidth="1"/>
    <col min="143" max="143" width="14.42578125" style="372" bestFit="1" customWidth="1"/>
    <col min="144" max="144" width="18.42578125" style="372" bestFit="1" customWidth="1"/>
    <col min="145" max="145" width="42.85546875" style="372" bestFit="1" customWidth="1"/>
    <col min="146" max="147" width="22" style="372" bestFit="1" customWidth="1"/>
    <col min="148" max="16384" width="9.140625" style="372"/>
  </cols>
  <sheetData>
    <row r="1" spans="1:147" s="196" customFormat="1">
      <c r="A1" s="195" t="s">
        <v>111</v>
      </c>
      <c r="B1" s="190"/>
      <c r="C1" s="362"/>
      <c r="E1" s="190"/>
      <c r="F1" s="362"/>
      <c r="H1" s="190"/>
      <c r="I1" s="362"/>
      <c r="K1" s="190"/>
      <c r="L1" s="362"/>
      <c r="N1" s="190"/>
      <c r="O1" s="362"/>
      <c r="Q1" s="190"/>
      <c r="R1" s="362"/>
      <c r="T1" s="190"/>
      <c r="U1" s="362"/>
      <c r="W1" s="190"/>
      <c r="X1" s="362"/>
      <c r="Z1" s="190"/>
      <c r="AA1" s="362"/>
      <c r="AC1" s="190"/>
      <c r="AD1" s="362"/>
      <c r="AF1" s="190"/>
      <c r="AG1" s="362"/>
      <c r="AI1" s="190"/>
      <c r="AJ1" s="362"/>
      <c r="AL1" s="190"/>
      <c r="AM1" s="362"/>
      <c r="AO1" s="190"/>
      <c r="AP1" s="362"/>
      <c r="AR1" s="190"/>
      <c r="AS1" s="362"/>
      <c r="AU1" s="190"/>
      <c r="AV1" s="362"/>
      <c r="AX1" s="190"/>
      <c r="AY1" s="362"/>
      <c r="BA1" s="190"/>
      <c r="BB1" s="362"/>
      <c r="BD1" s="190"/>
      <c r="BE1" s="362"/>
      <c r="BG1" s="190"/>
      <c r="BH1" s="362"/>
      <c r="BJ1" s="190"/>
      <c r="BK1" s="362"/>
      <c r="BM1" s="190"/>
      <c r="BN1" s="362"/>
      <c r="BP1" s="190"/>
      <c r="BQ1" s="362"/>
      <c r="BS1" s="190"/>
      <c r="BT1" s="362"/>
      <c r="BV1" s="190"/>
      <c r="BW1" s="362"/>
      <c r="BY1" s="190"/>
      <c r="BZ1" s="362"/>
      <c r="CB1" s="190"/>
      <c r="CC1" s="362"/>
      <c r="CE1" s="190"/>
      <c r="CF1" s="362"/>
      <c r="CH1" s="190"/>
      <c r="CI1" s="362"/>
      <c r="CK1" s="190"/>
      <c r="CL1" s="362"/>
      <c r="CN1" s="190"/>
      <c r="CO1" s="362"/>
      <c r="CQ1" s="190"/>
      <c r="CR1" s="362"/>
      <c r="CT1" s="190"/>
      <c r="CU1" s="362"/>
      <c r="CW1" s="190"/>
      <c r="CX1" s="362"/>
      <c r="CZ1" s="190"/>
      <c r="DA1" s="362"/>
      <c r="DC1" s="190"/>
      <c r="DD1" s="362"/>
      <c r="DF1" s="190"/>
      <c r="DG1" s="362"/>
      <c r="DI1" s="190"/>
      <c r="DJ1" s="362"/>
      <c r="DL1" s="190"/>
      <c r="DM1" s="362"/>
      <c r="DO1" s="190"/>
      <c r="DP1" s="362"/>
      <c r="DR1" s="190"/>
      <c r="DS1" s="362"/>
      <c r="DU1" s="190"/>
      <c r="DV1" s="362"/>
      <c r="DX1" s="190"/>
      <c r="DY1" s="362"/>
      <c r="DZ1" s="181"/>
      <c r="ED1" s="193"/>
      <c r="EE1" s="363" t="s">
        <v>118</v>
      </c>
      <c r="EI1" s="193" t="s">
        <v>59</v>
      </c>
      <c r="EM1" s="193"/>
      <c r="EN1" s="193" t="s">
        <v>120</v>
      </c>
      <c r="EO1" s="195" t="s">
        <v>121</v>
      </c>
      <c r="EP1" s="195" t="s">
        <v>122</v>
      </c>
      <c r="EQ1" s="195" t="s">
        <v>123</v>
      </c>
    </row>
    <row r="2" spans="1:147" s="196" customFormat="1">
      <c r="A2" s="195" t="s">
        <v>49</v>
      </c>
      <c r="B2" s="190"/>
      <c r="C2" s="362"/>
      <c r="F2" s="362"/>
      <c r="G2" s="388"/>
      <c r="H2" s="190"/>
      <c r="I2" s="362"/>
      <c r="K2" s="190"/>
      <c r="L2" s="362"/>
      <c r="N2" s="190"/>
      <c r="O2" s="362"/>
      <c r="Q2" s="190"/>
      <c r="R2" s="362"/>
      <c r="T2" s="190"/>
      <c r="U2" s="362"/>
      <c r="W2" s="190"/>
      <c r="X2" s="362"/>
      <c r="Z2" s="190"/>
      <c r="AA2" s="362"/>
      <c r="AC2" s="190"/>
      <c r="AD2" s="362"/>
      <c r="AF2" s="190"/>
      <c r="AG2" s="362"/>
      <c r="AI2" s="190"/>
      <c r="AJ2" s="362"/>
      <c r="AL2" s="190"/>
      <c r="AM2" s="362"/>
      <c r="AO2" s="190"/>
      <c r="AP2" s="362"/>
      <c r="AR2" s="190"/>
      <c r="AS2" s="362"/>
      <c r="AU2" s="190"/>
      <c r="AV2" s="362"/>
      <c r="AX2" s="190"/>
      <c r="AY2" s="362"/>
      <c r="BA2" s="190"/>
      <c r="BB2" s="362"/>
      <c r="BD2" s="190"/>
      <c r="BE2" s="362"/>
      <c r="BG2" s="190"/>
      <c r="BH2" s="362"/>
      <c r="BJ2" s="190"/>
      <c r="BK2" s="362"/>
      <c r="BM2" s="190"/>
      <c r="BN2" s="362"/>
      <c r="BP2" s="190"/>
      <c r="BQ2" s="362"/>
      <c r="BS2" s="190"/>
      <c r="BT2" s="362"/>
      <c r="BV2" s="190"/>
      <c r="BW2" s="362"/>
      <c r="BY2" s="190"/>
      <c r="BZ2" s="362"/>
      <c r="CB2" s="190"/>
      <c r="CC2" s="362"/>
      <c r="CE2" s="190"/>
      <c r="CF2" s="362"/>
      <c r="CH2" s="190"/>
      <c r="CI2" s="362"/>
      <c r="CK2" s="190"/>
      <c r="CL2" s="362"/>
      <c r="CN2" s="190"/>
      <c r="CO2" s="362"/>
      <c r="CQ2" s="190"/>
      <c r="CR2" s="362"/>
      <c r="CT2" s="190"/>
      <c r="CU2" s="362"/>
      <c r="CW2" s="190"/>
      <c r="CX2" s="362"/>
      <c r="CZ2" s="190"/>
      <c r="DA2" s="362"/>
      <c r="DC2" s="190"/>
      <c r="DD2" s="362"/>
      <c r="DF2" s="190"/>
      <c r="DG2" s="362"/>
      <c r="DI2" s="190"/>
      <c r="DJ2" s="362"/>
      <c r="DL2" s="190"/>
      <c r="DM2" s="362"/>
      <c r="DO2" s="190"/>
      <c r="DP2" s="362"/>
      <c r="DR2" s="190"/>
      <c r="DS2" s="362"/>
      <c r="DU2" s="190"/>
      <c r="DV2" s="362"/>
      <c r="DX2" s="190"/>
      <c r="DY2" s="362"/>
      <c r="EB2" s="387" t="s">
        <v>51</v>
      </c>
      <c r="EC2" s="387"/>
      <c r="ED2" s="366"/>
      <c r="EE2" s="366">
        <f>EB42</f>
        <v>387337223.98000002</v>
      </c>
      <c r="EI2" s="366">
        <f>EG41</f>
        <v>0</v>
      </c>
      <c r="EM2" s="366"/>
      <c r="EN2" s="366">
        <f>EK42</f>
        <v>349850000</v>
      </c>
      <c r="EO2" s="190">
        <v>-110639.5</v>
      </c>
      <c r="EP2" s="190">
        <f>EN2+EO2</f>
        <v>349739360.5</v>
      </c>
      <c r="EQ2" s="190">
        <f>EE2+EO2</f>
        <v>387226584.48000002</v>
      </c>
    </row>
    <row r="3" spans="1:147" s="196" customFormat="1" ht="13.5" thickBot="1">
      <c r="A3" s="364" t="s">
        <v>126</v>
      </c>
      <c r="B3" s="190"/>
      <c r="C3" s="362"/>
      <c r="F3" s="362"/>
      <c r="G3" s="388"/>
      <c r="H3" s="190"/>
      <c r="I3" s="362"/>
      <c r="K3" s="190"/>
      <c r="L3" s="362"/>
      <c r="N3" s="190"/>
      <c r="O3" s="362"/>
      <c r="Q3" s="190"/>
      <c r="R3" s="362"/>
      <c r="T3" s="190"/>
      <c r="U3" s="362"/>
      <c r="W3" s="190"/>
      <c r="X3" s="362"/>
      <c r="Z3" s="190"/>
      <c r="AA3" s="362"/>
      <c r="AC3" s="190"/>
      <c r="AD3" s="362"/>
      <c r="AF3" s="190"/>
      <c r="AG3" s="362"/>
      <c r="AI3" s="190"/>
      <c r="AJ3" s="362"/>
      <c r="AL3" s="190"/>
      <c r="AM3" s="362"/>
      <c r="AO3" s="190"/>
      <c r="AP3" s="362"/>
      <c r="AR3" s="190"/>
      <c r="AS3" s="362"/>
      <c r="AU3" s="190"/>
      <c r="AV3" s="362"/>
      <c r="AX3" s="190"/>
      <c r="AY3" s="362"/>
      <c r="BA3" s="190"/>
      <c r="BB3" s="362"/>
      <c r="BD3" s="190"/>
      <c r="BE3" s="362"/>
      <c r="BG3" s="190"/>
      <c r="BH3" s="362"/>
      <c r="BJ3" s="190"/>
      <c r="BK3" s="362"/>
      <c r="BM3" s="190"/>
      <c r="BN3" s="362"/>
      <c r="BP3" s="190"/>
      <c r="BQ3" s="362"/>
      <c r="BS3" s="190"/>
      <c r="BT3" s="362"/>
      <c r="BV3" s="190"/>
      <c r="BW3" s="362"/>
      <c r="BY3" s="190"/>
      <c r="BZ3" s="362"/>
      <c r="CB3" s="190"/>
      <c r="CC3" s="362"/>
      <c r="CE3" s="190"/>
      <c r="CF3" s="362"/>
      <c r="CH3" s="190"/>
      <c r="CI3" s="362"/>
      <c r="CK3" s="190"/>
      <c r="CL3" s="362"/>
      <c r="CN3" s="190"/>
      <c r="CO3" s="362"/>
      <c r="CQ3" s="190"/>
      <c r="CR3" s="362"/>
      <c r="CT3" s="190"/>
      <c r="CU3" s="362"/>
      <c r="CW3" s="190"/>
      <c r="CX3" s="362"/>
      <c r="CZ3" s="190"/>
      <c r="DA3" s="362"/>
      <c r="DC3" s="190"/>
      <c r="DD3" s="362"/>
      <c r="DF3" s="190"/>
      <c r="DG3" s="362"/>
      <c r="DI3" s="190"/>
      <c r="DJ3" s="362"/>
      <c r="DL3" s="190"/>
      <c r="DM3" s="362"/>
      <c r="DO3" s="190"/>
      <c r="DP3" s="362"/>
      <c r="DR3" s="190"/>
      <c r="DS3" s="362"/>
      <c r="DU3" s="190"/>
      <c r="DV3" s="362"/>
      <c r="DX3" s="190"/>
      <c r="DY3" s="362"/>
      <c r="EB3" s="387"/>
      <c r="EC3" s="387"/>
      <c r="ED3" s="366"/>
      <c r="EE3" s="366"/>
      <c r="EI3" s="366"/>
      <c r="EM3" s="366"/>
      <c r="EN3" s="366"/>
      <c r="EO3" s="190"/>
      <c r="EP3" s="190"/>
      <c r="EQ3" s="190"/>
    </row>
    <row r="4" spans="1:147" ht="13.5" thickTop="1">
      <c r="A4" s="364"/>
      <c r="E4" s="182" t="s">
        <v>50</v>
      </c>
      <c r="F4" s="385"/>
      <c r="G4" s="386"/>
      <c r="EB4" s="387" t="s">
        <v>52</v>
      </c>
      <c r="EC4" s="387"/>
      <c r="ED4" s="366"/>
      <c r="EE4" s="366">
        <f>AVERAGE(EB12:EB42)</f>
        <v>393706011.21838713</v>
      </c>
      <c r="EI4" s="366">
        <f>AVERAGE(EG12:EG41)</f>
        <v>0</v>
      </c>
      <c r="EM4" s="366"/>
      <c r="EN4" s="366">
        <f>AVERAGE(EK12:EK42)</f>
        <v>342441129.03225809</v>
      </c>
    </row>
    <row r="5" spans="1:147">
      <c r="D5" s="387"/>
      <c r="E5" s="365" t="s">
        <v>51</v>
      </c>
      <c r="F5" s="366"/>
      <c r="G5" s="367">
        <f>EQ2</f>
        <v>387226584.48000002</v>
      </c>
      <c r="AI5" s="195" t="s">
        <v>198</v>
      </c>
      <c r="EB5" s="387" t="s">
        <v>53</v>
      </c>
      <c r="EC5" s="387"/>
      <c r="ED5" s="384"/>
      <c r="EE5" s="384">
        <f>IF(EE4=0,0,360*(AVERAGE(ED12:ED42)/EE4))</f>
        <v>2.4574134836729256E-2</v>
      </c>
      <c r="EI5" s="384">
        <f>IF(EI4=0,0,360*(AVERAGE(EH12:EH41)/EI4))</f>
        <v>0</v>
      </c>
      <c r="EM5" s="384"/>
      <c r="EN5" s="384">
        <f>IF(EN4=0,0,360*(AVERAGE(EM12:EM42)/EN4))</f>
        <v>2.4913727341878873E-2</v>
      </c>
      <c r="EO5" s="196" t="s">
        <v>199</v>
      </c>
      <c r="EQ5" s="193"/>
    </row>
    <row r="6" spans="1:147">
      <c r="D6" s="387"/>
      <c r="E6" s="365" t="s">
        <v>52</v>
      </c>
      <c r="F6" s="366"/>
      <c r="G6" s="367">
        <f>EE4</f>
        <v>393706011.21838713</v>
      </c>
      <c r="AI6" s="388" t="s">
        <v>120</v>
      </c>
      <c r="EB6" s="389" t="s">
        <v>57</v>
      </c>
      <c r="EC6" s="389"/>
      <c r="ED6" s="366"/>
      <c r="EE6" s="366">
        <f>MAX(EB12:EB42)</f>
        <v>460865047.19</v>
      </c>
      <c r="EI6" s="366">
        <f>MAX(EG12:EG41)</f>
        <v>0</v>
      </c>
      <c r="EM6" s="366"/>
      <c r="EN6" s="366">
        <f>MAX(EK12:EK42)</f>
        <v>412830000</v>
      </c>
    </row>
    <row r="7" spans="1:147">
      <c r="D7" s="387"/>
      <c r="E7" s="365" t="s">
        <v>53</v>
      </c>
      <c r="F7" s="366"/>
      <c r="G7" s="368">
        <f>EE5</f>
        <v>2.4574134836729256E-2</v>
      </c>
    </row>
    <row r="8" spans="1:147" ht="13.5" thickBot="1">
      <c r="D8" s="387"/>
      <c r="E8" s="369" t="s">
        <v>57</v>
      </c>
      <c r="F8" s="370"/>
      <c r="G8" s="371">
        <f>EE6</f>
        <v>460865047.19</v>
      </c>
      <c r="AI8" s="388" t="s">
        <v>120</v>
      </c>
      <c r="EB8" s="183" t="s">
        <v>54</v>
      </c>
      <c r="EC8" s="183"/>
      <c r="ED8" s="375"/>
      <c r="EE8" s="375"/>
      <c r="EG8" s="183" t="s">
        <v>55</v>
      </c>
      <c r="EH8" s="375"/>
      <c r="EI8" s="375"/>
      <c r="EJ8" s="376"/>
      <c r="EK8" s="183" t="s">
        <v>56</v>
      </c>
      <c r="EL8" s="183"/>
      <c r="EM8" s="375"/>
      <c r="EN8" s="375"/>
    </row>
    <row r="9" spans="1:147" ht="13.5" thickTop="1">
      <c r="AI9" s="192" t="s">
        <v>112</v>
      </c>
      <c r="AL9" s="192" t="s">
        <v>112</v>
      </c>
      <c r="AO9" s="192" t="s">
        <v>112</v>
      </c>
      <c r="AR9" s="192" t="s">
        <v>112</v>
      </c>
      <c r="AU9" s="192" t="s">
        <v>112</v>
      </c>
      <c r="AX9" s="192" t="s">
        <v>112</v>
      </c>
      <c r="BA9" s="192" t="s">
        <v>112</v>
      </c>
      <c r="BD9" s="192" t="s">
        <v>112</v>
      </c>
      <c r="BG9" s="192" t="s">
        <v>112</v>
      </c>
      <c r="BJ9" s="192" t="s">
        <v>112</v>
      </c>
      <c r="BM9" s="192" t="s">
        <v>112</v>
      </c>
      <c r="BP9" s="192" t="s">
        <v>112</v>
      </c>
      <c r="BS9" s="192" t="s">
        <v>112</v>
      </c>
      <c r="BV9" s="192" t="s">
        <v>112</v>
      </c>
      <c r="BY9" s="192" t="s">
        <v>112</v>
      </c>
      <c r="CB9" s="192" t="s">
        <v>112</v>
      </c>
      <c r="CE9" s="192" t="s">
        <v>112</v>
      </c>
      <c r="CH9" s="192" t="s">
        <v>112</v>
      </c>
      <c r="CK9" s="192" t="s">
        <v>112</v>
      </c>
      <c r="CN9" s="192" t="s">
        <v>112</v>
      </c>
      <c r="CQ9" s="192" t="s">
        <v>112</v>
      </c>
      <c r="CT9" s="192" t="s">
        <v>112</v>
      </c>
      <c r="CW9" s="192" t="s">
        <v>112</v>
      </c>
      <c r="CZ9" s="192" t="s">
        <v>112</v>
      </c>
      <c r="DC9" s="192" t="s">
        <v>112</v>
      </c>
      <c r="DF9" s="192" t="s">
        <v>112</v>
      </c>
      <c r="DI9" s="192" t="s">
        <v>112</v>
      </c>
      <c r="DL9" s="192" t="s">
        <v>112</v>
      </c>
      <c r="DO9" s="192" t="s">
        <v>112</v>
      </c>
      <c r="DR9" s="192" t="s">
        <v>112</v>
      </c>
      <c r="EB9" s="377"/>
      <c r="EC9" s="377"/>
      <c r="ED9" s="377"/>
      <c r="EE9" s="377" t="s">
        <v>58</v>
      </c>
      <c r="EG9" s="377"/>
      <c r="EH9" s="184" t="s">
        <v>59</v>
      </c>
      <c r="EI9" s="377" t="s">
        <v>58</v>
      </c>
      <c r="EJ9" s="377"/>
      <c r="EK9" s="193" t="s">
        <v>113</v>
      </c>
      <c r="EL9" s="193" t="s">
        <v>114</v>
      </c>
      <c r="EM9" s="184" t="s">
        <v>60</v>
      </c>
      <c r="EN9" s="377" t="s">
        <v>58</v>
      </c>
    </row>
    <row r="10" spans="1:147">
      <c r="B10" s="373" t="s">
        <v>61</v>
      </c>
      <c r="C10" s="374"/>
      <c r="D10" s="375"/>
      <c r="E10" s="373" t="s">
        <v>62</v>
      </c>
      <c r="F10" s="374"/>
      <c r="G10" s="375"/>
      <c r="H10" s="373" t="s">
        <v>63</v>
      </c>
      <c r="I10" s="374"/>
      <c r="J10" s="375"/>
      <c r="K10" s="373" t="s">
        <v>64</v>
      </c>
      <c r="L10" s="374"/>
      <c r="M10" s="375"/>
      <c r="N10" s="373" t="s">
        <v>65</v>
      </c>
      <c r="O10" s="374"/>
      <c r="P10" s="375"/>
      <c r="Q10" s="373" t="s">
        <v>66</v>
      </c>
      <c r="R10" s="374"/>
      <c r="S10" s="375"/>
      <c r="T10" s="373" t="s">
        <v>67</v>
      </c>
      <c r="U10" s="374"/>
      <c r="V10" s="375"/>
      <c r="W10" s="373" t="s">
        <v>68</v>
      </c>
      <c r="X10" s="374"/>
      <c r="Y10" s="375"/>
      <c r="Z10" s="373" t="s">
        <v>69</v>
      </c>
      <c r="AA10" s="374"/>
      <c r="AB10" s="375"/>
      <c r="AC10" s="185" t="s">
        <v>70</v>
      </c>
      <c r="AD10" s="374"/>
      <c r="AE10" s="375"/>
      <c r="AF10" s="185" t="s">
        <v>71</v>
      </c>
      <c r="AG10" s="374"/>
      <c r="AH10" s="375"/>
      <c r="AI10" s="373" t="s">
        <v>72</v>
      </c>
      <c r="AJ10" s="374"/>
      <c r="AK10" s="375"/>
      <c r="AL10" s="373" t="s">
        <v>73</v>
      </c>
      <c r="AM10" s="374"/>
      <c r="AN10" s="375"/>
      <c r="AO10" s="373" t="s">
        <v>74</v>
      </c>
      <c r="AP10" s="374"/>
      <c r="AQ10" s="375"/>
      <c r="AR10" s="373" t="s">
        <v>75</v>
      </c>
      <c r="AS10" s="374"/>
      <c r="AT10" s="375"/>
      <c r="AU10" s="373" t="s">
        <v>76</v>
      </c>
      <c r="AV10" s="374"/>
      <c r="AW10" s="375"/>
      <c r="AX10" s="373" t="s">
        <v>77</v>
      </c>
      <c r="AY10" s="374"/>
      <c r="AZ10" s="375"/>
      <c r="BA10" s="373" t="s">
        <v>78</v>
      </c>
      <c r="BB10" s="374"/>
      <c r="BC10" s="375"/>
      <c r="BD10" s="373" t="s">
        <v>79</v>
      </c>
      <c r="BE10" s="374"/>
      <c r="BF10" s="375"/>
      <c r="BG10" s="373" t="s">
        <v>80</v>
      </c>
      <c r="BH10" s="374"/>
      <c r="BI10" s="375"/>
      <c r="BJ10" s="373" t="s">
        <v>81</v>
      </c>
      <c r="BK10" s="374"/>
      <c r="BL10" s="375"/>
      <c r="BM10" s="373" t="s">
        <v>82</v>
      </c>
      <c r="BN10" s="374"/>
      <c r="BO10" s="375"/>
      <c r="BP10" s="373" t="s">
        <v>83</v>
      </c>
      <c r="BQ10" s="374"/>
      <c r="BR10" s="375"/>
      <c r="BS10" s="373" t="s">
        <v>84</v>
      </c>
      <c r="BT10" s="374"/>
      <c r="BU10" s="375"/>
      <c r="BV10" s="373" t="s">
        <v>85</v>
      </c>
      <c r="BW10" s="374"/>
      <c r="BX10" s="375"/>
      <c r="BY10" s="373" t="s">
        <v>86</v>
      </c>
      <c r="BZ10" s="374"/>
      <c r="CA10" s="375"/>
      <c r="CB10" s="373" t="s">
        <v>87</v>
      </c>
      <c r="CC10" s="374"/>
      <c r="CD10" s="375"/>
      <c r="CE10" s="373" t="s">
        <v>88</v>
      </c>
      <c r="CF10" s="374"/>
      <c r="CG10" s="375"/>
      <c r="CH10" s="373" t="s">
        <v>89</v>
      </c>
      <c r="CI10" s="374"/>
      <c r="CJ10" s="375"/>
      <c r="CK10" s="373" t="s">
        <v>90</v>
      </c>
      <c r="CL10" s="374"/>
      <c r="CM10" s="375"/>
      <c r="CN10" s="373" t="s">
        <v>91</v>
      </c>
      <c r="CO10" s="374"/>
      <c r="CP10" s="375"/>
      <c r="CQ10" s="373" t="s">
        <v>92</v>
      </c>
      <c r="CR10" s="374"/>
      <c r="CS10" s="375"/>
      <c r="CT10" s="373" t="s">
        <v>93</v>
      </c>
      <c r="CU10" s="374"/>
      <c r="CV10" s="375"/>
      <c r="CW10" s="373" t="s">
        <v>94</v>
      </c>
      <c r="CX10" s="374"/>
      <c r="CY10" s="375"/>
      <c r="CZ10" s="373" t="s">
        <v>95</v>
      </c>
      <c r="DA10" s="374"/>
      <c r="DB10" s="375"/>
      <c r="DC10" s="373" t="s">
        <v>96</v>
      </c>
      <c r="DD10" s="374"/>
      <c r="DE10" s="375"/>
      <c r="DF10" s="373" t="s">
        <v>97</v>
      </c>
      <c r="DG10" s="374"/>
      <c r="DH10" s="375"/>
      <c r="DI10" s="373" t="s">
        <v>98</v>
      </c>
      <c r="DJ10" s="374"/>
      <c r="DK10" s="375"/>
      <c r="DL10" s="373" t="s">
        <v>99</v>
      </c>
      <c r="DM10" s="374"/>
      <c r="DN10" s="375"/>
      <c r="DO10" s="373" t="s">
        <v>100</v>
      </c>
      <c r="DP10" s="374"/>
      <c r="DQ10" s="375"/>
      <c r="DR10" s="373" t="s">
        <v>101</v>
      </c>
      <c r="DS10" s="374"/>
      <c r="DT10" s="375"/>
      <c r="DU10" s="373" t="s">
        <v>102</v>
      </c>
      <c r="DV10" s="374"/>
      <c r="DW10" s="375"/>
      <c r="DX10" s="194" t="s">
        <v>115</v>
      </c>
      <c r="DY10" s="374"/>
      <c r="DZ10" s="375"/>
      <c r="EA10" s="376"/>
      <c r="EB10" s="193" t="s">
        <v>116</v>
      </c>
      <c r="EC10" s="193" t="s">
        <v>117</v>
      </c>
      <c r="ED10" s="377" t="s">
        <v>103</v>
      </c>
      <c r="EE10" s="377" t="s">
        <v>104</v>
      </c>
      <c r="EG10" s="184" t="s">
        <v>105</v>
      </c>
      <c r="EH10" s="377" t="s">
        <v>103</v>
      </c>
      <c r="EI10" s="377" t="s">
        <v>104</v>
      </c>
      <c r="EJ10" s="377"/>
      <c r="EK10" s="184" t="s">
        <v>60</v>
      </c>
      <c r="EL10" s="184" t="s">
        <v>60</v>
      </c>
      <c r="EM10" s="377" t="s">
        <v>103</v>
      </c>
      <c r="EN10" s="377" t="s">
        <v>104</v>
      </c>
    </row>
    <row r="11" spans="1:147">
      <c r="A11" s="377" t="s">
        <v>106</v>
      </c>
      <c r="B11" s="186" t="s">
        <v>107</v>
      </c>
      <c r="C11" s="187" t="s">
        <v>108</v>
      </c>
      <c r="D11" s="188" t="s">
        <v>109</v>
      </c>
      <c r="E11" s="186" t="s">
        <v>107</v>
      </c>
      <c r="F11" s="187" t="s">
        <v>108</v>
      </c>
      <c r="G11" s="188" t="s">
        <v>109</v>
      </c>
      <c r="H11" s="186" t="s">
        <v>107</v>
      </c>
      <c r="I11" s="187" t="s">
        <v>108</v>
      </c>
      <c r="J11" s="188" t="s">
        <v>109</v>
      </c>
      <c r="K11" s="186" t="s">
        <v>107</v>
      </c>
      <c r="L11" s="187" t="s">
        <v>108</v>
      </c>
      <c r="M11" s="188" t="s">
        <v>109</v>
      </c>
      <c r="N11" s="186" t="s">
        <v>107</v>
      </c>
      <c r="O11" s="187" t="s">
        <v>108</v>
      </c>
      <c r="P11" s="188" t="s">
        <v>109</v>
      </c>
      <c r="Q11" s="186" t="s">
        <v>107</v>
      </c>
      <c r="R11" s="187" t="s">
        <v>108</v>
      </c>
      <c r="S11" s="188" t="s">
        <v>109</v>
      </c>
      <c r="T11" s="186" t="s">
        <v>107</v>
      </c>
      <c r="U11" s="187" t="s">
        <v>108</v>
      </c>
      <c r="V11" s="188" t="s">
        <v>109</v>
      </c>
      <c r="W11" s="186" t="s">
        <v>107</v>
      </c>
      <c r="X11" s="187" t="s">
        <v>108</v>
      </c>
      <c r="Y11" s="188" t="s">
        <v>109</v>
      </c>
      <c r="Z11" s="186" t="s">
        <v>107</v>
      </c>
      <c r="AA11" s="187" t="s">
        <v>108</v>
      </c>
      <c r="AB11" s="188" t="s">
        <v>109</v>
      </c>
      <c r="AC11" s="186" t="s">
        <v>107</v>
      </c>
      <c r="AD11" s="187" t="s">
        <v>108</v>
      </c>
      <c r="AE11" s="188" t="s">
        <v>109</v>
      </c>
      <c r="AF11" s="186" t="s">
        <v>107</v>
      </c>
      <c r="AG11" s="187" t="s">
        <v>108</v>
      </c>
      <c r="AH11" s="188" t="s">
        <v>109</v>
      </c>
      <c r="AI11" s="186" t="s">
        <v>107</v>
      </c>
      <c r="AJ11" s="187" t="s">
        <v>108</v>
      </c>
      <c r="AK11" s="188" t="s">
        <v>109</v>
      </c>
      <c r="AL11" s="186" t="s">
        <v>107</v>
      </c>
      <c r="AM11" s="187" t="s">
        <v>108</v>
      </c>
      <c r="AN11" s="188" t="s">
        <v>109</v>
      </c>
      <c r="AO11" s="186" t="s">
        <v>107</v>
      </c>
      <c r="AP11" s="187" t="s">
        <v>108</v>
      </c>
      <c r="AQ11" s="188" t="s">
        <v>109</v>
      </c>
      <c r="AR11" s="186" t="s">
        <v>107</v>
      </c>
      <c r="AS11" s="187" t="s">
        <v>108</v>
      </c>
      <c r="AT11" s="188" t="s">
        <v>109</v>
      </c>
      <c r="AU11" s="186" t="s">
        <v>107</v>
      </c>
      <c r="AV11" s="187" t="s">
        <v>108</v>
      </c>
      <c r="AW11" s="188" t="s">
        <v>109</v>
      </c>
      <c r="AX11" s="186" t="s">
        <v>107</v>
      </c>
      <c r="AY11" s="187" t="s">
        <v>108</v>
      </c>
      <c r="AZ11" s="188" t="s">
        <v>109</v>
      </c>
      <c r="BA11" s="186" t="s">
        <v>107</v>
      </c>
      <c r="BB11" s="187" t="s">
        <v>108</v>
      </c>
      <c r="BC11" s="188" t="s">
        <v>109</v>
      </c>
      <c r="BD11" s="186" t="s">
        <v>107</v>
      </c>
      <c r="BE11" s="187" t="s">
        <v>108</v>
      </c>
      <c r="BF11" s="188" t="s">
        <v>109</v>
      </c>
      <c r="BG11" s="186" t="s">
        <v>107</v>
      </c>
      <c r="BH11" s="187" t="s">
        <v>108</v>
      </c>
      <c r="BI11" s="188" t="s">
        <v>109</v>
      </c>
      <c r="BJ11" s="186" t="s">
        <v>107</v>
      </c>
      <c r="BK11" s="187" t="s">
        <v>108</v>
      </c>
      <c r="BL11" s="188" t="s">
        <v>109</v>
      </c>
      <c r="BM11" s="186" t="s">
        <v>107</v>
      </c>
      <c r="BN11" s="187" t="s">
        <v>108</v>
      </c>
      <c r="BO11" s="188" t="s">
        <v>109</v>
      </c>
      <c r="BP11" s="186" t="s">
        <v>107</v>
      </c>
      <c r="BQ11" s="187" t="s">
        <v>108</v>
      </c>
      <c r="BR11" s="188" t="s">
        <v>109</v>
      </c>
      <c r="BS11" s="186" t="s">
        <v>107</v>
      </c>
      <c r="BT11" s="187" t="s">
        <v>108</v>
      </c>
      <c r="BU11" s="188" t="s">
        <v>109</v>
      </c>
      <c r="BV11" s="186" t="s">
        <v>107</v>
      </c>
      <c r="BW11" s="187" t="s">
        <v>108</v>
      </c>
      <c r="BX11" s="188" t="s">
        <v>109</v>
      </c>
      <c r="BY11" s="186" t="s">
        <v>107</v>
      </c>
      <c r="BZ11" s="187" t="s">
        <v>108</v>
      </c>
      <c r="CA11" s="188" t="s">
        <v>109</v>
      </c>
      <c r="CB11" s="186" t="s">
        <v>107</v>
      </c>
      <c r="CC11" s="187" t="s">
        <v>108</v>
      </c>
      <c r="CD11" s="188" t="s">
        <v>109</v>
      </c>
      <c r="CE11" s="186" t="s">
        <v>107</v>
      </c>
      <c r="CF11" s="187" t="s">
        <v>108</v>
      </c>
      <c r="CG11" s="188" t="s">
        <v>109</v>
      </c>
      <c r="CH11" s="186" t="s">
        <v>107</v>
      </c>
      <c r="CI11" s="187" t="s">
        <v>108</v>
      </c>
      <c r="CJ11" s="188" t="s">
        <v>109</v>
      </c>
      <c r="CK11" s="186" t="s">
        <v>107</v>
      </c>
      <c r="CL11" s="187" t="s">
        <v>108</v>
      </c>
      <c r="CM11" s="188" t="s">
        <v>109</v>
      </c>
      <c r="CN11" s="186" t="s">
        <v>107</v>
      </c>
      <c r="CO11" s="187" t="s">
        <v>108</v>
      </c>
      <c r="CP11" s="188" t="s">
        <v>109</v>
      </c>
      <c r="CQ11" s="186" t="s">
        <v>107</v>
      </c>
      <c r="CR11" s="187" t="s">
        <v>108</v>
      </c>
      <c r="CS11" s="188" t="s">
        <v>109</v>
      </c>
      <c r="CT11" s="186" t="s">
        <v>107</v>
      </c>
      <c r="CU11" s="187" t="s">
        <v>108</v>
      </c>
      <c r="CV11" s="188" t="s">
        <v>109</v>
      </c>
      <c r="CW11" s="186" t="s">
        <v>107</v>
      </c>
      <c r="CX11" s="187" t="s">
        <v>108</v>
      </c>
      <c r="CY11" s="188" t="s">
        <v>109</v>
      </c>
      <c r="CZ11" s="186" t="s">
        <v>107</v>
      </c>
      <c r="DA11" s="187" t="s">
        <v>108</v>
      </c>
      <c r="DB11" s="188" t="s">
        <v>109</v>
      </c>
      <c r="DC11" s="186" t="s">
        <v>107</v>
      </c>
      <c r="DD11" s="187" t="s">
        <v>108</v>
      </c>
      <c r="DE11" s="188" t="s">
        <v>109</v>
      </c>
      <c r="DF11" s="186" t="s">
        <v>107</v>
      </c>
      <c r="DG11" s="187" t="s">
        <v>108</v>
      </c>
      <c r="DH11" s="188" t="s">
        <v>109</v>
      </c>
      <c r="DI11" s="186" t="s">
        <v>107</v>
      </c>
      <c r="DJ11" s="187" t="s">
        <v>108</v>
      </c>
      <c r="DK11" s="188" t="s">
        <v>109</v>
      </c>
      <c r="DL11" s="186" t="s">
        <v>107</v>
      </c>
      <c r="DM11" s="187" t="s">
        <v>108</v>
      </c>
      <c r="DN11" s="188" t="s">
        <v>109</v>
      </c>
      <c r="DO11" s="186" t="s">
        <v>107</v>
      </c>
      <c r="DP11" s="187" t="s">
        <v>108</v>
      </c>
      <c r="DQ11" s="188" t="s">
        <v>109</v>
      </c>
      <c r="DR11" s="186" t="s">
        <v>107</v>
      </c>
      <c r="DS11" s="187" t="s">
        <v>108</v>
      </c>
      <c r="DT11" s="188" t="s">
        <v>109</v>
      </c>
      <c r="DU11" s="186" t="s">
        <v>107</v>
      </c>
      <c r="DV11" s="187" t="s">
        <v>108</v>
      </c>
      <c r="DW11" s="188" t="s">
        <v>109</v>
      </c>
      <c r="DX11" s="186" t="s">
        <v>107</v>
      </c>
      <c r="DY11" s="187"/>
      <c r="DZ11" s="188"/>
      <c r="EA11" s="188"/>
      <c r="EB11" s="188" t="s">
        <v>110</v>
      </c>
      <c r="EC11" s="188" t="s">
        <v>110</v>
      </c>
      <c r="ED11" s="188" t="s">
        <v>109</v>
      </c>
      <c r="EE11" s="189" t="s">
        <v>108</v>
      </c>
      <c r="EG11" s="188" t="s">
        <v>110</v>
      </c>
      <c r="EH11" s="188" t="s">
        <v>109</v>
      </c>
      <c r="EI11" s="189" t="s">
        <v>108</v>
      </c>
      <c r="EJ11" s="189"/>
      <c r="EK11" s="188" t="s">
        <v>110</v>
      </c>
      <c r="EL11" s="188" t="s">
        <v>110</v>
      </c>
      <c r="EM11" s="188" t="s">
        <v>109</v>
      </c>
      <c r="EN11" s="189" t="s">
        <v>108</v>
      </c>
    </row>
    <row r="12" spans="1:147">
      <c r="A12" s="378">
        <v>43374</v>
      </c>
      <c r="D12" s="379">
        <f>(B12*C12)/360</f>
        <v>0</v>
      </c>
      <c r="E12" s="379">
        <v>48035047.189999998</v>
      </c>
      <c r="F12" s="380">
        <v>2.1499999999999998E-2</v>
      </c>
      <c r="G12" s="379">
        <f>(E12*F12)/360</f>
        <v>2868.7597627361106</v>
      </c>
      <c r="J12" s="379">
        <f>(H12*I12)/360</f>
        <v>0</v>
      </c>
      <c r="M12" s="379">
        <f>(K12*L12)/360</f>
        <v>0</v>
      </c>
      <c r="P12" s="379">
        <f>(N12*O12)/360</f>
        <v>0</v>
      </c>
      <c r="S12" s="379">
        <f>(Q12*R12)/360</f>
        <v>0</v>
      </c>
      <c r="V12" s="379">
        <f>(T12*U12)/360</f>
        <v>0</v>
      </c>
      <c r="Y12" s="379">
        <f>(W12*X12)/360</f>
        <v>0</v>
      </c>
      <c r="AB12" s="379">
        <f>(Z12*AA12)/360</f>
        <v>0</v>
      </c>
      <c r="AE12" s="379">
        <v>0</v>
      </c>
      <c r="AH12" s="379">
        <v>0</v>
      </c>
      <c r="AI12" s="381"/>
      <c r="AJ12" s="382"/>
      <c r="AK12" s="379">
        <f>(AI12*AJ12)/360</f>
        <v>0</v>
      </c>
      <c r="AL12" s="381">
        <f t="shared" ref="AL12:AL19" si="0">38200000+70000000+71655000</f>
        <v>179855000</v>
      </c>
      <c r="AM12" s="382">
        <v>2.3800000000000002E-2</v>
      </c>
      <c r="AN12" s="379">
        <f>(AL12*AM12)/360</f>
        <v>11890.413888888888</v>
      </c>
      <c r="AO12" s="381">
        <f>31925000</f>
        <v>31925000</v>
      </c>
      <c r="AP12" s="382">
        <v>2.3599999999999999E-2</v>
      </c>
      <c r="AQ12" s="379">
        <f>(AO12*AP12)/360</f>
        <v>2092.8611111111113</v>
      </c>
      <c r="AR12" s="381">
        <f>95875000+60000000+45175000</f>
        <v>201050000</v>
      </c>
      <c r="AS12" s="382">
        <v>2.35E-2</v>
      </c>
      <c r="AT12" s="379">
        <f>(AR12*AS12)/360</f>
        <v>13124.097222222223</v>
      </c>
      <c r="AU12" s="381"/>
      <c r="AV12" s="382"/>
      <c r="AW12" s="379">
        <f>(AU12*AV12)/360</f>
        <v>0</v>
      </c>
      <c r="AX12" s="381"/>
      <c r="AY12" s="382"/>
      <c r="AZ12" s="379">
        <f>(AX12*AY12)/360</f>
        <v>0</v>
      </c>
      <c r="BC12" s="379">
        <f>(BA12*BB12)/360</f>
        <v>0</v>
      </c>
      <c r="BF12" s="379">
        <f>(BD12*BE12)/360</f>
        <v>0</v>
      </c>
      <c r="BI12" s="379">
        <f>(BG12*BH12)/360</f>
        <v>0</v>
      </c>
      <c r="BL12" s="379">
        <f>(BJ12*BK12)/360</f>
        <v>0</v>
      </c>
      <c r="BO12" s="379">
        <f>(BM12*BN12)/360</f>
        <v>0</v>
      </c>
      <c r="BR12" s="379">
        <f>(BP12*BQ12)/360</f>
        <v>0</v>
      </c>
      <c r="BU12" s="379">
        <f>(BS12*BT12)/360</f>
        <v>0</v>
      </c>
      <c r="BX12" s="379">
        <f>(BV12*BW12)/360</f>
        <v>0</v>
      </c>
      <c r="CA12" s="379">
        <f>(BY12*BZ12)/360</f>
        <v>0</v>
      </c>
      <c r="CD12" s="379">
        <f>(CB12*CC12)/360</f>
        <v>0</v>
      </c>
      <c r="CG12" s="379">
        <f>(CE12*CF12)/360</f>
        <v>0</v>
      </c>
      <c r="CJ12" s="379">
        <f>(CH12*CI12)/360</f>
        <v>0</v>
      </c>
      <c r="CM12" s="379">
        <f>(CK12*CL12)/360</f>
        <v>0</v>
      </c>
      <c r="CP12" s="379">
        <f>(CN12*CO12)/360</f>
        <v>0</v>
      </c>
      <c r="CS12" s="379">
        <f>(CQ12*CR12)/360</f>
        <v>0</v>
      </c>
      <c r="CV12" s="379">
        <f>(CT12*CU12)/360</f>
        <v>0</v>
      </c>
      <c r="CY12" s="379">
        <f>(CW12*CX12)/360</f>
        <v>0</v>
      </c>
      <c r="DB12" s="379">
        <f>(CZ12*DA12)/360</f>
        <v>0</v>
      </c>
      <c r="DE12" s="379">
        <f>(DC12*DD12)/360</f>
        <v>0</v>
      </c>
      <c r="DH12" s="379">
        <f>(DF12*DG12)/360</f>
        <v>0</v>
      </c>
      <c r="DK12" s="379">
        <f>(DI12*DJ12)/360</f>
        <v>0</v>
      </c>
      <c r="DN12" s="379">
        <f>(DL12*DM12)/360</f>
        <v>0</v>
      </c>
      <c r="DQ12" s="379">
        <f>(DO12*DP12)/360</f>
        <v>0</v>
      </c>
      <c r="DT12" s="379">
        <f>(DR12*DS12)/360</f>
        <v>0</v>
      </c>
      <c r="DW12" s="379">
        <f>(DU12*DV12)/360</f>
        <v>0</v>
      </c>
      <c r="DY12" s="384"/>
      <c r="DZ12" s="366"/>
      <c r="EA12" s="379"/>
      <c r="EB12" s="190">
        <f>B12+E12+H12+K12+N12+Q12+T12+W12+Z12+AC12+AF12+AL12+AO12+AR12+AU12+AX12+BA12+BD12+BG12+DU12+AI12+DR12+DO12+DL12+DI12+DF12+DC12+CZ12+CW12+CT12+CQ12+CN12+CK12+CH12+CE12+CB12+BY12+BV12+BS12+BP12+BM12+BJ12</f>
        <v>460865047.19</v>
      </c>
      <c r="EC12" s="190">
        <f>EB12-EK12+EL12</f>
        <v>48035047.189999998</v>
      </c>
      <c r="ED12" s="379">
        <f>D12+G12+J12+M12+P12+S12+V12+Y12+AB12+AE12+AH12+AK12+AN12+AQ12+AT12+AW12+AZ12+BC12+BF12+BI12+DW12+DT12+DQ12+DN12+DK12+DH12+DE12+DB12+CY12+CV12+CS12+CP12+CM12+CJ12+CG12+CD12+CA12+BX12+BU12+BR12+BO12+BL12</f>
        <v>29976.131984958334</v>
      </c>
      <c r="EE12" s="380">
        <f>IF(EB12&lt;&gt;0,((ED12/EB12)*360),0)</f>
        <v>2.3415547740890073E-2</v>
      </c>
      <c r="EG12" s="190">
        <f>Q12+T12+W12+Z12+AC12+AF12</f>
        <v>0</v>
      </c>
      <c r="EH12" s="379">
        <f>S12+V12+Y12+AB12+AE12+AH12</f>
        <v>0</v>
      </c>
      <c r="EI12" s="380">
        <f>IF(EG12&lt;&gt;0,((EH12/EG12)*360),0)</f>
        <v>0</v>
      </c>
      <c r="EJ12" s="380"/>
      <c r="EK12" s="190">
        <f>DR12+DL12+DI12+DF12+DC12+CZ12+CW12+CT12+CQ12+CN12+CK12+CH12+CE12+CB12+BY12+BV12+BS12+BP12+BM12+BJ12+BG12+BD12+BA12+AX12+AU12+AR12+AO12+AL12+AI12+DO12</f>
        <v>412830000</v>
      </c>
      <c r="EL12" s="190">
        <f>DX12</f>
        <v>0</v>
      </c>
      <c r="EM12" s="190">
        <f>DT12+DQ12+DN12+DK12+DH12+DE12+DB12+CY12+CV12+CS12+CP12+CM12+CJ12+CG12+CD12+CA12+BX12+BU12+BR12+BO12+BL12+BI12+BF12+BC12+AZ12+AW12+AT12+AQ12+AN12+AK12</f>
        <v>27107.37222222222</v>
      </c>
      <c r="EN12" s="380">
        <f>IF(EK12&lt;&gt;0,((EM12/EK12)*360),0)</f>
        <v>2.3638432284475448E-2</v>
      </c>
      <c r="EO12" s="390"/>
      <c r="EP12" s="379"/>
    </row>
    <row r="13" spans="1:147">
      <c r="A13" s="378">
        <f>1+A12</f>
        <v>43375</v>
      </c>
      <c r="D13" s="379">
        <f t="shared" ref="D13:D42" si="1">(B13*C13)/360</f>
        <v>0</v>
      </c>
      <c r="E13" s="379">
        <v>50176850.369999997</v>
      </c>
      <c r="F13" s="380">
        <v>2.1899999999999999E-2</v>
      </c>
      <c r="G13" s="379">
        <f t="shared" ref="G13:G42" si="2">(E13*F13)/360</f>
        <v>3052.4250641749995</v>
      </c>
      <c r="J13" s="379">
        <f t="shared" ref="J13:J42" si="3">(H13*I13)/360</f>
        <v>0</v>
      </c>
      <c r="M13" s="379">
        <f t="shared" ref="M13:M42" si="4">(K13*L13)/360</f>
        <v>0</v>
      </c>
      <c r="P13" s="379">
        <f t="shared" ref="P13:P42" si="5">(N13*O13)/360</f>
        <v>0</v>
      </c>
      <c r="S13" s="379">
        <f t="shared" ref="S13:S42" si="6">(Q13*R13)/360</f>
        <v>0</v>
      </c>
      <c r="V13" s="379">
        <f t="shared" ref="V13:V42" si="7">(T13*U13)/360</f>
        <v>0</v>
      </c>
      <c r="Y13" s="379">
        <f t="shared" ref="Y13:Y42" si="8">(W13*X13)/360</f>
        <v>0</v>
      </c>
      <c r="AB13" s="379">
        <f t="shared" ref="AB13:AB42" si="9">(Z13*AA13)/360</f>
        <v>0</v>
      </c>
      <c r="AE13" s="379">
        <v>0</v>
      </c>
      <c r="AH13" s="379">
        <v>0</v>
      </c>
      <c r="AI13" s="381">
        <f>4150000</f>
        <v>4150000</v>
      </c>
      <c r="AJ13" s="382">
        <v>2.4500000000000001E-2</v>
      </c>
      <c r="AK13" s="379">
        <f t="shared" ref="AK13:AK42" si="10">(AI13*AJ13)/360</f>
        <v>282.43055555555554</v>
      </c>
      <c r="AL13" s="381">
        <f t="shared" si="0"/>
        <v>179855000</v>
      </c>
      <c r="AM13" s="382">
        <v>2.3800000000000002E-2</v>
      </c>
      <c r="AN13" s="379">
        <f t="shared" ref="AN13:AN42" si="11">(AL13*AM13)/360</f>
        <v>11890.413888888888</v>
      </c>
      <c r="AO13" s="381">
        <f>31925000</f>
        <v>31925000</v>
      </c>
      <c r="AP13" s="382">
        <v>2.3599999999999999E-2</v>
      </c>
      <c r="AQ13" s="379">
        <f t="shared" ref="AQ13:AQ42" si="12">(AO13*AP13)/360</f>
        <v>2092.8611111111113</v>
      </c>
      <c r="AR13" s="381">
        <f>95875000+60000000</f>
        <v>155875000</v>
      </c>
      <c r="AS13" s="382">
        <v>2.35E-2</v>
      </c>
      <c r="AT13" s="379">
        <f t="shared" ref="AT13:AT42" si="13">(AR13*AS13)/360</f>
        <v>10175.173611111111</v>
      </c>
      <c r="AU13" s="381"/>
      <c r="AV13" s="382"/>
      <c r="AW13" s="379">
        <f t="shared" ref="AW13:AW42" si="14">(AU13*AV13)/360</f>
        <v>0</v>
      </c>
      <c r="AX13" s="381"/>
      <c r="AY13" s="382"/>
      <c r="AZ13" s="379">
        <f t="shared" ref="AZ13:AZ42" si="15">(AX13*AY13)/360</f>
        <v>0</v>
      </c>
      <c r="BC13" s="379">
        <f t="shared" ref="BC13:BC42" si="16">(BA13*BB13)/360</f>
        <v>0</v>
      </c>
      <c r="BF13" s="379">
        <f t="shared" ref="BF13:BF42" si="17">(BD13*BE13)/360</f>
        <v>0</v>
      </c>
      <c r="BI13" s="379">
        <f t="shared" ref="BI13:BI42" si="18">(BG13*BH13)/360</f>
        <v>0</v>
      </c>
      <c r="BL13" s="379">
        <f t="shared" ref="BL13:BL42" si="19">(BJ13*BK13)/360</f>
        <v>0</v>
      </c>
      <c r="BO13" s="379">
        <f t="shared" ref="BO13:BO42" si="20">(BM13*BN13)/360</f>
        <v>0</v>
      </c>
      <c r="BR13" s="379">
        <f t="shared" ref="BR13:BR42" si="21">(BP13*BQ13)/360</f>
        <v>0</v>
      </c>
      <c r="BU13" s="379">
        <f t="shared" ref="BU13:BU42" si="22">(BS13*BT13)/360</f>
        <v>0</v>
      </c>
      <c r="BX13" s="379">
        <f t="shared" ref="BX13:BX42" si="23">(BV13*BW13)/360</f>
        <v>0</v>
      </c>
      <c r="CA13" s="379">
        <f t="shared" ref="CA13:CA42" si="24">(BY13*BZ13)/360</f>
        <v>0</v>
      </c>
      <c r="CD13" s="379">
        <f t="shared" ref="CD13:CD42" si="25">(CB13*CC13)/360</f>
        <v>0</v>
      </c>
      <c r="CG13" s="379">
        <f t="shared" ref="CG13:CG42" si="26">(CE13*CF13)/360</f>
        <v>0</v>
      </c>
      <c r="CJ13" s="379">
        <f t="shared" ref="CJ13:CJ42" si="27">(CH13*CI13)/360</f>
        <v>0</v>
      </c>
      <c r="CM13" s="379">
        <f t="shared" ref="CM13:CM42" si="28">(CK13*CL13)/360</f>
        <v>0</v>
      </c>
      <c r="CP13" s="379">
        <f t="shared" ref="CP13:CP42" si="29">(CN13*CO13)/360</f>
        <v>0</v>
      </c>
      <c r="CS13" s="379">
        <f t="shared" ref="CS13:CS42" si="30">(CQ13*CR13)/360</f>
        <v>0</v>
      </c>
      <c r="CV13" s="379">
        <f t="shared" ref="CV13:CV42" si="31">(CT13*CU13)/360</f>
        <v>0</v>
      </c>
      <c r="CY13" s="379">
        <f t="shared" ref="CY13:CY42" si="32">(CW13*CX13)/360</f>
        <v>0</v>
      </c>
      <c r="DB13" s="379">
        <f t="shared" ref="DB13:DB42" si="33">(CZ13*DA13)/360</f>
        <v>0</v>
      </c>
      <c r="DE13" s="379">
        <f t="shared" ref="DE13:DE42" si="34">(DC13*DD13)/360</f>
        <v>0</v>
      </c>
      <c r="DH13" s="379">
        <f t="shared" ref="DH13:DH42" si="35">(DF13*DG13)/360</f>
        <v>0</v>
      </c>
      <c r="DK13" s="379">
        <f t="shared" ref="DK13:DK42" si="36">(DI13*DJ13)/360</f>
        <v>0</v>
      </c>
      <c r="DN13" s="379">
        <f t="shared" ref="DN13:DN42" si="37">(DL13*DM13)/360</f>
        <v>0</v>
      </c>
      <c r="DQ13" s="379">
        <f t="shared" ref="DQ13:DQ42" si="38">(DO13*DP13)/360</f>
        <v>0</v>
      </c>
      <c r="DT13" s="379">
        <f t="shared" ref="DT13:DT42" si="39">(DR13*DS13)/360</f>
        <v>0</v>
      </c>
      <c r="DW13" s="379">
        <f t="shared" ref="DW13:DW42" si="40">(DU13*DV13)/360</f>
        <v>0</v>
      </c>
      <c r="DY13" s="384"/>
      <c r="DZ13" s="366"/>
      <c r="EA13" s="379"/>
      <c r="EB13" s="190">
        <f t="shared" ref="EB13:EB42" si="41">B13+E13+H13+K13+N13+Q13+T13+W13+Z13+AC13+AF13+AL13+AO13+AR13+AU13+AX13+BA13+BD13+BG13+DU13+AI13+DR13+DO13+DL13+DI13+DF13+DC13+CZ13+CW13+CT13+CQ13+CN13+CK13+CH13+CE13+CB13+BY13+BV13+BS13+BP13+BM13+BJ13</f>
        <v>421981850.37</v>
      </c>
      <c r="EC13" s="190">
        <f t="shared" ref="EC13:EC42" si="42">EB13-EK13+EL13</f>
        <v>50176850.370000005</v>
      </c>
      <c r="ED13" s="379">
        <f t="shared" ref="ED13:ED42" si="43">D13+G13+J13+M13+P13+S13+V13+Y13+AB13+AE13+AH13+AK13+AN13+AQ13+AT13+AW13+AZ13+BC13+BF13+BI13+DW13+DT13+DQ13+DN13+DK13+DH13+DE13+DB13+CY13+CV13+CS13+CP13+CM13+CJ13+CG13+CD13+CA13+BX13+BU13+BR13+BO13+BL13</f>
        <v>27493.304230841663</v>
      </c>
      <c r="EE13" s="380">
        <f t="shared" ref="EE13:EE42" si="44">IF(EB13&lt;&gt;0,((ED13/EB13)*360),0)</f>
        <v>2.3455012376538572E-2</v>
      </c>
      <c r="EG13" s="190">
        <f t="shared" ref="EG13:EG42" si="45">Q13+T13+W13+Z13+AC13+AF13</f>
        <v>0</v>
      </c>
      <c r="EH13" s="379">
        <f t="shared" ref="EH13:EH42" si="46">S13+V13+Y13+AB13+AE13+AH13</f>
        <v>0</v>
      </c>
      <c r="EI13" s="380">
        <f t="shared" ref="EI13:EI42" si="47">IF(EG13&lt;&gt;0,((EH13/EG13)*360),0)</f>
        <v>0</v>
      </c>
      <c r="EJ13" s="380"/>
      <c r="EK13" s="190">
        <f t="shared" ref="EK13:EK42" si="48">DR13+DL13+DI13+DF13+DC13+CZ13+CW13+CT13+CQ13+CN13+CK13+CH13+CE13+CB13+BY13+BV13+BS13+BP13+BM13+BJ13+BG13+BD13+BA13+AX13+AU13+AR13+AO13+AL13+AI13+DO13</f>
        <v>371805000</v>
      </c>
      <c r="EL13" s="190">
        <f t="shared" ref="EL13:EL42" si="49">DX13</f>
        <v>0</v>
      </c>
      <c r="EM13" s="190">
        <f t="shared" ref="EM13:EM42" si="50">DT13+DQ13+DN13+DK13+DH13+DE13+DB13+CY13+CV13+CS13+CP13+CM13+CJ13+CG13+CD13+CA13+BX13+BU13+BR13+BO13+BL13+BI13+BF13+BC13+AZ13+AW13+AT13+AQ13+AN13+AK13</f>
        <v>24440.879166666666</v>
      </c>
      <c r="EN13" s="380">
        <f t="shared" ref="EN13:EN42" si="51">IF(EK13&lt;&gt;0,((EM13/EK13)*360),0)</f>
        <v>2.3664868681163513E-2</v>
      </c>
      <c r="EO13" s="390"/>
      <c r="EP13" s="379"/>
    </row>
    <row r="14" spans="1:147">
      <c r="A14" s="378">
        <f t="shared" ref="A14:A42" si="52">1+A13</f>
        <v>43376</v>
      </c>
      <c r="D14" s="379">
        <f t="shared" si="1"/>
        <v>0</v>
      </c>
      <c r="E14" s="379">
        <v>41776834.159999996</v>
      </c>
      <c r="F14" s="380">
        <v>2.2099999999999998E-2</v>
      </c>
      <c r="G14" s="379">
        <f t="shared" si="2"/>
        <v>2564.6334303777776</v>
      </c>
      <c r="J14" s="379">
        <f t="shared" si="3"/>
        <v>0</v>
      </c>
      <c r="M14" s="379">
        <f t="shared" si="4"/>
        <v>0</v>
      </c>
      <c r="P14" s="379">
        <f t="shared" si="5"/>
        <v>0</v>
      </c>
      <c r="S14" s="379">
        <f t="shared" si="6"/>
        <v>0</v>
      </c>
      <c r="V14" s="379">
        <f t="shared" si="7"/>
        <v>0</v>
      </c>
      <c r="Y14" s="379">
        <f t="shared" si="8"/>
        <v>0</v>
      </c>
      <c r="AB14" s="379">
        <f t="shared" si="9"/>
        <v>0</v>
      </c>
      <c r="AE14" s="379">
        <v>0</v>
      </c>
      <c r="AH14" s="379">
        <v>0</v>
      </c>
      <c r="AI14" s="381"/>
      <c r="AJ14" s="382"/>
      <c r="AK14" s="379">
        <f t="shared" si="10"/>
        <v>0</v>
      </c>
      <c r="AL14" s="381">
        <f t="shared" si="0"/>
        <v>179855000</v>
      </c>
      <c r="AM14" s="382">
        <v>2.3800000000000002E-2</v>
      </c>
      <c r="AN14" s="379">
        <f t="shared" si="11"/>
        <v>11890.413888888888</v>
      </c>
      <c r="AO14" s="381">
        <f>31925000</f>
        <v>31925000</v>
      </c>
      <c r="AP14" s="382">
        <v>2.3599999999999999E-2</v>
      </c>
      <c r="AQ14" s="379">
        <f t="shared" si="12"/>
        <v>2092.8611111111113</v>
      </c>
      <c r="AR14" s="381">
        <f>95875000+60000000</f>
        <v>155875000</v>
      </c>
      <c r="AS14" s="382">
        <v>2.35E-2</v>
      </c>
      <c r="AT14" s="379">
        <f t="shared" si="13"/>
        <v>10175.173611111111</v>
      </c>
      <c r="AU14" s="381"/>
      <c r="AV14" s="382"/>
      <c r="AW14" s="379">
        <f t="shared" si="14"/>
        <v>0</v>
      </c>
      <c r="AX14" s="381"/>
      <c r="AY14" s="382"/>
      <c r="AZ14" s="379">
        <f t="shared" si="15"/>
        <v>0</v>
      </c>
      <c r="BC14" s="379">
        <f t="shared" si="16"/>
        <v>0</v>
      </c>
      <c r="BF14" s="379">
        <f t="shared" si="17"/>
        <v>0</v>
      </c>
      <c r="BI14" s="379">
        <f t="shared" si="18"/>
        <v>0</v>
      </c>
      <c r="BL14" s="379">
        <f t="shared" si="19"/>
        <v>0</v>
      </c>
      <c r="BO14" s="379">
        <f t="shared" si="20"/>
        <v>0</v>
      </c>
      <c r="BR14" s="379">
        <f t="shared" si="21"/>
        <v>0</v>
      </c>
      <c r="BU14" s="379">
        <f t="shared" si="22"/>
        <v>0</v>
      </c>
      <c r="BX14" s="379">
        <f t="shared" si="23"/>
        <v>0</v>
      </c>
      <c r="CA14" s="379">
        <f t="shared" si="24"/>
        <v>0</v>
      </c>
      <c r="CD14" s="379">
        <f t="shared" si="25"/>
        <v>0</v>
      </c>
      <c r="CG14" s="379">
        <f t="shared" si="26"/>
        <v>0</v>
      </c>
      <c r="CJ14" s="379">
        <f t="shared" si="27"/>
        <v>0</v>
      </c>
      <c r="CM14" s="379">
        <f t="shared" si="28"/>
        <v>0</v>
      </c>
      <c r="CP14" s="379">
        <f t="shared" si="29"/>
        <v>0</v>
      </c>
      <c r="CS14" s="379">
        <f t="shared" si="30"/>
        <v>0</v>
      </c>
      <c r="CV14" s="379">
        <f t="shared" si="31"/>
        <v>0</v>
      </c>
      <c r="CY14" s="379">
        <f t="shared" si="32"/>
        <v>0</v>
      </c>
      <c r="DB14" s="379">
        <f t="shared" si="33"/>
        <v>0</v>
      </c>
      <c r="DE14" s="379">
        <f t="shared" si="34"/>
        <v>0</v>
      </c>
      <c r="DH14" s="379">
        <f t="shared" si="35"/>
        <v>0</v>
      </c>
      <c r="DK14" s="379">
        <f t="shared" si="36"/>
        <v>0</v>
      </c>
      <c r="DN14" s="379">
        <f t="shared" si="37"/>
        <v>0</v>
      </c>
      <c r="DQ14" s="379">
        <f t="shared" si="38"/>
        <v>0</v>
      </c>
      <c r="DT14" s="379">
        <f t="shared" si="39"/>
        <v>0</v>
      </c>
      <c r="DW14" s="379">
        <f t="shared" si="40"/>
        <v>0</v>
      </c>
      <c r="DY14" s="384"/>
      <c r="DZ14" s="366"/>
      <c r="EA14" s="379"/>
      <c r="EB14" s="190">
        <f t="shared" si="41"/>
        <v>409431834.15999997</v>
      </c>
      <c r="EC14" s="190">
        <f t="shared" si="42"/>
        <v>41776834.159999967</v>
      </c>
      <c r="ED14" s="379">
        <f t="shared" si="43"/>
        <v>26723.082041488888</v>
      </c>
      <c r="EE14" s="380">
        <f t="shared" si="44"/>
        <v>2.3496730669888562E-2</v>
      </c>
      <c r="EG14" s="190">
        <f t="shared" si="45"/>
        <v>0</v>
      </c>
      <c r="EH14" s="379">
        <f t="shared" si="46"/>
        <v>0</v>
      </c>
      <c r="EI14" s="380">
        <f t="shared" si="47"/>
        <v>0</v>
      </c>
      <c r="EJ14" s="380"/>
      <c r="EK14" s="190">
        <f t="shared" si="48"/>
        <v>367655000</v>
      </c>
      <c r="EL14" s="190">
        <f t="shared" si="49"/>
        <v>0</v>
      </c>
      <c r="EM14" s="190">
        <f t="shared" si="50"/>
        <v>24158.448611111111</v>
      </c>
      <c r="EN14" s="380">
        <f t="shared" si="51"/>
        <v>2.3655441922454477E-2</v>
      </c>
      <c r="EP14" s="379"/>
    </row>
    <row r="15" spans="1:147">
      <c r="A15" s="378">
        <f t="shared" si="52"/>
        <v>43377</v>
      </c>
      <c r="D15" s="379">
        <f t="shared" si="1"/>
        <v>0</v>
      </c>
      <c r="E15" s="379">
        <v>41623045.829999998</v>
      </c>
      <c r="F15" s="380">
        <v>2.2200000000000001E-2</v>
      </c>
      <c r="G15" s="379">
        <f t="shared" si="2"/>
        <v>2566.7544928499997</v>
      </c>
      <c r="J15" s="379">
        <f t="shared" si="3"/>
        <v>0</v>
      </c>
      <c r="M15" s="379">
        <f t="shared" si="4"/>
        <v>0</v>
      </c>
      <c r="P15" s="379">
        <f t="shared" si="5"/>
        <v>0</v>
      </c>
      <c r="S15" s="379">
        <f t="shared" si="6"/>
        <v>0</v>
      </c>
      <c r="V15" s="379">
        <f t="shared" si="7"/>
        <v>0</v>
      </c>
      <c r="Y15" s="379">
        <f t="shared" si="8"/>
        <v>0</v>
      </c>
      <c r="AB15" s="379">
        <f t="shared" si="9"/>
        <v>0</v>
      </c>
      <c r="AE15" s="379">
        <v>0</v>
      </c>
      <c r="AH15" s="379">
        <v>0</v>
      </c>
      <c r="AI15" s="381"/>
      <c r="AJ15" s="382"/>
      <c r="AK15" s="379">
        <f t="shared" si="10"/>
        <v>0</v>
      </c>
      <c r="AL15" s="381">
        <f t="shared" si="0"/>
        <v>179855000</v>
      </c>
      <c r="AM15" s="382">
        <v>2.3800000000000002E-2</v>
      </c>
      <c r="AN15" s="379">
        <f t="shared" si="11"/>
        <v>11890.413888888888</v>
      </c>
      <c r="AO15" s="381"/>
      <c r="AP15" s="382"/>
      <c r="AQ15" s="379">
        <f t="shared" si="12"/>
        <v>0</v>
      </c>
      <c r="AR15" s="381">
        <f>95875000</f>
        <v>95875000</v>
      </c>
      <c r="AS15" s="382">
        <v>2.35E-2</v>
      </c>
      <c r="AT15" s="379">
        <f t="shared" si="13"/>
        <v>6258.5069444444443</v>
      </c>
      <c r="AU15" s="381">
        <f>55000000+24950000</f>
        <v>79950000</v>
      </c>
      <c r="AV15" s="382">
        <v>2.5499999999999998E-2</v>
      </c>
      <c r="AW15" s="379">
        <f t="shared" si="14"/>
        <v>5663.1249999999991</v>
      </c>
      <c r="AX15" s="381"/>
      <c r="AY15" s="382"/>
      <c r="AZ15" s="379">
        <f t="shared" si="15"/>
        <v>0</v>
      </c>
      <c r="BC15" s="379">
        <f t="shared" si="16"/>
        <v>0</v>
      </c>
      <c r="BF15" s="379">
        <f t="shared" si="17"/>
        <v>0</v>
      </c>
      <c r="BI15" s="379">
        <f t="shared" si="18"/>
        <v>0</v>
      </c>
      <c r="BL15" s="379">
        <f t="shared" si="19"/>
        <v>0</v>
      </c>
      <c r="BO15" s="379">
        <f t="shared" si="20"/>
        <v>0</v>
      </c>
      <c r="BR15" s="379">
        <f t="shared" si="21"/>
        <v>0</v>
      </c>
      <c r="BU15" s="379">
        <f t="shared" si="22"/>
        <v>0</v>
      </c>
      <c r="BX15" s="379">
        <f t="shared" si="23"/>
        <v>0</v>
      </c>
      <c r="CA15" s="379">
        <f t="shared" si="24"/>
        <v>0</v>
      </c>
      <c r="CD15" s="379">
        <f t="shared" si="25"/>
        <v>0</v>
      </c>
      <c r="CG15" s="379">
        <f t="shared" si="26"/>
        <v>0</v>
      </c>
      <c r="CJ15" s="379">
        <f t="shared" si="27"/>
        <v>0</v>
      </c>
      <c r="CM15" s="379">
        <f t="shared" si="28"/>
        <v>0</v>
      </c>
      <c r="CP15" s="379">
        <f t="shared" si="29"/>
        <v>0</v>
      </c>
      <c r="CS15" s="379">
        <f t="shared" si="30"/>
        <v>0</v>
      </c>
      <c r="CV15" s="379">
        <f t="shared" si="31"/>
        <v>0</v>
      </c>
      <c r="CY15" s="379">
        <f t="shared" si="32"/>
        <v>0</v>
      </c>
      <c r="DB15" s="379">
        <f t="shared" si="33"/>
        <v>0</v>
      </c>
      <c r="DE15" s="379">
        <f t="shared" si="34"/>
        <v>0</v>
      </c>
      <c r="DH15" s="379">
        <f t="shared" si="35"/>
        <v>0</v>
      </c>
      <c r="DK15" s="379">
        <f t="shared" si="36"/>
        <v>0</v>
      </c>
      <c r="DN15" s="379">
        <f t="shared" si="37"/>
        <v>0</v>
      </c>
      <c r="DQ15" s="379">
        <f t="shared" si="38"/>
        <v>0</v>
      </c>
      <c r="DT15" s="379">
        <f t="shared" si="39"/>
        <v>0</v>
      </c>
      <c r="DW15" s="379">
        <f t="shared" si="40"/>
        <v>0</v>
      </c>
      <c r="DY15" s="384"/>
      <c r="DZ15" s="366"/>
      <c r="EA15" s="379"/>
      <c r="EB15" s="190">
        <f t="shared" si="41"/>
        <v>397303045.82999998</v>
      </c>
      <c r="EC15" s="190">
        <f t="shared" si="42"/>
        <v>41623045.829999983</v>
      </c>
      <c r="ED15" s="379">
        <f t="shared" si="43"/>
        <v>26378.800326183333</v>
      </c>
      <c r="EE15" s="380">
        <f t="shared" si="44"/>
        <v>2.3902077311255633E-2</v>
      </c>
      <c r="EG15" s="190">
        <f t="shared" si="45"/>
        <v>0</v>
      </c>
      <c r="EH15" s="379">
        <f t="shared" si="46"/>
        <v>0</v>
      </c>
      <c r="EI15" s="380">
        <f t="shared" si="47"/>
        <v>0</v>
      </c>
      <c r="EJ15" s="380"/>
      <c r="EK15" s="190">
        <f t="shared" si="48"/>
        <v>355680000</v>
      </c>
      <c r="EL15" s="190">
        <f t="shared" si="49"/>
        <v>0</v>
      </c>
      <c r="EM15" s="190">
        <f t="shared" si="50"/>
        <v>23812.04583333333</v>
      </c>
      <c r="EN15" s="380">
        <f t="shared" si="51"/>
        <v>2.4101260964912278E-2</v>
      </c>
      <c r="EP15" s="379"/>
    </row>
    <row r="16" spans="1:147">
      <c r="A16" s="378">
        <f t="shared" si="52"/>
        <v>43378</v>
      </c>
      <c r="D16" s="379">
        <f t="shared" si="1"/>
        <v>0</v>
      </c>
      <c r="E16" s="379">
        <v>43451364.43</v>
      </c>
      <c r="F16" s="380">
        <v>2.2099999999999998E-2</v>
      </c>
      <c r="G16" s="379">
        <f t="shared" si="2"/>
        <v>2667.4309830638886</v>
      </c>
      <c r="J16" s="379">
        <f t="shared" si="3"/>
        <v>0</v>
      </c>
      <c r="M16" s="379">
        <f t="shared" si="4"/>
        <v>0</v>
      </c>
      <c r="P16" s="379">
        <f t="shared" si="5"/>
        <v>0</v>
      </c>
      <c r="S16" s="379">
        <f t="shared" si="6"/>
        <v>0</v>
      </c>
      <c r="V16" s="379">
        <f t="shared" si="7"/>
        <v>0</v>
      </c>
      <c r="Y16" s="379">
        <f t="shared" si="8"/>
        <v>0</v>
      </c>
      <c r="AB16" s="379">
        <f t="shared" si="9"/>
        <v>0</v>
      </c>
      <c r="AE16" s="379">
        <v>0</v>
      </c>
      <c r="AH16" s="379">
        <v>0</v>
      </c>
      <c r="AI16" s="381">
        <f>125000</f>
        <v>125000</v>
      </c>
      <c r="AJ16" s="382">
        <v>2.4500000000000001E-2</v>
      </c>
      <c r="AK16" s="379">
        <f t="shared" si="10"/>
        <v>8.5069444444444446</v>
      </c>
      <c r="AL16" s="381">
        <f t="shared" si="0"/>
        <v>179855000</v>
      </c>
      <c r="AM16" s="382">
        <v>2.3800000000000002E-2</v>
      </c>
      <c r="AN16" s="379">
        <f t="shared" si="11"/>
        <v>11890.413888888888</v>
      </c>
      <c r="AO16" s="381"/>
      <c r="AP16" s="382"/>
      <c r="AQ16" s="379">
        <f t="shared" si="12"/>
        <v>0</v>
      </c>
      <c r="AR16" s="381"/>
      <c r="AS16" s="382"/>
      <c r="AT16" s="379">
        <f t="shared" si="13"/>
        <v>0</v>
      </c>
      <c r="AU16" s="381">
        <f t="shared" ref="AU16:AU42" si="53">55000000+24950000+90000000</f>
        <v>169950000</v>
      </c>
      <c r="AV16" s="382">
        <v>2.5499999999999998E-2</v>
      </c>
      <c r="AW16" s="379">
        <f t="shared" si="14"/>
        <v>12038.125</v>
      </c>
      <c r="AX16" s="381"/>
      <c r="AY16" s="382"/>
      <c r="AZ16" s="379">
        <f t="shared" si="15"/>
        <v>0</v>
      </c>
      <c r="BC16" s="379">
        <f t="shared" si="16"/>
        <v>0</v>
      </c>
      <c r="BF16" s="379">
        <f t="shared" si="17"/>
        <v>0</v>
      </c>
      <c r="BI16" s="379">
        <f t="shared" si="18"/>
        <v>0</v>
      </c>
      <c r="BL16" s="379">
        <f t="shared" si="19"/>
        <v>0</v>
      </c>
      <c r="BO16" s="379">
        <f t="shared" si="20"/>
        <v>0</v>
      </c>
      <c r="BR16" s="379">
        <f t="shared" si="21"/>
        <v>0</v>
      </c>
      <c r="BU16" s="379">
        <f t="shared" si="22"/>
        <v>0</v>
      </c>
      <c r="BX16" s="379">
        <f t="shared" si="23"/>
        <v>0</v>
      </c>
      <c r="CA16" s="379">
        <f t="shared" si="24"/>
        <v>0</v>
      </c>
      <c r="CD16" s="379">
        <f t="shared" si="25"/>
        <v>0</v>
      </c>
      <c r="CG16" s="379">
        <f t="shared" si="26"/>
        <v>0</v>
      </c>
      <c r="CJ16" s="379">
        <f t="shared" si="27"/>
        <v>0</v>
      </c>
      <c r="CM16" s="379">
        <f t="shared" si="28"/>
        <v>0</v>
      </c>
      <c r="CP16" s="379">
        <f t="shared" si="29"/>
        <v>0</v>
      </c>
      <c r="CS16" s="379">
        <f t="shared" si="30"/>
        <v>0</v>
      </c>
      <c r="CV16" s="379">
        <f t="shared" si="31"/>
        <v>0</v>
      </c>
      <c r="CY16" s="379">
        <f t="shared" si="32"/>
        <v>0</v>
      </c>
      <c r="DB16" s="379">
        <f t="shared" si="33"/>
        <v>0</v>
      </c>
      <c r="DE16" s="379">
        <f t="shared" si="34"/>
        <v>0</v>
      </c>
      <c r="DH16" s="379">
        <f t="shared" si="35"/>
        <v>0</v>
      </c>
      <c r="DK16" s="379">
        <f t="shared" si="36"/>
        <v>0</v>
      </c>
      <c r="DN16" s="379">
        <f t="shared" si="37"/>
        <v>0</v>
      </c>
      <c r="DQ16" s="379">
        <f t="shared" si="38"/>
        <v>0</v>
      </c>
      <c r="DT16" s="379">
        <f t="shared" si="39"/>
        <v>0</v>
      </c>
      <c r="DW16" s="379">
        <f t="shared" si="40"/>
        <v>0</v>
      </c>
      <c r="DY16" s="384"/>
      <c r="DZ16" s="366"/>
      <c r="EA16" s="379"/>
      <c r="EB16" s="190">
        <f t="shared" si="41"/>
        <v>393381364.43000001</v>
      </c>
      <c r="EC16" s="190">
        <f t="shared" si="42"/>
        <v>43451364.430000007</v>
      </c>
      <c r="ED16" s="379">
        <f t="shared" si="43"/>
        <v>26604.476816397222</v>
      </c>
      <c r="EE16" s="380">
        <f t="shared" si="44"/>
        <v>2.4346887066652802E-2</v>
      </c>
      <c r="EG16" s="190">
        <f t="shared" si="45"/>
        <v>0</v>
      </c>
      <c r="EH16" s="379">
        <f t="shared" si="46"/>
        <v>0</v>
      </c>
      <c r="EI16" s="380">
        <f t="shared" si="47"/>
        <v>0</v>
      </c>
      <c r="EJ16" s="380"/>
      <c r="EK16" s="190">
        <f t="shared" si="48"/>
        <v>349930000</v>
      </c>
      <c r="EL16" s="190">
        <f t="shared" si="49"/>
        <v>0</v>
      </c>
      <c r="EM16" s="190">
        <f t="shared" si="50"/>
        <v>23937.045833333334</v>
      </c>
      <c r="EN16" s="380">
        <f t="shared" si="51"/>
        <v>2.4625886605892607E-2</v>
      </c>
      <c r="EP16" s="379"/>
    </row>
    <row r="17" spans="1:146">
      <c r="A17" s="378">
        <f t="shared" si="52"/>
        <v>43379</v>
      </c>
      <c r="D17" s="379">
        <f t="shared" si="1"/>
        <v>0</v>
      </c>
      <c r="E17" s="379">
        <v>43451364.43</v>
      </c>
      <c r="F17" s="380">
        <v>2.2099999999999998E-2</v>
      </c>
      <c r="G17" s="379">
        <f t="shared" si="2"/>
        <v>2667.4309830638886</v>
      </c>
      <c r="J17" s="379">
        <f t="shared" si="3"/>
        <v>0</v>
      </c>
      <c r="M17" s="379">
        <f t="shared" si="4"/>
        <v>0</v>
      </c>
      <c r="P17" s="379">
        <f t="shared" si="5"/>
        <v>0</v>
      </c>
      <c r="S17" s="379">
        <f t="shared" si="6"/>
        <v>0</v>
      </c>
      <c r="V17" s="379">
        <f t="shared" si="7"/>
        <v>0</v>
      </c>
      <c r="Y17" s="379">
        <f t="shared" si="8"/>
        <v>0</v>
      </c>
      <c r="AB17" s="379">
        <f t="shared" si="9"/>
        <v>0</v>
      </c>
      <c r="AE17" s="379">
        <v>0</v>
      </c>
      <c r="AH17" s="379">
        <v>0</v>
      </c>
      <c r="AI17" s="381">
        <f>125000</f>
        <v>125000</v>
      </c>
      <c r="AJ17" s="382">
        <v>2.4500000000000001E-2</v>
      </c>
      <c r="AK17" s="379">
        <f t="shared" si="10"/>
        <v>8.5069444444444446</v>
      </c>
      <c r="AL17" s="381">
        <f t="shared" si="0"/>
        <v>179855000</v>
      </c>
      <c r="AM17" s="382">
        <v>2.3800000000000002E-2</v>
      </c>
      <c r="AN17" s="379">
        <f t="shared" si="11"/>
        <v>11890.413888888888</v>
      </c>
      <c r="AO17" s="381"/>
      <c r="AP17" s="382"/>
      <c r="AQ17" s="379">
        <f t="shared" si="12"/>
        <v>0</v>
      </c>
      <c r="AR17" s="381"/>
      <c r="AS17" s="382"/>
      <c r="AT17" s="379">
        <f t="shared" si="13"/>
        <v>0</v>
      </c>
      <c r="AU17" s="381">
        <f t="shared" si="53"/>
        <v>169950000</v>
      </c>
      <c r="AV17" s="382">
        <v>2.5499999999999998E-2</v>
      </c>
      <c r="AW17" s="379">
        <f t="shared" si="14"/>
        <v>12038.125</v>
      </c>
      <c r="AX17" s="381"/>
      <c r="AY17" s="382"/>
      <c r="AZ17" s="379">
        <f t="shared" si="15"/>
        <v>0</v>
      </c>
      <c r="BC17" s="379">
        <f t="shared" si="16"/>
        <v>0</v>
      </c>
      <c r="BF17" s="379">
        <f t="shared" si="17"/>
        <v>0</v>
      </c>
      <c r="BI17" s="379">
        <f t="shared" si="18"/>
        <v>0</v>
      </c>
      <c r="BL17" s="379">
        <f t="shared" si="19"/>
        <v>0</v>
      </c>
      <c r="BO17" s="379">
        <f t="shared" si="20"/>
        <v>0</v>
      </c>
      <c r="BR17" s="379">
        <f t="shared" si="21"/>
        <v>0</v>
      </c>
      <c r="BU17" s="379">
        <f t="shared" si="22"/>
        <v>0</v>
      </c>
      <c r="BX17" s="379">
        <f t="shared" si="23"/>
        <v>0</v>
      </c>
      <c r="CA17" s="379">
        <f t="shared" si="24"/>
        <v>0</v>
      </c>
      <c r="CD17" s="379">
        <f t="shared" si="25"/>
        <v>0</v>
      </c>
      <c r="CG17" s="379">
        <f t="shared" si="26"/>
        <v>0</v>
      </c>
      <c r="CJ17" s="379">
        <f t="shared" si="27"/>
        <v>0</v>
      </c>
      <c r="CM17" s="379">
        <f t="shared" si="28"/>
        <v>0</v>
      </c>
      <c r="CP17" s="379">
        <f t="shared" si="29"/>
        <v>0</v>
      </c>
      <c r="CS17" s="379">
        <f t="shared" si="30"/>
        <v>0</v>
      </c>
      <c r="CV17" s="379">
        <f t="shared" si="31"/>
        <v>0</v>
      </c>
      <c r="CY17" s="379">
        <f t="shared" si="32"/>
        <v>0</v>
      </c>
      <c r="DB17" s="379">
        <f t="shared" si="33"/>
        <v>0</v>
      </c>
      <c r="DE17" s="379">
        <f t="shared" si="34"/>
        <v>0</v>
      </c>
      <c r="DH17" s="379">
        <f t="shared" si="35"/>
        <v>0</v>
      </c>
      <c r="DK17" s="379">
        <f t="shared" si="36"/>
        <v>0</v>
      </c>
      <c r="DN17" s="379">
        <f t="shared" si="37"/>
        <v>0</v>
      </c>
      <c r="DQ17" s="379">
        <f t="shared" si="38"/>
        <v>0</v>
      </c>
      <c r="DT17" s="379">
        <f t="shared" si="39"/>
        <v>0</v>
      </c>
      <c r="DW17" s="379">
        <f t="shared" si="40"/>
        <v>0</v>
      </c>
      <c r="DY17" s="384"/>
      <c r="DZ17" s="366"/>
      <c r="EA17" s="379"/>
      <c r="EB17" s="190">
        <f t="shared" si="41"/>
        <v>393381364.43000001</v>
      </c>
      <c r="EC17" s="190">
        <f t="shared" si="42"/>
        <v>43451364.430000007</v>
      </c>
      <c r="ED17" s="379">
        <f t="shared" si="43"/>
        <v>26604.476816397222</v>
      </c>
      <c r="EE17" s="380">
        <f t="shared" si="44"/>
        <v>2.4346887066652802E-2</v>
      </c>
      <c r="EG17" s="190">
        <f t="shared" si="45"/>
        <v>0</v>
      </c>
      <c r="EH17" s="379">
        <f t="shared" si="46"/>
        <v>0</v>
      </c>
      <c r="EI17" s="380">
        <f t="shared" si="47"/>
        <v>0</v>
      </c>
      <c r="EJ17" s="380"/>
      <c r="EK17" s="190">
        <f t="shared" si="48"/>
        <v>349930000</v>
      </c>
      <c r="EL17" s="190">
        <f t="shared" si="49"/>
        <v>0</v>
      </c>
      <c r="EM17" s="190">
        <f t="shared" si="50"/>
        <v>23937.045833333334</v>
      </c>
      <c r="EN17" s="380">
        <f t="shared" si="51"/>
        <v>2.4625886605892607E-2</v>
      </c>
      <c r="EP17" s="379"/>
    </row>
    <row r="18" spans="1:146">
      <c r="A18" s="378">
        <f t="shared" si="52"/>
        <v>43380</v>
      </c>
      <c r="D18" s="379">
        <f t="shared" si="1"/>
        <v>0</v>
      </c>
      <c r="E18" s="379">
        <v>43451364.43</v>
      </c>
      <c r="F18" s="380">
        <v>2.2099999999999998E-2</v>
      </c>
      <c r="G18" s="379">
        <f t="shared" si="2"/>
        <v>2667.4309830638886</v>
      </c>
      <c r="J18" s="379">
        <f t="shared" si="3"/>
        <v>0</v>
      </c>
      <c r="M18" s="379">
        <f t="shared" si="4"/>
        <v>0</v>
      </c>
      <c r="P18" s="379">
        <f t="shared" si="5"/>
        <v>0</v>
      </c>
      <c r="S18" s="379">
        <f t="shared" si="6"/>
        <v>0</v>
      </c>
      <c r="V18" s="379">
        <f t="shared" si="7"/>
        <v>0</v>
      </c>
      <c r="Y18" s="379">
        <f t="shared" si="8"/>
        <v>0</v>
      </c>
      <c r="AB18" s="379">
        <f t="shared" si="9"/>
        <v>0</v>
      </c>
      <c r="AE18" s="379">
        <v>0</v>
      </c>
      <c r="AH18" s="379">
        <v>0</v>
      </c>
      <c r="AI18" s="381">
        <f>125000</f>
        <v>125000</v>
      </c>
      <c r="AJ18" s="382">
        <v>2.4500000000000001E-2</v>
      </c>
      <c r="AK18" s="379">
        <f t="shared" si="10"/>
        <v>8.5069444444444446</v>
      </c>
      <c r="AL18" s="381">
        <f t="shared" si="0"/>
        <v>179855000</v>
      </c>
      <c r="AM18" s="382">
        <v>2.3800000000000002E-2</v>
      </c>
      <c r="AN18" s="379">
        <f t="shared" si="11"/>
        <v>11890.413888888888</v>
      </c>
      <c r="AO18" s="381"/>
      <c r="AP18" s="382"/>
      <c r="AQ18" s="379">
        <f t="shared" si="12"/>
        <v>0</v>
      </c>
      <c r="AR18" s="381"/>
      <c r="AS18" s="382"/>
      <c r="AT18" s="379">
        <f t="shared" si="13"/>
        <v>0</v>
      </c>
      <c r="AU18" s="381">
        <f t="shared" si="53"/>
        <v>169950000</v>
      </c>
      <c r="AV18" s="382">
        <v>2.5499999999999998E-2</v>
      </c>
      <c r="AW18" s="379">
        <f t="shared" si="14"/>
        <v>12038.125</v>
      </c>
      <c r="AX18" s="381"/>
      <c r="AY18" s="382"/>
      <c r="AZ18" s="379">
        <f t="shared" si="15"/>
        <v>0</v>
      </c>
      <c r="BC18" s="379">
        <f t="shared" si="16"/>
        <v>0</v>
      </c>
      <c r="BF18" s="379">
        <f t="shared" si="17"/>
        <v>0</v>
      </c>
      <c r="BI18" s="379">
        <f t="shared" si="18"/>
        <v>0</v>
      </c>
      <c r="BL18" s="379">
        <f t="shared" si="19"/>
        <v>0</v>
      </c>
      <c r="BO18" s="379">
        <f t="shared" si="20"/>
        <v>0</v>
      </c>
      <c r="BR18" s="379">
        <f t="shared" si="21"/>
        <v>0</v>
      </c>
      <c r="BU18" s="379">
        <f t="shared" si="22"/>
        <v>0</v>
      </c>
      <c r="BX18" s="379">
        <f t="shared" si="23"/>
        <v>0</v>
      </c>
      <c r="CA18" s="379">
        <f t="shared" si="24"/>
        <v>0</v>
      </c>
      <c r="CD18" s="379">
        <f t="shared" si="25"/>
        <v>0</v>
      </c>
      <c r="CG18" s="379">
        <f t="shared" si="26"/>
        <v>0</v>
      </c>
      <c r="CJ18" s="379">
        <f t="shared" si="27"/>
        <v>0</v>
      </c>
      <c r="CM18" s="379">
        <f t="shared" si="28"/>
        <v>0</v>
      </c>
      <c r="CP18" s="379">
        <f t="shared" si="29"/>
        <v>0</v>
      </c>
      <c r="CS18" s="379">
        <f t="shared" si="30"/>
        <v>0</v>
      </c>
      <c r="CV18" s="379">
        <f t="shared" si="31"/>
        <v>0</v>
      </c>
      <c r="CY18" s="379">
        <f t="shared" si="32"/>
        <v>0</v>
      </c>
      <c r="DB18" s="379">
        <f t="shared" si="33"/>
        <v>0</v>
      </c>
      <c r="DE18" s="379">
        <f t="shared" si="34"/>
        <v>0</v>
      </c>
      <c r="DH18" s="379">
        <f t="shared" si="35"/>
        <v>0</v>
      </c>
      <c r="DK18" s="379">
        <f t="shared" si="36"/>
        <v>0</v>
      </c>
      <c r="DN18" s="379">
        <f t="shared" si="37"/>
        <v>0</v>
      </c>
      <c r="DQ18" s="379">
        <f t="shared" si="38"/>
        <v>0</v>
      </c>
      <c r="DT18" s="379">
        <f t="shared" si="39"/>
        <v>0</v>
      </c>
      <c r="DW18" s="379">
        <f t="shared" si="40"/>
        <v>0</v>
      </c>
      <c r="DY18" s="384"/>
      <c r="DZ18" s="366"/>
      <c r="EA18" s="379"/>
      <c r="EB18" s="190">
        <f t="shared" si="41"/>
        <v>393381364.43000001</v>
      </c>
      <c r="EC18" s="190">
        <f t="shared" si="42"/>
        <v>43451364.430000007</v>
      </c>
      <c r="ED18" s="379">
        <f t="shared" si="43"/>
        <v>26604.476816397222</v>
      </c>
      <c r="EE18" s="380">
        <f t="shared" si="44"/>
        <v>2.4346887066652802E-2</v>
      </c>
      <c r="EG18" s="190">
        <f t="shared" si="45"/>
        <v>0</v>
      </c>
      <c r="EH18" s="379">
        <f t="shared" si="46"/>
        <v>0</v>
      </c>
      <c r="EI18" s="380">
        <f t="shared" si="47"/>
        <v>0</v>
      </c>
      <c r="EJ18" s="380"/>
      <c r="EK18" s="190">
        <f t="shared" si="48"/>
        <v>349930000</v>
      </c>
      <c r="EL18" s="190">
        <f t="shared" si="49"/>
        <v>0</v>
      </c>
      <c r="EM18" s="190">
        <f t="shared" si="50"/>
        <v>23937.045833333334</v>
      </c>
      <c r="EN18" s="380">
        <f t="shared" si="51"/>
        <v>2.4625886605892607E-2</v>
      </c>
      <c r="EP18" s="379"/>
    </row>
    <row r="19" spans="1:146">
      <c r="A19" s="378">
        <f t="shared" si="52"/>
        <v>43381</v>
      </c>
      <c r="D19" s="379">
        <f t="shared" si="1"/>
        <v>0</v>
      </c>
      <c r="E19" s="379">
        <v>43451364.43</v>
      </c>
      <c r="F19" s="380">
        <v>2.2099999999999998E-2</v>
      </c>
      <c r="G19" s="379">
        <f t="shared" si="2"/>
        <v>2667.4309830638886</v>
      </c>
      <c r="J19" s="379">
        <f t="shared" si="3"/>
        <v>0</v>
      </c>
      <c r="M19" s="379">
        <f t="shared" si="4"/>
        <v>0</v>
      </c>
      <c r="P19" s="379">
        <f t="shared" si="5"/>
        <v>0</v>
      </c>
      <c r="S19" s="379">
        <f t="shared" si="6"/>
        <v>0</v>
      </c>
      <c r="V19" s="379">
        <f t="shared" si="7"/>
        <v>0</v>
      </c>
      <c r="Y19" s="379">
        <f t="shared" si="8"/>
        <v>0</v>
      </c>
      <c r="AB19" s="379">
        <f t="shared" si="9"/>
        <v>0</v>
      </c>
      <c r="AE19" s="379">
        <v>0</v>
      </c>
      <c r="AH19" s="379">
        <v>0</v>
      </c>
      <c r="AI19" s="381">
        <f>125000</f>
        <v>125000</v>
      </c>
      <c r="AJ19" s="382">
        <v>2.4500000000000001E-2</v>
      </c>
      <c r="AK19" s="379">
        <f t="shared" si="10"/>
        <v>8.5069444444444446</v>
      </c>
      <c r="AL19" s="381">
        <f t="shared" si="0"/>
        <v>179855000</v>
      </c>
      <c r="AM19" s="382">
        <v>2.3800000000000002E-2</v>
      </c>
      <c r="AN19" s="379">
        <f t="shared" si="11"/>
        <v>11890.413888888888</v>
      </c>
      <c r="AO19" s="381"/>
      <c r="AP19" s="382"/>
      <c r="AQ19" s="379">
        <f t="shared" si="12"/>
        <v>0</v>
      </c>
      <c r="AR19" s="381"/>
      <c r="AS19" s="382"/>
      <c r="AT19" s="379">
        <f t="shared" si="13"/>
        <v>0</v>
      </c>
      <c r="AU19" s="381">
        <f t="shared" si="53"/>
        <v>169950000</v>
      </c>
      <c r="AV19" s="382">
        <v>2.5499999999999998E-2</v>
      </c>
      <c r="AW19" s="379">
        <f t="shared" si="14"/>
        <v>12038.125</v>
      </c>
      <c r="AX19" s="381"/>
      <c r="AY19" s="382"/>
      <c r="AZ19" s="379">
        <f t="shared" si="15"/>
        <v>0</v>
      </c>
      <c r="BC19" s="379">
        <f t="shared" si="16"/>
        <v>0</v>
      </c>
      <c r="BF19" s="379">
        <f t="shared" si="17"/>
        <v>0</v>
      </c>
      <c r="BI19" s="379">
        <f t="shared" si="18"/>
        <v>0</v>
      </c>
      <c r="BL19" s="379">
        <f t="shared" si="19"/>
        <v>0</v>
      </c>
      <c r="BO19" s="379">
        <f t="shared" si="20"/>
        <v>0</v>
      </c>
      <c r="BR19" s="379">
        <f t="shared" si="21"/>
        <v>0</v>
      </c>
      <c r="BU19" s="379">
        <f t="shared" si="22"/>
        <v>0</v>
      </c>
      <c r="BX19" s="379">
        <f t="shared" si="23"/>
        <v>0</v>
      </c>
      <c r="CA19" s="379">
        <f t="shared" si="24"/>
        <v>0</v>
      </c>
      <c r="CD19" s="379">
        <f t="shared" si="25"/>
        <v>0</v>
      </c>
      <c r="CG19" s="379">
        <f t="shared" si="26"/>
        <v>0</v>
      </c>
      <c r="CJ19" s="379">
        <f t="shared" si="27"/>
        <v>0</v>
      </c>
      <c r="CM19" s="379">
        <f t="shared" si="28"/>
        <v>0</v>
      </c>
      <c r="CP19" s="379">
        <f t="shared" si="29"/>
        <v>0</v>
      </c>
      <c r="CS19" s="379">
        <f t="shared" si="30"/>
        <v>0</v>
      </c>
      <c r="CV19" s="379">
        <f t="shared" si="31"/>
        <v>0</v>
      </c>
      <c r="CY19" s="379">
        <f t="shared" si="32"/>
        <v>0</v>
      </c>
      <c r="DB19" s="379">
        <f t="shared" si="33"/>
        <v>0</v>
      </c>
      <c r="DE19" s="379">
        <f t="shared" si="34"/>
        <v>0</v>
      </c>
      <c r="DH19" s="379">
        <f t="shared" si="35"/>
        <v>0</v>
      </c>
      <c r="DK19" s="379">
        <f t="shared" si="36"/>
        <v>0</v>
      </c>
      <c r="DN19" s="379">
        <f t="shared" si="37"/>
        <v>0</v>
      </c>
      <c r="DQ19" s="379">
        <f t="shared" si="38"/>
        <v>0</v>
      </c>
      <c r="DT19" s="379">
        <f t="shared" si="39"/>
        <v>0</v>
      </c>
      <c r="DW19" s="379">
        <f t="shared" si="40"/>
        <v>0</v>
      </c>
      <c r="DY19" s="384"/>
      <c r="DZ19" s="366"/>
      <c r="EA19" s="379"/>
      <c r="EB19" s="190">
        <f t="shared" si="41"/>
        <v>393381364.43000001</v>
      </c>
      <c r="EC19" s="190">
        <f t="shared" si="42"/>
        <v>43451364.430000007</v>
      </c>
      <c r="ED19" s="379">
        <f t="shared" si="43"/>
        <v>26604.476816397222</v>
      </c>
      <c r="EE19" s="380">
        <f t="shared" si="44"/>
        <v>2.4346887066652802E-2</v>
      </c>
      <c r="EG19" s="190">
        <f t="shared" si="45"/>
        <v>0</v>
      </c>
      <c r="EH19" s="379">
        <f t="shared" si="46"/>
        <v>0</v>
      </c>
      <c r="EI19" s="380">
        <f t="shared" si="47"/>
        <v>0</v>
      </c>
      <c r="EJ19" s="380"/>
      <c r="EK19" s="190">
        <f t="shared" si="48"/>
        <v>349930000</v>
      </c>
      <c r="EL19" s="190">
        <f t="shared" si="49"/>
        <v>0</v>
      </c>
      <c r="EM19" s="190">
        <f t="shared" si="50"/>
        <v>23937.045833333334</v>
      </c>
      <c r="EN19" s="380">
        <f t="shared" si="51"/>
        <v>2.4625886605892607E-2</v>
      </c>
      <c r="EP19" s="379"/>
    </row>
    <row r="20" spans="1:146">
      <c r="A20" s="378">
        <f t="shared" si="52"/>
        <v>43382</v>
      </c>
      <c r="D20" s="379">
        <f t="shared" si="1"/>
        <v>0</v>
      </c>
      <c r="E20" s="379">
        <v>32645998.43</v>
      </c>
      <c r="F20" s="380">
        <v>2.2200000000000001E-2</v>
      </c>
      <c r="G20" s="379">
        <f t="shared" si="2"/>
        <v>2013.1699031833332</v>
      </c>
      <c r="J20" s="379">
        <f t="shared" si="3"/>
        <v>0</v>
      </c>
      <c r="M20" s="379">
        <f t="shared" si="4"/>
        <v>0</v>
      </c>
      <c r="P20" s="379">
        <f t="shared" si="5"/>
        <v>0</v>
      </c>
      <c r="S20" s="379">
        <f t="shared" si="6"/>
        <v>0</v>
      </c>
      <c r="V20" s="379">
        <f t="shared" si="7"/>
        <v>0</v>
      </c>
      <c r="Y20" s="379">
        <f t="shared" si="8"/>
        <v>0</v>
      </c>
      <c r="AB20" s="379">
        <f t="shared" si="9"/>
        <v>0</v>
      </c>
      <c r="AE20" s="379">
        <v>0</v>
      </c>
      <c r="AH20" s="379">
        <v>0</v>
      </c>
      <c r="AI20" s="381"/>
      <c r="AJ20" s="382"/>
      <c r="AK20" s="379">
        <f t="shared" si="10"/>
        <v>0</v>
      </c>
      <c r="AL20" s="381">
        <f>70000000+71655000</f>
        <v>141655000</v>
      </c>
      <c r="AM20" s="382">
        <v>2.3800000000000002E-2</v>
      </c>
      <c r="AN20" s="379">
        <f t="shared" si="11"/>
        <v>9364.9694444444449</v>
      </c>
      <c r="AO20" s="381"/>
      <c r="AP20" s="382"/>
      <c r="AQ20" s="379">
        <f t="shared" si="12"/>
        <v>0</v>
      </c>
      <c r="AR20" s="381"/>
      <c r="AS20" s="382"/>
      <c r="AT20" s="379">
        <f t="shared" si="13"/>
        <v>0</v>
      </c>
      <c r="AU20" s="381">
        <f t="shared" si="53"/>
        <v>169950000</v>
      </c>
      <c r="AV20" s="382">
        <v>2.5499999999999998E-2</v>
      </c>
      <c r="AW20" s="379">
        <f t="shared" si="14"/>
        <v>12038.125</v>
      </c>
      <c r="AX20" s="381">
        <f>45275000</f>
        <v>45275000</v>
      </c>
      <c r="AY20" s="382">
        <v>2.52E-2</v>
      </c>
      <c r="AZ20" s="379">
        <f t="shared" si="15"/>
        <v>3169.25</v>
      </c>
      <c r="BC20" s="379">
        <f t="shared" si="16"/>
        <v>0</v>
      </c>
      <c r="BF20" s="379">
        <f t="shared" si="17"/>
        <v>0</v>
      </c>
      <c r="BI20" s="379">
        <f t="shared" si="18"/>
        <v>0</v>
      </c>
      <c r="BL20" s="379">
        <f t="shared" si="19"/>
        <v>0</v>
      </c>
      <c r="BO20" s="379">
        <f t="shared" si="20"/>
        <v>0</v>
      </c>
      <c r="BR20" s="379">
        <f t="shared" si="21"/>
        <v>0</v>
      </c>
      <c r="BU20" s="379">
        <f t="shared" si="22"/>
        <v>0</v>
      </c>
      <c r="BX20" s="379">
        <f t="shared" si="23"/>
        <v>0</v>
      </c>
      <c r="CA20" s="379">
        <f t="shared" si="24"/>
        <v>0</v>
      </c>
      <c r="CD20" s="379">
        <f t="shared" si="25"/>
        <v>0</v>
      </c>
      <c r="CG20" s="379">
        <f t="shared" si="26"/>
        <v>0</v>
      </c>
      <c r="CJ20" s="379">
        <f t="shared" si="27"/>
        <v>0</v>
      </c>
      <c r="CM20" s="379">
        <f t="shared" si="28"/>
        <v>0</v>
      </c>
      <c r="CP20" s="379">
        <f t="shared" si="29"/>
        <v>0</v>
      </c>
      <c r="CS20" s="379">
        <f t="shared" si="30"/>
        <v>0</v>
      </c>
      <c r="CV20" s="379">
        <f t="shared" si="31"/>
        <v>0</v>
      </c>
      <c r="CY20" s="379">
        <f t="shared" si="32"/>
        <v>0</v>
      </c>
      <c r="DB20" s="379">
        <f t="shared" si="33"/>
        <v>0</v>
      </c>
      <c r="DE20" s="379">
        <f t="shared" si="34"/>
        <v>0</v>
      </c>
      <c r="DH20" s="379">
        <f t="shared" si="35"/>
        <v>0</v>
      </c>
      <c r="DK20" s="379">
        <f t="shared" si="36"/>
        <v>0</v>
      </c>
      <c r="DN20" s="379">
        <f t="shared" si="37"/>
        <v>0</v>
      </c>
      <c r="DQ20" s="379">
        <f t="shared" si="38"/>
        <v>0</v>
      </c>
      <c r="DT20" s="379">
        <f t="shared" si="39"/>
        <v>0</v>
      </c>
      <c r="DW20" s="379">
        <f t="shared" si="40"/>
        <v>0</v>
      </c>
      <c r="DY20" s="384"/>
      <c r="DZ20" s="366"/>
      <c r="EA20" s="379"/>
      <c r="EB20" s="190">
        <f t="shared" si="41"/>
        <v>389525998.43000001</v>
      </c>
      <c r="EC20" s="190">
        <f t="shared" si="42"/>
        <v>32645998.430000007</v>
      </c>
      <c r="ED20" s="379">
        <f t="shared" si="43"/>
        <v>26585.514347627777</v>
      </c>
      <c r="EE20" s="380">
        <f t="shared" si="44"/>
        <v>2.4570337291275623E-2</v>
      </c>
      <c r="EG20" s="190">
        <f t="shared" si="45"/>
        <v>0</v>
      </c>
      <c r="EH20" s="379">
        <f t="shared" si="46"/>
        <v>0</v>
      </c>
      <c r="EI20" s="380">
        <f t="shared" si="47"/>
        <v>0</v>
      </c>
      <c r="EJ20" s="380"/>
      <c r="EK20" s="190">
        <f t="shared" si="48"/>
        <v>356880000</v>
      </c>
      <c r="EL20" s="190">
        <f t="shared" si="49"/>
        <v>0</v>
      </c>
      <c r="EM20" s="190">
        <f t="shared" si="50"/>
        <v>24572.344444444447</v>
      </c>
      <c r="EN20" s="380">
        <f t="shared" si="51"/>
        <v>2.478716655458418E-2</v>
      </c>
      <c r="EP20" s="379"/>
    </row>
    <row r="21" spans="1:146">
      <c r="A21" s="378">
        <f t="shared" si="52"/>
        <v>43383</v>
      </c>
      <c r="D21" s="379">
        <f t="shared" si="1"/>
        <v>0</v>
      </c>
      <c r="E21" s="379">
        <v>47947971.579999998</v>
      </c>
      <c r="F21" s="380">
        <v>2.2000000000000002E-2</v>
      </c>
      <c r="G21" s="379">
        <f t="shared" si="2"/>
        <v>2930.1538187777778</v>
      </c>
      <c r="J21" s="379">
        <f t="shared" si="3"/>
        <v>0</v>
      </c>
      <c r="M21" s="379">
        <f t="shared" si="4"/>
        <v>0</v>
      </c>
      <c r="P21" s="379">
        <f t="shared" si="5"/>
        <v>0</v>
      </c>
      <c r="S21" s="379">
        <f t="shared" si="6"/>
        <v>0</v>
      </c>
      <c r="V21" s="379">
        <f t="shared" si="7"/>
        <v>0</v>
      </c>
      <c r="Y21" s="379">
        <f t="shared" si="8"/>
        <v>0</v>
      </c>
      <c r="AB21" s="379">
        <f t="shared" si="9"/>
        <v>0</v>
      </c>
      <c r="AE21" s="379">
        <v>0</v>
      </c>
      <c r="AH21" s="379">
        <v>0</v>
      </c>
      <c r="AI21" s="381"/>
      <c r="AJ21" s="382"/>
      <c r="AK21" s="379">
        <f t="shared" si="10"/>
        <v>0</v>
      </c>
      <c r="AL21" s="381">
        <f>71655000</f>
        <v>71655000</v>
      </c>
      <c r="AM21" s="382">
        <v>2.3800000000000002E-2</v>
      </c>
      <c r="AN21" s="379">
        <f t="shared" si="11"/>
        <v>4737.1916666666675</v>
      </c>
      <c r="AO21" s="381"/>
      <c r="AP21" s="382"/>
      <c r="AQ21" s="379">
        <f t="shared" si="12"/>
        <v>0</v>
      </c>
      <c r="AR21" s="381"/>
      <c r="AS21" s="382"/>
      <c r="AT21" s="379">
        <f t="shared" si="13"/>
        <v>0</v>
      </c>
      <c r="AU21" s="381">
        <f t="shared" si="53"/>
        <v>169950000</v>
      </c>
      <c r="AV21" s="382">
        <v>2.5499999999999998E-2</v>
      </c>
      <c r="AW21" s="379">
        <f t="shared" si="14"/>
        <v>12038.125</v>
      </c>
      <c r="AX21" s="381">
        <f t="shared" ref="AX21:AX42" si="54">45275000+54925000</f>
        <v>100200000</v>
      </c>
      <c r="AY21" s="382">
        <v>2.52E-2</v>
      </c>
      <c r="AZ21" s="379">
        <f t="shared" si="15"/>
        <v>7014</v>
      </c>
      <c r="BC21" s="379">
        <f t="shared" si="16"/>
        <v>0</v>
      </c>
      <c r="BF21" s="379">
        <f t="shared" si="17"/>
        <v>0</v>
      </c>
      <c r="BI21" s="379">
        <f t="shared" si="18"/>
        <v>0</v>
      </c>
      <c r="BL21" s="379">
        <f t="shared" si="19"/>
        <v>0</v>
      </c>
      <c r="BO21" s="379">
        <f t="shared" si="20"/>
        <v>0</v>
      </c>
      <c r="BR21" s="379">
        <f t="shared" si="21"/>
        <v>0</v>
      </c>
      <c r="BU21" s="379">
        <f t="shared" si="22"/>
        <v>0</v>
      </c>
      <c r="BX21" s="379">
        <f t="shared" si="23"/>
        <v>0</v>
      </c>
      <c r="CA21" s="379">
        <f t="shared" si="24"/>
        <v>0</v>
      </c>
      <c r="CD21" s="379">
        <f t="shared" si="25"/>
        <v>0</v>
      </c>
      <c r="CG21" s="379">
        <f t="shared" si="26"/>
        <v>0</v>
      </c>
      <c r="CJ21" s="379">
        <f t="shared" si="27"/>
        <v>0</v>
      </c>
      <c r="CM21" s="379">
        <f t="shared" si="28"/>
        <v>0</v>
      </c>
      <c r="CP21" s="379">
        <f t="shared" si="29"/>
        <v>0</v>
      </c>
      <c r="CS21" s="379">
        <f t="shared" si="30"/>
        <v>0</v>
      </c>
      <c r="CV21" s="379">
        <f t="shared" si="31"/>
        <v>0</v>
      </c>
      <c r="CY21" s="379">
        <f t="shared" si="32"/>
        <v>0</v>
      </c>
      <c r="DB21" s="379">
        <f t="shared" si="33"/>
        <v>0</v>
      </c>
      <c r="DE21" s="379">
        <f t="shared" si="34"/>
        <v>0</v>
      </c>
      <c r="DH21" s="379">
        <f t="shared" si="35"/>
        <v>0</v>
      </c>
      <c r="DK21" s="379">
        <f t="shared" si="36"/>
        <v>0</v>
      </c>
      <c r="DN21" s="379">
        <f t="shared" si="37"/>
        <v>0</v>
      </c>
      <c r="DQ21" s="379">
        <f t="shared" si="38"/>
        <v>0</v>
      </c>
      <c r="DT21" s="379">
        <f t="shared" si="39"/>
        <v>0</v>
      </c>
      <c r="DW21" s="379">
        <f t="shared" si="40"/>
        <v>0</v>
      </c>
      <c r="DY21" s="384"/>
      <c r="DZ21" s="366"/>
      <c r="EA21" s="379"/>
      <c r="EB21" s="190">
        <f t="shared" si="41"/>
        <v>389752971.57999998</v>
      </c>
      <c r="EC21" s="190">
        <f t="shared" si="42"/>
        <v>47947971.579999983</v>
      </c>
      <c r="ED21" s="379">
        <f t="shared" si="43"/>
        <v>26719.470485444446</v>
      </c>
      <c r="EE21" s="380">
        <f t="shared" si="44"/>
        <v>2.4679758914386164E-2</v>
      </c>
      <c r="EG21" s="190">
        <f t="shared" si="45"/>
        <v>0</v>
      </c>
      <c r="EH21" s="379">
        <f t="shared" si="46"/>
        <v>0</v>
      </c>
      <c r="EI21" s="380">
        <f t="shared" si="47"/>
        <v>0</v>
      </c>
      <c r="EJ21" s="380"/>
      <c r="EK21" s="190">
        <f t="shared" si="48"/>
        <v>341805000</v>
      </c>
      <c r="EL21" s="190">
        <f t="shared" si="49"/>
        <v>0</v>
      </c>
      <c r="EM21" s="190">
        <f t="shared" si="50"/>
        <v>23789.316666666666</v>
      </c>
      <c r="EN21" s="380">
        <f t="shared" si="51"/>
        <v>2.5055672093737658E-2</v>
      </c>
      <c r="EP21" s="379"/>
    </row>
    <row r="22" spans="1:146">
      <c r="A22" s="378">
        <f t="shared" si="52"/>
        <v>43384</v>
      </c>
      <c r="D22" s="379">
        <f t="shared" si="1"/>
        <v>0</v>
      </c>
      <c r="E22" s="379">
        <v>35218568.329999998</v>
      </c>
      <c r="F22" s="380">
        <v>2.2099999999999998E-2</v>
      </c>
      <c r="G22" s="379">
        <f t="shared" si="2"/>
        <v>2162.0287780361109</v>
      </c>
      <c r="J22" s="379">
        <f t="shared" si="3"/>
        <v>0</v>
      </c>
      <c r="M22" s="379">
        <f t="shared" si="4"/>
        <v>0</v>
      </c>
      <c r="P22" s="379">
        <f t="shared" si="5"/>
        <v>0</v>
      </c>
      <c r="S22" s="379">
        <f t="shared" si="6"/>
        <v>0</v>
      </c>
      <c r="V22" s="379">
        <f t="shared" si="7"/>
        <v>0</v>
      </c>
      <c r="Y22" s="379">
        <f t="shared" si="8"/>
        <v>0</v>
      </c>
      <c r="AB22" s="379">
        <f t="shared" si="9"/>
        <v>0</v>
      </c>
      <c r="AE22" s="379">
        <v>0</v>
      </c>
      <c r="AH22" s="379">
        <v>0</v>
      </c>
      <c r="AI22" s="381">
        <f>84575000</f>
        <v>84575000</v>
      </c>
      <c r="AJ22" s="382">
        <v>2.4500000000000001E-2</v>
      </c>
      <c r="AK22" s="379">
        <f t="shared" si="10"/>
        <v>5755.7986111111113</v>
      </c>
      <c r="AL22" s="381"/>
      <c r="AM22" s="382"/>
      <c r="AN22" s="379">
        <f t="shared" si="11"/>
        <v>0</v>
      </c>
      <c r="AO22" s="381"/>
      <c r="AP22" s="382"/>
      <c r="AQ22" s="379">
        <f t="shared" si="12"/>
        <v>0</v>
      </c>
      <c r="AR22" s="381"/>
      <c r="AS22" s="382"/>
      <c r="AT22" s="379">
        <f t="shared" si="13"/>
        <v>0</v>
      </c>
      <c r="AU22" s="381">
        <f t="shared" si="53"/>
        <v>169950000</v>
      </c>
      <c r="AV22" s="382">
        <v>2.5499999999999998E-2</v>
      </c>
      <c r="AW22" s="379">
        <f t="shared" si="14"/>
        <v>12038.125</v>
      </c>
      <c r="AX22" s="381">
        <f t="shared" si="54"/>
        <v>100200000</v>
      </c>
      <c r="AY22" s="382">
        <v>2.52E-2</v>
      </c>
      <c r="AZ22" s="379">
        <f t="shared" si="15"/>
        <v>7014</v>
      </c>
      <c r="BC22" s="379">
        <f t="shared" si="16"/>
        <v>0</v>
      </c>
      <c r="BF22" s="379">
        <f t="shared" si="17"/>
        <v>0</v>
      </c>
      <c r="BI22" s="379">
        <f t="shared" si="18"/>
        <v>0</v>
      </c>
      <c r="BL22" s="379">
        <f t="shared" si="19"/>
        <v>0</v>
      </c>
      <c r="BO22" s="379">
        <f t="shared" si="20"/>
        <v>0</v>
      </c>
      <c r="BR22" s="379">
        <f t="shared" si="21"/>
        <v>0</v>
      </c>
      <c r="BU22" s="379">
        <f t="shared" si="22"/>
        <v>0</v>
      </c>
      <c r="BX22" s="379">
        <f t="shared" si="23"/>
        <v>0</v>
      </c>
      <c r="CA22" s="379">
        <f t="shared" si="24"/>
        <v>0</v>
      </c>
      <c r="CD22" s="379">
        <f t="shared" si="25"/>
        <v>0</v>
      </c>
      <c r="CG22" s="379">
        <f t="shared" si="26"/>
        <v>0</v>
      </c>
      <c r="CJ22" s="379">
        <f t="shared" si="27"/>
        <v>0</v>
      </c>
      <c r="CM22" s="379">
        <f t="shared" si="28"/>
        <v>0</v>
      </c>
      <c r="CP22" s="379">
        <f t="shared" si="29"/>
        <v>0</v>
      </c>
      <c r="CS22" s="379">
        <f t="shared" si="30"/>
        <v>0</v>
      </c>
      <c r="CV22" s="379">
        <f t="shared" si="31"/>
        <v>0</v>
      </c>
      <c r="CY22" s="379">
        <f t="shared" si="32"/>
        <v>0</v>
      </c>
      <c r="DB22" s="379">
        <f t="shared" si="33"/>
        <v>0</v>
      </c>
      <c r="DE22" s="379">
        <f t="shared" si="34"/>
        <v>0</v>
      </c>
      <c r="DH22" s="379">
        <f t="shared" si="35"/>
        <v>0</v>
      </c>
      <c r="DK22" s="379">
        <f t="shared" si="36"/>
        <v>0</v>
      </c>
      <c r="DN22" s="379">
        <f t="shared" si="37"/>
        <v>0</v>
      </c>
      <c r="DQ22" s="379">
        <f t="shared" si="38"/>
        <v>0</v>
      </c>
      <c r="DT22" s="379">
        <f t="shared" si="39"/>
        <v>0</v>
      </c>
      <c r="DW22" s="379">
        <f t="shared" si="40"/>
        <v>0</v>
      </c>
      <c r="DY22" s="384"/>
      <c r="DZ22" s="366"/>
      <c r="EA22" s="379"/>
      <c r="EB22" s="190">
        <f t="shared" si="41"/>
        <v>389943568.32999998</v>
      </c>
      <c r="EC22" s="190">
        <f t="shared" si="42"/>
        <v>35218568.329999983</v>
      </c>
      <c r="ED22" s="379">
        <f t="shared" si="43"/>
        <v>26969.95238914722</v>
      </c>
      <c r="EE22" s="380">
        <f t="shared" si="44"/>
        <v>2.489894345911188E-2</v>
      </c>
      <c r="EG22" s="190">
        <f t="shared" si="45"/>
        <v>0</v>
      </c>
      <c r="EH22" s="379">
        <f t="shared" si="46"/>
        <v>0</v>
      </c>
      <c r="EI22" s="380">
        <f t="shared" si="47"/>
        <v>0</v>
      </c>
      <c r="EJ22" s="380"/>
      <c r="EK22" s="190">
        <f t="shared" si="48"/>
        <v>354725000</v>
      </c>
      <c r="EL22" s="190">
        <f t="shared" si="49"/>
        <v>0</v>
      </c>
      <c r="EM22" s="190">
        <f t="shared" si="50"/>
        <v>24807.923611111109</v>
      </c>
      <c r="EN22" s="380">
        <f t="shared" si="51"/>
        <v>2.5176834167312704E-2</v>
      </c>
      <c r="EP22" s="379"/>
    </row>
    <row r="23" spans="1:146">
      <c r="A23" s="378">
        <f t="shared" si="52"/>
        <v>43385</v>
      </c>
      <c r="D23" s="379">
        <f t="shared" si="1"/>
        <v>0</v>
      </c>
      <c r="E23" s="379">
        <v>35365363.079999998</v>
      </c>
      <c r="F23" s="380">
        <v>2.2400000000000003E-2</v>
      </c>
      <c r="G23" s="379">
        <f t="shared" si="2"/>
        <v>2200.5114805333337</v>
      </c>
      <c r="J23" s="379">
        <f t="shared" si="3"/>
        <v>0</v>
      </c>
      <c r="M23" s="379">
        <f t="shared" si="4"/>
        <v>0</v>
      </c>
      <c r="P23" s="379">
        <f t="shared" si="5"/>
        <v>0</v>
      </c>
      <c r="S23" s="379">
        <f t="shared" si="6"/>
        <v>0</v>
      </c>
      <c r="V23" s="379">
        <f t="shared" si="7"/>
        <v>0</v>
      </c>
      <c r="Y23" s="379">
        <f t="shared" si="8"/>
        <v>0</v>
      </c>
      <c r="AB23" s="379">
        <f t="shared" si="9"/>
        <v>0</v>
      </c>
      <c r="AE23" s="379">
        <v>0</v>
      </c>
      <c r="AH23" s="379">
        <v>0</v>
      </c>
      <c r="AI23" s="381">
        <f>84575000</f>
        <v>84575000</v>
      </c>
      <c r="AJ23" s="382">
        <v>2.4500000000000001E-2</v>
      </c>
      <c r="AK23" s="379">
        <f t="shared" si="10"/>
        <v>5755.7986111111113</v>
      </c>
      <c r="AL23" s="381"/>
      <c r="AM23" s="382"/>
      <c r="AN23" s="379">
        <f t="shared" si="11"/>
        <v>0</v>
      </c>
      <c r="AO23" s="381"/>
      <c r="AP23" s="382"/>
      <c r="AQ23" s="379">
        <f t="shared" si="12"/>
        <v>0</v>
      </c>
      <c r="AR23" s="381"/>
      <c r="AS23" s="382"/>
      <c r="AT23" s="379">
        <f t="shared" si="13"/>
        <v>0</v>
      </c>
      <c r="AU23" s="381">
        <f t="shared" si="53"/>
        <v>169950000</v>
      </c>
      <c r="AV23" s="382">
        <v>2.5499999999999998E-2</v>
      </c>
      <c r="AW23" s="379">
        <f t="shared" si="14"/>
        <v>12038.125</v>
      </c>
      <c r="AX23" s="381">
        <f t="shared" si="54"/>
        <v>100200000</v>
      </c>
      <c r="AY23" s="382">
        <v>2.52E-2</v>
      </c>
      <c r="AZ23" s="379">
        <f t="shared" si="15"/>
        <v>7014</v>
      </c>
      <c r="BC23" s="379">
        <f t="shared" si="16"/>
        <v>0</v>
      </c>
      <c r="BF23" s="379">
        <f t="shared" si="17"/>
        <v>0</v>
      </c>
      <c r="BI23" s="379">
        <f t="shared" si="18"/>
        <v>0</v>
      </c>
      <c r="BL23" s="379">
        <f t="shared" si="19"/>
        <v>0</v>
      </c>
      <c r="BO23" s="379">
        <f t="shared" si="20"/>
        <v>0</v>
      </c>
      <c r="BR23" s="379">
        <f t="shared" si="21"/>
        <v>0</v>
      </c>
      <c r="BU23" s="379">
        <f t="shared" si="22"/>
        <v>0</v>
      </c>
      <c r="BX23" s="379">
        <f t="shared" si="23"/>
        <v>0</v>
      </c>
      <c r="CA23" s="379">
        <f t="shared" si="24"/>
        <v>0</v>
      </c>
      <c r="CD23" s="379">
        <f t="shared" si="25"/>
        <v>0</v>
      </c>
      <c r="CG23" s="379">
        <f t="shared" si="26"/>
        <v>0</v>
      </c>
      <c r="CJ23" s="379">
        <f t="shared" si="27"/>
        <v>0</v>
      </c>
      <c r="CM23" s="379">
        <f t="shared" si="28"/>
        <v>0</v>
      </c>
      <c r="CP23" s="379">
        <f t="shared" si="29"/>
        <v>0</v>
      </c>
      <c r="CS23" s="379">
        <f t="shared" si="30"/>
        <v>0</v>
      </c>
      <c r="CV23" s="379">
        <f t="shared" si="31"/>
        <v>0</v>
      </c>
      <c r="CY23" s="379">
        <f t="shared" si="32"/>
        <v>0</v>
      </c>
      <c r="DB23" s="379">
        <f t="shared" si="33"/>
        <v>0</v>
      </c>
      <c r="DE23" s="379">
        <f t="shared" si="34"/>
        <v>0</v>
      </c>
      <c r="DH23" s="379">
        <f t="shared" si="35"/>
        <v>0</v>
      </c>
      <c r="DK23" s="379">
        <f t="shared" si="36"/>
        <v>0</v>
      </c>
      <c r="DN23" s="379">
        <f t="shared" si="37"/>
        <v>0</v>
      </c>
      <c r="DQ23" s="379">
        <f t="shared" si="38"/>
        <v>0</v>
      </c>
      <c r="DT23" s="379">
        <f t="shared" si="39"/>
        <v>0</v>
      </c>
      <c r="DW23" s="379">
        <f t="shared" si="40"/>
        <v>0</v>
      </c>
      <c r="DY23" s="384"/>
      <c r="DZ23" s="366"/>
      <c r="EA23" s="379"/>
      <c r="EB23" s="190">
        <f t="shared" si="41"/>
        <v>390090363.07999998</v>
      </c>
      <c r="EC23" s="190">
        <f t="shared" si="42"/>
        <v>35365363.079999983</v>
      </c>
      <c r="ED23" s="379">
        <f t="shared" si="43"/>
        <v>27008.435091644445</v>
      </c>
      <c r="EE23" s="380">
        <f t="shared" si="44"/>
        <v>2.4925088013512384E-2</v>
      </c>
      <c r="EG23" s="190">
        <f t="shared" si="45"/>
        <v>0</v>
      </c>
      <c r="EH23" s="379">
        <f t="shared" si="46"/>
        <v>0</v>
      </c>
      <c r="EI23" s="380">
        <f t="shared" si="47"/>
        <v>0</v>
      </c>
      <c r="EJ23" s="380"/>
      <c r="EK23" s="190">
        <f t="shared" si="48"/>
        <v>354725000</v>
      </c>
      <c r="EL23" s="190">
        <f t="shared" si="49"/>
        <v>0</v>
      </c>
      <c r="EM23" s="190">
        <f t="shared" si="50"/>
        <v>24807.923611111109</v>
      </c>
      <c r="EN23" s="380">
        <f t="shared" si="51"/>
        <v>2.5176834167312704E-2</v>
      </c>
      <c r="EP23" s="379"/>
    </row>
    <row r="24" spans="1:146">
      <c r="A24" s="378">
        <f t="shared" si="52"/>
        <v>43386</v>
      </c>
      <c r="D24" s="379">
        <f t="shared" si="1"/>
        <v>0</v>
      </c>
      <c r="E24" s="379">
        <v>35365363.079999998</v>
      </c>
      <c r="F24" s="380">
        <v>2.2400000000000003E-2</v>
      </c>
      <c r="G24" s="379">
        <f t="shared" si="2"/>
        <v>2200.5114805333337</v>
      </c>
      <c r="J24" s="379">
        <f t="shared" si="3"/>
        <v>0</v>
      </c>
      <c r="M24" s="379">
        <f t="shared" si="4"/>
        <v>0</v>
      </c>
      <c r="P24" s="379">
        <f t="shared" si="5"/>
        <v>0</v>
      </c>
      <c r="S24" s="379">
        <f t="shared" si="6"/>
        <v>0</v>
      </c>
      <c r="V24" s="379">
        <f t="shared" si="7"/>
        <v>0</v>
      </c>
      <c r="Y24" s="379">
        <f t="shared" si="8"/>
        <v>0</v>
      </c>
      <c r="AB24" s="379">
        <f t="shared" si="9"/>
        <v>0</v>
      </c>
      <c r="AE24" s="379">
        <v>0</v>
      </c>
      <c r="AH24" s="379">
        <v>0</v>
      </c>
      <c r="AI24" s="381">
        <f>84575000</f>
        <v>84575000</v>
      </c>
      <c r="AJ24" s="382">
        <v>2.4500000000000001E-2</v>
      </c>
      <c r="AK24" s="379">
        <f t="shared" si="10"/>
        <v>5755.7986111111113</v>
      </c>
      <c r="AL24" s="381"/>
      <c r="AM24" s="382"/>
      <c r="AN24" s="379">
        <f t="shared" si="11"/>
        <v>0</v>
      </c>
      <c r="AO24" s="381"/>
      <c r="AP24" s="382"/>
      <c r="AQ24" s="379">
        <f t="shared" si="12"/>
        <v>0</v>
      </c>
      <c r="AR24" s="381"/>
      <c r="AS24" s="382"/>
      <c r="AT24" s="379">
        <f t="shared" si="13"/>
        <v>0</v>
      </c>
      <c r="AU24" s="381">
        <f t="shared" si="53"/>
        <v>169950000</v>
      </c>
      <c r="AV24" s="382">
        <v>2.5499999999999998E-2</v>
      </c>
      <c r="AW24" s="379">
        <f t="shared" si="14"/>
        <v>12038.125</v>
      </c>
      <c r="AX24" s="381">
        <f t="shared" si="54"/>
        <v>100200000</v>
      </c>
      <c r="AY24" s="382">
        <v>2.52E-2</v>
      </c>
      <c r="AZ24" s="379">
        <f t="shared" si="15"/>
        <v>7014</v>
      </c>
      <c r="BC24" s="379">
        <f t="shared" si="16"/>
        <v>0</v>
      </c>
      <c r="BF24" s="379">
        <f t="shared" si="17"/>
        <v>0</v>
      </c>
      <c r="BI24" s="379">
        <f t="shared" si="18"/>
        <v>0</v>
      </c>
      <c r="BL24" s="379">
        <f t="shared" si="19"/>
        <v>0</v>
      </c>
      <c r="BO24" s="379">
        <f t="shared" si="20"/>
        <v>0</v>
      </c>
      <c r="BR24" s="379">
        <f t="shared" si="21"/>
        <v>0</v>
      </c>
      <c r="BU24" s="379">
        <f t="shared" si="22"/>
        <v>0</v>
      </c>
      <c r="BX24" s="379">
        <f t="shared" si="23"/>
        <v>0</v>
      </c>
      <c r="CA24" s="379">
        <f t="shared" si="24"/>
        <v>0</v>
      </c>
      <c r="CD24" s="379">
        <f t="shared" si="25"/>
        <v>0</v>
      </c>
      <c r="CG24" s="379">
        <f t="shared" si="26"/>
        <v>0</v>
      </c>
      <c r="CJ24" s="379">
        <f t="shared" si="27"/>
        <v>0</v>
      </c>
      <c r="CM24" s="379">
        <f t="shared" si="28"/>
        <v>0</v>
      </c>
      <c r="CP24" s="379">
        <f t="shared" si="29"/>
        <v>0</v>
      </c>
      <c r="CS24" s="379">
        <f t="shared" si="30"/>
        <v>0</v>
      </c>
      <c r="CV24" s="379">
        <f t="shared" si="31"/>
        <v>0</v>
      </c>
      <c r="CY24" s="379">
        <f t="shared" si="32"/>
        <v>0</v>
      </c>
      <c r="DB24" s="379">
        <f t="shared" si="33"/>
        <v>0</v>
      </c>
      <c r="DE24" s="379">
        <f t="shared" si="34"/>
        <v>0</v>
      </c>
      <c r="DH24" s="379">
        <f t="shared" si="35"/>
        <v>0</v>
      </c>
      <c r="DK24" s="379">
        <f t="shared" si="36"/>
        <v>0</v>
      </c>
      <c r="DN24" s="379">
        <f t="shared" si="37"/>
        <v>0</v>
      </c>
      <c r="DQ24" s="379">
        <f t="shared" si="38"/>
        <v>0</v>
      </c>
      <c r="DT24" s="379">
        <f t="shared" si="39"/>
        <v>0</v>
      </c>
      <c r="DW24" s="379">
        <f t="shared" si="40"/>
        <v>0</v>
      </c>
      <c r="DY24" s="384"/>
      <c r="DZ24" s="366"/>
      <c r="EA24" s="379"/>
      <c r="EB24" s="190">
        <f t="shared" si="41"/>
        <v>390090363.07999998</v>
      </c>
      <c r="EC24" s="190">
        <f t="shared" si="42"/>
        <v>35365363.079999983</v>
      </c>
      <c r="ED24" s="379">
        <f t="shared" si="43"/>
        <v>27008.435091644445</v>
      </c>
      <c r="EE24" s="380">
        <f t="shared" si="44"/>
        <v>2.4925088013512384E-2</v>
      </c>
      <c r="EG24" s="190">
        <f t="shared" si="45"/>
        <v>0</v>
      </c>
      <c r="EH24" s="379">
        <f t="shared" si="46"/>
        <v>0</v>
      </c>
      <c r="EI24" s="380">
        <f t="shared" si="47"/>
        <v>0</v>
      </c>
      <c r="EJ24" s="380"/>
      <c r="EK24" s="190">
        <f t="shared" si="48"/>
        <v>354725000</v>
      </c>
      <c r="EL24" s="190">
        <f t="shared" si="49"/>
        <v>0</v>
      </c>
      <c r="EM24" s="190">
        <f t="shared" si="50"/>
        <v>24807.923611111109</v>
      </c>
      <c r="EN24" s="380">
        <f t="shared" si="51"/>
        <v>2.5176834167312704E-2</v>
      </c>
      <c r="EP24" s="379"/>
    </row>
    <row r="25" spans="1:146">
      <c r="A25" s="378">
        <f t="shared" si="52"/>
        <v>43387</v>
      </c>
      <c r="D25" s="379">
        <f t="shared" si="1"/>
        <v>0</v>
      </c>
      <c r="E25" s="379">
        <v>35365363.079999998</v>
      </c>
      <c r="F25" s="380">
        <v>2.2400000000000003E-2</v>
      </c>
      <c r="G25" s="379">
        <f t="shared" si="2"/>
        <v>2200.5114805333337</v>
      </c>
      <c r="J25" s="379">
        <f t="shared" si="3"/>
        <v>0</v>
      </c>
      <c r="M25" s="379">
        <f t="shared" si="4"/>
        <v>0</v>
      </c>
      <c r="P25" s="379">
        <f t="shared" si="5"/>
        <v>0</v>
      </c>
      <c r="S25" s="379">
        <f t="shared" si="6"/>
        <v>0</v>
      </c>
      <c r="V25" s="379">
        <f t="shared" si="7"/>
        <v>0</v>
      </c>
      <c r="Y25" s="379">
        <f t="shared" si="8"/>
        <v>0</v>
      </c>
      <c r="AB25" s="379">
        <f t="shared" si="9"/>
        <v>0</v>
      </c>
      <c r="AE25" s="379">
        <v>0</v>
      </c>
      <c r="AH25" s="379">
        <v>0</v>
      </c>
      <c r="AI25" s="381">
        <f>84575000</f>
        <v>84575000</v>
      </c>
      <c r="AJ25" s="382">
        <v>2.4500000000000001E-2</v>
      </c>
      <c r="AK25" s="379">
        <f t="shared" si="10"/>
        <v>5755.7986111111113</v>
      </c>
      <c r="AL25" s="381"/>
      <c r="AM25" s="382"/>
      <c r="AN25" s="379">
        <f t="shared" si="11"/>
        <v>0</v>
      </c>
      <c r="AO25" s="381"/>
      <c r="AP25" s="382"/>
      <c r="AQ25" s="379">
        <f t="shared" si="12"/>
        <v>0</v>
      </c>
      <c r="AR25" s="381"/>
      <c r="AS25" s="382"/>
      <c r="AT25" s="379">
        <f t="shared" si="13"/>
        <v>0</v>
      </c>
      <c r="AU25" s="381">
        <f t="shared" si="53"/>
        <v>169950000</v>
      </c>
      <c r="AV25" s="382">
        <v>2.5499999999999998E-2</v>
      </c>
      <c r="AW25" s="379">
        <f t="shared" si="14"/>
        <v>12038.125</v>
      </c>
      <c r="AX25" s="381">
        <f t="shared" si="54"/>
        <v>100200000</v>
      </c>
      <c r="AY25" s="382">
        <v>2.52E-2</v>
      </c>
      <c r="AZ25" s="379">
        <f t="shared" si="15"/>
        <v>7014</v>
      </c>
      <c r="BC25" s="379">
        <f t="shared" si="16"/>
        <v>0</v>
      </c>
      <c r="BF25" s="379">
        <f t="shared" si="17"/>
        <v>0</v>
      </c>
      <c r="BI25" s="379">
        <f t="shared" si="18"/>
        <v>0</v>
      </c>
      <c r="BL25" s="379">
        <f t="shared" si="19"/>
        <v>0</v>
      </c>
      <c r="BO25" s="379">
        <f t="shared" si="20"/>
        <v>0</v>
      </c>
      <c r="BR25" s="379">
        <f t="shared" si="21"/>
        <v>0</v>
      </c>
      <c r="BU25" s="379">
        <f t="shared" si="22"/>
        <v>0</v>
      </c>
      <c r="BX25" s="379">
        <f t="shared" si="23"/>
        <v>0</v>
      </c>
      <c r="CA25" s="379">
        <f t="shared" si="24"/>
        <v>0</v>
      </c>
      <c r="CD25" s="379">
        <f t="shared" si="25"/>
        <v>0</v>
      </c>
      <c r="CG25" s="379">
        <f t="shared" si="26"/>
        <v>0</v>
      </c>
      <c r="CJ25" s="379">
        <f t="shared" si="27"/>
        <v>0</v>
      </c>
      <c r="CM25" s="379">
        <f t="shared" si="28"/>
        <v>0</v>
      </c>
      <c r="CP25" s="379">
        <f t="shared" si="29"/>
        <v>0</v>
      </c>
      <c r="CS25" s="379">
        <f t="shared" si="30"/>
        <v>0</v>
      </c>
      <c r="CV25" s="379">
        <f t="shared" si="31"/>
        <v>0</v>
      </c>
      <c r="CY25" s="379">
        <f t="shared" si="32"/>
        <v>0</v>
      </c>
      <c r="DB25" s="379">
        <f t="shared" si="33"/>
        <v>0</v>
      </c>
      <c r="DE25" s="379">
        <f t="shared" si="34"/>
        <v>0</v>
      </c>
      <c r="DH25" s="379">
        <f t="shared" si="35"/>
        <v>0</v>
      </c>
      <c r="DK25" s="379">
        <f t="shared" si="36"/>
        <v>0</v>
      </c>
      <c r="DN25" s="379">
        <f t="shared" si="37"/>
        <v>0</v>
      </c>
      <c r="DQ25" s="379">
        <f t="shared" si="38"/>
        <v>0</v>
      </c>
      <c r="DT25" s="379">
        <f t="shared" si="39"/>
        <v>0</v>
      </c>
      <c r="DW25" s="379">
        <f t="shared" si="40"/>
        <v>0</v>
      </c>
      <c r="DY25" s="384"/>
      <c r="DZ25" s="366"/>
      <c r="EA25" s="379"/>
      <c r="EB25" s="190">
        <f t="shared" si="41"/>
        <v>390090363.07999998</v>
      </c>
      <c r="EC25" s="190">
        <f t="shared" si="42"/>
        <v>35365363.079999983</v>
      </c>
      <c r="ED25" s="379">
        <f t="shared" si="43"/>
        <v>27008.435091644445</v>
      </c>
      <c r="EE25" s="380">
        <f t="shared" si="44"/>
        <v>2.4925088013512384E-2</v>
      </c>
      <c r="EG25" s="190">
        <f t="shared" si="45"/>
        <v>0</v>
      </c>
      <c r="EH25" s="379">
        <f t="shared" si="46"/>
        <v>0</v>
      </c>
      <c r="EI25" s="380">
        <f t="shared" si="47"/>
        <v>0</v>
      </c>
      <c r="EJ25" s="380"/>
      <c r="EK25" s="190">
        <f t="shared" si="48"/>
        <v>354725000</v>
      </c>
      <c r="EL25" s="190">
        <f t="shared" si="49"/>
        <v>0</v>
      </c>
      <c r="EM25" s="190">
        <f t="shared" si="50"/>
        <v>24807.923611111109</v>
      </c>
      <c r="EN25" s="380">
        <f t="shared" si="51"/>
        <v>2.5176834167312704E-2</v>
      </c>
      <c r="EP25" s="379"/>
    </row>
    <row r="26" spans="1:146">
      <c r="A26" s="378">
        <f t="shared" si="52"/>
        <v>43388</v>
      </c>
      <c r="D26" s="379">
        <f t="shared" si="1"/>
        <v>0</v>
      </c>
      <c r="E26" s="379">
        <v>28061856.75</v>
      </c>
      <c r="F26" s="380">
        <v>2.2200000000000001E-2</v>
      </c>
      <c r="G26" s="379">
        <f t="shared" si="2"/>
        <v>1730.4811662499999</v>
      </c>
      <c r="J26" s="379">
        <f t="shared" si="3"/>
        <v>0</v>
      </c>
      <c r="M26" s="379">
        <f t="shared" si="4"/>
        <v>0</v>
      </c>
      <c r="P26" s="379">
        <f t="shared" si="5"/>
        <v>0</v>
      </c>
      <c r="S26" s="379">
        <f t="shared" si="6"/>
        <v>0</v>
      </c>
      <c r="V26" s="379">
        <f t="shared" si="7"/>
        <v>0</v>
      </c>
      <c r="Y26" s="379">
        <f t="shared" si="8"/>
        <v>0</v>
      </c>
      <c r="AB26" s="379">
        <f t="shared" si="9"/>
        <v>0</v>
      </c>
      <c r="AE26" s="379">
        <v>0</v>
      </c>
      <c r="AH26" s="379">
        <v>0</v>
      </c>
      <c r="AI26" s="381">
        <f>92050000</f>
        <v>92050000</v>
      </c>
      <c r="AJ26" s="382">
        <v>2.4500000000000001E-2</v>
      </c>
      <c r="AK26" s="379">
        <f t="shared" si="10"/>
        <v>6264.5138888888887</v>
      </c>
      <c r="AL26" s="381"/>
      <c r="AM26" s="382"/>
      <c r="AN26" s="379">
        <f t="shared" si="11"/>
        <v>0</v>
      </c>
      <c r="AO26" s="381"/>
      <c r="AP26" s="382"/>
      <c r="AQ26" s="379">
        <f t="shared" si="12"/>
        <v>0</v>
      </c>
      <c r="AR26" s="381"/>
      <c r="AS26" s="382"/>
      <c r="AT26" s="379">
        <f t="shared" si="13"/>
        <v>0</v>
      </c>
      <c r="AU26" s="381">
        <f t="shared" si="53"/>
        <v>169950000</v>
      </c>
      <c r="AV26" s="382">
        <v>2.5499999999999998E-2</v>
      </c>
      <c r="AW26" s="379">
        <f t="shared" si="14"/>
        <v>12038.125</v>
      </c>
      <c r="AX26" s="381">
        <f t="shared" si="54"/>
        <v>100200000</v>
      </c>
      <c r="AY26" s="382">
        <v>2.52E-2</v>
      </c>
      <c r="AZ26" s="379">
        <f t="shared" si="15"/>
        <v>7014</v>
      </c>
      <c r="BC26" s="379">
        <f t="shared" si="16"/>
        <v>0</v>
      </c>
      <c r="BF26" s="379">
        <f t="shared" si="17"/>
        <v>0</v>
      </c>
      <c r="BI26" s="379">
        <f t="shared" si="18"/>
        <v>0</v>
      </c>
      <c r="BL26" s="379">
        <f t="shared" si="19"/>
        <v>0</v>
      </c>
      <c r="BO26" s="379">
        <f t="shared" si="20"/>
        <v>0</v>
      </c>
      <c r="BR26" s="379">
        <f t="shared" si="21"/>
        <v>0</v>
      </c>
      <c r="BU26" s="379">
        <f t="shared" si="22"/>
        <v>0</v>
      </c>
      <c r="BX26" s="379">
        <f t="shared" si="23"/>
        <v>0</v>
      </c>
      <c r="CA26" s="379">
        <f t="shared" si="24"/>
        <v>0</v>
      </c>
      <c r="CD26" s="379">
        <f t="shared" si="25"/>
        <v>0</v>
      </c>
      <c r="CG26" s="379">
        <f t="shared" si="26"/>
        <v>0</v>
      </c>
      <c r="CJ26" s="379">
        <f t="shared" si="27"/>
        <v>0</v>
      </c>
      <c r="CM26" s="379">
        <f t="shared" si="28"/>
        <v>0</v>
      </c>
      <c r="CP26" s="379">
        <f t="shared" si="29"/>
        <v>0</v>
      </c>
      <c r="CS26" s="379">
        <f t="shared" si="30"/>
        <v>0</v>
      </c>
      <c r="CV26" s="379">
        <f t="shared" si="31"/>
        <v>0</v>
      </c>
      <c r="CY26" s="379">
        <f t="shared" si="32"/>
        <v>0</v>
      </c>
      <c r="DB26" s="379">
        <f t="shared" si="33"/>
        <v>0</v>
      </c>
      <c r="DE26" s="379">
        <f t="shared" si="34"/>
        <v>0</v>
      </c>
      <c r="DH26" s="379">
        <f t="shared" si="35"/>
        <v>0</v>
      </c>
      <c r="DK26" s="379">
        <f t="shared" si="36"/>
        <v>0</v>
      </c>
      <c r="DN26" s="379">
        <f t="shared" si="37"/>
        <v>0</v>
      </c>
      <c r="DQ26" s="379">
        <f t="shared" si="38"/>
        <v>0</v>
      </c>
      <c r="DT26" s="379">
        <f t="shared" si="39"/>
        <v>0</v>
      </c>
      <c r="DW26" s="379">
        <f t="shared" si="40"/>
        <v>0</v>
      </c>
      <c r="DY26" s="384"/>
      <c r="DZ26" s="366"/>
      <c r="EA26" s="379"/>
      <c r="EB26" s="190">
        <f t="shared" si="41"/>
        <v>390261856.75</v>
      </c>
      <c r="EC26" s="190">
        <f t="shared" si="42"/>
        <v>28061856.75</v>
      </c>
      <c r="ED26" s="379">
        <f t="shared" si="43"/>
        <v>27047.12005513889</v>
      </c>
      <c r="EE26" s="380">
        <f t="shared" si="44"/>
        <v>2.4949820361479642E-2</v>
      </c>
      <c r="EG26" s="190">
        <f t="shared" si="45"/>
        <v>0</v>
      </c>
      <c r="EH26" s="379">
        <f t="shared" si="46"/>
        <v>0</v>
      </c>
      <c r="EI26" s="380">
        <f t="shared" si="47"/>
        <v>0</v>
      </c>
      <c r="EJ26" s="380"/>
      <c r="EK26" s="190">
        <f t="shared" si="48"/>
        <v>362200000</v>
      </c>
      <c r="EL26" s="190">
        <f t="shared" si="49"/>
        <v>0</v>
      </c>
      <c r="EM26" s="190">
        <f t="shared" si="50"/>
        <v>25316.638888888891</v>
      </c>
      <c r="EN26" s="380">
        <f t="shared" si="51"/>
        <v>2.5162865819988962E-2</v>
      </c>
      <c r="EP26" s="379"/>
    </row>
    <row r="27" spans="1:146">
      <c r="A27" s="378">
        <f t="shared" si="52"/>
        <v>43389</v>
      </c>
      <c r="D27" s="379">
        <f t="shared" si="1"/>
        <v>0</v>
      </c>
      <c r="E27" s="379">
        <v>77062979.579999998</v>
      </c>
      <c r="F27" s="380">
        <v>2.2000000000000002E-2</v>
      </c>
      <c r="G27" s="379">
        <f t="shared" si="2"/>
        <v>4709.4043076666676</v>
      </c>
      <c r="J27" s="379">
        <f t="shared" si="3"/>
        <v>0</v>
      </c>
      <c r="M27" s="379">
        <f t="shared" si="4"/>
        <v>0</v>
      </c>
      <c r="P27" s="379">
        <f t="shared" si="5"/>
        <v>0</v>
      </c>
      <c r="S27" s="379">
        <f t="shared" si="6"/>
        <v>0</v>
      </c>
      <c r="V27" s="379">
        <f t="shared" si="7"/>
        <v>0</v>
      </c>
      <c r="Y27" s="379">
        <f t="shared" si="8"/>
        <v>0</v>
      </c>
      <c r="AB27" s="379">
        <f t="shared" si="9"/>
        <v>0</v>
      </c>
      <c r="AE27" s="379">
        <v>0</v>
      </c>
      <c r="AH27" s="379">
        <v>0</v>
      </c>
      <c r="AI27" s="381">
        <f>41000000</f>
        <v>41000000</v>
      </c>
      <c r="AJ27" s="382">
        <v>2.4500000000000001E-2</v>
      </c>
      <c r="AK27" s="379">
        <f t="shared" si="10"/>
        <v>2790.2777777777778</v>
      </c>
      <c r="AL27" s="381"/>
      <c r="AM27" s="382"/>
      <c r="AN27" s="379">
        <f t="shared" si="11"/>
        <v>0</v>
      </c>
      <c r="AO27" s="381"/>
      <c r="AP27" s="382"/>
      <c r="AQ27" s="379">
        <f t="shared" si="12"/>
        <v>0</v>
      </c>
      <c r="AR27" s="381"/>
      <c r="AS27" s="382"/>
      <c r="AT27" s="379">
        <f t="shared" si="13"/>
        <v>0</v>
      </c>
      <c r="AU27" s="381">
        <f t="shared" si="53"/>
        <v>169950000</v>
      </c>
      <c r="AV27" s="382">
        <v>2.5499999999999998E-2</v>
      </c>
      <c r="AW27" s="379">
        <f t="shared" si="14"/>
        <v>12038.125</v>
      </c>
      <c r="AX27" s="381">
        <f t="shared" si="54"/>
        <v>100200000</v>
      </c>
      <c r="AY27" s="382">
        <v>2.52E-2</v>
      </c>
      <c r="AZ27" s="379">
        <f t="shared" si="15"/>
        <v>7014</v>
      </c>
      <c r="BC27" s="379">
        <f t="shared" si="16"/>
        <v>0</v>
      </c>
      <c r="BF27" s="379">
        <f t="shared" si="17"/>
        <v>0</v>
      </c>
      <c r="BI27" s="379">
        <f t="shared" si="18"/>
        <v>0</v>
      </c>
      <c r="BL27" s="379">
        <f t="shared" si="19"/>
        <v>0</v>
      </c>
      <c r="BO27" s="379">
        <f t="shared" si="20"/>
        <v>0</v>
      </c>
      <c r="BR27" s="379">
        <f t="shared" si="21"/>
        <v>0</v>
      </c>
      <c r="BU27" s="379">
        <f t="shared" si="22"/>
        <v>0</v>
      </c>
      <c r="BX27" s="379">
        <f t="shared" si="23"/>
        <v>0</v>
      </c>
      <c r="CA27" s="379">
        <f t="shared" si="24"/>
        <v>0</v>
      </c>
      <c r="CD27" s="379">
        <f t="shared" si="25"/>
        <v>0</v>
      </c>
      <c r="CG27" s="379">
        <f t="shared" si="26"/>
        <v>0</v>
      </c>
      <c r="CJ27" s="379">
        <f t="shared" si="27"/>
        <v>0</v>
      </c>
      <c r="CM27" s="379">
        <f t="shared" si="28"/>
        <v>0</v>
      </c>
      <c r="CP27" s="379">
        <f t="shared" si="29"/>
        <v>0</v>
      </c>
      <c r="CS27" s="379">
        <f t="shared" si="30"/>
        <v>0</v>
      </c>
      <c r="CV27" s="379">
        <f t="shared" si="31"/>
        <v>0</v>
      </c>
      <c r="CY27" s="379">
        <f t="shared" si="32"/>
        <v>0</v>
      </c>
      <c r="DB27" s="379">
        <f t="shared" si="33"/>
        <v>0</v>
      </c>
      <c r="DE27" s="379">
        <f t="shared" si="34"/>
        <v>0</v>
      </c>
      <c r="DH27" s="379">
        <f t="shared" si="35"/>
        <v>0</v>
      </c>
      <c r="DK27" s="379">
        <f t="shared" si="36"/>
        <v>0</v>
      </c>
      <c r="DN27" s="379">
        <f t="shared" si="37"/>
        <v>0</v>
      </c>
      <c r="DQ27" s="379">
        <f t="shared" si="38"/>
        <v>0</v>
      </c>
      <c r="DT27" s="379">
        <f t="shared" si="39"/>
        <v>0</v>
      </c>
      <c r="DW27" s="379">
        <f t="shared" si="40"/>
        <v>0</v>
      </c>
      <c r="DY27" s="384"/>
      <c r="DZ27" s="366"/>
      <c r="EA27" s="379"/>
      <c r="EB27" s="190">
        <f t="shared" si="41"/>
        <v>388212979.57999998</v>
      </c>
      <c r="EC27" s="190">
        <f t="shared" si="42"/>
        <v>77062979.579999983</v>
      </c>
      <c r="ED27" s="379">
        <f t="shared" si="43"/>
        <v>26551.807085444445</v>
      </c>
      <c r="EE27" s="380">
        <f t="shared" si="44"/>
        <v>2.4622181775326824E-2</v>
      </c>
      <c r="EG27" s="190">
        <f t="shared" si="45"/>
        <v>0</v>
      </c>
      <c r="EH27" s="379">
        <f t="shared" si="46"/>
        <v>0</v>
      </c>
      <c r="EI27" s="380">
        <f t="shared" si="47"/>
        <v>0</v>
      </c>
      <c r="EJ27" s="380"/>
      <c r="EK27" s="190">
        <f t="shared" si="48"/>
        <v>311150000</v>
      </c>
      <c r="EL27" s="190">
        <f t="shared" si="49"/>
        <v>0</v>
      </c>
      <c r="EM27" s="190">
        <f t="shared" si="50"/>
        <v>21842.402777777777</v>
      </c>
      <c r="EN27" s="380">
        <f t="shared" si="51"/>
        <v>2.5271621404467298E-2</v>
      </c>
      <c r="EP27" s="379"/>
    </row>
    <row r="28" spans="1:146">
      <c r="A28" s="378">
        <f t="shared" si="52"/>
        <v>43390</v>
      </c>
      <c r="D28" s="379">
        <f t="shared" si="1"/>
        <v>0</v>
      </c>
      <c r="E28" s="379">
        <v>68775127.469999999</v>
      </c>
      <c r="F28" s="380">
        <v>2.2400000000000003E-2</v>
      </c>
      <c r="G28" s="379">
        <f t="shared" si="2"/>
        <v>4279.3412648000003</v>
      </c>
      <c r="J28" s="379">
        <f t="shared" si="3"/>
        <v>0</v>
      </c>
      <c r="M28" s="379">
        <f t="shared" si="4"/>
        <v>0</v>
      </c>
      <c r="P28" s="379">
        <f t="shared" si="5"/>
        <v>0</v>
      </c>
      <c r="S28" s="379">
        <f t="shared" si="6"/>
        <v>0</v>
      </c>
      <c r="V28" s="379">
        <f t="shared" si="7"/>
        <v>0</v>
      </c>
      <c r="Y28" s="379">
        <f t="shared" si="8"/>
        <v>0</v>
      </c>
      <c r="AB28" s="379">
        <f t="shared" si="9"/>
        <v>0</v>
      </c>
      <c r="AE28" s="379">
        <v>0</v>
      </c>
      <c r="AH28" s="379">
        <v>0</v>
      </c>
      <c r="AI28" s="381">
        <f>49350000</f>
        <v>49350000</v>
      </c>
      <c r="AJ28" s="382">
        <v>2.4500000000000001E-2</v>
      </c>
      <c r="AK28" s="379">
        <f t="shared" si="10"/>
        <v>3358.5416666666665</v>
      </c>
      <c r="AL28" s="381"/>
      <c r="AM28" s="382"/>
      <c r="AN28" s="379">
        <f t="shared" si="11"/>
        <v>0</v>
      </c>
      <c r="AO28" s="381"/>
      <c r="AP28" s="382"/>
      <c r="AQ28" s="379">
        <f t="shared" si="12"/>
        <v>0</v>
      </c>
      <c r="AR28" s="381"/>
      <c r="AS28" s="382"/>
      <c r="AT28" s="379">
        <f t="shared" si="13"/>
        <v>0</v>
      </c>
      <c r="AU28" s="381">
        <f t="shared" si="53"/>
        <v>169950000</v>
      </c>
      <c r="AV28" s="382">
        <v>2.5499999999999998E-2</v>
      </c>
      <c r="AW28" s="379">
        <f t="shared" si="14"/>
        <v>12038.125</v>
      </c>
      <c r="AX28" s="381">
        <f t="shared" si="54"/>
        <v>100200000</v>
      </c>
      <c r="AY28" s="382">
        <v>2.52E-2</v>
      </c>
      <c r="AZ28" s="379">
        <f t="shared" si="15"/>
        <v>7014</v>
      </c>
      <c r="BC28" s="379">
        <f t="shared" si="16"/>
        <v>0</v>
      </c>
      <c r="BF28" s="379">
        <f t="shared" si="17"/>
        <v>0</v>
      </c>
      <c r="BI28" s="379">
        <f t="shared" si="18"/>
        <v>0</v>
      </c>
      <c r="BL28" s="379">
        <f t="shared" si="19"/>
        <v>0</v>
      </c>
      <c r="BO28" s="379">
        <f t="shared" si="20"/>
        <v>0</v>
      </c>
      <c r="BR28" s="379">
        <f t="shared" si="21"/>
        <v>0</v>
      </c>
      <c r="BU28" s="379">
        <f t="shared" si="22"/>
        <v>0</v>
      </c>
      <c r="BX28" s="379">
        <f t="shared" si="23"/>
        <v>0</v>
      </c>
      <c r="CA28" s="379">
        <f t="shared" si="24"/>
        <v>0</v>
      </c>
      <c r="CD28" s="379">
        <f t="shared" si="25"/>
        <v>0</v>
      </c>
      <c r="CG28" s="379">
        <f t="shared" si="26"/>
        <v>0</v>
      </c>
      <c r="CJ28" s="379">
        <f t="shared" si="27"/>
        <v>0</v>
      </c>
      <c r="CM28" s="379">
        <f t="shared" si="28"/>
        <v>0</v>
      </c>
      <c r="CP28" s="379">
        <f t="shared" si="29"/>
        <v>0</v>
      </c>
      <c r="CS28" s="379">
        <f t="shared" si="30"/>
        <v>0</v>
      </c>
      <c r="CV28" s="379">
        <f t="shared" si="31"/>
        <v>0</v>
      </c>
      <c r="CY28" s="379">
        <f t="shared" si="32"/>
        <v>0</v>
      </c>
      <c r="DB28" s="379">
        <f t="shared" si="33"/>
        <v>0</v>
      </c>
      <c r="DE28" s="379">
        <f t="shared" si="34"/>
        <v>0</v>
      </c>
      <c r="DH28" s="379">
        <f t="shared" si="35"/>
        <v>0</v>
      </c>
      <c r="DK28" s="379">
        <f t="shared" si="36"/>
        <v>0</v>
      </c>
      <c r="DN28" s="379">
        <f t="shared" si="37"/>
        <v>0</v>
      </c>
      <c r="DQ28" s="379">
        <f t="shared" si="38"/>
        <v>0</v>
      </c>
      <c r="DT28" s="379">
        <f t="shared" si="39"/>
        <v>0</v>
      </c>
      <c r="DW28" s="379">
        <f t="shared" si="40"/>
        <v>0</v>
      </c>
      <c r="DY28" s="384"/>
      <c r="DZ28" s="366"/>
      <c r="EA28" s="379"/>
      <c r="EB28" s="190">
        <f t="shared" si="41"/>
        <v>388275127.47000003</v>
      </c>
      <c r="EC28" s="190">
        <f t="shared" si="42"/>
        <v>68775127.470000029</v>
      </c>
      <c r="ED28" s="379">
        <f t="shared" si="43"/>
        <v>26690.007931466665</v>
      </c>
      <c r="EE28" s="380">
        <f t="shared" si="44"/>
        <v>2.4746377441007703E-2</v>
      </c>
      <c r="EG28" s="190">
        <f t="shared" si="45"/>
        <v>0</v>
      </c>
      <c r="EH28" s="379">
        <f t="shared" si="46"/>
        <v>0</v>
      </c>
      <c r="EI28" s="380">
        <f t="shared" si="47"/>
        <v>0</v>
      </c>
      <c r="EJ28" s="380"/>
      <c r="EK28" s="190">
        <f t="shared" si="48"/>
        <v>319500000</v>
      </c>
      <c r="EL28" s="190">
        <f t="shared" si="49"/>
        <v>0</v>
      </c>
      <c r="EM28" s="190">
        <f t="shared" si="50"/>
        <v>22410.666666666668</v>
      </c>
      <c r="EN28" s="380">
        <f t="shared" si="51"/>
        <v>2.5251455399061033E-2</v>
      </c>
      <c r="EP28" s="379"/>
    </row>
    <row r="29" spans="1:146">
      <c r="A29" s="378">
        <f t="shared" si="52"/>
        <v>43391</v>
      </c>
      <c r="D29" s="379">
        <f t="shared" si="1"/>
        <v>0</v>
      </c>
      <c r="E29" s="379">
        <v>68014174.859999999</v>
      </c>
      <c r="F29" s="380">
        <v>2.2200000000000001E-2</v>
      </c>
      <c r="G29" s="379">
        <f t="shared" si="2"/>
        <v>4194.2074497000003</v>
      </c>
      <c r="J29" s="379">
        <f t="shared" si="3"/>
        <v>0</v>
      </c>
      <c r="M29" s="379">
        <f t="shared" si="4"/>
        <v>0</v>
      </c>
      <c r="P29" s="379">
        <f t="shared" si="5"/>
        <v>0</v>
      </c>
      <c r="S29" s="379">
        <f t="shared" si="6"/>
        <v>0</v>
      </c>
      <c r="V29" s="379">
        <f t="shared" si="7"/>
        <v>0</v>
      </c>
      <c r="Y29" s="379">
        <f t="shared" si="8"/>
        <v>0</v>
      </c>
      <c r="AB29" s="379">
        <f t="shared" si="9"/>
        <v>0</v>
      </c>
      <c r="AE29" s="379">
        <v>0</v>
      </c>
      <c r="AH29" s="379">
        <v>0</v>
      </c>
      <c r="AI29" s="381">
        <f>50300000</f>
        <v>50300000</v>
      </c>
      <c r="AJ29" s="382">
        <v>2.4500000000000001E-2</v>
      </c>
      <c r="AK29" s="379">
        <f t="shared" si="10"/>
        <v>3423.1944444444443</v>
      </c>
      <c r="AL29" s="381"/>
      <c r="AM29" s="382"/>
      <c r="AN29" s="379">
        <f t="shared" si="11"/>
        <v>0</v>
      </c>
      <c r="AO29" s="381"/>
      <c r="AP29" s="382"/>
      <c r="AQ29" s="379">
        <f t="shared" si="12"/>
        <v>0</v>
      </c>
      <c r="AR29" s="381"/>
      <c r="AS29" s="382"/>
      <c r="AT29" s="379">
        <f t="shared" si="13"/>
        <v>0</v>
      </c>
      <c r="AU29" s="381">
        <f t="shared" si="53"/>
        <v>169950000</v>
      </c>
      <c r="AV29" s="382">
        <v>2.5499999999999998E-2</v>
      </c>
      <c r="AW29" s="379">
        <f t="shared" si="14"/>
        <v>12038.125</v>
      </c>
      <c r="AX29" s="381">
        <f t="shared" si="54"/>
        <v>100200000</v>
      </c>
      <c r="AY29" s="382">
        <v>2.52E-2</v>
      </c>
      <c r="AZ29" s="379">
        <f t="shared" si="15"/>
        <v>7014</v>
      </c>
      <c r="BC29" s="379">
        <f t="shared" si="16"/>
        <v>0</v>
      </c>
      <c r="BF29" s="379">
        <f t="shared" si="17"/>
        <v>0</v>
      </c>
      <c r="BI29" s="379">
        <f t="shared" si="18"/>
        <v>0</v>
      </c>
      <c r="BL29" s="379">
        <f t="shared" si="19"/>
        <v>0</v>
      </c>
      <c r="BO29" s="379">
        <f t="shared" si="20"/>
        <v>0</v>
      </c>
      <c r="BR29" s="379">
        <f t="shared" si="21"/>
        <v>0</v>
      </c>
      <c r="BU29" s="379">
        <f t="shared" si="22"/>
        <v>0</v>
      </c>
      <c r="BX29" s="379">
        <f t="shared" si="23"/>
        <v>0</v>
      </c>
      <c r="CA29" s="379">
        <f t="shared" si="24"/>
        <v>0</v>
      </c>
      <c r="CD29" s="379">
        <f t="shared" si="25"/>
        <v>0</v>
      </c>
      <c r="CG29" s="379">
        <f t="shared" si="26"/>
        <v>0</v>
      </c>
      <c r="CJ29" s="379">
        <f t="shared" si="27"/>
        <v>0</v>
      </c>
      <c r="CM29" s="379">
        <f t="shared" si="28"/>
        <v>0</v>
      </c>
      <c r="CP29" s="379">
        <f t="shared" si="29"/>
        <v>0</v>
      </c>
      <c r="CS29" s="379">
        <f t="shared" si="30"/>
        <v>0</v>
      </c>
      <c r="CV29" s="379">
        <f t="shared" si="31"/>
        <v>0</v>
      </c>
      <c r="CY29" s="379">
        <f t="shared" si="32"/>
        <v>0</v>
      </c>
      <c r="DB29" s="379">
        <f t="shared" si="33"/>
        <v>0</v>
      </c>
      <c r="DE29" s="379">
        <f t="shared" si="34"/>
        <v>0</v>
      </c>
      <c r="DH29" s="379">
        <f t="shared" si="35"/>
        <v>0</v>
      </c>
      <c r="DK29" s="379">
        <f t="shared" si="36"/>
        <v>0</v>
      </c>
      <c r="DN29" s="379">
        <f t="shared" si="37"/>
        <v>0</v>
      </c>
      <c r="DQ29" s="379">
        <f t="shared" si="38"/>
        <v>0</v>
      </c>
      <c r="DT29" s="379">
        <f t="shared" si="39"/>
        <v>0</v>
      </c>
      <c r="DW29" s="379">
        <f t="shared" si="40"/>
        <v>0</v>
      </c>
      <c r="DY29" s="384"/>
      <c r="DZ29" s="366"/>
      <c r="EA29" s="379"/>
      <c r="EB29" s="190">
        <f t="shared" si="41"/>
        <v>388464174.86000001</v>
      </c>
      <c r="EC29" s="190">
        <f t="shared" si="42"/>
        <v>68014174.860000014</v>
      </c>
      <c r="ED29" s="379">
        <f t="shared" si="43"/>
        <v>26669.526894144445</v>
      </c>
      <c r="EE29" s="380">
        <f t="shared" si="44"/>
        <v>2.4715354216002412E-2</v>
      </c>
      <c r="EG29" s="190">
        <f t="shared" si="45"/>
        <v>0</v>
      </c>
      <c r="EH29" s="379">
        <f t="shared" si="46"/>
        <v>0</v>
      </c>
      <c r="EI29" s="380">
        <f t="shared" si="47"/>
        <v>0</v>
      </c>
      <c r="EJ29" s="380"/>
      <c r="EK29" s="190">
        <f t="shared" si="48"/>
        <v>320450000</v>
      </c>
      <c r="EL29" s="190">
        <f t="shared" si="49"/>
        <v>0</v>
      </c>
      <c r="EM29" s="190">
        <f t="shared" si="50"/>
        <v>22475.319444444445</v>
      </c>
      <c r="EN29" s="380">
        <f t="shared" si="51"/>
        <v>2.524922764861913E-2</v>
      </c>
      <c r="EP29" s="379"/>
    </row>
    <row r="30" spans="1:146">
      <c r="A30" s="378">
        <f t="shared" si="52"/>
        <v>43392</v>
      </c>
      <c r="D30" s="379">
        <f t="shared" si="1"/>
        <v>0</v>
      </c>
      <c r="E30" s="379">
        <v>68075087.409999996</v>
      </c>
      <c r="F30" s="380">
        <v>2.2700000000000001E-2</v>
      </c>
      <c r="G30" s="379">
        <f t="shared" si="2"/>
        <v>4292.5124561305556</v>
      </c>
      <c r="J30" s="379">
        <f t="shared" si="3"/>
        <v>0</v>
      </c>
      <c r="M30" s="379">
        <f t="shared" si="4"/>
        <v>0</v>
      </c>
      <c r="P30" s="379">
        <f t="shared" si="5"/>
        <v>0</v>
      </c>
      <c r="S30" s="379">
        <f t="shared" si="6"/>
        <v>0</v>
      </c>
      <c r="V30" s="379">
        <f t="shared" si="7"/>
        <v>0</v>
      </c>
      <c r="Y30" s="379">
        <f t="shared" si="8"/>
        <v>0</v>
      </c>
      <c r="AB30" s="379">
        <f t="shared" si="9"/>
        <v>0</v>
      </c>
      <c r="AE30" s="379">
        <v>0</v>
      </c>
      <c r="AH30" s="379">
        <v>0</v>
      </c>
      <c r="AI30" s="381">
        <f>50300000</f>
        <v>50300000</v>
      </c>
      <c r="AJ30" s="382">
        <v>2.4500000000000001E-2</v>
      </c>
      <c r="AK30" s="379">
        <f t="shared" si="10"/>
        <v>3423.1944444444443</v>
      </c>
      <c r="AL30" s="381"/>
      <c r="AM30" s="382"/>
      <c r="AN30" s="379">
        <f t="shared" si="11"/>
        <v>0</v>
      </c>
      <c r="AO30" s="381"/>
      <c r="AP30" s="382"/>
      <c r="AQ30" s="379">
        <f t="shared" si="12"/>
        <v>0</v>
      </c>
      <c r="AR30" s="381"/>
      <c r="AS30" s="382"/>
      <c r="AT30" s="379">
        <f t="shared" si="13"/>
        <v>0</v>
      </c>
      <c r="AU30" s="381">
        <f t="shared" si="53"/>
        <v>169950000</v>
      </c>
      <c r="AV30" s="382">
        <v>2.5499999999999998E-2</v>
      </c>
      <c r="AW30" s="379">
        <f t="shared" si="14"/>
        <v>12038.125</v>
      </c>
      <c r="AX30" s="381">
        <f t="shared" si="54"/>
        <v>100200000</v>
      </c>
      <c r="AY30" s="382">
        <v>2.52E-2</v>
      </c>
      <c r="AZ30" s="379">
        <f t="shared" si="15"/>
        <v>7014</v>
      </c>
      <c r="BC30" s="379">
        <f t="shared" si="16"/>
        <v>0</v>
      </c>
      <c r="BF30" s="379">
        <f t="shared" si="17"/>
        <v>0</v>
      </c>
      <c r="BI30" s="379">
        <f t="shared" si="18"/>
        <v>0</v>
      </c>
      <c r="BL30" s="379">
        <f t="shared" si="19"/>
        <v>0</v>
      </c>
      <c r="BO30" s="379">
        <f t="shared" si="20"/>
        <v>0</v>
      </c>
      <c r="BR30" s="379">
        <f t="shared" si="21"/>
        <v>0</v>
      </c>
      <c r="BU30" s="379">
        <f t="shared" si="22"/>
        <v>0</v>
      </c>
      <c r="BX30" s="379">
        <f t="shared" si="23"/>
        <v>0</v>
      </c>
      <c r="CA30" s="379">
        <f t="shared" si="24"/>
        <v>0</v>
      </c>
      <c r="CD30" s="379">
        <f t="shared" si="25"/>
        <v>0</v>
      </c>
      <c r="CG30" s="379">
        <f t="shared" si="26"/>
        <v>0</v>
      </c>
      <c r="CJ30" s="379">
        <f t="shared" si="27"/>
        <v>0</v>
      </c>
      <c r="CM30" s="379">
        <f t="shared" si="28"/>
        <v>0</v>
      </c>
      <c r="CP30" s="379">
        <f t="shared" si="29"/>
        <v>0</v>
      </c>
      <c r="CS30" s="379">
        <f t="shared" si="30"/>
        <v>0</v>
      </c>
      <c r="CV30" s="379">
        <f t="shared" si="31"/>
        <v>0</v>
      </c>
      <c r="CY30" s="379">
        <f t="shared" si="32"/>
        <v>0</v>
      </c>
      <c r="DB30" s="379">
        <f t="shared" si="33"/>
        <v>0</v>
      </c>
      <c r="DE30" s="379">
        <f t="shared" si="34"/>
        <v>0</v>
      </c>
      <c r="DH30" s="379">
        <f t="shared" si="35"/>
        <v>0</v>
      </c>
      <c r="DK30" s="379">
        <f t="shared" si="36"/>
        <v>0</v>
      </c>
      <c r="DN30" s="379">
        <f t="shared" si="37"/>
        <v>0</v>
      </c>
      <c r="DQ30" s="379">
        <f t="shared" si="38"/>
        <v>0</v>
      </c>
      <c r="DT30" s="379">
        <f t="shared" si="39"/>
        <v>0</v>
      </c>
      <c r="DW30" s="379">
        <f t="shared" si="40"/>
        <v>0</v>
      </c>
      <c r="DY30" s="384"/>
      <c r="DZ30" s="366"/>
      <c r="EA30" s="379"/>
      <c r="EB30" s="190">
        <f t="shared" si="41"/>
        <v>388525087.40999997</v>
      </c>
      <c r="EC30" s="190">
        <f t="shared" si="42"/>
        <v>68075087.409999967</v>
      </c>
      <c r="ED30" s="379">
        <f t="shared" si="43"/>
        <v>26767.831900575002</v>
      </c>
      <c r="EE30" s="380">
        <f t="shared" si="44"/>
        <v>2.4802566929321476E-2</v>
      </c>
      <c r="EG30" s="190">
        <f t="shared" si="45"/>
        <v>0</v>
      </c>
      <c r="EH30" s="379">
        <f t="shared" si="46"/>
        <v>0</v>
      </c>
      <c r="EI30" s="380">
        <f t="shared" si="47"/>
        <v>0</v>
      </c>
      <c r="EJ30" s="380"/>
      <c r="EK30" s="190">
        <f t="shared" si="48"/>
        <v>320450000</v>
      </c>
      <c r="EL30" s="190">
        <f t="shared" si="49"/>
        <v>0</v>
      </c>
      <c r="EM30" s="190">
        <f t="shared" si="50"/>
        <v>22475.319444444445</v>
      </c>
      <c r="EN30" s="380">
        <f t="shared" si="51"/>
        <v>2.524922764861913E-2</v>
      </c>
      <c r="EP30" s="379"/>
    </row>
    <row r="31" spans="1:146">
      <c r="A31" s="378">
        <f t="shared" si="52"/>
        <v>43393</v>
      </c>
      <c r="D31" s="379">
        <f t="shared" si="1"/>
        <v>0</v>
      </c>
      <c r="E31" s="379">
        <v>68075087.409999996</v>
      </c>
      <c r="F31" s="380">
        <v>2.2700000000000001E-2</v>
      </c>
      <c r="G31" s="379">
        <f t="shared" si="2"/>
        <v>4292.5124561305556</v>
      </c>
      <c r="J31" s="379">
        <f t="shared" si="3"/>
        <v>0</v>
      </c>
      <c r="M31" s="379">
        <f t="shared" si="4"/>
        <v>0</v>
      </c>
      <c r="P31" s="379">
        <f t="shared" si="5"/>
        <v>0</v>
      </c>
      <c r="S31" s="379">
        <f t="shared" si="6"/>
        <v>0</v>
      </c>
      <c r="V31" s="379">
        <f t="shared" si="7"/>
        <v>0</v>
      </c>
      <c r="Y31" s="379">
        <f t="shared" si="8"/>
        <v>0</v>
      </c>
      <c r="AB31" s="379">
        <f t="shared" si="9"/>
        <v>0</v>
      </c>
      <c r="AE31" s="379">
        <v>0</v>
      </c>
      <c r="AH31" s="379">
        <v>0</v>
      </c>
      <c r="AI31" s="381">
        <f>50300000</f>
        <v>50300000</v>
      </c>
      <c r="AJ31" s="382">
        <v>2.4500000000000001E-2</v>
      </c>
      <c r="AK31" s="379">
        <f t="shared" si="10"/>
        <v>3423.1944444444443</v>
      </c>
      <c r="AL31" s="381"/>
      <c r="AM31" s="382"/>
      <c r="AN31" s="379">
        <f t="shared" si="11"/>
        <v>0</v>
      </c>
      <c r="AO31" s="381"/>
      <c r="AP31" s="382"/>
      <c r="AQ31" s="379">
        <f t="shared" si="12"/>
        <v>0</v>
      </c>
      <c r="AR31" s="381"/>
      <c r="AS31" s="382"/>
      <c r="AT31" s="379">
        <f t="shared" si="13"/>
        <v>0</v>
      </c>
      <c r="AU31" s="381">
        <f t="shared" si="53"/>
        <v>169950000</v>
      </c>
      <c r="AV31" s="382">
        <v>2.5499999999999998E-2</v>
      </c>
      <c r="AW31" s="379">
        <f t="shared" si="14"/>
        <v>12038.125</v>
      </c>
      <c r="AX31" s="381">
        <f t="shared" si="54"/>
        <v>100200000</v>
      </c>
      <c r="AY31" s="382">
        <v>2.52E-2</v>
      </c>
      <c r="AZ31" s="379">
        <f t="shared" si="15"/>
        <v>7014</v>
      </c>
      <c r="BC31" s="379">
        <f t="shared" si="16"/>
        <v>0</v>
      </c>
      <c r="BF31" s="379">
        <f t="shared" si="17"/>
        <v>0</v>
      </c>
      <c r="BI31" s="379">
        <f t="shared" si="18"/>
        <v>0</v>
      </c>
      <c r="BL31" s="379">
        <f t="shared" si="19"/>
        <v>0</v>
      </c>
      <c r="BO31" s="379">
        <f t="shared" si="20"/>
        <v>0</v>
      </c>
      <c r="BR31" s="379">
        <f t="shared" si="21"/>
        <v>0</v>
      </c>
      <c r="BU31" s="379">
        <f t="shared" si="22"/>
        <v>0</v>
      </c>
      <c r="BX31" s="379">
        <f t="shared" si="23"/>
        <v>0</v>
      </c>
      <c r="CA31" s="379">
        <f t="shared" si="24"/>
        <v>0</v>
      </c>
      <c r="CD31" s="379">
        <f t="shared" si="25"/>
        <v>0</v>
      </c>
      <c r="CG31" s="379">
        <f t="shared" si="26"/>
        <v>0</v>
      </c>
      <c r="CJ31" s="379">
        <f t="shared" si="27"/>
        <v>0</v>
      </c>
      <c r="CM31" s="379">
        <f t="shared" si="28"/>
        <v>0</v>
      </c>
      <c r="CP31" s="379">
        <f t="shared" si="29"/>
        <v>0</v>
      </c>
      <c r="CS31" s="379">
        <f t="shared" si="30"/>
        <v>0</v>
      </c>
      <c r="CV31" s="379">
        <f t="shared" si="31"/>
        <v>0</v>
      </c>
      <c r="CY31" s="379">
        <f t="shared" si="32"/>
        <v>0</v>
      </c>
      <c r="DB31" s="379">
        <f t="shared" si="33"/>
        <v>0</v>
      </c>
      <c r="DE31" s="379">
        <f t="shared" si="34"/>
        <v>0</v>
      </c>
      <c r="DH31" s="379">
        <f t="shared" si="35"/>
        <v>0</v>
      </c>
      <c r="DK31" s="379">
        <f t="shared" si="36"/>
        <v>0</v>
      </c>
      <c r="DN31" s="379">
        <f t="shared" si="37"/>
        <v>0</v>
      </c>
      <c r="DQ31" s="379">
        <f t="shared" si="38"/>
        <v>0</v>
      </c>
      <c r="DT31" s="379">
        <f t="shared" si="39"/>
        <v>0</v>
      </c>
      <c r="DW31" s="379">
        <f t="shared" si="40"/>
        <v>0</v>
      </c>
      <c r="DY31" s="384"/>
      <c r="DZ31" s="366"/>
      <c r="EA31" s="379"/>
      <c r="EB31" s="190">
        <f t="shared" si="41"/>
        <v>388525087.40999997</v>
      </c>
      <c r="EC31" s="190">
        <f t="shared" si="42"/>
        <v>68075087.409999967</v>
      </c>
      <c r="ED31" s="379">
        <f t="shared" si="43"/>
        <v>26767.831900575002</v>
      </c>
      <c r="EE31" s="380">
        <f t="shared" si="44"/>
        <v>2.4802566929321476E-2</v>
      </c>
      <c r="EG31" s="190">
        <f t="shared" si="45"/>
        <v>0</v>
      </c>
      <c r="EH31" s="379">
        <f t="shared" si="46"/>
        <v>0</v>
      </c>
      <c r="EI31" s="380">
        <f t="shared" si="47"/>
        <v>0</v>
      </c>
      <c r="EJ31" s="380"/>
      <c r="EK31" s="190">
        <f t="shared" si="48"/>
        <v>320450000</v>
      </c>
      <c r="EL31" s="190">
        <f t="shared" si="49"/>
        <v>0</v>
      </c>
      <c r="EM31" s="190">
        <f t="shared" si="50"/>
        <v>22475.319444444445</v>
      </c>
      <c r="EN31" s="380">
        <f t="shared" si="51"/>
        <v>2.524922764861913E-2</v>
      </c>
      <c r="EP31" s="379"/>
    </row>
    <row r="32" spans="1:146">
      <c r="A32" s="378">
        <f t="shared" si="52"/>
        <v>43394</v>
      </c>
      <c r="D32" s="379">
        <f t="shared" si="1"/>
        <v>0</v>
      </c>
      <c r="E32" s="379">
        <v>68075087.409999996</v>
      </c>
      <c r="F32" s="380">
        <v>2.2700000000000001E-2</v>
      </c>
      <c r="G32" s="379">
        <f t="shared" si="2"/>
        <v>4292.5124561305556</v>
      </c>
      <c r="J32" s="379">
        <f t="shared" si="3"/>
        <v>0</v>
      </c>
      <c r="M32" s="379">
        <f t="shared" si="4"/>
        <v>0</v>
      </c>
      <c r="P32" s="379">
        <f t="shared" si="5"/>
        <v>0</v>
      </c>
      <c r="S32" s="379">
        <f t="shared" si="6"/>
        <v>0</v>
      </c>
      <c r="V32" s="379">
        <f t="shared" si="7"/>
        <v>0</v>
      </c>
      <c r="Y32" s="379">
        <f t="shared" si="8"/>
        <v>0</v>
      </c>
      <c r="AB32" s="379">
        <f t="shared" si="9"/>
        <v>0</v>
      </c>
      <c r="AE32" s="379">
        <v>0</v>
      </c>
      <c r="AH32" s="379">
        <v>0</v>
      </c>
      <c r="AI32" s="381">
        <f>50300000</f>
        <v>50300000</v>
      </c>
      <c r="AJ32" s="382">
        <v>2.4500000000000001E-2</v>
      </c>
      <c r="AK32" s="379">
        <f t="shared" si="10"/>
        <v>3423.1944444444443</v>
      </c>
      <c r="AL32" s="381"/>
      <c r="AM32" s="382"/>
      <c r="AN32" s="379">
        <f t="shared" si="11"/>
        <v>0</v>
      </c>
      <c r="AO32" s="381"/>
      <c r="AP32" s="382"/>
      <c r="AQ32" s="379">
        <f t="shared" si="12"/>
        <v>0</v>
      </c>
      <c r="AR32" s="381"/>
      <c r="AS32" s="382"/>
      <c r="AT32" s="379">
        <f t="shared" si="13"/>
        <v>0</v>
      </c>
      <c r="AU32" s="381">
        <f t="shared" si="53"/>
        <v>169950000</v>
      </c>
      <c r="AV32" s="382">
        <v>2.5499999999999998E-2</v>
      </c>
      <c r="AW32" s="379">
        <f t="shared" si="14"/>
        <v>12038.125</v>
      </c>
      <c r="AX32" s="381">
        <f t="shared" si="54"/>
        <v>100200000</v>
      </c>
      <c r="AY32" s="382">
        <v>2.52E-2</v>
      </c>
      <c r="AZ32" s="379">
        <f t="shared" si="15"/>
        <v>7014</v>
      </c>
      <c r="BC32" s="379">
        <f t="shared" si="16"/>
        <v>0</v>
      </c>
      <c r="BF32" s="379">
        <f t="shared" si="17"/>
        <v>0</v>
      </c>
      <c r="BI32" s="379">
        <f t="shared" si="18"/>
        <v>0</v>
      </c>
      <c r="BL32" s="379">
        <f t="shared" si="19"/>
        <v>0</v>
      </c>
      <c r="BO32" s="379">
        <f t="shared" si="20"/>
        <v>0</v>
      </c>
      <c r="BR32" s="379">
        <f t="shared" si="21"/>
        <v>0</v>
      </c>
      <c r="BU32" s="379">
        <f t="shared" si="22"/>
        <v>0</v>
      </c>
      <c r="BX32" s="379">
        <f t="shared" si="23"/>
        <v>0</v>
      </c>
      <c r="CA32" s="379">
        <f t="shared" si="24"/>
        <v>0</v>
      </c>
      <c r="CD32" s="379">
        <f t="shared" si="25"/>
        <v>0</v>
      </c>
      <c r="CG32" s="379">
        <f t="shared" si="26"/>
        <v>0</v>
      </c>
      <c r="CJ32" s="379">
        <f t="shared" si="27"/>
        <v>0</v>
      </c>
      <c r="CM32" s="379">
        <f t="shared" si="28"/>
        <v>0</v>
      </c>
      <c r="CP32" s="379">
        <f t="shared" si="29"/>
        <v>0</v>
      </c>
      <c r="CS32" s="379">
        <f t="shared" si="30"/>
        <v>0</v>
      </c>
      <c r="CV32" s="379">
        <f t="shared" si="31"/>
        <v>0</v>
      </c>
      <c r="CY32" s="379">
        <f t="shared" si="32"/>
        <v>0</v>
      </c>
      <c r="DB32" s="379">
        <f t="shared" si="33"/>
        <v>0</v>
      </c>
      <c r="DE32" s="379">
        <f t="shared" si="34"/>
        <v>0</v>
      </c>
      <c r="DH32" s="379">
        <f t="shared" si="35"/>
        <v>0</v>
      </c>
      <c r="DK32" s="379">
        <f t="shared" si="36"/>
        <v>0</v>
      </c>
      <c r="DN32" s="379">
        <f t="shared" si="37"/>
        <v>0</v>
      </c>
      <c r="DQ32" s="379">
        <f t="shared" si="38"/>
        <v>0</v>
      </c>
      <c r="DT32" s="379">
        <f t="shared" si="39"/>
        <v>0</v>
      </c>
      <c r="DW32" s="379">
        <f t="shared" si="40"/>
        <v>0</v>
      </c>
      <c r="DY32" s="384"/>
      <c r="DZ32" s="366"/>
      <c r="EA32" s="379"/>
      <c r="EB32" s="190">
        <f t="shared" si="41"/>
        <v>388525087.40999997</v>
      </c>
      <c r="EC32" s="190">
        <f t="shared" si="42"/>
        <v>68075087.409999967</v>
      </c>
      <c r="ED32" s="379">
        <f t="shared" si="43"/>
        <v>26767.831900575002</v>
      </c>
      <c r="EE32" s="380">
        <f t="shared" si="44"/>
        <v>2.4802566929321476E-2</v>
      </c>
      <c r="EG32" s="190">
        <f t="shared" si="45"/>
        <v>0</v>
      </c>
      <c r="EH32" s="379">
        <f t="shared" si="46"/>
        <v>0</v>
      </c>
      <c r="EI32" s="380">
        <f t="shared" si="47"/>
        <v>0</v>
      </c>
      <c r="EJ32" s="380"/>
      <c r="EK32" s="190">
        <f t="shared" si="48"/>
        <v>320450000</v>
      </c>
      <c r="EL32" s="190">
        <f t="shared" si="49"/>
        <v>0</v>
      </c>
      <c r="EM32" s="190">
        <f t="shared" si="50"/>
        <v>22475.319444444445</v>
      </c>
      <c r="EN32" s="380">
        <f t="shared" si="51"/>
        <v>2.524922764861913E-2</v>
      </c>
      <c r="EP32" s="379"/>
    </row>
    <row r="33" spans="1:146">
      <c r="A33" s="378">
        <f t="shared" si="52"/>
        <v>43395</v>
      </c>
      <c r="D33" s="379">
        <f t="shared" si="1"/>
        <v>0</v>
      </c>
      <c r="E33" s="379">
        <v>67093737.340000004</v>
      </c>
      <c r="F33" s="380">
        <v>2.2499999999999999E-2</v>
      </c>
      <c r="G33" s="379">
        <f t="shared" si="2"/>
        <v>4193.3585837500004</v>
      </c>
      <c r="J33" s="379">
        <f t="shared" si="3"/>
        <v>0</v>
      </c>
      <c r="M33" s="379">
        <f t="shared" si="4"/>
        <v>0</v>
      </c>
      <c r="P33" s="379">
        <f t="shared" si="5"/>
        <v>0</v>
      </c>
      <c r="S33" s="379">
        <f t="shared" si="6"/>
        <v>0</v>
      </c>
      <c r="V33" s="379">
        <f t="shared" si="7"/>
        <v>0</v>
      </c>
      <c r="Y33" s="379">
        <f t="shared" si="8"/>
        <v>0</v>
      </c>
      <c r="AB33" s="379">
        <f t="shared" si="9"/>
        <v>0</v>
      </c>
      <c r="AE33" s="379">
        <v>0</v>
      </c>
      <c r="AH33" s="379">
        <v>0</v>
      </c>
      <c r="AI33" s="381">
        <f>51350000</f>
        <v>51350000</v>
      </c>
      <c r="AJ33" s="382">
        <v>2.4500000000000001E-2</v>
      </c>
      <c r="AK33" s="379">
        <f t="shared" si="10"/>
        <v>3494.6527777777778</v>
      </c>
      <c r="AL33" s="381"/>
      <c r="AM33" s="382"/>
      <c r="AN33" s="379">
        <f t="shared" si="11"/>
        <v>0</v>
      </c>
      <c r="AO33" s="381"/>
      <c r="AP33" s="382"/>
      <c r="AQ33" s="379">
        <f t="shared" si="12"/>
        <v>0</v>
      </c>
      <c r="AR33" s="381"/>
      <c r="AS33" s="382"/>
      <c r="AT33" s="379">
        <f t="shared" si="13"/>
        <v>0</v>
      </c>
      <c r="AU33" s="381">
        <f t="shared" si="53"/>
        <v>169950000</v>
      </c>
      <c r="AV33" s="382">
        <v>2.5499999999999998E-2</v>
      </c>
      <c r="AW33" s="379">
        <f t="shared" si="14"/>
        <v>12038.125</v>
      </c>
      <c r="AX33" s="381">
        <f t="shared" si="54"/>
        <v>100200000</v>
      </c>
      <c r="AY33" s="382">
        <v>2.52E-2</v>
      </c>
      <c r="AZ33" s="379">
        <f t="shared" si="15"/>
        <v>7014</v>
      </c>
      <c r="BC33" s="379">
        <f t="shared" si="16"/>
        <v>0</v>
      </c>
      <c r="BF33" s="379">
        <f t="shared" si="17"/>
        <v>0</v>
      </c>
      <c r="BI33" s="379">
        <f t="shared" si="18"/>
        <v>0</v>
      </c>
      <c r="BL33" s="379">
        <f t="shared" si="19"/>
        <v>0</v>
      </c>
      <c r="BO33" s="379">
        <f t="shared" si="20"/>
        <v>0</v>
      </c>
      <c r="BR33" s="379">
        <f t="shared" si="21"/>
        <v>0</v>
      </c>
      <c r="BU33" s="379">
        <f t="shared" si="22"/>
        <v>0</v>
      </c>
      <c r="BX33" s="379">
        <f t="shared" si="23"/>
        <v>0</v>
      </c>
      <c r="CA33" s="379">
        <f t="shared" si="24"/>
        <v>0</v>
      </c>
      <c r="CD33" s="379">
        <f t="shared" si="25"/>
        <v>0</v>
      </c>
      <c r="CG33" s="379">
        <f t="shared" si="26"/>
        <v>0</v>
      </c>
      <c r="CJ33" s="379">
        <f t="shared" si="27"/>
        <v>0</v>
      </c>
      <c r="CM33" s="379">
        <f t="shared" si="28"/>
        <v>0</v>
      </c>
      <c r="CP33" s="379">
        <f t="shared" si="29"/>
        <v>0</v>
      </c>
      <c r="CS33" s="379">
        <f t="shared" si="30"/>
        <v>0</v>
      </c>
      <c r="CV33" s="379">
        <f t="shared" si="31"/>
        <v>0</v>
      </c>
      <c r="CY33" s="379">
        <f t="shared" si="32"/>
        <v>0</v>
      </c>
      <c r="DB33" s="379">
        <f t="shared" si="33"/>
        <v>0</v>
      </c>
      <c r="DE33" s="379">
        <f t="shared" si="34"/>
        <v>0</v>
      </c>
      <c r="DH33" s="379">
        <f t="shared" si="35"/>
        <v>0</v>
      </c>
      <c r="DK33" s="379">
        <f t="shared" si="36"/>
        <v>0</v>
      </c>
      <c r="DN33" s="379">
        <f t="shared" si="37"/>
        <v>0</v>
      </c>
      <c r="DQ33" s="379">
        <f t="shared" si="38"/>
        <v>0</v>
      </c>
      <c r="DT33" s="379">
        <f t="shared" si="39"/>
        <v>0</v>
      </c>
      <c r="DW33" s="379">
        <f t="shared" si="40"/>
        <v>0</v>
      </c>
      <c r="DY33" s="384"/>
      <c r="DZ33" s="366"/>
      <c r="EA33" s="379"/>
      <c r="EB33" s="190">
        <f t="shared" si="41"/>
        <v>388593737.34000003</v>
      </c>
      <c r="EC33" s="190">
        <f t="shared" si="42"/>
        <v>67093737.340000033</v>
      </c>
      <c r="ED33" s="379">
        <f t="shared" si="43"/>
        <v>26740.136361527781</v>
      </c>
      <c r="EE33" s="380">
        <f t="shared" si="44"/>
        <v>2.477252761726147E-2</v>
      </c>
      <c r="EG33" s="190">
        <f t="shared" si="45"/>
        <v>0</v>
      </c>
      <c r="EH33" s="379">
        <f t="shared" si="46"/>
        <v>0</v>
      </c>
      <c r="EI33" s="380">
        <f t="shared" si="47"/>
        <v>0</v>
      </c>
      <c r="EJ33" s="380"/>
      <c r="EK33" s="190">
        <f t="shared" si="48"/>
        <v>321500000</v>
      </c>
      <c r="EL33" s="190">
        <f t="shared" si="49"/>
        <v>0</v>
      </c>
      <c r="EM33" s="190">
        <f t="shared" si="50"/>
        <v>22546.777777777777</v>
      </c>
      <c r="EN33" s="380">
        <f t="shared" si="51"/>
        <v>2.5246780715396579E-2</v>
      </c>
      <c r="EP33" s="379"/>
    </row>
    <row r="34" spans="1:146">
      <c r="A34" s="378">
        <f t="shared" si="52"/>
        <v>43396</v>
      </c>
      <c r="D34" s="379">
        <f t="shared" si="1"/>
        <v>0</v>
      </c>
      <c r="E34" s="379">
        <v>67568986.629999995</v>
      </c>
      <c r="F34" s="380">
        <v>2.23E-2</v>
      </c>
      <c r="G34" s="379">
        <f t="shared" si="2"/>
        <v>4185.5233384694448</v>
      </c>
      <c r="J34" s="379">
        <f t="shared" si="3"/>
        <v>0</v>
      </c>
      <c r="M34" s="379">
        <f t="shared" si="4"/>
        <v>0</v>
      </c>
      <c r="P34" s="379">
        <f t="shared" si="5"/>
        <v>0</v>
      </c>
      <c r="S34" s="379">
        <f t="shared" si="6"/>
        <v>0</v>
      </c>
      <c r="V34" s="379">
        <f t="shared" si="7"/>
        <v>0</v>
      </c>
      <c r="Y34" s="379">
        <f t="shared" si="8"/>
        <v>0</v>
      </c>
      <c r="AB34" s="379">
        <f t="shared" si="9"/>
        <v>0</v>
      </c>
      <c r="AE34" s="379">
        <v>0</v>
      </c>
      <c r="AH34" s="379">
        <v>0</v>
      </c>
      <c r="AI34" s="381">
        <f>50275000</f>
        <v>50275000</v>
      </c>
      <c r="AJ34" s="382">
        <v>2.4500000000000001E-2</v>
      </c>
      <c r="AK34" s="379">
        <f t="shared" si="10"/>
        <v>3421.4930555555557</v>
      </c>
      <c r="AL34" s="381"/>
      <c r="AM34" s="382"/>
      <c r="AN34" s="379">
        <f t="shared" si="11"/>
        <v>0</v>
      </c>
      <c r="AO34" s="381"/>
      <c r="AP34" s="382"/>
      <c r="AQ34" s="379">
        <f t="shared" si="12"/>
        <v>0</v>
      </c>
      <c r="AR34" s="381"/>
      <c r="AS34" s="382"/>
      <c r="AT34" s="379">
        <f t="shared" si="13"/>
        <v>0</v>
      </c>
      <c r="AU34" s="381">
        <f t="shared" si="53"/>
        <v>169950000</v>
      </c>
      <c r="AV34" s="382">
        <v>2.5499999999999998E-2</v>
      </c>
      <c r="AW34" s="379">
        <f t="shared" si="14"/>
        <v>12038.125</v>
      </c>
      <c r="AX34" s="381">
        <f t="shared" si="54"/>
        <v>100200000</v>
      </c>
      <c r="AY34" s="382">
        <v>2.52E-2</v>
      </c>
      <c r="AZ34" s="379">
        <f t="shared" si="15"/>
        <v>7014</v>
      </c>
      <c r="BC34" s="379">
        <f t="shared" si="16"/>
        <v>0</v>
      </c>
      <c r="BF34" s="379">
        <f t="shared" si="17"/>
        <v>0</v>
      </c>
      <c r="BI34" s="379">
        <f t="shared" si="18"/>
        <v>0</v>
      </c>
      <c r="BL34" s="379">
        <f t="shared" si="19"/>
        <v>0</v>
      </c>
      <c r="BO34" s="379">
        <f t="shared" si="20"/>
        <v>0</v>
      </c>
      <c r="BR34" s="379">
        <f t="shared" si="21"/>
        <v>0</v>
      </c>
      <c r="BU34" s="379">
        <f t="shared" si="22"/>
        <v>0</v>
      </c>
      <c r="BX34" s="379">
        <f t="shared" si="23"/>
        <v>0</v>
      </c>
      <c r="CA34" s="379">
        <f t="shared" si="24"/>
        <v>0</v>
      </c>
      <c r="CD34" s="379">
        <f t="shared" si="25"/>
        <v>0</v>
      </c>
      <c r="CG34" s="379">
        <f t="shared" si="26"/>
        <v>0</v>
      </c>
      <c r="CJ34" s="379">
        <f t="shared" si="27"/>
        <v>0</v>
      </c>
      <c r="CM34" s="379">
        <f t="shared" si="28"/>
        <v>0</v>
      </c>
      <c r="CP34" s="379">
        <f t="shared" si="29"/>
        <v>0</v>
      </c>
      <c r="CS34" s="379">
        <f t="shared" si="30"/>
        <v>0</v>
      </c>
      <c r="CV34" s="379">
        <f t="shared" si="31"/>
        <v>0</v>
      </c>
      <c r="CY34" s="379">
        <f t="shared" si="32"/>
        <v>0</v>
      </c>
      <c r="DB34" s="379">
        <f t="shared" si="33"/>
        <v>0</v>
      </c>
      <c r="DE34" s="379">
        <f t="shared" si="34"/>
        <v>0</v>
      </c>
      <c r="DH34" s="379">
        <f t="shared" si="35"/>
        <v>0</v>
      </c>
      <c r="DK34" s="379">
        <f t="shared" si="36"/>
        <v>0</v>
      </c>
      <c r="DN34" s="379">
        <f t="shared" si="37"/>
        <v>0</v>
      </c>
      <c r="DQ34" s="379">
        <f t="shared" si="38"/>
        <v>0</v>
      </c>
      <c r="DT34" s="379">
        <f t="shared" si="39"/>
        <v>0</v>
      </c>
      <c r="DW34" s="379">
        <f t="shared" si="40"/>
        <v>0</v>
      </c>
      <c r="DY34" s="384"/>
      <c r="DZ34" s="366"/>
      <c r="EA34" s="379"/>
      <c r="EB34" s="190">
        <f t="shared" si="41"/>
        <v>387993986.63</v>
      </c>
      <c r="EC34" s="190">
        <f t="shared" si="42"/>
        <v>67568986.629999995</v>
      </c>
      <c r="ED34" s="379">
        <f t="shared" si="43"/>
        <v>26659.141394024999</v>
      </c>
      <c r="EE34" s="380">
        <f t="shared" si="44"/>
        <v>2.4735669192216623E-2</v>
      </c>
      <c r="EG34" s="190">
        <f t="shared" si="45"/>
        <v>0</v>
      </c>
      <c r="EH34" s="379">
        <f t="shared" si="46"/>
        <v>0</v>
      </c>
      <c r="EI34" s="380">
        <f t="shared" si="47"/>
        <v>0</v>
      </c>
      <c r="EJ34" s="380"/>
      <c r="EK34" s="190">
        <f t="shared" si="48"/>
        <v>320425000</v>
      </c>
      <c r="EL34" s="190">
        <f t="shared" si="49"/>
        <v>0</v>
      </c>
      <c r="EM34" s="190">
        <f t="shared" si="50"/>
        <v>22473.618055555555</v>
      </c>
      <c r="EN34" s="380">
        <f t="shared" si="51"/>
        <v>2.5249286104392605E-2</v>
      </c>
      <c r="EP34" s="379"/>
    </row>
    <row r="35" spans="1:146">
      <c r="A35" s="378">
        <f t="shared" si="52"/>
        <v>43397</v>
      </c>
      <c r="D35" s="379">
        <f t="shared" si="1"/>
        <v>0</v>
      </c>
      <c r="E35" s="379">
        <v>59930020.210000001</v>
      </c>
      <c r="F35" s="380">
        <v>2.2799999999999997E-2</v>
      </c>
      <c r="G35" s="379">
        <f t="shared" si="2"/>
        <v>3795.5679466333331</v>
      </c>
      <c r="J35" s="379">
        <f t="shared" si="3"/>
        <v>0</v>
      </c>
      <c r="M35" s="379">
        <f t="shared" si="4"/>
        <v>0</v>
      </c>
      <c r="P35" s="379">
        <f t="shared" si="5"/>
        <v>0</v>
      </c>
      <c r="S35" s="379">
        <f t="shared" si="6"/>
        <v>0</v>
      </c>
      <c r="V35" s="379">
        <f t="shared" si="7"/>
        <v>0</v>
      </c>
      <c r="Y35" s="379">
        <f t="shared" si="8"/>
        <v>0</v>
      </c>
      <c r="AB35" s="379">
        <f t="shared" si="9"/>
        <v>0</v>
      </c>
      <c r="AE35" s="379">
        <v>0</v>
      </c>
      <c r="AH35" s="379">
        <v>0</v>
      </c>
      <c r="AI35" s="381">
        <f>57950000</f>
        <v>57950000</v>
      </c>
      <c r="AJ35" s="382">
        <v>2.4500000000000001E-2</v>
      </c>
      <c r="AK35" s="379">
        <f t="shared" si="10"/>
        <v>3943.8194444444443</v>
      </c>
      <c r="AL35" s="381"/>
      <c r="AM35" s="382"/>
      <c r="AN35" s="379">
        <f t="shared" si="11"/>
        <v>0</v>
      </c>
      <c r="AO35" s="381"/>
      <c r="AP35" s="382"/>
      <c r="AQ35" s="379">
        <f t="shared" si="12"/>
        <v>0</v>
      </c>
      <c r="AR35" s="381"/>
      <c r="AS35" s="382"/>
      <c r="AT35" s="379">
        <f t="shared" si="13"/>
        <v>0</v>
      </c>
      <c r="AU35" s="381">
        <f t="shared" si="53"/>
        <v>169950000</v>
      </c>
      <c r="AV35" s="382">
        <v>2.5499999999999998E-2</v>
      </c>
      <c r="AW35" s="379">
        <f t="shared" si="14"/>
        <v>12038.125</v>
      </c>
      <c r="AX35" s="381">
        <f t="shared" si="54"/>
        <v>100200000</v>
      </c>
      <c r="AY35" s="382">
        <v>2.52E-2</v>
      </c>
      <c r="AZ35" s="379">
        <f t="shared" si="15"/>
        <v>7014</v>
      </c>
      <c r="BC35" s="379">
        <f t="shared" si="16"/>
        <v>0</v>
      </c>
      <c r="BF35" s="379">
        <f t="shared" si="17"/>
        <v>0</v>
      </c>
      <c r="BI35" s="379">
        <f t="shared" si="18"/>
        <v>0</v>
      </c>
      <c r="BL35" s="379">
        <f t="shared" si="19"/>
        <v>0</v>
      </c>
      <c r="BO35" s="379">
        <f t="shared" si="20"/>
        <v>0</v>
      </c>
      <c r="BR35" s="379">
        <f t="shared" si="21"/>
        <v>0</v>
      </c>
      <c r="BU35" s="379">
        <f t="shared" si="22"/>
        <v>0</v>
      </c>
      <c r="BX35" s="379">
        <f t="shared" si="23"/>
        <v>0</v>
      </c>
      <c r="CA35" s="379">
        <f t="shared" si="24"/>
        <v>0</v>
      </c>
      <c r="CD35" s="379">
        <f t="shared" si="25"/>
        <v>0</v>
      </c>
      <c r="CG35" s="379">
        <f t="shared" si="26"/>
        <v>0</v>
      </c>
      <c r="CJ35" s="379">
        <f t="shared" si="27"/>
        <v>0</v>
      </c>
      <c r="CM35" s="379">
        <f t="shared" si="28"/>
        <v>0</v>
      </c>
      <c r="CP35" s="379">
        <f t="shared" si="29"/>
        <v>0</v>
      </c>
      <c r="CS35" s="379">
        <f t="shared" si="30"/>
        <v>0</v>
      </c>
      <c r="CV35" s="379">
        <f t="shared" si="31"/>
        <v>0</v>
      </c>
      <c r="CY35" s="379">
        <f t="shared" si="32"/>
        <v>0</v>
      </c>
      <c r="DB35" s="379">
        <f t="shared" si="33"/>
        <v>0</v>
      </c>
      <c r="DE35" s="379">
        <f t="shared" si="34"/>
        <v>0</v>
      </c>
      <c r="DH35" s="379">
        <f t="shared" si="35"/>
        <v>0</v>
      </c>
      <c r="DK35" s="379">
        <f t="shared" si="36"/>
        <v>0</v>
      </c>
      <c r="DN35" s="379">
        <f t="shared" si="37"/>
        <v>0</v>
      </c>
      <c r="DQ35" s="379">
        <f t="shared" si="38"/>
        <v>0</v>
      </c>
      <c r="DT35" s="379">
        <f t="shared" si="39"/>
        <v>0</v>
      </c>
      <c r="DW35" s="379">
        <f t="shared" si="40"/>
        <v>0</v>
      </c>
      <c r="DY35" s="384"/>
      <c r="DZ35" s="366"/>
      <c r="EA35" s="379"/>
      <c r="EB35" s="190">
        <f t="shared" si="41"/>
        <v>388030020.21000004</v>
      </c>
      <c r="EC35" s="190">
        <f t="shared" si="42"/>
        <v>59930020.210000038</v>
      </c>
      <c r="ED35" s="379">
        <f t="shared" si="43"/>
        <v>26791.512391077777</v>
      </c>
      <c r="EE35" s="380">
        <f t="shared" si="44"/>
        <v>2.4856181116007982E-2</v>
      </c>
      <c r="EG35" s="190">
        <f t="shared" si="45"/>
        <v>0</v>
      </c>
      <c r="EH35" s="379">
        <f t="shared" si="46"/>
        <v>0</v>
      </c>
      <c r="EI35" s="380">
        <f t="shared" si="47"/>
        <v>0</v>
      </c>
      <c r="EJ35" s="380"/>
      <c r="EK35" s="190">
        <f t="shared" si="48"/>
        <v>328100000</v>
      </c>
      <c r="EL35" s="190">
        <f t="shared" si="49"/>
        <v>0</v>
      </c>
      <c r="EM35" s="190">
        <f t="shared" si="50"/>
        <v>22995.944444444445</v>
      </c>
      <c r="EN35" s="380">
        <f t="shared" si="51"/>
        <v>2.5231758610179823E-2</v>
      </c>
      <c r="EP35" s="379"/>
    </row>
    <row r="36" spans="1:146">
      <c r="A36" s="378">
        <f t="shared" si="52"/>
        <v>43398</v>
      </c>
      <c r="D36" s="379">
        <f t="shared" si="1"/>
        <v>0</v>
      </c>
      <c r="E36" s="379">
        <v>58979832.43</v>
      </c>
      <c r="F36" s="380">
        <v>2.29E-2</v>
      </c>
      <c r="G36" s="379">
        <f t="shared" si="2"/>
        <v>3751.7726740194444</v>
      </c>
      <c r="J36" s="379">
        <f t="shared" si="3"/>
        <v>0</v>
      </c>
      <c r="M36" s="379">
        <f t="shared" si="4"/>
        <v>0</v>
      </c>
      <c r="P36" s="379">
        <f t="shared" si="5"/>
        <v>0</v>
      </c>
      <c r="S36" s="379">
        <f t="shared" si="6"/>
        <v>0</v>
      </c>
      <c r="V36" s="379">
        <f t="shared" si="7"/>
        <v>0</v>
      </c>
      <c r="Y36" s="379">
        <f t="shared" si="8"/>
        <v>0</v>
      </c>
      <c r="AB36" s="379">
        <f t="shared" si="9"/>
        <v>0</v>
      </c>
      <c r="AE36" s="379">
        <v>0</v>
      </c>
      <c r="AH36" s="379">
        <v>0</v>
      </c>
      <c r="AI36" s="381">
        <f>59050000</f>
        <v>59050000</v>
      </c>
      <c r="AJ36" s="382">
        <v>2.4500000000000001E-2</v>
      </c>
      <c r="AK36" s="379">
        <f t="shared" si="10"/>
        <v>4018.6805555555557</v>
      </c>
      <c r="AL36" s="381"/>
      <c r="AM36" s="382"/>
      <c r="AN36" s="379">
        <f t="shared" si="11"/>
        <v>0</v>
      </c>
      <c r="AO36" s="381"/>
      <c r="AP36" s="382"/>
      <c r="AQ36" s="379">
        <f t="shared" si="12"/>
        <v>0</v>
      </c>
      <c r="AR36" s="381"/>
      <c r="AS36" s="382"/>
      <c r="AT36" s="379">
        <f t="shared" si="13"/>
        <v>0</v>
      </c>
      <c r="AU36" s="381">
        <f t="shared" si="53"/>
        <v>169950000</v>
      </c>
      <c r="AV36" s="382">
        <v>2.5499999999999998E-2</v>
      </c>
      <c r="AW36" s="379">
        <f t="shared" si="14"/>
        <v>12038.125</v>
      </c>
      <c r="AX36" s="381">
        <f t="shared" si="54"/>
        <v>100200000</v>
      </c>
      <c r="AY36" s="382">
        <v>2.52E-2</v>
      </c>
      <c r="AZ36" s="379">
        <f t="shared" si="15"/>
        <v>7014</v>
      </c>
      <c r="BC36" s="379">
        <f t="shared" si="16"/>
        <v>0</v>
      </c>
      <c r="BF36" s="379">
        <f t="shared" si="17"/>
        <v>0</v>
      </c>
      <c r="BI36" s="379">
        <f t="shared" si="18"/>
        <v>0</v>
      </c>
      <c r="BL36" s="379">
        <f t="shared" si="19"/>
        <v>0</v>
      </c>
      <c r="BO36" s="379">
        <f t="shared" si="20"/>
        <v>0</v>
      </c>
      <c r="BR36" s="379">
        <f t="shared" si="21"/>
        <v>0</v>
      </c>
      <c r="BU36" s="379">
        <f t="shared" si="22"/>
        <v>0</v>
      </c>
      <c r="BX36" s="379">
        <f t="shared" si="23"/>
        <v>0</v>
      </c>
      <c r="CA36" s="379">
        <f t="shared" si="24"/>
        <v>0</v>
      </c>
      <c r="CD36" s="379">
        <f t="shared" si="25"/>
        <v>0</v>
      </c>
      <c r="CG36" s="379">
        <f t="shared" si="26"/>
        <v>0</v>
      </c>
      <c r="CJ36" s="379">
        <f t="shared" si="27"/>
        <v>0</v>
      </c>
      <c r="CM36" s="379">
        <f t="shared" si="28"/>
        <v>0</v>
      </c>
      <c r="CP36" s="379">
        <f t="shared" si="29"/>
        <v>0</v>
      </c>
      <c r="CS36" s="379">
        <f t="shared" si="30"/>
        <v>0</v>
      </c>
      <c r="CV36" s="379">
        <f t="shared" si="31"/>
        <v>0</v>
      </c>
      <c r="CY36" s="379">
        <f t="shared" si="32"/>
        <v>0</v>
      </c>
      <c r="DB36" s="379">
        <f t="shared" si="33"/>
        <v>0</v>
      </c>
      <c r="DE36" s="379">
        <f t="shared" si="34"/>
        <v>0</v>
      </c>
      <c r="DH36" s="379">
        <f t="shared" si="35"/>
        <v>0</v>
      </c>
      <c r="DK36" s="379">
        <f t="shared" si="36"/>
        <v>0</v>
      </c>
      <c r="DN36" s="379">
        <f t="shared" si="37"/>
        <v>0</v>
      </c>
      <c r="DQ36" s="379">
        <f t="shared" si="38"/>
        <v>0</v>
      </c>
      <c r="DT36" s="379">
        <f t="shared" si="39"/>
        <v>0</v>
      </c>
      <c r="DW36" s="379">
        <f t="shared" si="40"/>
        <v>0</v>
      </c>
      <c r="DY36" s="384"/>
      <c r="DZ36" s="366"/>
      <c r="EA36" s="379"/>
      <c r="EB36" s="190">
        <f t="shared" si="41"/>
        <v>388179832.43000001</v>
      </c>
      <c r="EC36" s="190">
        <f t="shared" si="42"/>
        <v>58979832.430000007</v>
      </c>
      <c r="ED36" s="379">
        <f t="shared" si="43"/>
        <v>26822.578229575</v>
      </c>
      <c r="EE36" s="380">
        <f t="shared" si="44"/>
        <v>2.4875398863974413E-2</v>
      </c>
      <c r="EG36" s="190">
        <f t="shared" si="45"/>
        <v>0</v>
      </c>
      <c r="EH36" s="379">
        <f t="shared" si="46"/>
        <v>0</v>
      </c>
      <c r="EI36" s="380">
        <f t="shared" si="47"/>
        <v>0</v>
      </c>
      <c r="EJ36" s="380"/>
      <c r="EK36" s="190">
        <f t="shared" si="48"/>
        <v>329200000</v>
      </c>
      <c r="EL36" s="190">
        <f t="shared" si="49"/>
        <v>0</v>
      </c>
      <c r="EM36" s="190">
        <f t="shared" si="50"/>
        <v>23070.805555555555</v>
      </c>
      <c r="EN36" s="380">
        <f t="shared" si="51"/>
        <v>2.5229313487241795E-2</v>
      </c>
      <c r="EP36" s="379"/>
    </row>
    <row r="37" spans="1:146">
      <c r="A37" s="378">
        <f t="shared" si="52"/>
        <v>43399</v>
      </c>
      <c r="D37" s="379">
        <f t="shared" si="1"/>
        <v>0</v>
      </c>
      <c r="E37" s="379">
        <v>59603555.539999999</v>
      </c>
      <c r="F37" s="380">
        <v>2.23E-2</v>
      </c>
      <c r="G37" s="379">
        <f t="shared" si="2"/>
        <v>3692.1091348388891</v>
      </c>
      <c r="J37" s="379">
        <f t="shared" si="3"/>
        <v>0</v>
      </c>
      <c r="M37" s="379">
        <f t="shared" si="4"/>
        <v>0</v>
      </c>
      <c r="P37" s="379">
        <f t="shared" si="5"/>
        <v>0</v>
      </c>
      <c r="S37" s="379">
        <f t="shared" si="6"/>
        <v>0</v>
      </c>
      <c r="V37" s="379">
        <f t="shared" si="7"/>
        <v>0</v>
      </c>
      <c r="Y37" s="379">
        <f t="shared" si="8"/>
        <v>0</v>
      </c>
      <c r="AB37" s="379">
        <f t="shared" si="9"/>
        <v>0</v>
      </c>
      <c r="AE37" s="379">
        <v>0</v>
      </c>
      <c r="AH37" s="379">
        <v>0</v>
      </c>
      <c r="AI37" s="381">
        <f>58450000</f>
        <v>58450000</v>
      </c>
      <c r="AJ37" s="382">
        <v>2.4500000000000001E-2</v>
      </c>
      <c r="AK37" s="379">
        <f t="shared" si="10"/>
        <v>3977.8472222222222</v>
      </c>
      <c r="AL37" s="381"/>
      <c r="AM37" s="382"/>
      <c r="AN37" s="379">
        <f t="shared" si="11"/>
        <v>0</v>
      </c>
      <c r="AO37" s="381"/>
      <c r="AP37" s="382"/>
      <c r="AQ37" s="379">
        <f t="shared" si="12"/>
        <v>0</v>
      </c>
      <c r="AR37" s="381"/>
      <c r="AS37" s="382"/>
      <c r="AT37" s="379">
        <f t="shared" si="13"/>
        <v>0</v>
      </c>
      <c r="AU37" s="381">
        <f t="shared" si="53"/>
        <v>169950000</v>
      </c>
      <c r="AV37" s="382">
        <v>2.5499999999999998E-2</v>
      </c>
      <c r="AW37" s="379">
        <f t="shared" si="14"/>
        <v>12038.125</v>
      </c>
      <c r="AX37" s="381">
        <f t="shared" si="54"/>
        <v>100200000</v>
      </c>
      <c r="AY37" s="382">
        <v>2.52E-2</v>
      </c>
      <c r="AZ37" s="379">
        <f t="shared" si="15"/>
        <v>7014</v>
      </c>
      <c r="BC37" s="379">
        <f t="shared" si="16"/>
        <v>0</v>
      </c>
      <c r="BF37" s="379">
        <f t="shared" si="17"/>
        <v>0</v>
      </c>
      <c r="BI37" s="379">
        <f t="shared" si="18"/>
        <v>0</v>
      </c>
      <c r="BL37" s="379">
        <f t="shared" si="19"/>
        <v>0</v>
      </c>
      <c r="BO37" s="379">
        <f t="shared" si="20"/>
        <v>0</v>
      </c>
      <c r="BR37" s="379">
        <f t="shared" si="21"/>
        <v>0</v>
      </c>
      <c r="BU37" s="379">
        <f t="shared" si="22"/>
        <v>0</v>
      </c>
      <c r="BX37" s="379">
        <f t="shared" si="23"/>
        <v>0</v>
      </c>
      <c r="CA37" s="379">
        <f t="shared" si="24"/>
        <v>0</v>
      </c>
      <c r="CD37" s="379">
        <f t="shared" si="25"/>
        <v>0</v>
      </c>
      <c r="CG37" s="379">
        <f t="shared" si="26"/>
        <v>0</v>
      </c>
      <c r="CJ37" s="379">
        <f t="shared" si="27"/>
        <v>0</v>
      </c>
      <c r="CM37" s="379">
        <f t="shared" si="28"/>
        <v>0</v>
      </c>
      <c r="CP37" s="379">
        <f t="shared" si="29"/>
        <v>0</v>
      </c>
      <c r="CS37" s="379">
        <f t="shared" si="30"/>
        <v>0</v>
      </c>
      <c r="CV37" s="379">
        <f t="shared" si="31"/>
        <v>0</v>
      </c>
      <c r="CY37" s="379">
        <f t="shared" si="32"/>
        <v>0</v>
      </c>
      <c r="DB37" s="379">
        <f t="shared" si="33"/>
        <v>0</v>
      </c>
      <c r="DE37" s="379">
        <f t="shared" si="34"/>
        <v>0</v>
      </c>
      <c r="DH37" s="379">
        <f t="shared" si="35"/>
        <v>0</v>
      </c>
      <c r="DK37" s="379">
        <f t="shared" si="36"/>
        <v>0</v>
      </c>
      <c r="DN37" s="379">
        <f t="shared" si="37"/>
        <v>0</v>
      </c>
      <c r="DQ37" s="379">
        <f t="shared" si="38"/>
        <v>0</v>
      </c>
      <c r="DT37" s="379">
        <f t="shared" si="39"/>
        <v>0</v>
      </c>
      <c r="DW37" s="379">
        <f t="shared" si="40"/>
        <v>0</v>
      </c>
      <c r="DY37" s="384"/>
      <c r="DZ37" s="366"/>
      <c r="EA37" s="379"/>
      <c r="EB37" s="190">
        <f t="shared" si="41"/>
        <v>388203555.53999996</v>
      </c>
      <c r="EC37" s="190">
        <f t="shared" si="42"/>
        <v>59603555.539999962</v>
      </c>
      <c r="ED37" s="379">
        <f t="shared" si="43"/>
        <v>26722.081357061114</v>
      </c>
      <c r="EE37" s="380">
        <f t="shared" si="44"/>
        <v>2.4780683101061331E-2</v>
      </c>
      <c r="EG37" s="190">
        <f t="shared" si="45"/>
        <v>0</v>
      </c>
      <c r="EH37" s="379">
        <f t="shared" si="46"/>
        <v>0</v>
      </c>
      <c r="EI37" s="380">
        <f t="shared" si="47"/>
        <v>0</v>
      </c>
      <c r="EJ37" s="380"/>
      <c r="EK37" s="190">
        <f t="shared" si="48"/>
        <v>328600000</v>
      </c>
      <c r="EL37" s="190">
        <f t="shared" si="49"/>
        <v>0</v>
      </c>
      <c r="EM37" s="190">
        <f t="shared" si="50"/>
        <v>23029.972222222223</v>
      </c>
      <c r="EN37" s="380">
        <f t="shared" si="51"/>
        <v>2.5230645161290324E-2</v>
      </c>
      <c r="EP37" s="379"/>
    </row>
    <row r="38" spans="1:146">
      <c r="A38" s="378">
        <f t="shared" si="52"/>
        <v>43400</v>
      </c>
      <c r="D38" s="379">
        <f t="shared" si="1"/>
        <v>0</v>
      </c>
      <c r="E38" s="379">
        <v>59603555.539999999</v>
      </c>
      <c r="F38" s="380">
        <v>2.23E-2</v>
      </c>
      <c r="G38" s="379">
        <f t="shared" si="2"/>
        <v>3692.1091348388891</v>
      </c>
      <c r="J38" s="379">
        <f t="shared" si="3"/>
        <v>0</v>
      </c>
      <c r="M38" s="379">
        <f t="shared" si="4"/>
        <v>0</v>
      </c>
      <c r="P38" s="379">
        <f t="shared" si="5"/>
        <v>0</v>
      </c>
      <c r="S38" s="379">
        <f t="shared" si="6"/>
        <v>0</v>
      </c>
      <c r="V38" s="379">
        <f t="shared" si="7"/>
        <v>0</v>
      </c>
      <c r="Y38" s="379">
        <f t="shared" si="8"/>
        <v>0</v>
      </c>
      <c r="AB38" s="379">
        <f t="shared" si="9"/>
        <v>0</v>
      </c>
      <c r="AE38" s="379">
        <v>0</v>
      </c>
      <c r="AH38" s="379">
        <v>0</v>
      </c>
      <c r="AI38" s="381">
        <f>58450000</f>
        <v>58450000</v>
      </c>
      <c r="AJ38" s="382">
        <v>2.4500000000000001E-2</v>
      </c>
      <c r="AK38" s="379">
        <f t="shared" si="10"/>
        <v>3977.8472222222222</v>
      </c>
      <c r="AL38" s="381"/>
      <c r="AM38" s="382"/>
      <c r="AN38" s="379">
        <f t="shared" si="11"/>
        <v>0</v>
      </c>
      <c r="AO38" s="381"/>
      <c r="AP38" s="382"/>
      <c r="AQ38" s="379">
        <f t="shared" si="12"/>
        <v>0</v>
      </c>
      <c r="AR38" s="381"/>
      <c r="AS38" s="382"/>
      <c r="AT38" s="379">
        <f t="shared" si="13"/>
        <v>0</v>
      </c>
      <c r="AU38" s="381">
        <f t="shared" si="53"/>
        <v>169950000</v>
      </c>
      <c r="AV38" s="382">
        <v>2.5499999999999998E-2</v>
      </c>
      <c r="AW38" s="379">
        <f t="shared" si="14"/>
        <v>12038.125</v>
      </c>
      <c r="AX38" s="381">
        <f t="shared" si="54"/>
        <v>100200000</v>
      </c>
      <c r="AY38" s="382">
        <v>2.52E-2</v>
      </c>
      <c r="AZ38" s="379">
        <f t="shared" si="15"/>
        <v>7014</v>
      </c>
      <c r="BC38" s="379">
        <f t="shared" si="16"/>
        <v>0</v>
      </c>
      <c r="BF38" s="379">
        <f t="shared" si="17"/>
        <v>0</v>
      </c>
      <c r="BI38" s="379">
        <f t="shared" si="18"/>
        <v>0</v>
      </c>
      <c r="BL38" s="379">
        <f t="shared" si="19"/>
        <v>0</v>
      </c>
      <c r="BO38" s="379">
        <f t="shared" si="20"/>
        <v>0</v>
      </c>
      <c r="BR38" s="379">
        <f t="shared" si="21"/>
        <v>0</v>
      </c>
      <c r="BU38" s="379">
        <f t="shared" si="22"/>
        <v>0</v>
      </c>
      <c r="BX38" s="379">
        <f t="shared" si="23"/>
        <v>0</v>
      </c>
      <c r="CA38" s="379">
        <f t="shared" si="24"/>
        <v>0</v>
      </c>
      <c r="CD38" s="379">
        <f t="shared" si="25"/>
        <v>0</v>
      </c>
      <c r="CG38" s="379">
        <f t="shared" si="26"/>
        <v>0</v>
      </c>
      <c r="CJ38" s="379">
        <f t="shared" si="27"/>
        <v>0</v>
      </c>
      <c r="CM38" s="379">
        <f t="shared" si="28"/>
        <v>0</v>
      </c>
      <c r="CP38" s="379">
        <f t="shared" si="29"/>
        <v>0</v>
      </c>
      <c r="CS38" s="379">
        <f t="shared" si="30"/>
        <v>0</v>
      </c>
      <c r="CV38" s="379">
        <f t="shared" si="31"/>
        <v>0</v>
      </c>
      <c r="CY38" s="379">
        <f t="shared" si="32"/>
        <v>0</v>
      </c>
      <c r="DB38" s="379">
        <f t="shared" si="33"/>
        <v>0</v>
      </c>
      <c r="DE38" s="379">
        <f t="shared" si="34"/>
        <v>0</v>
      </c>
      <c r="DH38" s="379">
        <f t="shared" si="35"/>
        <v>0</v>
      </c>
      <c r="DK38" s="379">
        <f t="shared" si="36"/>
        <v>0</v>
      </c>
      <c r="DN38" s="379">
        <f t="shared" si="37"/>
        <v>0</v>
      </c>
      <c r="DQ38" s="379">
        <f t="shared" si="38"/>
        <v>0</v>
      </c>
      <c r="DT38" s="379">
        <f t="shared" si="39"/>
        <v>0</v>
      </c>
      <c r="DW38" s="379">
        <f t="shared" si="40"/>
        <v>0</v>
      </c>
      <c r="DY38" s="384"/>
      <c r="DZ38" s="366"/>
      <c r="EA38" s="379"/>
      <c r="EB38" s="190">
        <f t="shared" si="41"/>
        <v>388203555.53999996</v>
      </c>
      <c r="EC38" s="190">
        <f t="shared" si="42"/>
        <v>59603555.539999962</v>
      </c>
      <c r="ED38" s="379">
        <f t="shared" si="43"/>
        <v>26722.081357061114</v>
      </c>
      <c r="EE38" s="380">
        <f t="shared" si="44"/>
        <v>2.4780683101061331E-2</v>
      </c>
      <c r="EG38" s="190">
        <f t="shared" si="45"/>
        <v>0</v>
      </c>
      <c r="EH38" s="379">
        <f t="shared" si="46"/>
        <v>0</v>
      </c>
      <c r="EI38" s="380">
        <f t="shared" si="47"/>
        <v>0</v>
      </c>
      <c r="EJ38" s="380"/>
      <c r="EK38" s="190">
        <f t="shared" si="48"/>
        <v>328600000</v>
      </c>
      <c r="EL38" s="190">
        <f t="shared" si="49"/>
        <v>0</v>
      </c>
      <c r="EM38" s="190">
        <f t="shared" si="50"/>
        <v>23029.972222222223</v>
      </c>
      <c r="EN38" s="380">
        <f t="shared" si="51"/>
        <v>2.5230645161290324E-2</v>
      </c>
      <c r="EP38" s="379"/>
    </row>
    <row r="39" spans="1:146">
      <c r="A39" s="378">
        <f t="shared" si="52"/>
        <v>43401</v>
      </c>
      <c r="D39" s="379">
        <f t="shared" si="1"/>
        <v>0</v>
      </c>
      <c r="E39" s="379">
        <v>59603555.539999999</v>
      </c>
      <c r="F39" s="380">
        <v>2.23E-2</v>
      </c>
      <c r="G39" s="379">
        <f t="shared" si="2"/>
        <v>3692.1091348388891</v>
      </c>
      <c r="J39" s="379">
        <f t="shared" si="3"/>
        <v>0</v>
      </c>
      <c r="M39" s="379">
        <f t="shared" si="4"/>
        <v>0</v>
      </c>
      <c r="P39" s="379">
        <f t="shared" si="5"/>
        <v>0</v>
      </c>
      <c r="S39" s="379">
        <f t="shared" si="6"/>
        <v>0</v>
      </c>
      <c r="V39" s="379">
        <f t="shared" si="7"/>
        <v>0</v>
      </c>
      <c r="Y39" s="379">
        <f t="shared" si="8"/>
        <v>0</v>
      </c>
      <c r="AB39" s="379">
        <f t="shared" si="9"/>
        <v>0</v>
      </c>
      <c r="AE39" s="379">
        <v>0</v>
      </c>
      <c r="AH39" s="379">
        <v>0</v>
      </c>
      <c r="AI39" s="381">
        <f>58450000</f>
        <v>58450000</v>
      </c>
      <c r="AJ39" s="382">
        <v>2.4500000000000001E-2</v>
      </c>
      <c r="AK39" s="379">
        <f t="shared" si="10"/>
        <v>3977.8472222222222</v>
      </c>
      <c r="AL39" s="381"/>
      <c r="AM39" s="382"/>
      <c r="AN39" s="379">
        <f t="shared" si="11"/>
        <v>0</v>
      </c>
      <c r="AO39" s="381"/>
      <c r="AP39" s="382"/>
      <c r="AQ39" s="379">
        <f t="shared" si="12"/>
        <v>0</v>
      </c>
      <c r="AR39" s="381"/>
      <c r="AS39" s="382"/>
      <c r="AT39" s="379">
        <f t="shared" si="13"/>
        <v>0</v>
      </c>
      <c r="AU39" s="381">
        <f t="shared" si="53"/>
        <v>169950000</v>
      </c>
      <c r="AV39" s="382">
        <v>2.5499999999999998E-2</v>
      </c>
      <c r="AW39" s="379">
        <f t="shared" si="14"/>
        <v>12038.125</v>
      </c>
      <c r="AX39" s="381">
        <f t="shared" si="54"/>
        <v>100200000</v>
      </c>
      <c r="AY39" s="382">
        <v>2.52E-2</v>
      </c>
      <c r="AZ39" s="379">
        <f t="shared" si="15"/>
        <v>7014</v>
      </c>
      <c r="BC39" s="379">
        <f t="shared" si="16"/>
        <v>0</v>
      </c>
      <c r="BF39" s="379">
        <f t="shared" si="17"/>
        <v>0</v>
      </c>
      <c r="BI39" s="379">
        <f t="shared" si="18"/>
        <v>0</v>
      </c>
      <c r="BL39" s="379">
        <f t="shared" si="19"/>
        <v>0</v>
      </c>
      <c r="BO39" s="379">
        <f t="shared" si="20"/>
        <v>0</v>
      </c>
      <c r="BR39" s="379">
        <f t="shared" si="21"/>
        <v>0</v>
      </c>
      <c r="BU39" s="379">
        <f t="shared" si="22"/>
        <v>0</v>
      </c>
      <c r="BX39" s="379">
        <f t="shared" si="23"/>
        <v>0</v>
      </c>
      <c r="CA39" s="379">
        <f t="shared" si="24"/>
        <v>0</v>
      </c>
      <c r="CD39" s="379">
        <f t="shared" si="25"/>
        <v>0</v>
      </c>
      <c r="CG39" s="379">
        <f t="shared" si="26"/>
        <v>0</v>
      </c>
      <c r="CJ39" s="379">
        <f t="shared" si="27"/>
        <v>0</v>
      </c>
      <c r="CM39" s="379">
        <f t="shared" si="28"/>
        <v>0</v>
      </c>
      <c r="CP39" s="379">
        <f t="shared" si="29"/>
        <v>0</v>
      </c>
      <c r="CS39" s="379">
        <f t="shared" si="30"/>
        <v>0</v>
      </c>
      <c r="CV39" s="379">
        <f t="shared" si="31"/>
        <v>0</v>
      </c>
      <c r="CY39" s="379">
        <f t="shared" si="32"/>
        <v>0</v>
      </c>
      <c r="DB39" s="379">
        <f t="shared" si="33"/>
        <v>0</v>
      </c>
      <c r="DE39" s="379">
        <f t="shared" si="34"/>
        <v>0</v>
      </c>
      <c r="DH39" s="379">
        <f t="shared" si="35"/>
        <v>0</v>
      </c>
      <c r="DK39" s="379">
        <f t="shared" si="36"/>
        <v>0</v>
      </c>
      <c r="DN39" s="379">
        <f t="shared" si="37"/>
        <v>0</v>
      </c>
      <c r="DQ39" s="379">
        <f t="shared" si="38"/>
        <v>0</v>
      </c>
      <c r="DT39" s="379">
        <f t="shared" si="39"/>
        <v>0</v>
      </c>
      <c r="DW39" s="379">
        <f t="shared" si="40"/>
        <v>0</v>
      </c>
      <c r="DY39" s="384"/>
      <c r="DZ39" s="366"/>
      <c r="EA39" s="379"/>
      <c r="EB39" s="190">
        <f t="shared" si="41"/>
        <v>388203555.53999996</v>
      </c>
      <c r="EC39" s="190">
        <f t="shared" si="42"/>
        <v>59603555.539999962</v>
      </c>
      <c r="ED39" s="379">
        <f t="shared" si="43"/>
        <v>26722.081357061114</v>
      </c>
      <c r="EE39" s="380">
        <f t="shared" si="44"/>
        <v>2.4780683101061331E-2</v>
      </c>
      <c r="EG39" s="190">
        <f t="shared" si="45"/>
        <v>0</v>
      </c>
      <c r="EH39" s="379">
        <f t="shared" si="46"/>
        <v>0</v>
      </c>
      <c r="EI39" s="380">
        <f t="shared" si="47"/>
        <v>0</v>
      </c>
      <c r="EJ39" s="380"/>
      <c r="EK39" s="190">
        <f t="shared" si="48"/>
        <v>328600000</v>
      </c>
      <c r="EL39" s="190">
        <f t="shared" si="49"/>
        <v>0</v>
      </c>
      <c r="EM39" s="190">
        <f t="shared" si="50"/>
        <v>23029.972222222223</v>
      </c>
      <c r="EN39" s="380">
        <f t="shared" si="51"/>
        <v>2.5230645161290324E-2</v>
      </c>
      <c r="EP39" s="379"/>
    </row>
    <row r="40" spans="1:146">
      <c r="A40" s="378">
        <f t="shared" si="52"/>
        <v>43402</v>
      </c>
      <c r="D40" s="379">
        <f t="shared" si="1"/>
        <v>0</v>
      </c>
      <c r="E40" s="379">
        <v>48757410.170000002</v>
      </c>
      <c r="F40" s="380">
        <v>2.23E-2</v>
      </c>
      <c r="G40" s="379">
        <f t="shared" si="2"/>
        <v>3020.2506855305555</v>
      </c>
      <c r="J40" s="379">
        <f t="shared" si="3"/>
        <v>0</v>
      </c>
      <c r="M40" s="379">
        <f t="shared" si="4"/>
        <v>0</v>
      </c>
      <c r="P40" s="379">
        <f t="shared" si="5"/>
        <v>0</v>
      </c>
      <c r="S40" s="379">
        <f t="shared" si="6"/>
        <v>0</v>
      </c>
      <c r="V40" s="379">
        <f t="shared" si="7"/>
        <v>0</v>
      </c>
      <c r="Y40" s="379">
        <f t="shared" si="8"/>
        <v>0</v>
      </c>
      <c r="AB40" s="379">
        <f t="shared" si="9"/>
        <v>0</v>
      </c>
      <c r="AE40" s="379">
        <v>0</v>
      </c>
      <c r="AH40" s="379">
        <v>0</v>
      </c>
      <c r="AI40" s="381">
        <f>69475000</f>
        <v>69475000</v>
      </c>
      <c r="AJ40" s="382">
        <v>2.4500000000000001E-2</v>
      </c>
      <c r="AK40" s="379">
        <f t="shared" si="10"/>
        <v>4728.1597222222226</v>
      </c>
      <c r="AL40" s="381"/>
      <c r="AM40" s="382"/>
      <c r="AN40" s="379">
        <f t="shared" si="11"/>
        <v>0</v>
      </c>
      <c r="AO40" s="381"/>
      <c r="AP40" s="382"/>
      <c r="AQ40" s="379">
        <f t="shared" si="12"/>
        <v>0</v>
      </c>
      <c r="AR40" s="381"/>
      <c r="AS40" s="382"/>
      <c r="AT40" s="379">
        <f t="shared" si="13"/>
        <v>0</v>
      </c>
      <c r="AU40" s="381">
        <f t="shared" si="53"/>
        <v>169950000</v>
      </c>
      <c r="AV40" s="382">
        <v>2.5499999999999998E-2</v>
      </c>
      <c r="AW40" s="379">
        <f t="shared" si="14"/>
        <v>12038.125</v>
      </c>
      <c r="AX40" s="381">
        <f t="shared" si="54"/>
        <v>100200000</v>
      </c>
      <c r="AY40" s="382">
        <v>2.52E-2</v>
      </c>
      <c r="AZ40" s="379">
        <f t="shared" si="15"/>
        <v>7014</v>
      </c>
      <c r="BC40" s="379">
        <f t="shared" si="16"/>
        <v>0</v>
      </c>
      <c r="BF40" s="379">
        <f t="shared" si="17"/>
        <v>0</v>
      </c>
      <c r="BI40" s="379">
        <f t="shared" si="18"/>
        <v>0</v>
      </c>
      <c r="BL40" s="379">
        <f t="shared" si="19"/>
        <v>0</v>
      </c>
      <c r="BO40" s="379">
        <f t="shared" si="20"/>
        <v>0</v>
      </c>
      <c r="BR40" s="379">
        <f t="shared" si="21"/>
        <v>0</v>
      </c>
      <c r="BU40" s="379">
        <f t="shared" si="22"/>
        <v>0</v>
      </c>
      <c r="BX40" s="379">
        <f t="shared" si="23"/>
        <v>0</v>
      </c>
      <c r="CA40" s="379">
        <f t="shared" si="24"/>
        <v>0</v>
      </c>
      <c r="CD40" s="379">
        <f t="shared" si="25"/>
        <v>0</v>
      </c>
      <c r="CG40" s="379">
        <f t="shared" si="26"/>
        <v>0</v>
      </c>
      <c r="CJ40" s="379">
        <f t="shared" si="27"/>
        <v>0</v>
      </c>
      <c r="CM40" s="379">
        <f t="shared" si="28"/>
        <v>0</v>
      </c>
      <c r="CP40" s="379">
        <f t="shared" si="29"/>
        <v>0</v>
      </c>
      <c r="CS40" s="379">
        <f t="shared" si="30"/>
        <v>0</v>
      </c>
      <c r="CV40" s="379">
        <f t="shared" si="31"/>
        <v>0</v>
      </c>
      <c r="CY40" s="379">
        <f t="shared" si="32"/>
        <v>0</v>
      </c>
      <c r="DB40" s="379">
        <f t="shared" si="33"/>
        <v>0</v>
      </c>
      <c r="DE40" s="379">
        <f t="shared" si="34"/>
        <v>0</v>
      </c>
      <c r="DH40" s="379">
        <f t="shared" si="35"/>
        <v>0</v>
      </c>
      <c r="DK40" s="379">
        <f t="shared" si="36"/>
        <v>0</v>
      </c>
      <c r="DN40" s="379">
        <f t="shared" si="37"/>
        <v>0</v>
      </c>
      <c r="DQ40" s="379">
        <f t="shared" si="38"/>
        <v>0</v>
      </c>
      <c r="DT40" s="379">
        <f t="shared" si="39"/>
        <v>0</v>
      </c>
      <c r="DW40" s="379">
        <f t="shared" si="40"/>
        <v>0</v>
      </c>
      <c r="DY40" s="384"/>
      <c r="DZ40" s="366"/>
      <c r="EA40" s="379"/>
      <c r="EB40" s="190">
        <f t="shared" si="41"/>
        <v>388382410.17000002</v>
      </c>
      <c r="EC40" s="190">
        <f t="shared" si="42"/>
        <v>48757410.170000017</v>
      </c>
      <c r="ED40" s="379">
        <f t="shared" si="43"/>
        <v>26800.535407752777</v>
      </c>
      <c r="EE40" s="380">
        <f t="shared" si="44"/>
        <v>2.4841992052543935E-2</v>
      </c>
      <c r="EG40" s="190">
        <f t="shared" si="45"/>
        <v>0</v>
      </c>
      <c r="EH40" s="379">
        <f t="shared" si="46"/>
        <v>0</v>
      </c>
      <c r="EI40" s="380">
        <f t="shared" si="47"/>
        <v>0</v>
      </c>
      <c r="EJ40" s="380"/>
      <c r="EK40" s="190">
        <f t="shared" si="48"/>
        <v>339625000</v>
      </c>
      <c r="EL40" s="190">
        <f t="shared" si="49"/>
        <v>0</v>
      </c>
      <c r="EM40" s="190">
        <f t="shared" si="50"/>
        <v>23780.284722222223</v>
      </c>
      <c r="EN40" s="380">
        <f t="shared" si="51"/>
        <v>2.5206926757453077E-2</v>
      </c>
      <c r="EP40" s="379"/>
    </row>
    <row r="41" spans="1:146">
      <c r="A41" s="378">
        <f t="shared" si="52"/>
        <v>43403</v>
      </c>
      <c r="D41" s="379">
        <f t="shared" si="1"/>
        <v>0</v>
      </c>
      <c r="E41" s="379">
        <v>47118206.649999999</v>
      </c>
      <c r="F41" s="380">
        <v>2.2099999999999998E-2</v>
      </c>
      <c r="G41" s="379">
        <f t="shared" si="2"/>
        <v>2892.5343526805555</v>
      </c>
      <c r="J41" s="379">
        <f t="shared" si="3"/>
        <v>0</v>
      </c>
      <c r="M41" s="379">
        <f t="shared" si="4"/>
        <v>0</v>
      </c>
      <c r="P41" s="379">
        <f t="shared" si="5"/>
        <v>0</v>
      </c>
      <c r="S41" s="379">
        <f t="shared" si="6"/>
        <v>0</v>
      </c>
      <c r="V41" s="379">
        <f t="shared" si="7"/>
        <v>0</v>
      </c>
      <c r="Y41" s="379">
        <f t="shared" si="8"/>
        <v>0</v>
      </c>
      <c r="AB41" s="379">
        <f t="shared" si="9"/>
        <v>0</v>
      </c>
      <c r="AE41" s="379">
        <v>0</v>
      </c>
      <c r="AH41" s="379">
        <v>0</v>
      </c>
      <c r="AI41" s="381">
        <f>71100000</f>
        <v>71100000</v>
      </c>
      <c r="AJ41" s="382">
        <v>2.4500000000000001E-2</v>
      </c>
      <c r="AK41" s="379">
        <f t="shared" si="10"/>
        <v>4838.75</v>
      </c>
      <c r="AL41" s="381"/>
      <c r="AM41" s="382"/>
      <c r="AN41" s="379">
        <f t="shared" si="11"/>
        <v>0</v>
      </c>
      <c r="AO41" s="381"/>
      <c r="AP41" s="382"/>
      <c r="AQ41" s="379">
        <f t="shared" si="12"/>
        <v>0</v>
      </c>
      <c r="AR41" s="381"/>
      <c r="AS41" s="382"/>
      <c r="AT41" s="379">
        <f t="shared" si="13"/>
        <v>0</v>
      </c>
      <c r="AU41" s="381">
        <f t="shared" si="53"/>
        <v>169950000</v>
      </c>
      <c r="AV41" s="382">
        <v>2.5499999999999998E-2</v>
      </c>
      <c r="AW41" s="379">
        <f t="shared" si="14"/>
        <v>12038.125</v>
      </c>
      <c r="AX41" s="381">
        <f t="shared" si="54"/>
        <v>100200000</v>
      </c>
      <c r="AY41" s="382">
        <v>2.52E-2</v>
      </c>
      <c r="AZ41" s="379">
        <f t="shared" si="15"/>
        <v>7014</v>
      </c>
      <c r="BC41" s="379">
        <f t="shared" si="16"/>
        <v>0</v>
      </c>
      <c r="BF41" s="379">
        <f t="shared" si="17"/>
        <v>0</v>
      </c>
      <c r="BI41" s="379">
        <f t="shared" si="18"/>
        <v>0</v>
      </c>
      <c r="BL41" s="379">
        <f t="shared" si="19"/>
        <v>0</v>
      </c>
      <c r="BO41" s="379">
        <f t="shared" si="20"/>
        <v>0</v>
      </c>
      <c r="BR41" s="379">
        <f t="shared" si="21"/>
        <v>0</v>
      </c>
      <c r="BU41" s="379">
        <f t="shared" si="22"/>
        <v>0</v>
      </c>
      <c r="BX41" s="379">
        <f t="shared" si="23"/>
        <v>0</v>
      </c>
      <c r="CA41" s="379">
        <f t="shared" si="24"/>
        <v>0</v>
      </c>
      <c r="CD41" s="379">
        <f t="shared" si="25"/>
        <v>0</v>
      </c>
      <c r="CG41" s="379">
        <f t="shared" si="26"/>
        <v>0</v>
      </c>
      <c r="CJ41" s="379">
        <f t="shared" si="27"/>
        <v>0</v>
      </c>
      <c r="CM41" s="379">
        <f t="shared" si="28"/>
        <v>0</v>
      </c>
      <c r="CP41" s="379">
        <f t="shared" si="29"/>
        <v>0</v>
      </c>
      <c r="CS41" s="379">
        <f t="shared" si="30"/>
        <v>0</v>
      </c>
      <c r="CV41" s="379">
        <f t="shared" si="31"/>
        <v>0</v>
      </c>
      <c r="CY41" s="379">
        <f t="shared" si="32"/>
        <v>0</v>
      </c>
      <c r="DB41" s="379">
        <f t="shared" si="33"/>
        <v>0</v>
      </c>
      <c r="DE41" s="379">
        <f t="shared" si="34"/>
        <v>0</v>
      </c>
      <c r="DH41" s="379">
        <f t="shared" si="35"/>
        <v>0</v>
      </c>
      <c r="DK41" s="379">
        <f t="shared" si="36"/>
        <v>0</v>
      </c>
      <c r="DN41" s="379">
        <f t="shared" si="37"/>
        <v>0</v>
      </c>
      <c r="DQ41" s="379">
        <f t="shared" si="38"/>
        <v>0</v>
      </c>
      <c r="DT41" s="379">
        <f t="shared" si="39"/>
        <v>0</v>
      </c>
      <c r="DW41" s="379">
        <f t="shared" si="40"/>
        <v>0</v>
      </c>
      <c r="DY41" s="384"/>
      <c r="DZ41" s="366"/>
      <c r="EA41" s="379"/>
      <c r="EB41" s="190">
        <f t="shared" si="41"/>
        <v>388368206.64999998</v>
      </c>
      <c r="EC41" s="190">
        <f t="shared" si="42"/>
        <v>47118206.649999976</v>
      </c>
      <c r="ED41" s="379">
        <f t="shared" si="43"/>
        <v>26783.409352680555</v>
      </c>
      <c r="EE41" s="380">
        <f t="shared" si="44"/>
        <v>2.4827025492471531E-2</v>
      </c>
      <c r="EG41" s="190">
        <f t="shared" si="45"/>
        <v>0</v>
      </c>
      <c r="EH41" s="379">
        <f t="shared" si="46"/>
        <v>0</v>
      </c>
      <c r="EI41" s="380">
        <f t="shared" si="47"/>
        <v>0</v>
      </c>
      <c r="EJ41" s="380"/>
      <c r="EK41" s="190">
        <f t="shared" si="48"/>
        <v>341250000</v>
      </c>
      <c r="EL41" s="190">
        <f t="shared" si="49"/>
        <v>0</v>
      </c>
      <c r="EM41" s="190">
        <f t="shared" si="50"/>
        <v>23890.875</v>
      </c>
      <c r="EN41" s="380">
        <f t="shared" si="51"/>
        <v>2.5203560439560437E-2</v>
      </c>
      <c r="EP41" s="379"/>
    </row>
    <row r="42" spans="1:146">
      <c r="A42" s="378">
        <f t="shared" si="52"/>
        <v>43404</v>
      </c>
      <c r="D42" s="379">
        <f t="shared" si="1"/>
        <v>0</v>
      </c>
      <c r="E42" s="379">
        <v>37487223.979999997</v>
      </c>
      <c r="F42" s="380">
        <v>2.2400000000000003E-2</v>
      </c>
      <c r="G42" s="379">
        <f t="shared" si="2"/>
        <v>2332.5383809777777</v>
      </c>
      <c r="J42" s="379">
        <f t="shared" si="3"/>
        <v>0</v>
      </c>
      <c r="M42" s="379">
        <f t="shared" si="4"/>
        <v>0</v>
      </c>
      <c r="P42" s="379">
        <f t="shared" si="5"/>
        <v>0</v>
      </c>
      <c r="S42" s="379">
        <f t="shared" si="6"/>
        <v>0</v>
      </c>
      <c r="V42" s="379">
        <f t="shared" si="7"/>
        <v>0</v>
      </c>
      <c r="Y42" s="379">
        <f t="shared" si="8"/>
        <v>0</v>
      </c>
      <c r="AB42" s="379">
        <f t="shared" si="9"/>
        <v>0</v>
      </c>
      <c r="AE42" s="379">
        <v>0</v>
      </c>
      <c r="AH42" s="379">
        <v>0</v>
      </c>
      <c r="AI42" s="381">
        <f>79700000</f>
        <v>79700000</v>
      </c>
      <c r="AJ42" s="382">
        <v>2.4500000000000001E-2</v>
      </c>
      <c r="AK42" s="379">
        <f t="shared" si="10"/>
        <v>5424.0277777777774</v>
      </c>
      <c r="AL42" s="381"/>
      <c r="AM42" s="382"/>
      <c r="AN42" s="379">
        <f t="shared" si="11"/>
        <v>0</v>
      </c>
      <c r="AO42" s="381"/>
      <c r="AP42" s="382"/>
      <c r="AQ42" s="379">
        <f t="shared" si="12"/>
        <v>0</v>
      </c>
      <c r="AR42" s="381"/>
      <c r="AS42" s="382"/>
      <c r="AT42" s="379">
        <f t="shared" si="13"/>
        <v>0</v>
      </c>
      <c r="AU42" s="381">
        <f t="shared" si="53"/>
        <v>169950000</v>
      </c>
      <c r="AV42" s="382">
        <v>2.5499999999999998E-2</v>
      </c>
      <c r="AW42" s="379">
        <f t="shared" si="14"/>
        <v>12038.125</v>
      </c>
      <c r="AX42" s="381">
        <f t="shared" si="54"/>
        <v>100200000</v>
      </c>
      <c r="AY42" s="382">
        <v>2.52E-2</v>
      </c>
      <c r="AZ42" s="379">
        <f t="shared" si="15"/>
        <v>7014</v>
      </c>
      <c r="BC42" s="379">
        <f t="shared" si="16"/>
        <v>0</v>
      </c>
      <c r="BF42" s="379">
        <f t="shared" si="17"/>
        <v>0</v>
      </c>
      <c r="BI42" s="379">
        <f t="shared" si="18"/>
        <v>0</v>
      </c>
      <c r="BL42" s="379">
        <f t="shared" si="19"/>
        <v>0</v>
      </c>
      <c r="BO42" s="379">
        <f t="shared" si="20"/>
        <v>0</v>
      </c>
      <c r="BR42" s="379">
        <f t="shared" si="21"/>
        <v>0</v>
      </c>
      <c r="BU42" s="379">
        <f t="shared" si="22"/>
        <v>0</v>
      </c>
      <c r="BX42" s="379">
        <f t="shared" si="23"/>
        <v>0</v>
      </c>
      <c r="CA42" s="379">
        <f t="shared" si="24"/>
        <v>0</v>
      </c>
      <c r="CD42" s="379">
        <f t="shared" si="25"/>
        <v>0</v>
      </c>
      <c r="CG42" s="379">
        <f t="shared" si="26"/>
        <v>0</v>
      </c>
      <c r="CJ42" s="379">
        <f t="shared" si="27"/>
        <v>0</v>
      </c>
      <c r="CM42" s="379">
        <f t="shared" si="28"/>
        <v>0</v>
      </c>
      <c r="CP42" s="379">
        <f t="shared" si="29"/>
        <v>0</v>
      </c>
      <c r="CS42" s="379">
        <f t="shared" si="30"/>
        <v>0</v>
      </c>
      <c r="CV42" s="379">
        <f t="shared" si="31"/>
        <v>0</v>
      </c>
      <c r="CY42" s="379">
        <f t="shared" si="32"/>
        <v>0</v>
      </c>
      <c r="DB42" s="379">
        <f t="shared" si="33"/>
        <v>0</v>
      </c>
      <c r="DE42" s="379">
        <f t="shared" si="34"/>
        <v>0</v>
      </c>
      <c r="DH42" s="379">
        <f t="shared" si="35"/>
        <v>0</v>
      </c>
      <c r="DK42" s="379">
        <f t="shared" si="36"/>
        <v>0</v>
      </c>
      <c r="DN42" s="379">
        <f t="shared" si="37"/>
        <v>0</v>
      </c>
      <c r="DQ42" s="379">
        <f t="shared" si="38"/>
        <v>0</v>
      </c>
      <c r="DT42" s="379">
        <f t="shared" si="39"/>
        <v>0</v>
      </c>
      <c r="DW42" s="379">
        <f t="shared" si="40"/>
        <v>0</v>
      </c>
      <c r="DY42" s="384"/>
      <c r="DZ42" s="366"/>
      <c r="EA42" s="379"/>
      <c r="EB42" s="190">
        <f t="shared" si="41"/>
        <v>387337223.98000002</v>
      </c>
      <c r="EC42" s="190">
        <f t="shared" si="42"/>
        <v>37487223.980000019</v>
      </c>
      <c r="ED42" s="379">
        <f t="shared" si="43"/>
        <v>26808.691158755555</v>
      </c>
      <c r="EE42" s="380">
        <f t="shared" si="44"/>
        <v>2.4916605530405544E-2</v>
      </c>
      <c r="EG42" s="190">
        <f t="shared" si="45"/>
        <v>0</v>
      </c>
      <c r="EH42" s="379">
        <f t="shared" si="46"/>
        <v>0</v>
      </c>
      <c r="EI42" s="380">
        <f t="shared" si="47"/>
        <v>0</v>
      </c>
      <c r="EJ42" s="380"/>
      <c r="EK42" s="190">
        <f t="shared" si="48"/>
        <v>349850000</v>
      </c>
      <c r="EL42" s="190">
        <f t="shared" si="49"/>
        <v>0</v>
      </c>
      <c r="EM42" s="190">
        <f t="shared" si="50"/>
        <v>24476.152777777777</v>
      </c>
      <c r="EN42" s="380">
        <f t="shared" si="51"/>
        <v>2.5186265542375304E-2</v>
      </c>
      <c r="EP42" s="379"/>
    </row>
    <row r="43" spans="1:146">
      <c r="A43" s="191" t="s">
        <v>13</v>
      </c>
      <c r="D43" s="383">
        <f>SUM(D12:D42)</f>
        <v>0</v>
      </c>
      <c r="G43" s="383">
        <f>SUM(G12:G42)</f>
        <v>98468.028547377791</v>
      </c>
      <c r="J43" s="383">
        <f>SUM(J12:J42)</f>
        <v>0</v>
      </c>
      <c r="M43" s="383">
        <f>SUM(M12:M42)</f>
        <v>0</v>
      </c>
      <c r="P43" s="383">
        <f>SUM(P12:P42)</f>
        <v>0</v>
      </c>
      <c r="S43" s="383">
        <f>SUM(S12:S42)</f>
        <v>0</v>
      </c>
      <c r="V43" s="383">
        <f>SUM(V12:V42)</f>
        <v>0</v>
      </c>
      <c r="Y43" s="383">
        <f>SUM(Y12:Y42)</f>
        <v>0</v>
      </c>
      <c r="AB43" s="383">
        <f>SUM(AB12:AB42)</f>
        <v>0</v>
      </c>
      <c r="AE43" s="383">
        <f>SUM(AE12:AE42)</f>
        <v>0</v>
      </c>
      <c r="AH43" s="383">
        <f>SUM(AH12:AH42)</f>
        <v>0</v>
      </c>
      <c r="AK43" s="383">
        <f>SUM(AK12:AK42)</f>
        <v>91248.888888888891</v>
      </c>
      <c r="AN43" s="383">
        <f>SUM(AN12:AN42)</f>
        <v>109225.4722222222</v>
      </c>
      <c r="AQ43" s="383">
        <f>SUM(AQ12:AQ42)</f>
        <v>6278.5833333333339</v>
      </c>
      <c r="AT43" s="383">
        <f>SUM(AT12:AT42)</f>
        <v>39732.951388888891</v>
      </c>
      <c r="AW43" s="383">
        <f>SUM(AW12:AW42)</f>
        <v>330692.5</v>
      </c>
      <c r="AZ43" s="383">
        <f>SUM(AZ12:AZ42)</f>
        <v>157477.25</v>
      </c>
      <c r="BC43" s="383">
        <f>SUM(BC12:BC42)</f>
        <v>0</v>
      </c>
      <c r="BF43" s="383">
        <f>SUM(BF12:BF42)</f>
        <v>0</v>
      </c>
      <c r="BI43" s="383">
        <f>SUM(BI12:BI42)</f>
        <v>0</v>
      </c>
      <c r="BL43" s="383">
        <f>SUM(BL12:BL42)</f>
        <v>0</v>
      </c>
      <c r="BO43" s="383">
        <f>SUM(BO12:BO42)</f>
        <v>0</v>
      </c>
      <c r="BR43" s="383">
        <f>SUM(BR12:BR42)</f>
        <v>0</v>
      </c>
      <c r="BU43" s="383">
        <f>SUM(BU12:BU42)</f>
        <v>0</v>
      </c>
      <c r="BX43" s="383">
        <f>SUM(BX12:BX42)</f>
        <v>0</v>
      </c>
      <c r="CA43" s="383">
        <f>SUM(CA12:CA42)</f>
        <v>0</v>
      </c>
      <c r="CD43" s="383">
        <f>SUM(CD12:CD42)</f>
        <v>0</v>
      </c>
      <c r="CG43" s="383">
        <f>SUM(CG12:CG42)</f>
        <v>0</v>
      </c>
      <c r="CJ43" s="383">
        <f>SUM(CJ12:CJ42)</f>
        <v>0</v>
      </c>
      <c r="CM43" s="383">
        <f>SUM(CM12:CM42)</f>
        <v>0</v>
      </c>
      <c r="CP43" s="383">
        <f>SUM(CP12:CP42)</f>
        <v>0</v>
      </c>
      <c r="CS43" s="383">
        <f>SUM(CS12:CS42)</f>
        <v>0</v>
      </c>
      <c r="CV43" s="383">
        <f>SUM(CV12:CV42)</f>
        <v>0</v>
      </c>
      <c r="CY43" s="383">
        <f>SUM(CY12:CY42)</f>
        <v>0</v>
      </c>
      <c r="DB43" s="383">
        <f>SUM(DB12:DB42)</f>
        <v>0</v>
      </c>
      <c r="DE43" s="383">
        <f>SUM(DE12:DE42)</f>
        <v>0</v>
      </c>
      <c r="DH43" s="383">
        <f>SUM(DH12:DH42)</f>
        <v>0</v>
      </c>
      <c r="DK43" s="383">
        <f>SUM(DK12:DK42)</f>
        <v>0</v>
      </c>
      <c r="DN43" s="383">
        <f>SUM(DN12:DN42)</f>
        <v>0</v>
      </c>
      <c r="DQ43" s="383">
        <f>SUM(DQ12:DQ42)</f>
        <v>0</v>
      </c>
      <c r="DT43" s="383">
        <f>SUM(DT12:DT42)</f>
        <v>0</v>
      </c>
      <c r="DW43" s="383">
        <f>SUM(DW12:DW42)</f>
        <v>0</v>
      </c>
      <c r="DY43" s="384"/>
      <c r="DZ43" s="366"/>
      <c r="EA43" s="366"/>
      <c r="EB43" s="379"/>
      <c r="EC43" s="379"/>
      <c r="ED43" s="383">
        <f>SUM(ED12:ED42)</f>
        <v>833123.67438071128</v>
      </c>
      <c r="EE43" s="380"/>
      <c r="EG43" s="379"/>
      <c r="EH43" s="383">
        <f>SUM(EH12:EH42)</f>
        <v>0</v>
      </c>
      <c r="EI43" s="380"/>
      <c r="EJ43" s="380"/>
      <c r="EK43" s="379"/>
      <c r="EL43" s="379"/>
      <c r="EM43" s="383">
        <f>SUM(EM12:EM42)</f>
        <v>734655.64583333337</v>
      </c>
      <c r="EN43" s="380"/>
    </row>
    <row r="46" spans="1:146">
      <c r="EM46" s="379"/>
    </row>
    <row r="48" spans="1:146">
      <c r="EM48" s="390"/>
    </row>
    <row r="50" spans="143:143">
      <c r="EM50" s="379"/>
    </row>
    <row r="53" spans="143:143">
      <c r="EM53" s="379"/>
    </row>
    <row r="55" spans="143:143">
      <c r="EM55" s="390"/>
    </row>
    <row r="57" spans="143:143">
      <c r="EM57" s="379"/>
    </row>
  </sheetData>
  <pageMargins left="0.7" right="0.7" top="0.75" bottom="0.75" header="0.3" footer="0.3"/>
  <pageSetup scale="57" orientation="portrait" r:id="rId1"/>
  <headerFooter>
    <oddFooter>&amp;CSchedule MA-TU
&amp;ROctober 2018 &amp;P of &amp;N
Confidential
4 CSR 240-2.090(9(A).2(D).II)</oddFooter>
  </headerFooter>
  <colBreaks count="3" manualBreakCount="3">
    <brk id="37" max="42" man="1"/>
    <brk id="49" max="42" man="1"/>
    <brk id="135" max="4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58"/>
  <sheetViews>
    <sheetView zoomScale="80" zoomScaleNormal="80" workbookViewId="0">
      <selection activeCell="E31" sqref="E31"/>
    </sheetView>
  </sheetViews>
  <sheetFormatPr defaultColWidth="9.140625" defaultRowHeight="12.75"/>
  <cols>
    <col min="1" max="1" width="14.5703125" style="400" bestFit="1" customWidth="1"/>
    <col min="2" max="2" width="15.5703125" style="398" hidden="1" customWidth="1"/>
    <col min="3" max="3" width="15.42578125" style="399" hidden="1" customWidth="1"/>
    <col min="4" max="4" width="15.42578125" style="400" hidden="1" customWidth="1"/>
    <col min="5" max="5" width="18" style="398" customWidth="1"/>
    <col min="6" max="6" width="12" style="399" bestFit="1" customWidth="1"/>
    <col min="7" max="7" width="18" style="400" bestFit="1" customWidth="1"/>
    <col min="8" max="8" width="15.42578125" style="398" hidden="1" customWidth="1"/>
    <col min="9" max="9" width="10.28515625" style="399" hidden="1" customWidth="1"/>
    <col min="10" max="10" width="13.42578125" style="400" hidden="1" customWidth="1"/>
    <col min="11" max="11" width="14.42578125" style="398" hidden="1" customWidth="1"/>
    <col min="12" max="12" width="10.28515625" style="399" hidden="1" customWidth="1"/>
    <col min="13" max="13" width="11.7109375" style="400" hidden="1" customWidth="1"/>
    <col min="14" max="14" width="14.42578125" style="398" hidden="1" customWidth="1"/>
    <col min="15" max="15" width="10.28515625" style="399" hidden="1" customWidth="1"/>
    <col min="16" max="16" width="11.7109375" style="400" hidden="1" customWidth="1"/>
    <col min="17" max="17" width="15.42578125" style="398" hidden="1" customWidth="1"/>
    <col min="18" max="18" width="10.28515625" style="399" hidden="1" customWidth="1"/>
    <col min="19" max="19" width="11.7109375" style="400" hidden="1" customWidth="1"/>
    <col min="20" max="20" width="15.42578125" style="398" hidden="1" customWidth="1"/>
    <col min="21" max="21" width="10.28515625" style="399" hidden="1" customWidth="1"/>
    <col min="22" max="22" width="11.7109375" style="400" hidden="1" customWidth="1"/>
    <col min="23" max="23" width="15.42578125" style="398" hidden="1" customWidth="1"/>
    <col min="24" max="24" width="10.28515625" style="399" hidden="1" customWidth="1"/>
    <col min="25" max="25" width="11.7109375" style="400" hidden="1" customWidth="1"/>
    <col min="26" max="26" width="15.42578125" style="398" hidden="1" customWidth="1"/>
    <col min="27" max="27" width="10.28515625" style="399" hidden="1" customWidth="1"/>
    <col min="28" max="28" width="11.7109375" style="400" hidden="1" customWidth="1"/>
    <col min="29" max="29" width="15.42578125" style="398" hidden="1" customWidth="1"/>
    <col min="30" max="30" width="10.28515625" style="399" hidden="1" customWidth="1"/>
    <col min="31" max="31" width="11.7109375" style="400" hidden="1" customWidth="1"/>
    <col min="32" max="32" width="14.42578125" style="398" hidden="1" customWidth="1"/>
    <col min="33" max="33" width="10.28515625" style="399" hidden="1" customWidth="1"/>
    <col min="34" max="34" width="10.7109375" style="400" hidden="1" customWidth="1"/>
    <col min="35" max="35" width="13.7109375" style="398" bestFit="1" customWidth="1"/>
    <col min="36" max="36" width="12" style="399" bestFit="1" customWidth="1"/>
    <col min="37" max="37" width="13.7109375" style="400" bestFit="1" customWidth="1"/>
    <col min="38" max="38" width="14.140625" style="398" bestFit="1" customWidth="1"/>
    <col min="39" max="39" width="12" style="399" bestFit="1" customWidth="1"/>
    <col min="40" max="40" width="13.7109375" style="400" bestFit="1" customWidth="1"/>
    <col min="41" max="41" width="14.140625" style="398" bestFit="1" customWidth="1"/>
    <col min="42" max="42" width="12" style="399" bestFit="1" customWidth="1"/>
    <col min="43" max="43" width="12.5703125" style="400" bestFit="1" customWidth="1"/>
    <col min="44" max="44" width="13.42578125" style="398" bestFit="1" customWidth="1"/>
    <col min="45" max="45" width="12" style="399" bestFit="1" customWidth="1"/>
    <col min="46" max="46" width="13.7109375" style="400" bestFit="1" customWidth="1"/>
    <col min="47" max="47" width="13.42578125" style="398" bestFit="1" customWidth="1"/>
    <col min="48" max="48" width="12" style="399" bestFit="1" customWidth="1"/>
    <col min="49" max="49" width="13" style="400" bestFit="1" customWidth="1"/>
    <col min="50" max="50" width="13.42578125" style="398" bestFit="1" customWidth="1"/>
    <col min="51" max="51" width="12" style="399" bestFit="1" customWidth="1"/>
    <col min="52" max="52" width="13.7109375" style="400" bestFit="1" customWidth="1"/>
    <col min="53" max="53" width="13.42578125" style="398" bestFit="1" customWidth="1"/>
    <col min="54" max="54" width="12" style="399" bestFit="1" customWidth="1"/>
    <col min="55" max="55" width="13.7109375" style="400" bestFit="1" customWidth="1"/>
    <col min="56" max="56" width="14.42578125" style="398" hidden="1" customWidth="1"/>
    <col min="57" max="57" width="10.28515625" style="399" hidden="1" customWidth="1"/>
    <col min="58" max="58" width="10.7109375" style="400" hidden="1" customWidth="1"/>
    <col min="59" max="59" width="14.42578125" style="398" hidden="1" customWidth="1"/>
    <col min="60" max="60" width="10.28515625" style="399" hidden="1" customWidth="1"/>
    <col min="61" max="61" width="10.7109375" style="400" hidden="1" customWidth="1"/>
    <col min="62" max="62" width="14.42578125" style="398" hidden="1" customWidth="1"/>
    <col min="63" max="63" width="10.28515625" style="399" hidden="1" customWidth="1"/>
    <col min="64" max="64" width="10.7109375" style="400" hidden="1" customWidth="1"/>
    <col min="65" max="65" width="14.42578125" style="398" hidden="1" customWidth="1"/>
    <col min="66" max="66" width="10.28515625" style="399" hidden="1" customWidth="1"/>
    <col min="67" max="67" width="10.7109375" style="400" hidden="1" customWidth="1"/>
    <col min="68" max="68" width="14.42578125" style="398" hidden="1" customWidth="1"/>
    <col min="69" max="69" width="10.28515625" style="399" hidden="1" customWidth="1"/>
    <col min="70" max="70" width="10.7109375" style="400" hidden="1" customWidth="1"/>
    <col min="71" max="71" width="14.42578125" style="398" hidden="1" customWidth="1"/>
    <col min="72" max="72" width="10.28515625" style="399" hidden="1" customWidth="1"/>
    <col min="73" max="73" width="10.7109375" style="400" hidden="1" customWidth="1"/>
    <col min="74" max="74" width="14.42578125" style="398" hidden="1" customWidth="1"/>
    <col min="75" max="75" width="10.28515625" style="399" hidden="1" customWidth="1"/>
    <col min="76" max="76" width="10.7109375" style="400" hidden="1" customWidth="1"/>
    <col min="77" max="77" width="14.42578125" style="398" hidden="1" customWidth="1"/>
    <col min="78" max="78" width="10.28515625" style="399" hidden="1" customWidth="1"/>
    <col min="79" max="79" width="10.7109375" style="400" hidden="1" customWidth="1"/>
    <col min="80" max="80" width="14.42578125" style="398" hidden="1" customWidth="1"/>
    <col min="81" max="81" width="10.28515625" style="399" hidden="1" customWidth="1"/>
    <col min="82" max="82" width="10.7109375" style="400" hidden="1" customWidth="1"/>
    <col min="83" max="83" width="14.42578125" style="398" hidden="1" customWidth="1"/>
    <col min="84" max="84" width="10.28515625" style="399" hidden="1" customWidth="1"/>
    <col min="85" max="85" width="10.7109375" style="400" hidden="1" customWidth="1"/>
    <col min="86" max="86" width="14.42578125" style="398" hidden="1" customWidth="1"/>
    <col min="87" max="87" width="10.28515625" style="399" hidden="1" customWidth="1"/>
    <col min="88" max="88" width="10.7109375" style="400" hidden="1" customWidth="1"/>
    <col min="89" max="89" width="14.42578125" style="398" hidden="1" customWidth="1"/>
    <col min="90" max="90" width="10.28515625" style="399" hidden="1" customWidth="1"/>
    <col min="91" max="91" width="10.7109375" style="400" hidden="1" customWidth="1"/>
    <col min="92" max="92" width="14.42578125" style="398" hidden="1" customWidth="1"/>
    <col min="93" max="93" width="10.28515625" style="399" hidden="1" customWidth="1"/>
    <col min="94" max="94" width="10.7109375" style="400" hidden="1" customWidth="1"/>
    <col min="95" max="95" width="14.42578125" style="398" hidden="1" customWidth="1"/>
    <col min="96" max="96" width="10.28515625" style="399" hidden="1" customWidth="1"/>
    <col min="97" max="97" width="10.7109375" style="400" hidden="1" customWidth="1"/>
    <col min="98" max="98" width="14.42578125" style="398" hidden="1" customWidth="1"/>
    <col min="99" max="99" width="10.28515625" style="399" hidden="1" customWidth="1"/>
    <col min="100" max="100" width="10.7109375" style="400" hidden="1" customWidth="1"/>
    <col min="101" max="101" width="14.42578125" style="398" hidden="1" customWidth="1"/>
    <col min="102" max="102" width="10.28515625" style="399" hidden="1" customWidth="1"/>
    <col min="103" max="103" width="10.7109375" style="400" hidden="1" customWidth="1"/>
    <col min="104" max="104" width="14.42578125" style="398" hidden="1" customWidth="1"/>
    <col min="105" max="105" width="10.28515625" style="399" hidden="1" customWidth="1"/>
    <col min="106" max="106" width="10.7109375" style="400" hidden="1" customWidth="1"/>
    <col min="107" max="107" width="14.42578125" style="398" hidden="1" customWidth="1"/>
    <col min="108" max="108" width="10.28515625" style="399" hidden="1" customWidth="1"/>
    <col min="109" max="109" width="10.7109375" style="400" hidden="1" customWidth="1"/>
    <col min="110" max="110" width="14.42578125" style="398" hidden="1" customWidth="1"/>
    <col min="111" max="111" width="10.28515625" style="399" hidden="1" customWidth="1"/>
    <col min="112" max="112" width="10.7109375" style="400" hidden="1" customWidth="1"/>
    <col min="113" max="113" width="14.42578125" style="398" hidden="1" customWidth="1"/>
    <col min="114" max="114" width="10.28515625" style="399" hidden="1" customWidth="1"/>
    <col min="115" max="115" width="10.7109375" style="400" hidden="1" customWidth="1"/>
    <col min="116" max="116" width="14.42578125" style="398" hidden="1" customWidth="1"/>
    <col min="117" max="117" width="10.28515625" style="399" hidden="1" customWidth="1"/>
    <col min="118" max="118" width="10.7109375" style="400" hidden="1" customWidth="1"/>
    <col min="119" max="119" width="14.42578125" style="398" hidden="1" customWidth="1"/>
    <col min="120" max="120" width="10.28515625" style="399" hidden="1" customWidth="1"/>
    <col min="121" max="121" width="10.7109375" style="400" hidden="1" customWidth="1"/>
    <col min="122" max="122" width="14.42578125" style="398" hidden="1" customWidth="1"/>
    <col min="123" max="123" width="10.28515625" style="399" hidden="1" customWidth="1"/>
    <col min="124" max="124" width="10.7109375" style="400" hidden="1" customWidth="1"/>
    <col min="125" max="125" width="14.42578125" style="398" hidden="1" customWidth="1"/>
    <col min="126" max="126" width="10.28515625" style="399" hidden="1" customWidth="1"/>
    <col min="127" max="127" width="10.7109375" style="400" hidden="1" customWidth="1"/>
    <col min="128" max="128" width="14.42578125" style="398" hidden="1" customWidth="1"/>
    <col min="129" max="129" width="10.28515625" style="399" hidden="1" customWidth="1"/>
    <col min="130" max="130" width="10.7109375" style="400" hidden="1" customWidth="1"/>
    <col min="131" max="131" width="2.7109375" style="400" customWidth="1"/>
    <col min="132" max="132" width="25.140625" style="400" bestFit="1" customWidth="1"/>
    <col min="133" max="133" width="15.42578125" style="400" hidden="1" customWidth="1"/>
    <col min="134" max="134" width="14.42578125" style="400" bestFit="1" customWidth="1"/>
    <col min="135" max="135" width="17.7109375" style="400" bestFit="1" customWidth="1"/>
    <col min="136" max="136" width="2.7109375" style="400" customWidth="1"/>
    <col min="137" max="137" width="15.42578125" style="400" hidden="1" customWidth="1"/>
    <col min="138" max="138" width="14.42578125" style="400" hidden="1" customWidth="1"/>
    <col min="139" max="139" width="12.42578125" style="400" hidden="1" customWidth="1"/>
    <col min="140" max="140" width="2.7109375" style="400" hidden="1" customWidth="1"/>
    <col min="141" max="141" width="18" style="400" bestFit="1" customWidth="1"/>
    <col min="142" max="142" width="15.42578125" style="400" hidden="1" customWidth="1"/>
    <col min="143" max="143" width="14.42578125" style="400" bestFit="1" customWidth="1"/>
    <col min="144" max="144" width="18.42578125" style="400" bestFit="1" customWidth="1"/>
    <col min="145" max="145" width="24.28515625" style="400" customWidth="1"/>
    <col min="146" max="146" width="20.42578125" style="400" bestFit="1" customWidth="1"/>
    <col min="147" max="147" width="29.7109375" style="400" bestFit="1" customWidth="1"/>
    <col min="148" max="16384" width="9.140625" style="400"/>
  </cols>
  <sheetData>
    <row r="1" spans="1:147" s="201" customFormat="1">
      <c r="A1" s="200" t="s">
        <v>111</v>
      </c>
      <c r="B1" s="212"/>
      <c r="C1" s="392"/>
      <c r="E1" s="212"/>
      <c r="F1" s="392"/>
      <c r="H1" s="212"/>
      <c r="I1" s="392"/>
      <c r="K1" s="212"/>
      <c r="L1" s="392"/>
      <c r="N1" s="212"/>
      <c r="O1" s="392"/>
      <c r="Q1" s="212"/>
      <c r="R1" s="392"/>
      <c r="T1" s="212"/>
      <c r="U1" s="392"/>
      <c r="W1" s="212"/>
      <c r="X1" s="392"/>
      <c r="Z1" s="212"/>
      <c r="AA1" s="392"/>
      <c r="AC1" s="212"/>
      <c r="AD1" s="392"/>
      <c r="AF1" s="212"/>
      <c r="AG1" s="392"/>
      <c r="AI1" s="212"/>
      <c r="AJ1" s="392"/>
      <c r="AL1" s="212"/>
      <c r="AM1" s="392"/>
      <c r="AO1" s="212"/>
      <c r="AP1" s="392"/>
      <c r="AR1" s="212"/>
      <c r="AS1" s="392"/>
      <c r="AU1" s="212"/>
      <c r="AV1" s="392"/>
      <c r="AX1" s="212"/>
      <c r="AY1" s="392"/>
      <c r="BA1" s="212"/>
      <c r="BB1" s="392"/>
      <c r="BD1" s="212"/>
      <c r="BE1" s="392"/>
      <c r="BG1" s="212"/>
      <c r="BH1" s="392"/>
      <c r="BJ1" s="212"/>
      <c r="BK1" s="392"/>
      <c r="BM1" s="212"/>
      <c r="BN1" s="392"/>
      <c r="BP1" s="212"/>
      <c r="BQ1" s="392"/>
      <c r="BS1" s="212"/>
      <c r="BT1" s="392"/>
      <c r="BV1" s="212"/>
      <c r="BW1" s="392"/>
      <c r="BY1" s="212"/>
      <c r="BZ1" s="392"/>
      <c r="CB1" s="212"/>
      <c r="CC1" s="392"/>
      <c r="CE1" s="212"/>
      <c r="CF1" s="392"/>
      <c r="CH1" s="212"/>
      <c r="CI1" s="392"/>
      <c r="CK1" s="212"/>
      <c r="CL1" s="392"/>
      <c r="CN1" s="212"/>
      <c r="CO1" s="392"/>
      <c r="CQ1" s="212"/>
      <c r="CR1" s="392"/>
      <c r="CT1" s="212"/>
      <c r="CU1" s="392"/>
      <c r="CW1" s="212"/>
      <c r="CX1" s="392"/>
      <c r="CZ1" s="212"/>
      <c r="DA1" s="392"/>
      <c r="DC1" s="212"/>
      <c r="DD1" s="392"/>
      <c r="DF1" s="212"/>
      <c r="DG1" s="392"/>
      <c r="DI1" s="212"/>
      <c r="DJ1" s="392"/>
      <c r="DL1" s="212"/>
      <c r="DM1" s="392"/>
      <c r="DO1" s="212"/>
      <c r="DP1" s="392"/>
      <c r="DR1" s="212"/>
      <c r="DS1" s="392"/>
      <c r="DU1" s="212"/>
      <c r="DV1" s="392"/>
      <c r="DX1" s="212"/>
      <c r="DY1" s="392"/>
      <c r="DZ1" s="198"/>
      <c r="ED1" s="202"/>
      <c r="EE1" s="393" t="s">
        <v>118</v>
      </c>
      <c r="EI1" s="202" t="s">
        <v>59</v>
      </c>
      <c r="EM1" s="202"/>
      <c r="EN1" s="202" t="s">
        <v>120</v>
      </c>
      <c r="EO1" s="200" t="s">
        <v>121</v>
      </c>
      <c r="EP1" s="200" t="s">
        <v>122</v>
      </c>
      <c r="EQ1" s="200" t="s">
        <v>123</v>
      </c>
    </row>
    <row r="2" spans="1:147" s="201" customFormat="1">
      <c r="A2" s="200" t="s">
        <v>49</v>
      </c>
      <c r="B2" s="212"/>
      <c r="C2" s="392"/>
      <c r="F2" s="392"/>
      <c r="G2" s="394"/>
      <c r="H2" s="212"/>
      <c r="I2" s="392"/>
      <c r="K2" s="212"/>
      <c r="L2" s="392"/>
      <c r="N2" s="212"/>
      <c r="O2" s="392"/>
      <c r="Q2" s="212"/>
      <c r="R2" s="392"/>
      <c r="T2" s="212"/>
      <c r="U2" s="392"/>
      <c r="W2" s="212"/>
      <c r="X2" s="392"/>
      <c r="Z2" s="212"/>
      <c r="AA2" s="392"/>
      <c r="AC2" s="212"/>
      <c r="AD2" s="392"/>
      <c r="AF2" s="212"/>
      <c r="AG2" s="392"/>
      <c r="AI2" s="212"/>
      <c r="AJ2" s="392"/>
      <c r="AL2" s="212"/>
      <c r="AM2" s="392"/>
      <c r="AO2" s="212"/>
      <c r="AP2" s="392"/>
      <c r="AR2" s="212"/>
      <c r="AS2" s="392"/>
      <c r="AU2" s="212"/>
      <c r="AV2" s="392"/>
      <c r="AX2" s="212"/>
      <c r="AY2" s="392"/>
      <c r="BA2" s="212"/>
      <c r="BB2" s="392"/>
      <c r="BD2" s="212"/>
      <c r="BE2" s="392"/>
      <c r="BG2" s="212"/>
      <c r="BH2" s="392"/>
      <c r="BJ2" s="212"/>
      <c r="BK2" s="392"/>
      <c r="BM2" s="212"/>
      <c r="BN2" s="392"/>
      <c r="BP2" s="212"/>
      <c r="BQ2" s="392"/>
      <c r="BS2" s="212"/>
      <c r="BT2" s="392"/>
      <c r="BV2" s="212"/>
      <c r="BW2" s="392"/>
      <c r="BY2" s="212"/>
      <c r="BZ2" s="392"/>
      <c r="CB2" s="212"/>
      <c r="CC2" s="392"/>
      <c r="CE2" s="212"/>
      <c r="CF2" s="392"/>
      <c r="CH2" s="212"/>
      <c r="CI2" s="392"/>
      <c r="CK2" s="212"/>
      <c r="CL2" s="392"/>
      <c r="CN2" s="212"/>
      <c r="CO2" s="392"/>
      <c r="CQ2" s="212"/>
      <c r="CR2" s="392"/>
      <c r="CT2" s="212"/>
      <c r="CU2" s="392"/>
      <c r="CW2" s="212"/>
      <c r="CX2" s="392"/>
      <c r="CZ2" s="212"/>
      <c r="DA2" s="392"/>
      <c r="DC2" s="212"/>
      <c r="DD2" s="392"/>
      <c r="DF2" s="212"/>
      <c r="DG2" s="392"/>
      <c r="DI2" s="212"/>
      <c r="DJ2" s="392"/>
      <c r="DL2" s="212"/>
      <c r="DM2" s="392"/>
      <c r="DO2" s="212"/>
      <c r="DP2" s="392"/>
      <c r="DR2" s="212"/>
      <c r="DS2" s="392"/>
      <c r="DU2" s="212"/>
      <c r="DV2" s="392"/>
      <c r="DX2" s="212"/>
      <c r="DY2" s="392"/>
      <c r="EB2" s="395" t="s">
        <v>51</v>
      </c>
      <c r="EC2" s="395"/>
      <c r="ED2" s="396"/>
      <c r="EE2" s="396">
        <f>EB41</f>
        <v>410238018.51999998</v>
      </c>
      <c r="EI2" s="396">
        <f>EG41</f>
        <v>0</v>
      </c>
      <c r="EM2" s="396"/>
      <c r="EN2" s="396">
        <f>EK41</f>
        <v>381650000</v>
      </c>
      <c r="EO2" s="212">
        <v>-339226.39</v>
      </c>
      <c r="EP2" s="212">
        <f>EN2+EO2</f>
        <v>381310773.61000001</v>
      </c>
      <c r="EQ2" s="212">
        <f>EE2+EO2</f>
        <v>409898792.13</v>
      </c>
    </row>
    <row r="3" spans="1:147" s="201" customFormat="1" ht="13.5" thickBot="1">
      <c r="A3" s="397" t="s">
        <v>203</v>
      </c>
      <c r="B3" s="212"/>
      <c r="C3" s="392"/>
      <c r="F3" s="392"/>
      <c r="G3" s="394"/>
      <c r="H3" s="212"/>
      <c r="I3" s="392"/>
      <c r="K3" s="212"/>
      <c r="L3" s="392"/>
      <c r="N3" s="212"/>
      <c r="O3" s="392"/>
      <c r="Q3" s="212"/>
      <c r="R3" s="392"/>
      <c r="T3" s="212"/>
      <c r="U3" s="392"/>
      <c r="W3" s="212"/>
      <c r="X3" s="392"/>
      <c r="Z3" s="212"/>
      <c r="AA3" s="392"/>
      <c r="AC3" s="212"/>
      <c r="AD3" s="392"/>
      <c r="AF3" s="212"/>
      <c r="AG3" s="392"/>
      <c r="AI3" s="212"/>
      <c r="AJ3" s="392"/>
      <c r="AL3" s="212"/>
      <c r="AM3" s="392"/>
      <c r="AO3" s="212"/>
      <c r="AP3" s="392"/>
      <c r="AR3" s="212"/>
      <c r="AS3" s="392"/>
      <c r="AU3" s="212"/>
      <c r="AV3" s="392"/>
      <c r="AX3" s="212"/>
      <c r="AY3" s="392"/>
      <c r="BA3" s="212"/>
      <c r="BB3" s="392"/>
      <c r="BD3" s="212"/>
      <c r="BE3" s="392"/>
      <c r="BG3" s="212"/>
      <c r="BH3" s="392"/>
      <c r="BJ3" s="212"/>
      <c r="BK3" s="392"/>
      <c r="BM3" s="212"/>
      <c r="BN3" s="392"/>
      <c r="BP3" s="212"/>
      <c r="BQ3" s="392"/>
      <c r="BS3" s="212"/>
      <c r="BT3" s="392"/>
      <c r="BV3" s="212"/>
      <c r="BW3" s="392"/>
      <c r="BY3" s="212"/>
      <c r="BZ3" s="392"/>
      <c r="CB3" s="212"/>
      <c r="CC3" s="392"/>
      <c r="CE3" s="212"/>
      <c r="CF3" s="392"/>
      <c r="CH3" s="212"/>
      <c r="CI3" s="392"/>
      <c r="CK3" s="212"/>
      <c r="CL3" s="392"/>
      <c r="CN3" s="212"/>
      <c r="CO3" s="392"/>
      <c r="CQ3" s="212"/>
      <c r="CR3" s="392"/>
      <c r="CT3" s="212"/>
      <c r="CU3" s="392"/>
      <c r="CW3" s="212"/>
      <c r="CX3" s="392"/>
      <c r="CZ3" s="212"/>
      <c r="DA3" s="392"/>
      <c r="DC3" s="212"/>
      <c r="DD3" s="392"/>
      <c r="DF3" s="212"/>
      <c r="DG3" s="392"/>
      <c r="DI3" s="212"/>
      <c r="DJ3" s="392"/>
      <c r="DL3" s="212"/>
      <c r="DM3" s="392"/>
      <c r="DO3" s="212"/>
      <c r="DP3" s="392"/>
      <c r="DR3" s="212"/>
      <c r="DS3" s="392"/>
      <c r="DU3" s="212"/>
      <c r="DV3" s="392"/>
      <c r="DX3" s="212"/>
      <c r="DY3" s="392"/>
      <c r="EB3" s="395"/>
      <c r="EC3" s="395"/>
      <c r="ED3" s="396"/>
      <c r="EE3" s="396"/>
      <c r="EI3" s="396"/>
      <c r="EM3" s="396"/>
      <c r="EN3" s="396"/>
      <c r="EO3" s="212"/>
      <c r="EP3" s="212"/>
      <c r="EQ3" s="212"/>
    </row>
    <row r="4" spans="1:147" ht="13.5" thickTop="1">
      <c r="A4" s="397"/>
      <c r="E4" s="199" t="s">
        <v>50</v>
      </c>
      <c r="F4" s="401"/>
      <c r="G4" s="402"/>
      <c r="EB4" s="395" t="s">
        <v>52</v>
      </c>
      <c r="EC4" s="395"/>
      <c r="ED4" s="396"/>
      <c r="EE4" s="396">
        <f>AVERAGE(EB12:EB41)</f>
        <v>400918016.15033329</v>
      </c>
      <c r="EI4" s="396">
        <f>AVERAGE(EG12:EG41)</f>
        <v>0</v>
      </c>
      <c r="EM4" s="396"/>
      <c r="EN4" s="396">
        <f>AVERAGE(EK12:EK41)</f>
        <v>352568333.33333331</v>
      </c>
    </row>
    <row r="5" spans="1:147">
      <c r="D5" s="395"/>
      <c r="E5" s="403" t="s">
        <v>51</v>
      </c>
      <c r="F5" s="396"/>
      <c r="G5" s="404">
        <f>EQ2</f>
        <v>409898792.13</v>
      </c>
      <c r="AI5" s="200"/>
      <c r="EB5" s="395" t="s">
        <v>53</v>
      </c>
      <c r="EC5" s="395"/>
      <c r="ED5" s="405"/>
      <c r="EE5" s="405">
        <f>IF(EE4=0,0,360*(AVERAGE(ED12:ED41)/EE4))</f>
        <v>2.5271155806578269E-2</v>
      </c>
      <c r="EI5" s="405">
        <f>IF(EI4=0,0,360*(AVERAGE(EH12:EH41)/EI4))</f>
        <v>0</v>
      </c>
      <c r="EM5" s="405"/>
      <c r="EN5" s="405">
        <f>IF(EN4=0,0,360*(AVERAGE(EM12:EM41)/EN4))</f>
        <v>2.5615685139051065E-2</v>
      </c>
      <c r="EO5" s="201" t="s">
        <v>199</v>
      </c>
      <c r="EQ5" s="202"/>
    </row>
    <row r="6" spans="1:147">
      <c r="D6" s="395"/>
      <c r="E6" s="403" t="s">
        <v>52</v>
      </c>
      <c r="F6" s="396"/>
      <c r="G6" s="404">
        <f>EE4</f>
        <v>400918016.15033329</v>
      </c>
      <c r="AI6" s="394"/>
      <c r="EB6" s="406" t="s">
        <v>57</v>
      </c>
      <c r="EC6" s="406"/>
      <c r="ED6" s="396"/>
      <c r="EE6" s="396">
        <f>MAX(EB12:EB41)</f>
        <v>418271932.88</v>
      </c>
      <c r="EI6" s="396">
        <f>MAX(EG12:EG41)</f>
        <v>0</v>
      </c>
      <c r="EM6" s="396"/>
      <c r="EN6" s="396">
        <f>MAX(EK12:EK41)</f>
        <v>405225000</v>
      </c>
    </row>
    <row r="7" spans="1:147">
      <c r="D7" s="395"/>
      <c r="E7" s="403" t="s">
        <v>53</v>
      </c>
      <c r="F7" s="396"/>
      <c r="G7" s="407">
        <f>EE5</f>
        <v>2.5271155806578269E-2</v>
      </c>
    </row>
    <row r="8" spans="1:147" ht="13.5" thickBot="1">
      <c r="D8" s="395"/>
      <c r="E8" s="408" t="s">
        <v>57</v>
      </c>
      <c r="F8" s="409"/>
      <c r="G8" s="410">
        <f>EE6</f>
        <v>418271932.88</v>
      </c>
      <c r="AI8" s="394"/>
      <c r="EB8" s="203" t="s">
        <v>54</v>
      </c>
      <c r="EC8" s="203"/>
      <c r="ED8" s="411"/>
      <c r="EE8" s="411"/>
      <c r="EG8" s="203" t="s">
        <v>55</v>
      </c>
      <c r="EH8" s="411"/>
      <c r="EI8" s="411"/>
      <c r="EJ8" s="412"/>
      <c r="EK8" s="203" t="s">
        <v>56</v>
      </c>
      <c r="EL8" s="203"/>
      <c r="EM8" s="411"/>
      <c r="EN8" s="411"/>
    </row>
    <row r="9" spans="1:147" ht="13.5" thickTop="1">
      <c r="AI9" s="204"/>
      <c r="AL9" s="204"/>
      <c r="AO9" s="204"/>
      <c r="AR9" s="204"/>
      <c r="AU9" s="204"/>
      <c r="AX9" s="204"/>
      <c r="BA9" s="204"/>
      <c r="BD9" s="204" t="s">
        <v>112</v>
      </c>
      <c r="BG9" s="204" t="s">
        <v>112</v>
      </c>
      <c r="BJ9" s="204" t="s">
        <v>112</v>
      </c>
      <c r="BM9" s="204" t="s">
        <v>112</v>
      </c>
      <c r="BP9" s="204" t="s">
        <v>112</v>
      </c>
      <c r="BS9" s="204" t="s">
        <v>112</v>
      </c>
      <c r="BV9" s="204" t="s">
        <v>112</v>
      </c>
      <c r="BY9" s="204" t="s">
        <v>112</v>
      </c>
      <c r="CB9" s="204" t="s">
        <v>112</v>
      </c>
      <c r="CE9" s="204" t="s">
        <v>112</v>
      </c>
      <c r="CH9" s="204" t="s">
        <v>112</v>
      </c>
      <c r="CK9" s="204" t="s">
        <v>112</v>
      </c>
      <c r="CN9" s="204" t="s">
        <v>112</v>
      </c>
      <c r="CQ9" s="204" t="s">
        <v>112</v>
      </c>
      <c r="CT9" s="204" t="s">
        <v>112</v>
      </c>
      <c r="CW9" s="204" t="s">
        <v>112</v>
      </c>
      <c r="CZ9" s="204" t="s">
        <v>112</v>
      </c>
      <c r="DC9" s="204" t="s">
        <v>112</v>
      </c>
      <c r="DF9" s="204" t="s">
        <v>112</v>
      </c>
      <c r="DI9" s="204" t="s">
        <v>112</v>
      </c>
      <c r="DL9" s="204" t="s">
        <v>112</v>
      </c>
      <c r="DO9" s="204" t="s">
        <v>112</v>
      </c>
      <c r="DR9" s="204" t="s">
        <v>112</v>
      </c>
      <c r="EB9" s="413"/>
      <c r="EC9" s="413"/>
      <c r="ED9" s="413"/>
      <c r="EE9" s="413" t="s">
        <v>58</v>
      </c>
      <c r="EG9" s="413"/>
      <c r="EH9" s="205" t="s">
        <v>59</v>
      </c>
      <c r="EI9" s="413" t="s">
        <v>58</v>
      </c>
      <c r="EJ9" s="413"/>
      <c r="EK9" s="202" t="s">
        <v>113</v>
      </c>
      <c r="EL9" s="202" t="s">
        <v>114</v>
      </c>
      <c r="EM9" s="205" t="s">
        <v>60</v>
      </c>
      <c r="EN9" s="413" t="s">
        <v>58</v>
      </c>
    </row>
    <row r="10" spans="1:147">
      <c r="B10" s="414" t="s">
        <v>61</v>
      </c>
      <c r="C10" s="415"/>
      <c r="D10" s="411"/>
      <c r="E10" s="414" t="s">
        <v>62</v>
      </c>
      <c r="F10" s="415"/>
      <c r="G10" s="411"/>
      <c r="H10" s="414" t="s">
        <v>63</v>
      </c>
      <c r="I10" s="415"/>
      <c r="J10" s="411"/>
      <c r="K10" s="414" t="s">
        <v>64</v>
      </c>
      <c r="L10" s="415"/>
      <c r="M10" s="411"/>
      <c r="N10" s="414" t="s">
        <v>65</v>
      </c>
      <c r="O10" s="415"/>
      <c r="P10" s="411"/>
      <c r="Q10" s="414" t="s">
        <v>66</v>
      </c>
      <c r="R10" s="415"/>
      <c r="S10" s="411"/>
      <c r="T10" s="414" t="s">
        <v>67</v>
      </c>
      <c r="U10" s="415"/>
      <c r="V10" s="411"/>
      <c r="W10" s="414" t="s">
        <v>68</v>
      </c>
      <c r="X10" s="415"/>
      <c r="Y10" s="411"/>
      <c r="Z10" s="414" t="s">
        <v>69</v>
      </c>
      <c r="AA10" s="415"/>
      <c r="AB10" s="411"/>
      <c r="AC10" s="206" t="s">
        <v>70</v>
      </c>
      <c r="AD10" s="415"/>
      <c r="AE10" s="411"/>
      <c r="AF10" s="206" t="s">
        <v>71</v>
      </c>
      <c r="AG10" s="415"/>
      <c r="AH10" s="411"/>
      <c r="AI10" s="414" t="s">
        <v>72</v>
      </c>
      <c r="AJ10" s="415"/>
      <c r="AK10" s="411"/>
      <c r="AL10" s="414" t="s">
        <v>73</v>
      </c>
      <c r="AM10" s="415"/>
      <c r="AN10" s="411"/>
      <c r="AO10" s="414" t="s">
        <v>74</v>
      </c>
      <c r="AP10" s="415"/>
      <c r="AQ10" s="411"/>
      <c r="AR10" s="414" t="s">
        <v>75</v>
      </c>
      <c r="AS10" s="415"/>
      <c r="AT10" s="411"/>
      <c r="AU10" s="414" t="s">
        <v>76</v>
      </c>
      <c r="AV10" s="415"/>
      <c r="AW10" s="411"/>
      <c r="AX10" s="414" t="s">
        <v>77</v>
      </c>
      <c r="AY10" s="415"/>
      <c r="AZ10" s="411"/>
      <c r="BA10" s="414" t="s">
        <v>78</v>
      </c>
      <c r="BB10" s="415"/>
      <c r="BC10" s="411"/>
      <c r="BD10" s="414" t="s">
        <v>79</v>
      </c>
      <c r="BE10" s="415"/>
      <c r="BF10" s="411"/>
      <c r="BG10" s="414" t="s">
        <v>80</v>
      </c>
      <c r="BH10" s="415"/>
      <c r="BI10" s="411"/>
      <c r="BJ10" s="414" t="s">
        <v>81</v>
      </c>
      <c r="BK10" s="415"/>
      <c r="BL10" s="411"/>
      <c r="BM10" s="414" t="s">
        <v>82</v>
      </c>
      <c r="BN10" s="415"/>
      <c r="BO10" s="411"/>
      <c r="BP10" s="414" t="s">
        <v>83</v>
      </c>
      <c r="BQ10" s="415"/>
      <c r="BR10" s="411"/>
      <c r="BS10" s="414" t="s">
        <v>84</v>
      </c>
      <c r="BT10" s="415"/>
      <c r="BU10" s="411"/>
      <c r="BV10" s="414" t="s">
        <v>85</v>
      </c>
      <c r="BW10" s="415"/>
      <c r="BX10" s="411"/>
      <c r="BY10" s="414" t="s">
        <v>86</v>
      </c>
      <c r="BZ10" s="415"/>
      <c r="CA10" s="411"/>
      <c r="CB10" s="414" t="s">
        <v>87</v>
      </c>
      <c r="CC10" s="415"/>
      <c r="CD10" s="411"/>
      <c r="CE10" s="414" t="s">
        <v>88</v>
      </c>
      <c r="CF10" s="415"/>
      <c r="CG10" s="411"/>
      <c r="CH10" s="414" t="s">
        <v>89</v>
      </c>
      <c r="CI10" s="415"/>
      <c r="CJ10" s="411"/>
      <c r="CK10" s="414" t="s">
        <v>90</v>
      </c>
      <c r="CL10" s="415"/>
      <c r="CM10" s="411"/>
      <c r="CN10" s="414" t="s">
        <v>91</v>
      </c>
      <c r="CO10" s="415"/>
      <c r="CP10" s="411"/>
      <c r="CQ10" s="414" t="s">
        <v>92</v>
      </c>
      <c r="CR10" s="415"/>
      <c r="CS10" s="411"/>
      <c r="CT10" s="414" t="s">
        <v>93</v>
      </c>
      <c r="CU10" s="415"/>
      <c r="CV10" s="411"/>
      <c r="CW10" s="414" t="s">
        <v>94</v>
      </c>
      <c r="CX10" s="415"/>
      <c r="CY10" s="411"/>
      <c r="CZ10" s="414" t="s">
        <v>95</v>
      </c>
      <c r="DA10" s="415"/>
      <c r="DB10" s="411"/>
      <c r="DC10" s="414" t="s">
        <v>96</v>
      </c>
      <c r="DD10" s="415"/>
      <c r="DE10" s="411"/>
      <c r="DF10" s="414" t="s">
        <v>97</v>
      </c>
      <c r="DG10" s="415"/>
      <c r="DH10" s="411"/>
      <c r="DI10" s="414" t="s">
        <v>98</v>
      </c>
      <c r="DJ10" s="415"/>
      <c r="DK10" s="411"/>
      <c r="DL10" s="414" t="s">
        <v>99</v>
      </c>
      <c r="DM10" s="415"/>
      <c r="DN10" s="411"/>
      <c r="DO10" s="414" t="s">
        <v>100</v>
      </c>
      <c r="DP10" s="415"/>
      <c r="DQ10" s="411"/>
      <c r="DR10" s="414" t="s">
        <v>101</v>
      </c>
      <c r="DS10" s="415"/>
      <c r="DT10" s="411"/>
      <c r="DU10" s="414" t="s">
        <v>102</v>
      </c>
      <c r="DV10" s="415"/>
      <c r="DW10" s="411"/>
      <c r="DX10" s="207" t="s">
        <v>115</v>
      </c>
      <c r="DY10" s="415"/>
      <c r="DZ10" s="411"/>
      <c r="EA10" s="412"/>
      <c r="EB10" s="202" t="s">
        <v>116</v>
      </c>
      <c r="EC10" s="202" t="s">
        <v>117</v>
      </c>
      <c r="ED10" s="413" t="s">
        <v>103</v>
      </c>
      <c r="EE10" s="413" t="s">
        <v>104</v>
      </c>
      <c r="EG10" s="205" t="s">
        <v>105</v>
      </c>
      <c r="EH10" s="413" t="s">
        <v>103</v>
      </c>
      <c r="EI10" s="413" t="s">
        <v>104</v>
      </c>
      <c r="EJ10" s="413"/>
      <c r="EK10" s="205" t="s">
        <v>60</v>
      </c>
      <c r="EL10" s="205" t="s">
        <v>60</v>
      </c>
      <c r="EM10" s="413" t="s">
        <v>103</v>
      </c>
      <c r="EN10" s="413" t="s">
        <v>104</v>
      </c>
    </row>
    <row r="11" spans="1:147">
      <c r="A11" s="413" t="s">
        <v>106</v>
      </c>
      <c r="B11" s="208" t="s">
        <v>107</v>
      </c>
      <c r="C11" s="209" t="s">
        <v>108</v>
      </c>
      <c r="D11" s="210" t="s">
        <v>109</v>
      </c>
      <c r="E11" s="208" t="s">
        <v>107</v>
      </c>
      <c r="F11" s="209" t="s">
        <v>108</v>
      </c>
      <c r="G11" s="210" t="s">
        <v>109</v>
      </c>
      <c r="H11" s="208" t="s">
        <v>107</v>
      </c>
      <c r="I11" s="209" t="s">
        <v>108</v>
      </c>
      <c r="J11" s="210" t="s">
        <v>109</v>
      </c>
      <c r="K11" s="208" t="s">
        <v>107</v>
      </c>
      <c r="L11" s="209" t="s">
        <v>108</v>
      </c>
      <c r="M11" s="210" t="s">
        <v>109</v>
      </c>
      <c r="N11" s="208" t="s">
        <v>107</v>
      </c>
      <c r="O11" s="209" t="s">
        <v>108</v>
      </c>
      <c r="P11" s="210" t="s">
        <v>109</v>
      </c>
      <c r="Q11" s="208" t="s">
        <v>107</v>
      </c>
      <c r="R11" s="209" t="s">
        <v>108</v>
      </c>
      <c r="S11" s="210" t="s">
        <v>109</v>
      </c>
      <c r="T11" s="208" t="s">
        <v>107</v>
      </c>
      <c r="U11" s="209" t="s">
        <v>108</v>
      </c>
      <c r="V11" s="210" t="s">
        <v>109</v>
      </c>
      <c r="W11" s="208" t="s">
        <v>107</v>
      </c>
      <c r="X11" s="209" t="s">
        <v>108</v>
      </c>
      <c r="Y11" s="210" t="s">
        <v>109</v>
      </c>
      <c r="Z11" s="208" t="s">
        <v>107</v>
      </c>
      <c r="AA11" s="209" t="s">
        <v>108</v>
      </c>
      <c r="AB11" s="210" t="s">
        <v>109</v>
      </c>
      <c r="AC11" s="208" t="s">
        <v>107</v>
      </c>
      <c r="AD11" s="209" t="s">
        <v>108</v>
      </c>
      <c r="AE11" s="210" t="s">
        <v>109</v>
      </c>
      <c r="AF11" s="208" t="s">
        <v>107</v>
      </c>
      <c r="AG11" s="209" t="s">
        <v>108</v>
      </c>
      <c r="AH11" s="210" t="s">
        <v>109</v>
      </c>
      <c r="AI11" s="208" t="s">
        <v>107</v>
      </c>
      <c r="AJ11" s="209" t="s">
        <v>108</v>
      </c>
      <c r="AK11" s="210" t="s">
        <v>109</v>
      </c>
      <c r="AL11" s="208" t="s">
        <v>107</v>
      </c>
      <c r="AM11" s="209" t="s">
        <v>108</v>
      </c>
      <c r="AN11" s="210" t="s">
        <v>109</v>
      </c>
      <c r="AO11" s="208" t="s">
        <v>107</v>
      </c>
      <c r="AP11" s="209" t="s">
        <v>108</v>
      </c>
      <c r="AQ11" s="210" t="s">
        <v>109</v>
      </c>
      <c r="AR11" s="208" t="s">
        <v>107</v>
      </c>
      <c r="AS11" s="209" t="s">
        <v>108</v>
      </c>
      <c r="AT11" s="210" t="s">
        <v>109</v>
      </c>
      <c r="AU11" s="208" t="s">
        <v>107</v>
      </c>
      <c r="AV11" s="209" t="s">
        <v>108</v>
      </c>
      <c r="AW11" s="210" t="s">
        <v>109</v>
      </c>
      <c r="AX11" s="208" t="s">
        <v>107</v>
      </c>
      <c r="AY11" s="209" t="s">
        <v>108</v>
      </c>
      <c r="AZ11" s="210" t="s">
        <v>109</v>
      </c>
      <c r="BA11" s="208" t="s">
        <v>107</v>
      </c>
      <c r="BB11" s="209" t="s">
        <v>108</v>
      </c>
      <c r="BC11" s="210" t="s">
        <v>109</v>
      </c>
      <c r="BD11" s="208" t="s">
        <v>107</v>
      </c>
      <c r="BE11" s="209" t="s">
        <v>108</v>
      </c>
      <c r="BF11" s="210" t="s">
        <v>109</v>
      </c>
      <c r="BG11" s="208" t="s">
        <v>107</v>
      </c>
      <c r="BH11" s="209" t="s">
        <v>108</v>
      </c>
      <c r="BI11" s="210" t="s">
        <v>109</v>
      </c>
      <c r="BJ11" s="208" t="s">
        <v>107</v>
      </c>
      <c r="BK11" s="209" t="s">
        <v>108</v>
      </c>
      <c r="BL11" s="210" t="s">
        <v>109</v>
      </c>
      <c r="BM11" s="208" t="s">
        <v>107</v>
      </c>
      <c r="BN11" s="209" t="s">
        <v>108</v>
      </c>
      <c r="BO11" s="210" t="s">
        <v>109</v>
      </c>
      <c r="BP11" s="208" t="s">
        <v>107</v>
      </c>
      <c r="BQ11" s="209" t="s">
        <v>108</v>
      </c>
      <c r="BR11" s="210" t="s">
        <v>109</v>
      </c>
      <c r="BS11" s="208" t="s">
        <v>107</v>
      </c>
      <c r="BT11" s="209" t="s">
        <v>108</v>
      </c>
      <c r="BU11" s="210" t="s">
        <v>109</v>
      </c>
      <c r="BV11" s="208" t="s">
        <v>107</v>
      </c>
      <c r="BW11" s="209" t="s">
        <v>108</v>
      </c>
      <c r="BX11" s="210" t="s">
        <v>109</v>
      </c>
      <c r="BY11" s="208" t="s">
        <v>107</v>
      </c>
      <c r="BZ11" s="209" t="s">
        <v>108</v>
      </c>
      <c r="CA11" s="210" t="s">
        <v>109</v>
      </c>
      <c r="CB11" s="208" t="s">
        <v>107</v>
      </c>
      <c r="CC11" s="209" t="s">
        <v>108</v>
      </c>
      <c r="CD11" s="210" t="s">
        <v>109</v>
      </c>
      <c r="CE11" s="208" t="s">
        <v>107</v>
      </c>
      <c r="CF11" s="209" t="s">
        <v>108</v>
      </c>
      <c r="CG11" s="210" t="s">
        <v>109</v>
      </c>
      <c r="CH11" s="208" t="s">
        <v>107</v>
      </c>
      <c r="CI11" s="209" t="s">
        <v>108</v>
      </c>
      <c r="CJ11" s="210" t="s">
        <v>109</v>
      </c>
      <c r="CK11" s="208" t="s">
        <v>107</v>
      </c>
      <c r="CL11" s="209" t="s">
        <v>108</v>
      </c>
      <c r="CM11" s="210" t="s">
        <v>109</v>
      </c>
      <c r="CN11" s="208" t="s">
        <v>107</v>
      </c>
      <c r="CO11" s="209" t="s">
        <v>108</v>
      </c>
      <c r="CP11" s="210" t="s">
        <v>109</v>
      </c>
      <c r="CQ11" s="208" t="s">
        <v>107</v>
      </c>
      <c r="CR11" s="209" t="s">
        <v>108</v>
      </c>
      <c r="CS11" s="210" t="s">
        <v>109</v>
      </c>
      <c r="CT11" s="208" t="s">
        <v>107</v>
      </c>
      <c r="CU11" s="209" t="s">
        <v>108</v>
      </c>
      <c r="CV11" s="210" t="s">
        <v>109</v>
      </c>
      <c r="CW11" s="208" t="s">
        <v>107</v>
      </c>
      <c r="CX11" s="209" t="s">
        <v>108</v>
      </c>
      <c r="CY11" s="210" t="s">
        <v>109</v>
      </c>
      <c r="CZ11" s="208" t="s">
        <v>107</v>
      </c>
      <c r="DA11" s="209" t="s">
        <v>108</v>
      </c>
      <c r="DB11" s="210" t="s">
        <v>109</v>
      </c>
      <c r="DC11" s="208" t="s">
        <v>107</v>
      </c>
      <c r="DD11" s="209" t="s">
        <v>108</v>
      </c>
      <c r="DE11" s="210" t="s">
        <v>109</v>
      </c>
      <c r="DF11" s="208" t="s">
        <v>107</v>
      </c>
      <c r="DG11" s="209" t="s">
        <v>108</v>
      </c>
      <c r="DH11" s="210" t="s">
        <v>109</v>
      </c>
      <c r="DI11" s="208" t="s">
        <v>107</v>
      </c>
      <c r="DJ11" s="209" t="s">
        <v>108</v>
      </c>
      <c r="DK11" s="210" t="s">
        <v>109</v>
      </c>
      <c r="DL11" s="208" t="s">
        <v>107</v>
      </c>
      <c r="DM11" s="209" t="s">
        <v>108</v>
      </c>
      <c r="DN11" s="210" t="s">
        <v>109</v>
      </c>
      <c r="DO11" s="208" t="s">
        <v>107</v>
      </c>
      <c r="DP11" s="209" t="s">
        <v>108</v>
      </c>
      <c r="DQ11" s="210" t="s">
        <v>109</v>
      </c>
      <c r="DR11" s="208" t="s">
        <v>107</v>
      </c>
      <c r="DS11" s="209" t="s">
        <v>108</v>
      </c>
      <c r="DT11" s="210" t="s">
        <v>109</v>
      </c>
      <c r="DU11" s="208" t="s">
        <v>107</v>
      </c>
      <c r="DV11" s="209" t="s">
        <v>108</v>
      </c>
      <c r="DW11" s="210" t="s">
        <v>109</v>
      </c>
      <c r="DX11" s="208" t="s">
        <v>107</v>
      </c>
      <c r="DY11" s="209"/>
      <c r="DZ11" s="210"/>
      <c r="EA11" s="210"/>
      <c r="EB11" s="210" t="s">
        <v>110</v>
      </c>
      <c r="EC11" s="210" t="s">
        <v>110</v>
      </c>
      <c r="ED11" s="210" t="s">
        <v>109</v>
      </c>
      <c r="EE11" s="211" t="s">
        <v>108</v>
      </c>
      <c r="EG11" s="210" t="s">
        <v>110</v>
      </c>
      <c r="EH11" s="210" t="s">
        <v>109</v>
      </c>
      <c r="EI11" s="211" t="s">
        <v>108</v>
      </c>
      <c r="EJ11" s="211"/>
      <c r="EK11" s="210" t="s">
        <v>110</v>
      </c>
      <c r="EL11" s="210" t="s">
        <v>110</v>
      </c>
      <c r="EM11" s="210" t="s">
        <v>109</v>
      </c>
      <c r="EN11" s="211" t="s">
        <v>108</v>
      </c>
    </row>
    <row r="12" spans="1:147">
      <c r="A12" s="416">
        <v>43405</v>
      </c>
      <c r="D12" s="398">
        <f>(B12*C12)/360</f>
        <v>0</v>
      </c>
      <c r="E12" s="398">
        <v>38418106.200000003</v>
      </c>
      <c r="F12" s="399">
        <v>2.3199999999999998E-2</v>
      </c>
      <c r="G12" s="398">
        <f>(E12*F12)/360</f>
        <v>2475.8335106666664</v>
      </c>
      <c r="J12" s="398">
        <f>(H12*I12)/360</f>
        <v>0</v>
      </c>
      <c r="M12" s="398">
        <f>(K12*L12)/360</f>
        <v>0</v>
      </c>
      <c r="P12" s="398">
        <f>(N12*O12)/360</f>
        <v>0</v>
      </c>
      <c r="S12" s="398">
        <f>(Q12*R12)/360</f>
        <v>0</v>
      </c>
      <c r="V12" s="398">
        <f>(T12*U12)/360</f>
        <v>0</v>
      </c>
      <c r="Y12" s="398">
        <f>(W12*X12)/360</f>
        <v>0</v>
      </c>
      <c r="AB12" s="398">
        <f>(Z12*AA12)/360</f>
        <v>0</v>
      </c>
      <c r="AE12" s="398">
        <v>0</v>
      </c>
      <c r="AH12" s="398">
        <v>0</v>
      </c>
      <c r="AI12" s="417">
        <f>78750000</f>
        <v>78750000</v>
      </c>
      <c r="AJ12" s="418">
        <v>2.4500000000000001E-2</v>
      </c>
      <c r="AK12" s="398">
        <f>(AI12*AJ12)/360</f>
        <v>5359.375</v>
      </c>
      <c r="AL12" s="417">
        <f t="shared" ref="AL12:AL19" si="0">54925000+45275000</f>
        <v>100200000</v>
      </c>
      <c r="AM12" s="418">
        <v>2.52E-2</v>
      </c>
      <c r="AN12" s="398">
        <f>(AL12*AM12)/360</f>
        <v>7014</v>
      </c>
      <c r="AO12" s="417">
        <f>90000000+24950000+55000000</f>
        <v>169950000</v>
      </c>
      <c r="AP12" s="418">
        <v>2.5499999999999998E-2</v>
      </c>
      <c r="AQ12" s="398">
        <f>(AO12*AP12)/360</f>
        <v>12038.125</v>
      </c>
      <c r="AR12" s="417"/>
      <c r="AS12" s="418"/>
      <c r="AT12" s="398">
        <f>(AR12*AS12)/360</f>
        <v>0</v>
      </c>
      <c r="AU12" s="417"/>
      <c r="AV12" s="418"/>
      <c r="AW12" s="398">
        <f>(AU12*AV12)/360</f>
        <v>0</v>
      </c>
      <c r="AX12" s="417"/>
      <c r="AY12" s="418"/>
      <c r="AZ12" s="398">
        <f>(AX12*AY12)/360</f>
        <v>0</v>
      </c>
      <c r="BA12" s="417"/>
      <c r="BB12" s="418"/>
      <c r="BC12" s="398">
        <f>(BA12*BB12)/360</f>
        <v>0</v>
      </c>
      <c r="BF12" s="398">
        <f>(BD12*BE12)/360</f>
        <v>0</v>
      </c>
      <c r="BI12" s="398">
        <f>(BG12*BH12)/360</f>
        <v>0</v>
      </c>
      <c r="BL12" s="398">
        <f>(BJ12*BK12)/360</f>
        <v>0</v>
      </c>
      <c r="BO12" s="398">
        <f>(BM12*BN12)/360</f>
        <v>0</v>
      </c>
      <c r="BR12" s="398">
        <f>(BP12*BQ12)/360</f>
        <v>0</v>
      </c>
      <c r="BU12" s="398">
        <f>(BS12*BT12)/360</f>
        <v>0</v>
      </c>
      <c r="BX12" s="398">
        <f>(BV12*BW12)/360</f>
        <v>0</v>
      </c>
      <c r="CA12" s="398">
        <f>(BY12*BZ12)/360</f>
        <v>0</v>
      </c>
      <c r="CD12" s="398">
        <f>(CB12*CC12)/360</f>
        <v>0</v>
      </c>
      <c r="CG12" s="398">
        <f>(CE12*CF12)/360</f>
        <v>0</v>
      </c>
      <c r="CJ12" s="398">
        <f>(CH12*CI12)/360</f>
        <v>0</v>
      </c>
      <c r="CM12" s="398">
        <f>(CK12*CL12)/360</f>
        <v>0</v>
      </c>
      <c r="CP12" s="398">
        <f>(CN12*CO12)/360</f>
        <v>0</v>
      </c>
      <c r="CS12" s="398">
        <f>(CQ12*CR12)/360</f>
        <v>0</v>
      </c>
      <c r="CV12" s="398">
        <f>(CT12*CU12)/360</f>
        <v>0</v>
      </c>
      <c r="CY12" s="398">
        <f>(CW12*CX12)/360</f>
        <v>0</v>
      </c>
      <c r="DB12" s="398">
        <f>(CZ12*DA12)/360</f>
        <v>0</v>
      </c>
      <c r="DE12" s="398">
        <f>(DC12*DD12)/360</f>
        <v>0</v>
      </c>
      <c r="DH12" s="398">
        <f>(DF12*DG12)/360</f>
        <v>0</v>
      </c>
      <c r="DK12" s="398">
        <f>(DI12*DJ12)/360</f>
        <v>0</v>
      </c>
      <c r="DN12" s="398">
        <f>(DL12*DM12)/360</f>
        <v>0</v>
      </c>
      <c r="DQ12" s="398">
        <f>(DO12*DP12)/360</f>
        <v>0</v>
      </c>
      <c r="DT12" s="398">
        <f>(DR12*DS12)/360</f>
        <v>0</v>
      </c>
      <c r="DW12" s="398">
        <f>(DU12*DV12)/360</f>
        <v>0</v>
      </c>
      <c r="DY12" s="405"/>
      <c r="DZ12" s="396"/>
      <c r="EA12" s="398"/>
      <c r="EB12" s="212">
        <f>B12+E12+H12+K12+N12+Q12+T12+W12+Z12+AC12+AF12+AL12+AO12+AR12+AU12+AX12+BA12+BD12+BG12+DU12+AI12+DR12+DO12+DL12+DI12+DF12+DC12+CZ12+CW12+CT12+CQ12+CN12+CK12+CH12+CE12+CB12+BY12+BV12+BS12+BP12+BM12+BJ12</f>
        <v>387318106.19999999</v>
      </c>
      <c r="EC12" s="212">
        <f>EB12-EK12+EL12</f>
        <v>38418106.199999988</v>
      </c>
      <c r="ED12" s="398">
        <f>D12+G12+J12+M12+P12+S12+V12+Y12+AB12+AE12+AH12+AK12+AN12+AQ12+AT12+AW12+AZ12+BC12+BF12+BI12+DW12+DT12+DQ12+DN12+DK12+DH12+DE12+DB12+CY12+CV12+CS12+CP12+CM12+CJ12+CG12+CD12+CA12+BX12+BU12+BR12+BO12+BL12</f>
        <v>26887.333510666667</v>
      </c>
      <c r="EE12" s="399">
        <f>IF(EB12&lt;&gt;0,((ED12/EB12)*360),0)</f>
        <v>2.4990930991596383E-2</v>
      </c>
      <c r="EG12" s="212">
        <f>Q12+T12+W12+Z12+AC12+AF12</f>
        <v>0</v>
      </c>
      <c r="EH12" s="398">
        <f>S12+V12+Y12+AB12+AE12+AH12</f>
        <v>0</v>
      </c>
      <c r="EI12" s="399">
        <f>IF(EG12&lt;&gt;0,((EH12/EG12)*360),0)</f>
        <v>0</v>
      </c>
      <c r="EJ12" s="399"/>
      <c r="EK12" s="212">
        <f>DR12+DL12+DI12+DF12+DC12+CZ12+CW12+CT12+CQ12+CN12+CK12+CH12+CE12+CB12+BY12+BV12+BS12+BP12+BM12+BJ12+BG12+BD12+BA12+AX12+AU12+AR12+AO12+AL12+AI12+DO12</f>
        <v>348900000</v>
      </c>
      <c r="EL12" s="212">
        <f>DX12</f>
        <v>0</v>
      </c>
      <c r="EM12" s="212">
        <f>DT12+DQ12+DN12+DK12+DH12+DE12+DB12+CY12+CV12+CS12+CP12+CM12+CJ12+CG12+CD12+CA12+BX12+BU12+BR12+BO12+BL12+BI12+BF12+BC12+AZ12+AW12+AT12+AQ12+AN12+AK12</f>
        <v>24411.5</v>
      </c>
      <c r="EN12" s="399">
        <f>IF(EK12&lt;&gt;0,((EM12/EK12)*360),0)</f>
        <v>2.5188134135855543E-2</v>
      </c>
      <c r="EP12" s="398"/>
    </row>
    <row r="13" spans="1:147">
      <c r="A13" s="416">
        <f>1+A12</f>
        <v>43406</v>
      </c>
      <c r="D13" s="398">
        <f t="shared" ref="D13:D41" si="1">(B13*C13)/360</f>
        <v>0</v>
      </c>
      <c r="E13" s="398">
        <v>40000537.689999998</v>
      </c>
      <c r="F13" s="399">
        <v>2.2499999999999999E-2</v>
      </c>
      <c r="G13" s="398">
        <f t="shared" ref="G13:G41" si="2">(E13*F13)/360</f>
        <v>2500.0336056249998</v>
      </c>
      <c r="J13" s="398">
        <f t="shared" ref="J13:J41" si="3">(H13*I13)/360</f>
        <v>0</v>
      </c>
      <c r="M13" s="398">
        <f t="shared" ref="M13:M41" si="4">(K13*L13)/360</f>
        <v>0</v>
      </c>
      <c r="P13" s="398">
        <f t="shared" ref="P13:P41" si="5">(N13*O13)/360</f>
        <v>0</v>
      </c>
      <c r="S13" s="398">
        <f t="shared" ref="S13:S41" si="6">(Q13*R13)/360</f>
        <v>0</v>
      </c>
      <c r="V13" s="398">
        <f t="shared" ref="V13:V41" si="7">(T13*U13)/360</f>
        <v>0</v>
      </c>
      <c r="Y13" s="398">
        <f t="shared" ref="Y13:Y41" si="8">(W13*X13)/360</f>
        <v>0</v>
      </c>
      <c r="AB13" s="398">
        <f t="shared" ref="AB13:AB41" si="9">(Z13*AA13)/360</f>
        <v>0</v>
      </c>
      <c r="AE13" s="398">
        <v>0</v>
      </c>
      <c r="AH13" s="398">
        <v>0</v>
      </c>
      <c r="AI13" s="417">
        <f>77200000</f>
        <v>77200000</v>
      </c>
      <c r="AJ13" s="418">
        <v>2.4500000000000001E-2</v>
      </c>
      <c r="AK13" s="398">
        <f t="shared" ref="AK13:AK41" si="10">(AI13*AJ13)/360</f>
        <v>5253.8888888888887</v>
      </c>
      <c r="AL13" s="417">
        <f t="shared" si="0"/>
        <v>100200000</v>
      </c>
      <c r="AM13" s="418">
        <v>2.52E-2</v>
      </c>
      <c r="AN13" s="398">
        <f t="shared" ref="AN13:AN41" si="11">(AL13*AM13)/360</f>
        <v>7014</v>
      </c>
      <c r="AO13" s="417">
        <f>90000000+24950000+55000000</f>
        <v>169950000</v>
      </c>
      <c r="AP13" s="418">
        <v>2.5499999999999998E-2</v>
      </c>
      <c r="AQ13" s="398">
        <f t="shared" ref="AQ13:AQ41" si="12">(AO13*AP13)/360</f>
        <v>12038.125</v>
      </c>
      <c r="AR13" s="417"/>
      <c r="AS13" s="418"/>
      <c r="AT13" s="398">
        <f t="shared" ref="AT13:AT41" si="13">(AR13*AS13)/360</f>
        <v>0</v>
      </c>
      <c r="AU13" s="417"/>
      <c r="AV13" s="418"/>
      <c r="AW13" s="398">
        <f t="shared" ref="AW13:AW41" si="14">(AU13*AV13)/360</f>
        <v>0</v>
      </c>
      <c r="AX13" s="417"/>
      <c r="AY13" s="418"/>
      <c r="AZ13" s="398">
        <f t="shared" ref="AZ13:AZ41" si="15">(AX13*AY13)/360</f>
        <v>0</v>
      </c>
      <c r="BA13" s="417"/>
      <c r="BB13" s="418"/>
      <c r="BC13" s="398">
        <f t="shared" ref="BC13:BC41" si="16">(BA13*BB13)/360</f>
        <v>0</v>
      </c>
      <c r="BF13" s="398">
        <f t="shared" ref="BF13:BF41" si="17">(BD13*BE13)/360</f>
        <v>0</v>
      </c>
      <c r="BI13" s="398">
        <f t="shared" ref="BI13:BI41" si="18">(BG13*BH13)/360</f>
        <v>0</v>
      </c>
      <c r="BL13" s="398">
        <f t="shared" ref="BL13:BL41" si="19">(BJ13*BK13)/360</f>
        <v>0</v>
      </c>
      <c r="BO13" s="398">
        <f t="shared" ref="BO13:BO41" si="20">(BM13*BN13)/360</f>
        <v>0</v>
      </c>
      <c r="BR13" s="398">
        <f t="shared" ref="BR13:BR41" si="21">(BP13*BQ13)/360</f>
        <v>0</v>
      </c>
      <c r="BU13" s="398">
        <f t="shared" ref="BU13:BU41" si="22">(BS13*BT13)/360</f>
        <v>0</v>
      </c>
      <c r="BX13" s="398">
        <f t="shared" ref="BX13:BX41" si="23">(BV13*BW13)/360</f>
        <v>0</v>
      </c>
      <c r="CA13" s="398">
        <f t="shared" ref="CA13:CA41" si="24">(BY13*BZ13)/360</f>
        <v>0</v>
      </c>
      <c r="CD13" s="398">
        <f t="shared" ref="CD13:CD41" si="25">(CB13*CC13)/360</f>
        <v>0</v>
      </c>
      <c r="CG13" s="398">
        <f t="shared" ref="CG13:CG41" si="26">(CE13*CF13)/360</f>
        <v>0</v>
      </c>
      <c r="CJ13" s="398">
        <f t="shared" ref="CJ13:CJ41" si="27">(CH13*CI13)/360</f>
        <v>0</v>
      </c>
      <c r="CM13" s="398">
        <f t="shared" ref="CM13:CM41" si="28">(CK13*CL13)/360</f>
        <v>0</v>
      </c>
      <c r="CP13" s="398">
        <f t="shared" ref="CP13:CP41" si="29">(CN13*CO13)/360</f>
        <v>0</v>
      </c>
      <c r="CS13" s="398">
        <f t="shared" ref="CS13:CS41" si="30">(CQ13*CR13)/360</f>
        <v>0</v>
      </c>
      <c r="CV13" s="398">
        <f t="shared" ref="CV13:CV41" si="31">(CT13*CU13)/360</f>
        <v>0</v>
      </c>
      <c r="CY13" s="398">
        <f t="shared" ref="CY13:CY41" si="32">(CW13*CX13)/360</f>
        <v>0</v>
      </c>
      <c r="DB13" s="398">
        <f t="shared" ref="DB13:DB41" si="33">(CZ13*DA13)/360</f>
        <v>0</v>
      </c>
      <c r="DE13" s="398">
        <f t="shared" ref="DE13:DE41" si="34">(DC13*DD13)/360</f>
        <v>0</v>
      </c>
      <c r="DH13" s="398">
        <f t="shared" ref="DH13:DH41" si="35">(DF13*DG13)/360</f>
        <v>0</v>
      </c>
      <c r="DK13" s="398">
        <f t="shared" ref="DK13:DK41" si="36">(DI13*DJ13)/360</f>
        <v>0</v>
      </c>
      <c r="DN13" s="398">
        <f t="shared" ref="DN13:DN41" si="37">(DL13*DM13)/360</f>
        <v>0</v>
      </c>
      <c r="DQ13" s="398">
        <f t="shared" ref="DQ13:DQ41" si="38">(DO13*DP13)/360</f>
        <v>0</v>
      </c>
      <c r="DT13" s="398">
        <f t="shared" ref="DT13:DT41" si="39">(DR13*DS13)/360</f>
        <v>0</v>
      </c>
      <c r="DW13" s="398">
        <f t="shared" ref="DW13:DW41" si="40">(DU13*DV13)/360</f>
        <v>0</v>
      </c>
      <c r="DY13" s="405"/>
      <c r="DZ13" s="396"/>
      <c r="EA13" s="398"/>
      <c r="EB13" s="212">
        <f t="shared" ref="EB13:EB41" si="41">B13+E13+H13+K13+N13+Q13+T13+W13+Z13+AC13+AF13+AL13+AO13+AR13+AU13+AX13+BA13+BD13+BG13+DU13+AI13+DR13+DO13+DL13+DI13+DF13+DC13+CZ13+CW13+CT13+CQ13+CN13+CK13+CH13+CE13+CB13+BY13+BV13+BS13+BP13+BM13+BJ13</f>
        <v>387350537.69</v>
      </c>
      <c r="EC13" s="212">
        <f t="shared" ref="EC13:EC41" si="42">EB13-EK13+EL13</f>
        <v>40000537.689999998</v>
      </c>
      <c r="ED13" s="398">
        <f t="shared" ref="ED13:ED41" si="43">D13+G13+J13+M13+P13+S13+V13+Y13+AB13+AE13+AH13+AK13+AN13+AQ13+AT13+AW13+AZ13+BC13+BF13+BI13+DW13+DT13+DQ13+DN13+DK13+DH13+DE13+DB13+CY13+CV13+CS13+CP13+CM13+CJ13+CG13+CD13+CA13+BX13+BU13+BR13+BO13+BL13</f>
        <v>26806.047494513889</v>
      </c>
      <c r="EE13" s="399">
        <f t="shared" ref="EE13:EE41" si="44">IF(EB13&lt;&gt;0,((ED13/EB13)*360),0)</f>
        <v>2.491329211926413E-2</v>
      </c>
      <c r="EG13" s="212">
        <f t="shared" ref="EG13:EG41" si="45">Q13+T13+W13+Z13+AC13+AF13</f>
        <v>0</v>
      </c>
      <c r="EH13" s="398">
        <f t="shared" ref="EH13:EH41" si="46">S13+V13+Y13+AB13+AE13+AH13</f>
        <v>0</v>
      </c>
      <c r="EI13" s="399">
        <f t="shared" ref="EI13:EI41" si="47">IF(EG13&lt;&gt;0,((EH13/EG13)*360),0)</f>
        <v>0</v>
      </c>
      <c r="EJ13" s="399"/>
      <c r="EK13" s="212">
        <f t="shared" ref="EK13:EK41" si="48">DR13+DL13+DI13+DF13+DC13+CZ13+CW13+CT13+CQ13+CN13+CK13+CH13+CE13+CB13+BY13+BV13+BS13+BP13+BM13+BJ13+BG13+BD13+BA13+AX13+AU13+AR13+AO13+AL13+AI13+DO13</f>
        <v>347350000</v>
      </c>
      <c r="EL13" s="212">
        <f t="shared" ref="EL13:EL41" si="49">DX13</f>
        <v>0</v>
      </c>
      <c r="EM13" s="212">
        <f t="shared" ref="EM13:EM41" si="50">DT13+DQ13+DN13+DK13+DH13+DE13+DB13+CY13+CV13+CS13+CP13+CM13+CJ13+CG13+CD13+CA13+BX13+BU13+BR13+BO13+BL13+BI13+BF13+BC13+AZ13+AW13+AT13+AQ13+AN13+AK13</f>
        <v>24306.013888888891</v>
      </c>
      <c r="EN13" s="399">
        <f t="shared" ref="EN13:EN41" si="51">IF(EK13&lt;&gt;0,((EM13/EK13)*360),0)</f>
        <v>2.5191204836620126E-2</v>
      </c>
      <c r="EP13" s="398"/>
    </row>
    <row r="14" spans="1:147">
      <c r="A14" s="416">
        <f t="shared" ref="A14:A41" si="52">1+A13</f>
        <v>43407</v>
      </c>
      <c r="D14" s="398">
        <f t="shared" si="1"/>
        <v>0</v>
      </c>
      <c r="E14" s="398">
        <v>40000537.689999998</v>
      </c>
      <c r="F14" s="399">
        <v>2.2499999999999999E-2</v>
      </c>
      <c r="G14" s="398">
        <f t="shared" si="2"/>
        <v>2500.0336056249998</v>
      </c>
      <c r="J14" s="398">
        <f t="shared" si="3"/>
        <v>0</v>
      </c>
      <c r="M14" s="398">
        <f t="shared" si="4"/>
        <v>0</v>
      </c>
      <c r="P14" s="398">
        <f t="shared" si="5"/>
        <v>0</v>
      </c>
      <c r="S14" s="398">
        <f t="shared" si="6"/>
        <v>0</v>
      </c>
      <c r="V14" s="398">
        <f t="shared" si="7"/>
        <v>0</v>
      </c>
      <c r="Y14" s="398">
        <f t="shared" si="8"/>
        <v>0</v>
      </c>
      <c r="AB14" s="398">
        <f t="shared" si="9"/>
        <v>0</v>
      </c>
      <c r="AE14" s="398">
        <v>0</v>
      </c>
      <c r="AH14" s="398">
        <v>0</v>
      </c>
      <c r="AI14" s="417">
        <f>77200000</f>
        <v>77200000</v>
      </c>
      <c r="AJ14" s="418">
        <v>2.4500000000000001E-2</v>
      </c>
      <c r="AK14" s="398">
        <f t="shared" si="10"/>
        <v>5253.8888888888887</v>
      </c>
      <c r="AL14" s="417">
        <f t="shared" si="0"/>
        <v>100200000</v>
      </c>
      <c r="AM14" s="418">
        <v>2.52E-2</v>
      </c>
      <c r="AN14" s="398">
        <f t="shared" si="11"/>
        <v>7014</v>
      </c>
      <c r="AO14" s="417">
        <f>90000000+24950000+55000000</f>
        <v>169950000</v>
      </c>
      <c r="AP14" s="418">
        <v>2.5499999999999998E-2</v>
      </c>
      <c r="AQ14" s="398">
        <f t="shared" si="12"/>
        <v>12038.125</v>
      </c>
      <c r="AR14" s="417"/>
      <c r="AS14" s="418"/>
      <c r="AT14" s="398">
        <f t="shared" si="13"/>
        <v>0</v>
      </c>
      <c r="AU14" s="417"/>
      <c r="AV14" s="418"/>
      <c r="AW14" s="398">
        <f t="shared" si="14"/>
        <v>0</v>
      </c>
      <c r="AX14" s="417"/>
      <c r="AY14" s="418"/>
      <c r="AZ14" s="398">
        <f t="shared" si="15"/>
        <v>0</v>
      </c>
      <c r="BA14" s="417"/>
      <c r="BB14" s="418"/>
      <c r="BC14" s="398">
        <f t="shared" si="16"/>
        <v>0</v>
      </c>
      <c r="BF14" s="398">
        <f t="shared" si="17"/>
        <v>0</v>
      </c>
      <c r="BI14" s="398">
        <f t="shared" si="18"/>
        <v>0</v>
      </c>
      <c r="BL14" s="398">
        <f t="shared" si="19"/>
        <v>0</v>
      </c>
      <c r="BO14" s="398">
        <f t="shared" si="20"/>
        <v>0</v>
      </c>
      <c r="BR14" s="398">
        <f t="shared" si="21"/>
        <v>0</v>
      </c>
      <c r="BU14" s="398">
        <f t="shared" si="22"/>
        <v>0</v>
      </c>
      <c r="BX14" s="398">
        <f t="shared" si="23"/>
        <v>0</v>
      </c>
      <c r="CA14" s="398">
        <f t="shared" si="24"/>
        <v>0</v>
      </c>
      <c r="CD14" s="398">
        <f t="shared" si="25"/>
        <v>0</v>
      </c>
      <c r="CG14" s="398">
        <f t="shared" si="26"/>
        <v>0</v>
      </c>
      <c r="CJ14" s="398">
        <f t="shared" si="27"/>
        <v>0</v>
      </c>
      <c r="CM14" s="398">
        <f t="shared" si="28"/>
        <v>0</v>
      </c>
      <c r="CP14" s="398">
        <f t="shared" si="29"/>
        <v>0</v>
      </c>
      <c r="CS14" s="398">
        <f t="shared" si="30"/>
        <v>0</v>
      </c>
      <c r="CV14" s="398">
        <f t="shared" si="31"/>
        <v>0</v>
      </c>
      <c r="CY14" s="398">
        <f t="shared" si="32"/>
        <v>0</v>
      </c>
      <c r="DB14" s="398">
        <f t="shared" si="33"/>
        <v>0</v>
      </c>
      <c r="DE14" s="398">
        <f t="shared" si="34"/>
        <v>0</v>
      </c>
      <c r="DH14" s="398">
        <f t="shared" si="35"/>
        <v>0</v>
      </c>
      <c r="DK14" s="398">
        <f t="shared" si="36"/>
        <v>0</v>
      </c>
      <c r="DN14" s="398">
        <f t="shared" si="37"/>
        <v>0</v>
      </c>
      <c r="DQ14" s="398">
        <f t="shared" si="38"/>
        <v>0</v>
      </c>
      <c r="DT14" s="398">
        <f t="shared" si="39"/>
        <v>0</v>
      </c>
      <c r="DW14" s="398">
        <f t="shared" si="40"/>
        <v>0</v>
      </c>
      <c r="DY14" s="405"/>
      <c r="DZ14" s="396"/>
      <c r="EA14" s="398"/>
      <c r="EB14" s="212">
        <f t="shared" si="41"/>
        <v>387350537.69</v>
      </c>
      <c r="EC14" s="212">
        <f t="shared" si="42"/>
        <v>40000537.689999998</v>
      </c>
      <c r="ED14" s="398">
        <f t="shared" si="43"/>
        <v>26806.047494513889</v>
      </c>
      <c r="EE14" s="399">
        <f t="shared" si="44"/>
        <v>2.491329211926413E-2</v>
      </c>
      <c r="EG14" s="212">
        <f t="shared" si="45"/>
        <v>0</v>
      </c>
      <c r="EH14" s="398">
        <f t="shared" si="46"/>
        <v>0</v>
      </c>
      <c r="EI14" s="399">
        <f t="shared" si="47"/>
        <v>0</v>
      </c>
      <c r="EJ14" s="399"/>
      <c r="EK14" s="212">
        <f t="shared" si="48"/>
        <v>347350000</v>
      </c>
      <c r="EL14" s="212">
        <f t="shared" si="49"/>
        <v>0</v>
      </c>
      <c r="EM14" s="212">
        <f t="shared" si="50"/>
        <v>24306.013888888891</v>
      </c>
      <c r="EN14" s="399">
        <f t="shared" si="51"/>
        <v>2.5191204836620126E-2</v>
      </c>
      <c r="EP14" s="398"/>
    </row>
    <row r="15" spans="1:147">
      <c r="A15" s="416">
        <f t="shared" si="52"/>
        <v>43408</v>
      </c>
      <c r="D15" s="398">
        <f t="shared" si="1"/>
        <v>0</v>
      </c>
      <c r="E15" s="398">
        <v>40000537.689999998</v>
      </c>
      <c r="F15" s="399">
        <v>2.2499999999999999E-2</v>
      </c>
      <c r="G15" s="398">
        <f t="shared" si="2"/>
        <v>2500.0336056249998</v>
      </c>
      <c r="J15" s="398">
        <f t="shared" si="3"/>
        <v>0</v>
      </c>
      <c r="M15" s="398">
        <f t="shared" si="4"/>
        <v>0</v>
      </c>
      <c r="P15" s="398">
        <f t="shared" si="5"/>
        <v>0</v>
      </c>
      <c r="S15" s="398">
        <f t="shared" si="6"/>
        <v>0</v>
      </c>
      <c r="V15" s="398">
        <f t="shared" si="7"/>
        <v>0</v>
      </c>
      <c r="Y15" s="398">
        <f t="shared" si="8"/>
        <v>0</v>
      </c>
      <c r="AB15" s="398">
        <f t="shared" si="9"/>
        <v>0</v>
      </c>
      <c r="AE15" s="398">
        <v>0</v>
      </c>
      <c r="AH15" s="398">
        <v>0</v>
      </c>
      <c r="AI15" s="417">
        <f>77200000</f>
        <v>77200000</v>
      </c>
      <c r="AJ15" s="418">
        <v>2.4500000000000001E-2</v>
      </c>
      <c r="AK15" s="398">
        <f t="shared" si="10"/>
        <v>5253.8888888888887</v>
      </c>
      <c r="AL15" s="417">
        <f t="shared" si="0"/>
        <v>100200000</v>
      </c>
      <c r="AM15" s="418">
        <v>2.52E-2</v>
      </c>
      <c r="AN15" s="398">
        <f t="shared" si="11"/>
        <v>7014</v>
      </c>
      <c r="AO15" s="417">
        <f>90000000+24950000+55000000</f>
        <v>169950000</v>
      </c>
      <c r="AP15" s="418">
        <v>2.5499999999999998E-2</v>
      </c>
      <c r="AQ15" s="398">
        <f t="shared" si="12"/>
        <v>12038.125</v>
      </c>
      <c r="AR15" s="417"/>
      <c r="AS15" s="418"/>
      <c r="AT15" s="398">
        <f t="shared" si="13"/>
        <v>0</v>
      </c>
      <c r="AU15" s="417"/>
      <c r="AV15" s="418"/>
      <c r="AW15" s="398">
        <f t="shared" si="14"/>
        <v>0</v>
      </c>
      <c r="AX15" s="417"/>
      <c r="AY15" s="418"/>
      <c r="AZ15" s="398">
        <f t="shared" si="15"/>
        <v>0</v>
      </c>
      <c r="BA15" s="417"/>
      <c r="BB15" s="418"/>
      <c r="BC15" s="398">
        <f t="shared" si="16"/>
        <v>0</v>
      </c>
      <c r="BF15" s="398">
        <f t="shared" si="17"/>
        <v>0</v>
      </c>
      <c r="BI15" s="398">
        <f t="shared" si="18"/>
        <v>0</v>
      </c>
      <c r="BL15" s="398">
        <f t="shared" si="19"/>
        <v>0</v>
      </c>
      <c r="BO15" s="398">
        <f t="shared" si="20"/>
        <v>0</v>
      </c>
      <c r="BR15" s="398">
        <f t="shared" si="21"/>
        <v>0</v>
      </c>
      <c r="BU15" s="398">
        <f t="shared" si="22"/>
        <v>0</v>
      </c>
      <c r="BX15" s="398">
        <f t="shared" si="23"/>
        <v>0</v>
      </c>
      <c r="CA15" s="398">
        <f t="shared" si="24"/>
        <v>0</v>
      </c>
      <c r="CD15" s="398">
        <f t="shared" si="25"/>
        <v>0</v>
      </c>
      <c r="CG15" s="398">
        <f t="shared" si="26"/>
        <v>0</v>
      </c>
      <c r="CJ15" s="398">
        <f t="shared" si="27"/>
        <v>0</v>
      </c>
      <c r="CM15" s="398">
        <f t="shared" si="28"/>
        <v>0</v>
      </c>
      <c r="CP15" s="398">
        <f t="shared" si="29"/>
        <v>0</v>
      </c>
      <c r="CS15" s="398">
        <f t="shared" si="30"/>
        <v>0</v>
      </c>
      <c r="CV15" s="398">
        <f t="shared" si="31"/>
        <v>0</v>
      </c>
      <c r="CY15" s="398">
        <f t="shared" si="32"/>
        <v>0</v>
      </c>
      <c r="DB15" s="398">
        <f t="shared" si="33"/>
        <v>0</v>
      </c>
      <c r="DE15" s="398">
        <f t="shared" si="34"/>
        <v>0</v>
      </c>
      <c r="DH15" s="398">
        <f t="shared" si="35"/>
        <v>0</v>
      </c>
      <c r="DK15" s="398">
        <f t="shared" si="36"/>
        <v>0</v>
      </c>
      <c r="DN15" s="398">
        <f t="shared" si="37"/>
        <v>0</v>
      </c>
      <c r="DQ15" s="398">
        <f t="shared" si="38"/>
        <v>0</v>
      </c>
      <c r="DT15" s="398">
        <f t="shared" si="39"/>
        <v>0</v>
      </c>
      <c r="DW15" s="398">
        <f t="shared" si="40"/>
        <v>0</v>
      </c>
      <c r="DY15" s="405"/>
      <c r="DZ15" s="396"/>
      <c r="EA15" s="398"/>
      <c r="EB15" s="212">
        <f t="shared" si="41"/>
        <v>387350537.69</v>
      </c>
      <c r="EC15" s="212">
        <f t="shared" si="42"/>
        <v>40000537.689999998</v>
      </c>
      <c r="ED15" s="398">
        <f t="shared" si="43"/>
        <v>26806.047494513889</v>
      </c>
      <c r="EE15" s="399">
        <f t="shared" si="44"/>
        <v>2.491329211926413E-2</v>
      </c>
      <c r="EG15" s="212">
        <f t="shared" si="45"/>
        <v>0</v>
      </c>
      <c r="EH15" s="398">
        <f t="shared" si="46"/>
        <v>0</v>
      </c>
      <c r="EI15" s="399">
        <f t="shared" si="47"/>
        <v>0</v>
      </c>
      <c r="EJ15" s="399"/>
      <c r="EK15" s="212">
        <f t="shared" si="48"/>
        <v>347350000</v>
      </c>
      <c r="EL15" s="212">
        <f t="shared" si="49"/>
        <v>0</v>
      </c>
      <c r="EM15" s="212">
        <f t="shared" si="50"/>
        <v>24306.013888888891</v>
      </c>
      <c r="EN15" s="399">
        <f t="shared" si="51"/>
        <v>2.5191204836620126E-2</v>
      </c>
      <c r="EP15" s="398"/>
    </row>
    <row r="16" spans="1:147">
      <c r="A16" s="416">
        <f t="shared" si="52"/>
        <v>43409</v>
      </c>
      <c r="D16" s="398">
        <f t="shared" si="1"/>
        <v>0</v>
      </c>
      <c r="E16" s="398">
        <v>47487667.579999998</v>
      </c>
      <c r="F16" s="399">
        <v>2.2700000000000001E-2</v>
      </c>
      <c r="G16" s="398">
        <f t="shared" si="2"/>
        <v>2994.3612612944444</v>
      </c>
      <c r="J16" s="398">
        <f t="shared" si="3"/>
        <v>0</v>
      </c>
      <c r="M16" s="398">
        <f t="shared" si="4"/>
        <v>0</v>
      </c>
      <c r="P16" s="398">
        <f t="shared" si="5"/>
        <v>0</v>
      </c>
      <c r="S16" s="398">
        <f t="shared" si="6"/>
        <v>0</v>
      </c>
      <c r="V16" s="398">
        <f t="shared" si="7"/>
        <v>0</v>
      </c>
      <c r="Y16" s="398">
        <f t="shared" si="8"/>
        <v>0</v>
      </c>
      <c r="AB16" s="398">
        <f t="shared" si="9"/>
        <v>0</v>
      </c>
      <c r="AE16" s="398">
        <v>0</v>
      </c>
      <c r="AH16" s="398">
        <v>0</v>
      </c>
      <c r="AI16" s="417">
        <f>25875000</f>
        <v>25875000</v>
      </c>
      <c r="AJ16" s="418">
        <v>2.4500000000000001E-2</v>
      </c>
      <c r="AK16" s="398">
        <f t="shared" si="10"/>
        <v>1760.9375</v>
      </c>
      <c r="AL16" s="417">
        <f t="shared" si="0"/>
        <v>100200000</v>
      </c>
      <c r="AM16" s="418">
        <v>2.52E-2</v>
      </c>
      <c r="AN16" s="398">
        <f t="shared" si="11"/>
        <v>7014</v>
      </c>
      <c r="AO16" s="417">
        <f>90000000</f>
        <v>90000000</v>
      </c>
      <c r="AP16" s="418">
        <v>2.5499999999999998E-2</v>
      </c>
      <c r="AQ16" s="398">
        <f t="shared" si="12"/>
        <v>6375</v>
      </c>
      <c r="AR16" s="417">
        <f t="shared" ref="AR16:AR41" si="53">75000000</f>
        <v>75000000</v>
      </c>
      <c r="AS16" s="418">
        <v>2.5600000000000001E-2</v>
      </c>
      <c r="AT16" s="398">
        <f t="shared" si="13"/>
        <v>5333.333333333333</v>
      </c>
      <c r="AU16" s="417">
        <f t="shared" ref="AU16:AU26" si="54">50000000</f>
        <v>50000000</v>
      </c>
      <c r="AV16" s="418">
        <v>2.5100000000000001E-2</v>
      </c>
      <c r="AW16" s="398">
        <f t="shared" si="14"/>
        <v>3486.1111111111113</v>
      </c>
      <c r="AX16" s="417"/>
      <c r="AY16" s="418"/>
      <c r="AZ16" s="398">
        <f t="shared" si="15"/>
        <v>0</v>
      </c>
      <c r="BA16" s="417"/>
      <c r="BB16" s="418"/>
      <c r="BC16" s="398">
        <f t="shared" si="16"/>
        <v>0</v>
      </c>
      <c r="BF16" s="398">
        <f t="shared" si="17"/>
        <v>0</v>
      </c>
      <c r="BI16" s="398">
        <f t="shared" si="18"/>
        <v>0</v>
      </c>
      <c r="BL16" s="398">
        <f t="shared" si="19"/>
        <v>0</v>
      </c>
      <c r="BO16" s="398">
        <f t="shared" si="20"/>
        <v>0</v>
      </c>
      <c r="BR16" s="398">
        <f t="shared" si="21"/>
        <v>0</v>
      </c>
      <c r="BU16" s="398">
        <f t="shared" si="22"/>
        <v>0</v>
      </c>
      <c r="BX16" s="398">
        <f t="shared" si="23"/>
        <v>0</v>
      </c>
      <c r="CA16" s="398">
        <f t="shared" si="24"/>
        <v>0</v>
      </c>
      <c r="CD16" s="398">
        <f t="shared" si="25"/>
        <v>0</v>
      </c>
      <c r="CG16" s="398">
        <f t="shared" si="26"/>
        <v>0</v>
      </c>
      <c r="CJ16" s="398">
        <f t="shared" si="27"/>
        <v>0</v>
      </c>
      <c r="CM16" s="398">
        <f t="shared" si="28"/>
        <v>0</v>
      </c>
      <c r="CP16" s="398">
        <f t="shared" si="29"/>
        <v>0</v>
      </c>
      <c r="CS16" s="398">
        <f t="shared" si="30"/>
        <v>0</v>
      </c>
      <c r="CV16" s="398">
        <f t="shared" si="31"/>
        <v>0</v>
      </c>
      <c r="CY16" s="398">
        <f t="shared" si="32"/>
        <v>0</v>
      </c>
      <c r="DB16" s="398">
        <f t="shared" si="33"/>
        <v>0</v>
      </c>
      <c r="DE16" s="398">
        <f t="shared" si="34"/>
        <v>0</v>
      </c>
      <c r="DH16" s="398">
        <f t="shared" si="35"/>
        <v>0</v>
      </c>
      <c r="DK16" s="398">
        <f t="shared" si="36"/>
        <v>0</v>
      </c>
      <c r="DN16" s="398">
        <f t="shared" si="37"/>
        <v>0</v>
      </c>
      <c r="DQ16" s="398">
        <f t="shared" si="38"/>
        <v>0</v>
      </c>
      <c r="DT16" s="398">
        <f t="shared" si="39"/>
        <v>0</v>
      </c>
      <c r="DW16" s="398">
        <f t="shared" si="40"/>
        <v>0</v>
      </c>
      <c r="DY16" s="405"/>
      <c r="DZ16" s="396"/>
      <c r="EA16" s="398"/>
      <c r="EB16" s="212">
        <f t="shared" si="41"/>
        <v>388562667.57999998</v>
      </c>
      <c r="EC16" s="212">
        <f t="shared" si="42"/>
        <v>47487667.579999983</v>
      </c>
      <c r="ED16" s="398">
        <f t="shared" si="43"/>
        <v>26963.743205738887</v>
      </c>
      <c r="EE16" s="399">
        <f t="shared" si="44"/>
        <v>2.4981678282480563E-2</v>
      </c>
      <c r="EG16" s="212">
        <f t="shared" si="45"/>
        <v>0</v>
      </c>
      <c r="EH16" s="398">
        <f t="shared" si="46"/>
        <v>0</v>
      </c>
      <c r="EI16" s="399">
        <f t="shared" si="47"/>
        <v>0</v>
      </c>
      <c r="EJ16" s="399"/>
      <c r="EK16" s="212">
        <f t="shared" si="48"/>
        <v>341075000</v>
      </c>
      <c r="EL16" s="212">
        <f t="shared" si="49"/>
        <v>0</v>
      </c>
      <c r="EM16" s="212">
        <f t="shared" si="50"/>
        <v>23969.381944444445</v>
      </c>
      <c r="EN16" s="399">
        <f t="shared" si="51"/>
        <v>2.529935498057612E-2</v>
      </c>
      <c r="EP16" s="398"/>
    </row>
    <row r="17" spans="1:146">
      <c r="A17" s="416">
        <f t="shared" si="52"/>
        <v>43410</v>
      </c>
      <c r="D17" s="398">
        <f t="shared" si="1"/>
        <v>0</v>
      </c>
      <c r="E17" s="398">
        <v>61740217.210000001</v>
      </c>
      <c r="F17" s="399">
        <v>2.2200000000000001E-2</v>
      </c>
      <c r="G17" s="398">
        <f t="shared" si="2"/>
        <v>3807.3133946166672</v>
      </c>
      <c r="J17" s="398">
        <f t="shared" si="3"/>
        <v>0</v>
      </c>
      <c r="M17" s="398">
        <f t="shared" si="4"/>
        <v>0</v>
      </c>
      <c r="P17" s="398">
        <f t="shared" si="5"/>
        <v>0</v>
      </c>
      <c r="S17" s="398">
        <f t="shared" si="6"/>
        <v>0</v>
      </c>
      <c r="V17" s="398">
        <f t="shared" si="7"/>
        <v>0</v>
      </c>
      <c r="Y17" s="398">
        <f t="shared" si="8"/>
        <v>0</v>
      </c>
      <c r="AB17" s="398">
        <f t="shared" si="9"/>
        <v>0</v>
      </c>
      <c r="AE17" s="398">
        <v>0</v>
      </c>
      <c r="AH17" s="398">
        <v>0</v>
      </c>
      <c r="AI17" s="417">
        <f>70000000+31550000</f>
        <v>101550000</v>
      </c>
      <c r="AJ17" s="418">
        <v>2.4500000000000001E-2</v>
      </c>
      <c r="AK17" s="398">
        <f t="shared" si="10"/>
        <v>6911.041666666667</v>
      </c>
      <c r="AL17" s="417">
        <f t="shared" si="0"/>
        <v>100200000</v>
      </c>
      <c r="AM17" s="418">
        <v>2.52E-2</v>
      </c>
      <c r="AN17" s="398">
        <f t="shared" si="11"/>
        <v>7014</v>
      </c>
      <c r="AO17" s="417"/>
      <c r="AP17" s="418"/>
      <c r="AQ17" s="398">
        <f t="shared" si="12"/>
        <v>0</v>
      </c>
      <c r="AR17" s="417">
        <f t="shared" si="53"/>
        <v>75000000</v>
      </c>
      <c r="AS17" s="418">
        <v>2.5600000000000001E-2</v>
      </c>
      <c r="AT17" s="398">
        <f t="shared" si="13"/>
        <v>5333.333333333333</v>
      </c>
      <c r="AU17" s="417">
        <f t="shared" si="54"/>
        <v>50000000</v>
      </c>
      <c r="AV17" s="418">
        <v>2.5100000000000001E-2</v>
      </c>
      <c r="AW17" s="398">
        <f t="shared" si="14"/>
        <v>3486.1111111111113</v>
      </c>
      <c r="AX17" s="417"/>
      <c r="AY17" s="418"/>
      <c r="AZ17" s="398">
        <f t="shared" si="15"/>
        <v>0</v>
      </c>
      <c r="BA17" s="417"/>
      <c r="BB17" s="418"/>
      <c r="BC17" s="398">
        <f t="shared" si="16"/>
        <v>0</v>
      </c>
      <c r="BF17" s="398">
        <f t="shared" si="17"/>
        <v>0</v>
      </c>
      <c r="BI17" s="398">
        <f t="shared" si="18"/>
        <v>0</v>
      </c>
      <c r="BL17" s="398">
        <f t="shared" si="19"/>
        <v>0</v>
      </c>
      <c r="BO17" s="398">
        <f t="shared" si="20"/>
        <v>0</v>
      </c>
      <c r="BR17" s="398">
        <f t="shared" si="21"/>
        <v>0</v>
      </c>
      <c r="BU17" s="398">
        <f t="shared" si="22"/>
        <v>0</v>
      </c>
      <c r="BX17" s="398">
        <f t="shared" si="23"/>
        <v>0</v>
      </c>
      <c r="CA17" s="398">
        <f t="shared" si="24"/>
        <v>0</v>
      </c>
      <c r="CD17" s="398">
        <f t="shared" si="25"/>
        <v>0</v>
      </c>
      <c r="CG17" s="398">
        <f t="shared" si="26"/>
        <v>0</v>
      </c>
      <c r="CJ17" s="398">
        <f t="shared" si="27"/>
        <v>0</v>
      </c>
      <c r="CM17" s="398">
        <f t="shared" si="28"/>
        <v>0</v>
      </c>
      <c r="CP17" s="398">
        <f t="shared" si="29"/>
        <v>0</v>
      </c>
      <c r="CS17" s="398">
        <f t="shared" si="30"/>
        <v>0</v>
      </c>
      <c r="CV17" s="398">
        <f t="shared" si="31"/>
        <v>0</v>
      </c>
      <c r="CY17" s="398">
        <f t="shared" si="32"/>
        <v>0</v>
      </c>
      <c r="DB17" s="398">
        <f t="shared" si="33"/>
        <v>0</v>
      </c>
      <c r="DE17" s="398">
        <f t="shared" si="34"/>
        <v>0</v>
      </c>
      <c r="DH17" s="398">
        <f t="shared" si="35"/>
        <v>0</v>
      </c>
      <c r="DK17" s="398">
        <f t="shared" si="36"/>
        <v>0</v>
      </c>
      <c r="DN17" s="398">
        <f t="shared" si="37"/>
        <v>0</v>
      </c>
      <c r="DQ17" s="398">
        <f t="shared" si="38"/>
        <v>0</v>
      </c>
      <c r="DT17" s="398">
        <f t="shared" si="39"/>
        <v>0</v>
      </c>
      <c r="DW17" s="398">
        <f t="shared" si="40"/>
        <v>0</v>
      </c>
      <c r="DY17" s="405"/>
      <c r="DZ17" s="396"/>
      <c r="EA17" s="398"/>
      <c r="EB17" s="212">
        <f t="shared" si="41"/>
        <v>388490217.21000004</v>
      </c>
      <c r="EC17" s="212">
        <f t="shared" si="42"/>
        <v>61740217.210000038</v>
      </c>
      <c r="ED17" s="398">
        <f t="shared" si="43"/>
        <v>26551.79950572778</v>
      </c>
      <c r="EE17" s="399">
        <f t="shared" si="44"/>
        <v>2.4604603664691593E-2</v>
      </c>
      <c r="EG17" s="212">
        <f t="shared" si="45"/>
        <v>0</v>
      </c>
      <c r="EH17" s="398">
        <f t="shared" si="46"/>
        <v>0</v>
      </c>
      <c r="EI17" s="399">
        <f t="shared" si="47"/>
        <v>0</v>
      </c>
      <c r="EJ17" s="399"/>
      <c r="EK17" s="212">
        <f t="shared" si="48"/>
        <v>326750000</v>
      </c>
      <c r="EL17" s="212">
        <f t="shared" si="49"/>
        <v>0</v>
      </c>
      <c r="EM17" s="212">
        <f t="shared" si="50"/>
        <v>22744.486111111113</v>
      </c>
      <c r="EN17" s="399">
        <f t="shared" si="51"/>
        <v>2.5058959449120125E-2</v>
      </c>
      <c r="EP17" s="398"/>
    </row>
    <row r="18" spans="1:146">
      <c r="A18" s="416">
        <f t="shared" si="52"/>
        <v>43411</v>
      </c>
      <c r="D18" s="398">
        <f t="shared" si="1"/>
        <v>0</v>
      </c>
      <c r="E18" s="398">
        <v>64456259.57</v>
      </c>
      <c r="F18" s="399">
        <v>2.2799999999999997E-2</v>
      </c>
      <c r="G18" s="398">
        <f t="shared" si="2"/>
        <v>4082.229772766666</v>
      </c>
      <c r="J18" s="398">
        <f t="shared" si="3"/>
        <v>0</v>
      </c>
      <c r="M18" s="398">
        <f t="shared" si="4"/>
        <v>0</v>
      </c>
      <c r="P18" s="398">
        <f t="shared" si="5"/>
        <v>0</v>
      </c>
      <c r="S18" s="398">
        <f t="shared" si="6"/>
        <v>0</v>
      </c>
      <c r="V18" s="398">
        <f t="shared" si="7"/>
        <v>0</v>
      </c>
      <c r="Y18" s="398">
        <f t="shared" si="8"/>
        <v>0</v>
      </c>
      <c r="AB18" s="398">
        <f t="shared" si="9"/>
        <v>0</v>
      </c>
      <c r="AE18" s="398">
        <v>0</v>
      </c>
      <c r="AH18" s="398">
        <v>0</v>
      </c>
      <c r="AI18" s="417">
        <f>30575000</f>
        <v>30575000</v>
      </c>
      <c r="AJ18" s="418">
        <v>2.4500000000000001E-2</v>
      </c>
      <c r="AK18" s="398">
        <f t="shared" si="10"/>
        <v>2080.7986111111113</v>
      </c>
      <c r="AL18" s="417">
        <f t="shared" si="0"/>
        <v>100200000</v>
      </c>
      <c r="AM18" s="418">
        <v>2.52E-2</v>
      </c>
      <c r="AN18" s="398">
        <f t="shared" si="11"/>
        <v>7014</v>
      </c>
      <c r="AO18" s="417"/>
      <c r="AP18" s="418"/>
      <c r="AQ18" s="398">
        <f t="shared" si="12"/>
        <v>0</v>
      </c>
      <c r="AR18" s="417">
        <f t="shared" si="53"/>
        <v>75000000</v>
      </c>
      <c r="AS18" s="418">
        <v>2.5600000000000001E-2</v>
      </c>
      <c r="AT18" s="398">
        <f t="shared" si="13"/>
        <v>5333.333333333333</v>
      </c>
      <c r="AU18" s="417">
        <f t="shared" si="54"/>
        <v>50000000</v>
      </c>
      <c r="AV18" s="418">
        <v>2.5100000000000001E-2</v>
      </c>
      <c r="AW18" s="398">
        <f t="shared" si="14"/>
        <v>3486.1111111111113</v>
      </c>
      <c r="AX18" s="417">
        <f t="shared" ref="AX18:AX41" si="55">70000000</f>
        <v>70000000</v>
      </c>
      <c r="AY18" s="418">
        <v>2.63E-2</v>
      </c>
      <c r="AZ18" s="398">
        <f t="shared" si="15"/>
        <v>5113.8888888888887</v>
      </c>
      <c r="BA18" s="417"/>
      <c r="BB18" s="418"/>
      <c r="BC18" s="398">
        <f t="shared" si="16"/>
        <v>0</v>
      </c>
      <c r="BF18" s="398">
        <f t="shared" si="17"/>
        <v>0</v>
      </c>
      <c r="BI18" s="398">
        <f t="shared" si="18"/>
        <v>0</v>
      </c>
      <c r="BL18" s="398">
        <f t="shared" si="19"/>
        <v>0</v>
      </c>
      <c r="BO18" s="398">
        <f t="shared" si="20"/>
        <v>0</v>
      </c>
      <c r="BR18" s="398">
        <f t="shared" si="21"/>
        <v>0</v>
      </c>
      <c r="BU18" s="398">
        <f t="shared" si="22"/>
        <v>0</v>
      </c>
      <c r="BX18" s="398">
        <f t="shared" si="23"/>
        <v>0</v>
      </c>
      <c r="CA18" s="398">
        <f t="shared" si="24"/>
        <v>0</v>
      </c>
      <c r="CD18" s="398">
        <f t="shared" si="25"/>
        <v>0</v>
      </c>
      <c r="CG18" s="398">
        <f t="shared" si="26"/>
        <v>0</v>
      </c>
      <c r="CJ18" s="398">
        <f t="shared" si="27"/>
        <v>0</v>
      </c>
      <c r="CM18" s="398">
        <f t="shared" si="28"/>
        <v>0</v>
      </c>
      <c r="CP18" s="398">
        <f t="shared" si="29"/>
        <v>0</v>
      </c>
      <c r="CS18" s="398">
        <f t="shared" si="30"/>
        <v>0</v>
      </c>
      <c r="CV18" s="398">
        <f t="shared" si="31"/>
        <v>0</v>
      </c>
      <c r="CY18" s="398">
        <f t="shared" si="32"/>
        <v>0</v>
      </c>
      <c r="DB18" s="398">
        <f t="shared" si="33"/>
        <v>0</v>
      </c>
      <c r="DE18" s="398">
        <f t="shared" si="34"/>
        <v>0</v>
      </c>
      <c r="DH18" s="398">
        <f t="shared" si="35"/>
        <v>0</v>
      </c>
      <c r="DK18" s="398">
        <f t="shared" si="36"/>
        <v>0</v>
      </c>
      <c r="DN18" s="398">
        <f t="shared" si="37"/>
        <v>0</v>
      </c>
      <c r="DQ18" s="398">
        <f t="shared" si="38"/>
        <v>0</v>
      </c>
      <c r="DT18" s="398">
        <f t="shared" si="39"/>
        <v>0</v>
      </c>
      <c r="DW18" s="398">
        <f t="shared" si="40"/>
        <v>0</v>
      </c>
      <c r="DY18" s="405"/>
      <c r="DZ18" s="396"/>
      <c r="EA18" s="398"/>
      <c r="EB18" s="212">
        <f t="shared" si="41"/>
        <v>390231259.56999999</v>
      </c>
      <c r="EC18" s="212">
        <f t="shared" si="42"/>
        <v>64456259.569999993</v>
      </c>
      <c r="ED18" s="398">
        <f t="shared" si="43"/>
        <v>27110.361717211112</v>
      </c>
      <c r="EE18" s="399">
        <f t="shared" si="44"/>
        <v>2.5010118945751173E-2</v>
      </c>
      <c r="EG18" s="212">
        <f t="shared" si="45"/>
        <v>0</v>
      </c>
      <c r="EH18" s="398">
        <f t="shared" si="46"/>
        <v>0</v>
      </c>
      <c r="EI18" s="399">
        <f t="shared" si="47"/>
        <v>0</v>
      </c>
      <c r="EJ18" s="399"/>
      <c r="EK18" s="212">
        <f t="shared" si="48"/>
        <v>325775000</v>
      </c>
      <c r="EL18" s="212">
        <f t="shared" si="49"/>
        <v>0</v>
      </c>
      <c r="EM18" s="212">
        <f t="shared" si="50"/>
        <v>23028.131944444445</v>
      </c>
      <c r="EN18" s="399">
        <f t="shared" si="51"/>
        <v>2.5447402348246492E-2</v>
      </c>
      <c r="EP18" s="398"/>
    </row>
    <row r="19" spans="1:146">
      <c r="A19" s="416">
        <f t="shared" si="52"/>
        <v>43412</v>
      </c>
      <c r="D19" s="398">
        <f t="shared" si="1"/>
        <v>0</v>
      </c>
      <c r="E19" s="398">
        <v>70320916.599999994</v>
      </c>
      <c r="F19" s="399">
        <v>2.2799999999999997E-2</v>
      </c>
      <c r="G19" s="398">
        <f t="shared" si="2"/>
        <v>4453.6580513333329</v>
      </c>
      <c r="J19" s="398">
        <f t="shared" si="3"/>
        <v>0</v>
      </c>
      <c r="M19" s="398">
        <f t="shared" si="4"/>
        <v>0</v>
      </c>
      <c r="P19" s="398">
        <f t="shared" si="5"/>
        <v>0</v>
      </c>
      <c r="S19" s="398">
        <f t="shared" si="6"/>
        <v>0</v>
      </c>
      <c r="V19" s="398">
        <f t="shared" si="7"/>
        <v>0</v>
      </c>
      <c r="Y19" s="398">
        <f t="shared" si="8"/>
        <v>0</v>
      </c>
      <c r="AB19" s="398">
        <f t="shared" si="9"/>
        <v>0</v>
      </c>
      <c r="AE19" s="398">
        <v>0</v>
      </c>
      <c r="AH19" s="398">
        <v>0</v>
      </c>
      <c r="AI19" s="417">
        <f>22350000</f>
        <v>22350000</v>
      </c>
      <c r="AJ19" s="418">
        <v>2.4500000000000001E-2</v>
      </c>
      <c r="AK19" s="398">
        <f t="shared" si="10"/>
        <v>1521.0416666666667</v>
      </c>
      <c r="AL19" s="417">
        <f t="shared" si="0"/>
        <v>100200000</v>
      </c>
      <c r="AM19" s="418">
        <v>2.52E-2</v>
      </c>
      <c r="AN19" s="398">
        <f t="shared" si="11"/>
        <v>7014</v>
      </c>
      <c r="AO19" s="417"/>
      <c r="AP19" s="418"/>
      <c r="AQ19" s="398">
        <f t="shared" si="12"/>
        <v>0</v>
      </c>
      <c r="AR19" s="417">
        <f t="shared" si="53"/>
        <v>75000000</v>
      </c>
      <c r="AS19" s="418">
        <v>2.5600000000000001E-2</v>
      </c>
      <c r="AT19" s="398">
        <f t="shared" si="13"/>
        <v>5333.333333333333</v>
      </c>
      <c r="AU19" s="417">
        <f t="shared" si="54"/>
        <v>50000000</v>
      </c>
      <c r="AV19" s="418">
        <v>2.5100000000000001E-2</v>
      </c>
      <c r="AW19" s="398">
        <f t="shared" si="14"/>
        <v>3486.1111111111113</v>
      </c>
      <c r="AX19" s="417">
        <f t="shared" si="55"/>
        <v>70000000</v>
      </c>
      <c r="AY19" s="418">
        <v>2.63E-2</v>
      </c>
      <c r="AZ19" s="398">
        <f t="shared" si="15"/>
        <v>5113.8888888888887</v>
      </c>
      <c r="BA19" s="417"/>
      <c r="BB19" s="418"/>
      <c r="BC19" s="398">
        <f t="shared" si="16"/>
        <v>0</v>
      </c>
      <c r="BF19" s="398">
        <f t="shared" si="17"/>
        <v>0</v>
      </c>
      <c r="BI19" s="398">
        <f t="shared" si="18"/>
        <v>0</v>
      </c>
      <c r="BL19" s="398">
        <f t="shared" si="19"/>
        <v>0</v>
      </c>
      <c r="BO19" s="398">
        <f t="shared" si="20"/>
        <v>0</v>
      </c>
      <c r="BR19" s="398">
        <f t="shared" si="21"/>
        <v>0</v>
      </c>
      <c r="BU19" s="398">
        <f t="shared" si="22"/>
        <v>0</v>
      </c>
      <c r="BX19" s="398">
        <f t="shared" si="23"/>
        <v>0</v>
      </c>
      <c r="CA19" s="398">
        <f t="shared" si="24"/>
        <v>0</v>
      </c>
      <c r="CD19" s="398">
        <f t="shared" si="25"/>
        <v>0</v>
      </c>
      <c r="CG19" s="398">
        <f t="shared" si="26"/>
        <v>0</v>
      </c>
      <c r="CJ19" s="398">
        <f t="shared" si="27"/>
        <v>0</v>
      </c>
      <c r="CM19" s="398">
        <f t="shared" si="28"/>
        <v>0</v>
      </c>
      <c r="CP19" s="398">
        <f t="shared" si="29"/>
        <v>0</v>
      </c>
      <c r="CS19" s="398">
        <f t="shared" si="30"/>
        <v>0</v>
      </c>
      <c r="CV19" s="398">
        <f t="shared" si="31"/>
        <v>0</v>
      </c>
      <c r="CY19" s="398">
        <f t="shared" si="32"/>
        <v>0</v>
      </c>
      <c r="DB19" s="398">
        <f t="shared" si="33"/>
        <v>0</v>
      </c>
      <c r="DE19" s="398">
        <f t="shared" si="34"/>
        <v>0</v>
      </c>
      <c r="DH19" s="398">
        <f t="shared" si="35"/>
        <v>0</v>
      </c>
      <c r="DK19" s="398">
        <f t="shared" si="36"/>
        <v>0</v>
      </c>
      <c r="DN19" s="398">
        <f t="shared" si="37"/>
        <v>0</v>
      </c>
      <c r="DQ19" s="398">
        <f t="shared" si="38"/>
        <v>0</v>
      </c>
      <c r="DT19" s="398">
        <f t="shared" si="39"/>
        <v>0</v>
      </c>
      <c r="DW19" s="398">
        <f t="shared" si="40"/>
        <v>0</v>
      </c>
      <c r="DY19" s="405"/>
      <c r="DZ19" s="396"/>
      <c r="EA19" s="398"/>
      <c r="EB19" s="212">
        <f t="shared" si="41"/>
        <v>387870916.60000002</v>
      </c>
      <c r="EC19" s="212">
        <f t="shared" si="42"/>
        <v>70320916.600000024</v>
      </c>
      <c r="ED19" s="398">
        <f t="shared" si="43"/>
        <v>26922.033051333332</v>
      </c>
      <c r="EE19" s="399">
        <f t="shared" si="44"/>
        <v>2.4987519001005706E-2</v>
      </c>
      <c r="EG19" s="212">
        <f t="shared" si="45"/>
        <v>0</v>
      </c>
      <c r="EH19" s="398">
        <f t="shared" si="46"/>
        <v>0</v>
      </c>
      <c r="EI19" s="399">
        <f t="shared" si="47"/>
        <v>0</v>
      </c>
      <c r="EJ19" s="399"/>
      <c r="EK19" s="212">
        <f t="shared" si="48"/>
        <v>317550000</v>
      </c>
      <c r="EL19" s="212">
        <f t="shared" si="49"/>
        <v>0</v>
      </c>
      <c r="EM19" s="212">
        <f t="shared" si="50"/>
        <v>22468.375</v>
      </c>
      <c r="EN19" s="399">
        <f t="shared" si="51"/>
        <v>2.5471941426547001E-2</v>
      </c>
      <c r="EP19" s="398"/>
    </row>
    <row r="20" spans="1:146">
      <c r="A20" s="416">
        <f t="shared" si="52"/>
        <v>43413</v>
      </c>
      <c r="D20" s="398">
        <f t="shared" si="1"/>
        <v>0</v>
      </c>
      <c r="E20" s="398">
        <v>79216574.120000005</v>
      </c>
      <c r="F20" s="399">
        <v>2.29E-2</v>
      </c>
      <c r="G20" s="398">
        <f t="shared" si="2"/>
        <v>5039.0542981888893</v>
      </c>
      <c r="J20" s="398">
        <f t="shared" si="3"/>
        <v>0</v>
      </c>
      <c r="M20" s="398">
        <f t="shared" si="4"/>
        <v>0</v>
      </c>
      <c r="P20" s="398">
        <f t="shared" si="5"/>
        <v>0</v>
      </c>
      <c r="S20" s="398">
        <f t="shared" si="6"/>
        <v>0</v>
      </c>
      <c r="V20" s="398">
        <f t="shared" si="7"/>
        <v>0</v>
      </c>
      <c r="Y20" s="398">
        <f t="shared" si="8"/>
        <v>0</v>
      </c>
      <c r="AB20" s="398">
        <f t="shared" si="9"/>
        <v>0</v>
      </c>
      <c r="AE20" s="398">
        <v>0</v>
      </c>
      <c r="AH20" s="398">
        <v>0</v>
      </c>
      <c r="AI20" s="417">
        <f>58825000</f>
        <v>58825000</v>
      </c>
      <c r="AJ20" s="418">
        <v>2.4500000000000001E-2</v>
      </c>
      <c r="AK20" s="398">
        <f t="shared" si="10"/>
        <v>4003.3680555555557</v>
      </c>
      <c r="AL20" s="417"/>
      <c r="AM20" s="418"/>
      <c r="AN20" s="398">
        <f t="shared" si="11"/>
        <v>0</v>
      </c>
      <c r="AO20" s="417"/>
      <c r="AP20" s="418"/>
      <c r="AQ20" s="398">
        <f t="shared" si="12"/>
        <v>0</v>
      </c>
      <c r="AR20" s="417">
        <f t="shared" si="53"/>
        <v>75000000</v>
      </c>
      <c r="AS20" s="418">
        <v>2.5600000000000001E-2</v>
      </c>
      <c r="AT20" s="398">
        <f t="shared" si="13"/>
        <v>5333.333333333333</v>
      </c>
      <c r="AU20" s="417">
        <f t="shared" si="54"/>
        <v>50000000</v>
      </c>
      <c r="AV20" s="418">
        <v>2.5100000000000001E-2</v>
      </c>
      <c r="AW20" s="398">
        <f t="shared" si="14"/>
        <v>3486.1111111111113</v>
      </c>
      <c r="AX20" s="417">
        <f t="shared" si="55"/>
        <v>70000000</v>
      </c>
      <c r="AY20" s="418">
        <v>2.63E-2</v>
      </c>
      <c r="AZ20" s="398">
        <f t="shared" si="15"/>
        <v>5113.8888888888887</v>
      </c>
      <c r="BA20" s="417">
        <f t="shared" ref="BA20:BA30" si="56">55000000</f>
        <v>55000000</v>
      </c>
      <c r="BB20" s="418">
        <v>2.5999999999999999E-2</v>
      </c>
      <c r="BC20" s="398">
        <f t="shared" si="16"/>
        <v>3972.2222222222222</v>
      </c>
      <c r="BF20" s="398">
        <f t="shared" si="17"/>
        <v>0</v>
      </c>
      <c r="BI20" s="398">
        <f t="shared" si="18"/>
        <v>0</v>
      </c>
      <c r="BL20" s="398">
        <f t="shared" si="19"/>
        <v>0</v>
      </c>
      <c r="BO20" s="398">
        <f t="shared" si="20"/>
        <v>0</v>
      </c>
      <c r="BR20" s="398">
        <f t="shared" si="21"/>
        <v>0</v>
      </c>
      <c r="BU20" s="398">
        <f t="shared" si="22"/>
        <v>0</v>
      </c>
      <c r="BX20" s="398">
        <f t="shared" si="23"/>
        <v>0</v>
      </c>
      <c r="CA20" s="398">
        <f t="shared" si="24"/>
        <v>0</v>
      </c>
      <c r="CD20" s="398">
        <f t="shared" si="25"/>
        <v>0</v>
      </c>
      <c r="CG20" s="398">
        <f t="shared" si="26"/>
        <v>0</v>
      </c>
      <c r="CJ20" s="398">
        <f t="shared" si="27"/>
        <v>0</v>
      </c>
      <c r="CM20" s="398">
        <f t="shared" si="28"/>
        <v>0</v>
      </c>
      <c r="CP20" s="398">
        <f t="shared" si="29"/>
        <v>0</v>
      </c>
      <c r="CS20" s="398">
        <f t="shared" si="30"/>
        <v>0</v>
      </c>
      <c r="CV20" s="398">
        <f t="shared" si="31"/>
        <v>0</v>
      </c>
      <c r="CY20" s="398">
        <f t="shared" si="32"/>
        <v>0</v>
      </c>
      <c r="DB20" s="398">
        <f t="shared" si="33"/>
        <v>0</v>
      </c>
      <c r="DE20" s="398">
        <f t="shared" si="34"/>
        <v>0</v>
      </c>
      <c r="DH20" s="398">
        <f t="shared" si="35"/>
        <v>0</v>
      </c>
      <c r="DK20" s="398">
        <f t="shared" si="36"/>
        <v>0</v>
      </c>
      <c r="DN20" s="398">
        <f t="shared" si="37"/>
        <v>0</v>
      </c>
      <c r="DQ20" s="398">
        <f t="shared" si="38"/>
        <v>0</v>
      </c>
      <c r="DT20" s="398">
        <f t="shared" si="39"/>
        <v>0</v>
      </c>
      <c r="DW20" s="398">
        <f t="shared" si="40"/>
        <v>0</v>
      </c>
      <c r="DY20" s="405"/>
      <c r="DZ20" s="396"/>
      <c r="EA20" s="398"/>
      <c r="EB20" s="212">
        <f t="shared" si="41"/>
        <v>388041574.12</v>
      </c>
      <c r="EC20" s="212">
        <f t="shared" si="42"/>
        <v>79216574.120000005</v>
      </c>
      <c r="ED20" s="398">
        <f t="shared" si="43"/>
        <v>26947.9779093</v>
      </c>
      <c r="EE20" s="399">
        <f t="shared" si="44"/>
        <v>2.5000599663447212E-2</v>
      </c>
      <c r="EG20" s="212">
        <f t="shared" si="45"/>
        <v>0</v>
      </c>
      <c r="EH20" s="398">
        <f t="shared" si="46"/>
        <v>0</v>
      </c>
      <c r="EI20" s="399">
        <f t="shared" si="47"/>
        <v>0</v>
      </c>
      <c r="EJ20" s="399"/>
      <c r="EK20" s="212">
        <f t="shared" si="48"/>
        <v>308825000</v>
      </c>
      <c r="EL20" s="212">
        <f t="shared" si="49"/>
        <v>0</v>
      </c>
      <c r="EM20" s="212">
        <f t="shared" si="50"/>
        <v>21908.923611111109</v>
      </c>
      <c r="EN20" s="399">
        <f t="shared" si="51"/>
        <v>2.5539423621792273E-2</v>
      </c>
      <c r="EP20" s="398"/>
    </row>
    <row r="21" spans="1:146">
      <c r="A21" s="416">
        <f t="shared" si="52"/>
        <v>43414</v>
      </c>
      <c r="D21" s="398">
        <f t="shared" si="1"/>
        <v>0</v>
      </c>
      <c r="E21" s="398">
        <v>79216574.120000005</v>
      </c>
      <c r="F21" s="399">
        <v>2.29E-2</v>
      </c>
      <c r="G21" s="398">
        <f t="shared" si="2"/>
        <v>5039.0542981888893</v>
      </c>
      <c r="J21" s="398">
        <f t="shared" si="3"/>
        <v>0</v>
      </c>
      <c r="M21" s="398">
        <f t="shared" si="4"/>
        <v>0</v>
      </c>
      <c r="P21" s="398">
        <f t="shared" si="5"/>
        <v>0</v>
      </c>
      <c r="S21" s="398">
        <f t="shared" si="6"/>
        <v>0</v>
      </c>
      <c r="V21" s="398">
        <f t="shared" si="7"/>
        <v>0</v>
      </c>
      <c r="Y21" s="398">
        <f t="shared" si="8"/>
        <v>0</v>
      </c>
      <c r="AB21" s="398">
        <f t="shared" si="9"/>
        <v>0</v>
      </c>
      <c r="AE21" s="398">
        <v>0</v>
      </c>
      <c r="AH21" s="398">
        <v>0</v>
      </c>
      <c r="AI21" s="417">
        <f>58825000</f>
        <v>58825000</v>
      </c>
      <c r="AJ21" s="418">
        <v>2.4500000000000001E-2</v>
      </c>
      <c r="AK21" s="398">
        <f t="shared" si="10"/>
        <v>4003.3680555555557</v>
      </c>
      <c r="AL21" s="417"/>
      <c r="AM21" s="418"/>
      <c r="AN21" s="398">
        <f t="shared" si="11"/>
        <v>0</v>
      </c>
      <c r="AO21" s="417"/>
      <c r="AP21" s="418"/>
      <c r="AQ21" s="398">
        <f t="shared" si="12"/>
        <v>0</v>
      </c>
      <c r="AR21" s="417">
        <f t="shared" si="53"/>
        <v>75000000</v>
      </c>
      <c r="AS21" s="418">
        <v>2.5600000000000001E-2</v>
      </c>
      <c r="AT21" s="398">
        <f t="shared" si="13"/>
        <v>5333.333333333333</v>
      </c>
      <c r="AU21" s="417">
        <f t="shared" si="54"/>
        <v>50000000</v>
      </c>
      <c r="AV21" s="418">
        <v>2.5100000000000001E-2</v>
      </c>
      <c r="AW21" s="398">
        <f t="shared" si="14"/>
        <v>3486.1111111111113</v>
      </c>
      <c r="AX21" s="417">
        <f t="shared" si="55"/>
        <v>70000000</v>
      </c>
      <c r="AY21" s="418">
        <v>2.63E-2</v>
      </c>
      <c r="AZ21" s="398">
        <f t="shared" si="15"/>
        <v>5113.8888888888887</v>
      </c>
      <c r="BA21" s="417">
        <f t="shared" si="56"/>
        <v>55000000</v>
      </c>
      <c r="BB21" s="418">
        <v>2.5999999999999999E-2</v>
      </c>
      <c r="BC21" s="398">
        <f t="shared" si="16"/>
        <v>3972.2222222222222</v>
      </c>
      <c r="BF21" s="398">
        <f t="shared" si="17"/>
        <v>0</v>
      </c>
      <c r="BI21" s="398">
        <f t="shared" si="18"/>
        <v>0</v>
      </c>
      <c r="BL21" s="398">
        <f t="shared" si="19"/>
        <v>0</v>
      </c>
      <c r="BO21" s="398">
        <f t="shared" si="20"/>
        <v>0</v>
      </c>
      <c r="BR21" s="398">
        <f t="shared" si="21"/>
        <v>0</v>
      </c>
      <c r="BU21" s="398">
        <f t="shared" si="22"/>
        <v>0</v>
      </c>
      <c r="BX21" s="398">
        <f t="shared" si="23"/>
        <v>0</v>
      </c>
      <c r="CA21" s="398">
        <f t="shared" si="24"/>
        <v>0</v>
      </c>
      <c r="CD21" s="398">
        <f t="shared" si="25"/>
        <v>0</v>
      </c>
      <c r="CG21" s="398">
        <f t="shared" si="26"/>
        <v>0</v>
      </c>
      <c r="CJ21" s="398">
        <f t="shared" si="27"/>
        <v>0</v>
      </c>
      <c r="CM21" s="398">
        <f t="shared" si="28"/>
        <v>0</v>
      </c>
      <c r="CP21" s="398">
        <f t="shared" si="29"/>
        <v>0</v>
      </c>
      <c r="CS21" s="398">
        <f t="shared" si="30"/>
        <v>0</v>
      </c>
      <c r="CV21" s="398">
        <f t="shared" si="31"/>
        <v>0</v>
      </c>
      <c r="CY21" s="398">
        <f t="shared" si="32"/>
        <v>0</v>
      </c>
      <c r="DB21" s="398">
        <f t="shared" si="33"/>
        <v>0</v>
      </c>
      <c r="DE21" s="398">
        <f t="shared" si="34"/>
        <v>0</v>
      </c>
      <c r="DH21" s="398">
        <f t="shared" si="35"/>
        <v>0</v>
      </c>
      <c r="DK21" s="398">
        <f t="shared" si="36"/>
        <v>0</v>
      </c>
      <c r="DN21" s="398">
        <f t="shared" si="37"/>
        <v>0</v>
      </c>
      <c r="DQ21" s="398">
        <f t="shared" si="38"/>
        <v>0</v>
      </c>
      <c r="DT21" s="398">
        <f t="shared" si="39"/>
        <v>0</v>
      </c>
      <c r="DW21" s="398">
        <f t="shared" si="40"/>
        <v>0</v>
      </c>
      <c r="DY21" s="405"/>
      <c r="DZ21" s="396"/>
      <c r="EA21" s="398"/>
      <c r="EB21" s="212">
        <f t="shared" si="41"/>
        <v>388041574.12</v>
      </c>
      <c r="EC21" s="212">
        <f t="shared" si="42"/>
        <v>79216574.120000005</v>
      </c>
      <c r="ED21" s="398">
        <f t="shared" si="43"/>
        <v>26947.9779093</v>
      </c>
      <c r="EE21" s="399">
        <f t="shared" si="44"/>
        <v>2.5000599663447212E-2</v>
      </c>
      <c r="EG21" s="212">
        <f t="shared" si="45"/>
        <v>0</v>
      </c>
      <c r="EH21" s="398">
        <f t="shared" si="46"/>
        <v>0</v>
      </c>
      <c r="EI21" s="399">
        <f t="shared" si="47"/>
        <v>0</v>
      </c>
      <c r="EJ21" s="399"/>
      <c r="EK21" s="212">
        <f t="shared" si="48"/>
        <v>308825000</v>
      </c>
      <c r="EL21" s="212">
        <f t="shared" si="49"/>
        <v>0</v>
      </c>
      <c r="EM21" s="212">
        <f t="shared" si="50"/>
        <v>21908.923611111109</v>
      </c>
      <c r="EN21" s="399">
        <f t="shared" si="51"/>
        <v>2.5539423621792273E-2</v>
      </c>
      <c r="EP21" s="398"/>
    </row>
    <row r="22" spans="1:146">
      <c r="A22" s="416">
        <f t="shared" si="52"/>
        <v>43415</v>
      </c>
      <c r="D22" s="398">
        <f t="shared" si="1"/>
        <v>0</v>
      </c>
      <c r="E22" s="398">
        <v>79216574.120000005</v>
      </c>
      <c r="F22" s="399">
        <v>2.29E-2</v>
      </c>
      <c r="G22" s="398">
        <f t="shared" si="2"/>
        <v>5039.0542981888893</v>
      </c>
      <c r="J22" s="398">
        <f t="shared" si="3"/>
        <v>0</v>
      </c>
      <c r="M22" s="398">
        <f t="shared" si="4"/>
        <v>0</v>
      </c>
      <c r="P22" s="398">
        <f t="shared" si="5"/>
        <v>0</v>
      </c>
      <c r="S22" s="398">
        <f t="shared" si="6"/>
        <v>0</v>
      </c>
      <c r="V22" s="398">
        <f t="shared" si="7"/>
        <v>0</v>
      </c>
      <c r="Y22" s="398">
        <f t="shared" si="8"/>
        <v>0</v>
      </c>
      <c r="AB22" s="398">
        <f t="shared" si="9"/>
        <v>0</v>
      </c>
      <c r="AE22" s="398">
        <v>0</v>
      </c>
      <c r="AH22" s="398">
        <v>0</v>
      </c>
      <c r="AI22" s="417">
        <f>58825000</f>
        <v>58825000</v>
      </c>
      <c r="AJ22" s="418">
        <v>2.4500000000000001E-2</v>
      </c>
      <c r="AK22" s="398">
        <f t="shared" si="10"/>
        <v>4003.3680555555557</v>
      </c>
      <c r="AL22" s="417"/>
      <c r="AM22" s="418"/>
      <c r="AN22" s="398">
        <f t="shared" si="11"/>
        <v>0</v>
      </c>
      <c r="AO22" s="417"/>
      <c r="AP22" s="418"/>
      <c r="AQ22" s="398">
        <f t="shared" si="12"/>
        <v>0</v>
      </c>
      <c r="AR22" s="417">
        <f t="shared" si="53"/>
        <v>75000000</v>
      </c>
      <c r="AS22" s="418">
        <v>2.5600000000000001E-2</v>
      </c>
      <c r="AT22" s="398">
        <f t="shared" si="13"/>
        <v>5333.333333333333</v>
      </c>
      <c r="AU22" s="417">
        <f t="shared" si="54"/>
        <v>50000000</v>
      </c>
      <c r="AV22" s="418">
        <v>2.5100000000000001E-2</v>
      </c>
      <c r="AW22" s="398">
        <f t="shared" si="14"/>
        <v>3486.1111111111113</v>
      </c>
      <c r="AX22" s="417">
        <f t="shared" si="55"/>
        <v>70000000</v>
      </c>
      <c r="AY22" s="418">
        <v>2.63E-2</v>
      </c>
      <c r="AZ22" s="398">
        <f t="shared" si="15"/>
        <v>5113.8888888888887</v>
      </c>
      <c r="BA22" s="417">
        <f t="shared" si="56"/>
        <v>55000000</v>
      </c>
      <c r="BB22" s="418">
        <v>2.5999999999999999E-2</v>
      </c>
      <c r="BC22" s="398">
        <f t="shared" si="16"/>
        <v>3972.2222222222222</v>
      </c>
      <c r="BF22" s="398">
        <f t="shared" si="17"/>
        <v>0</v>
      </c>
      <c r="BI22" s="398">
        <f t="shared" si="18"/>
        <v>0</v>
      </c>
      <c r="BL22" s="398">
        <f t="shared" si="19"/>
        <v>0</v>
      </c>
      <c r="BO22" s="398">
        <f t="shared" si="20"/>
        <v>0</v>
      </c>
      <c r="BR22" s="398">
        <f t="shared" si="21"/>
        <v>0</v>
      </c>
      <c r="BU22" s="398">
        <f t="shared" si="22"/>
        <v>0</v>
      </c>
      <c r="BX22" s="398">
        <f t="shared" si="23"/>
        <v>0</v>
      </c>
      <c r="CA22" s="398">
        <f t="shared" si="24"/>
        <v>0</v>
      </c>
      <c r="CD22" s="398">
        <f t="shared" si="25"/>
        <v>0</v>
      </c>
      <c r="CG22" s="398">
        <f t="shared" si="26"/>
        <v>0</v>
      </c>
      <c r="CJ22" s="398">
        <f t="shared" si="27"/>
        <v>0</v>
      </c>
      <c r="CM22" s="398">
        <f t="shared" si="28"/>
        <v>0</v>
      </c>
      <c r="CP22" s="398">
        <f t="shared" si="29"/>
        <v>0</v>
      </c>
      <c r="CS22" s="398">
        <f t="shared" si="30"/>
        <v>0</v>
      </c>
      <c r="CV22" s="398">
        <f t="shared" si="31"/>
        <v>0</v>
      </c>
      <c r="CY22" s="398">
        <f t="shared" si="32"/>
        <v>0</v>
      </c>
      <c r="DB22" s="398">
        <f t="shared" si="33"/>
        <v>0</v>
      </c>
      <c r="DE22" s="398">
        <f t="shared" si="34"/>
        <v>0</v>
      </c>
      <c r="DH22" s="398">
        <f t="shared" si="35"/>
        <v>0</v>
      </c>
      <c r="DK22" s="398">
        <f t="shared" si="36"/>
        <v>0</v>
      </c>
      <c r="DN22" s="398">
        <f t="shared" si="37"/>
        <v>0</v>
      </c>
      <c r="DQ22" s="398">
        <f t="shared" si="38"/>
        <v>0</v>
      </c>
      <c r="DT22" s="398">
        <f t="shared" si="39"/>
        <v>0</v>
      </c>
      <c r="DW22" s="398">
        <f t="shared" si="40"/>
        <v>0</v>
      </c>
      <c r="DY22" s="405"/>
      <c r="DZ22" s="396"/>
      <c r="EA22" s="398"/>
      <c r="EB22" s="212">
        <f t="shared" si="41"/>
        <v>388041574.12</v>
      </c>
      <c r="EC22" s="212">
        <f t="shared" si="42"/>
        <v>79216574.120000005</v>
      </c>
      <c r="ED22" s="398">
        <f t="shared" si="43"/>
        <v>26947.9779093</v>
      </c>
      <c r="EE22" s="399">
        <f t="shared" si="44"/>
        <v>2.5000599663447212E-2</v>
      </c>
      <c r="EG22" s="212">
        <f t="shared" si="45"/>
        <v>0</v>
      </c>
      <c r="EH22" s="398">
        <f t="shared" si="46"/>
        <v>0</v>
      </c>
      <c r="EI22" s="399">
        <f t="shared" si="47"/>
        <v>0</v>
      </c>
      <c r="EJ22" s="399"/>
      <c r="EK22" s="212">
        <f t="shared" si="48"/>
        <v>308825000</v>
      </c>
      <c r="EL22" s="212">
        <f t="shared" si="49"/>
        <v>0</v>
      </c>
      <c r="EM22" s="212">
        <f t="shared" si="50"/>
        <v>21908.923611111109</v>
      </c>
      <c r="EN22" s="399">
        <f t="shared" si="51"/>
        <v>2.5539423621792273E-2</v>
      </c>
      <c r="EP22" s="398"/>
    </row>
    <row r="23" spans="1:146">
      <c r="A23" s="416">
        <f t="shared" si="52"/>
        <v>43416</v>
      </c>
      <c r="D23" s="398">
        <f t="shared" si="1"/>
        <v>0</v>
      </c>
      <c r="E23" s="398">
        <v>79216574.120000005</v>
      </c>
      <c r="F23" s="399">
        <v>2.29E-2</v>
      </c>
      <c r="G23" s="398">
        <f t="shared" si="2"/>
        <v>5039.0542981888893</v>
      </c>
      <c r="J23" s="398">
        <f t="shared" si="3"/>
        <v>0</v>
      </c>
      <c r="M23" s="398">
        <f t="shared" si="4"/>
        <v>0</v>
      </c>
      <c r="P23" s="398">
        <f t="shared" si="5"/>
        <v>0</v>
      </c>
      <c r="S23" s="398">
        <f t="shared" si="6"/>
        <v>0</v>
      </c>
      <c r="V23" s="398">
        <f t="shared" si="7"/>
        <v>0</v>
      </c>
      <c r="Y23" s="398">
        <f t="shared" si="8"/>
        <v>0</v>
      </c>
      <c r="AB23" s="398">
        <f t="shared" si="9"/>
        <v>0</v>
      </c>
      <c r="AE23" s="398">
        <v>0</v>
      </c>
      <c r="AH23" s="398">
        <v>0</v>
      </c>
      <c r="AI23" s="417">
        <f>58825000</f>
        <v>58825000</v>
      </c>
      <c r="AJ23" s="418">
        <v>2.4500000000000001E-2</v>
      </c>
      <c r="AK23" s="398">
        <f t="shared" si="10"/>
        <v>4003.3680555555557</v>
      </c>
      <c r="AL23" s="417"/>
      <c r="AM23" s="418"/>
      <c r="AN23" s="398">
        <f t="shared" si="11"/>
        <v>0</v>
      </c>
      <c r="AO23" s="417"/>
      <c r="AP23" s="418"/>
      <c r="AQ23" s="398">
        <f t="shared" si="12"/>
        <v>0</v>
      </c>
      <c r="AR23" s="417">
        <f t="shared" si="53"/>
        <v>75000000</v>
      </c>
      <c r="AS23" s="418">
        <v>2.5600000000000001E-2</v>
      </c>
      <c r="AT23" s="398">
        <f t="shared" si="13"/>
        <v>5333.333333333333</v>
      </c>
      <c r="AU23" s="417">
        <f t="shared" si="54"/>
        <v>50000000</v>
      </c>
      <c r="AV23" s="418">
        <v>2.5100000000000001E-2</v>
      </c>
      <c r="AW23" s="398">
        <f t="shared" si="14"/>
        <v>3486.1111111111113</v>
      </c>
      <c r="AX23" s="417">
        <f t="shared" si="55"/>
        <v>70000000</v>
      </c>
      <c r="AY23" s="418">
        <v>2.63E-2</v>
      </c>
      <c r="AZ23" s="398">
        <f t="shared" si="15"/>
        <v>5113.8888888888887</v>
      </c>
      <c r="BA23" s="417">
        <f t="shared" si="56"/>
        <v>55000000</v>
      </c>
      <c r="BB23" s="418">
        <v>2.5999999999999999E-2</v>
      </c>
      <c r="BC23" s="398">
        <f t="shared" si="16"/>
        <v>3972.2222222222222</v>
      </c>
      <c r="BF23" s="398">
        <f t="shared" si="17"/>
        <v>0</v>
      </c>
      <c r="BI23" s="398">
        <f t="shared" si="18"/>
        <v>0</v>
      </c>
      <c r="BL23" s="398">
        <f t="shared" si="19"/>
        <v>0</v>
      </c>
      <c r="BO23" s="398">
        <f t="shared" si="20"/>
        <v>0</v>
      </c>
      <c r="BR23" s="398">
        <f t="shared" si="21"/>
        <v>0</v>
      </c>
      <c r="BU23" s="398">
        <f t="shared" si="22"/>
        <v>0</v>
      </c>
      <c r="BX23" s="398">
        <f t="shared" si="23"/>
        <v>0</v>
      </c>
      <c r="CA23" s="398">
        <f t="shared" si="24"/>
        <v>0</v>
      </c>
      <c r="CD23" s="398">
        <f t="shared" si="25"/>
        <v>0</v>
      </c>
      <c r="CG23" s="398">
        <f t="shared" si="26"/>
        <v>0</v>
      </c>
      <c r="CJ23" s="398">
        <f t="shared" si="27"/>
        <v>0</v>
      </c>
      <c r="CM23" s="398">
        <f t="shared" si="28"/>
        <v>0</v>
      </c>
      <c r="CP23" s="398">
        <f t="shared" si="29"/>
        <v>0</v>
      </c>
      <c r="CS23" s="398">
        <f t="shared" si="30"/>
        <v>0</v>
      </c>
      <c r="CV23" s="398">
        <f t="shared" si="31"/>
        <v>0</v>
      </c>
      <c r="CY23" s="398">
        <f t="shared" si="32"/>
        <v>0</v>
      </c>
      <c r="DB23" s="398">
        <f t="shared" si="33"/>
        <v>0</v>
      </c>
      <c r="DE23" s="398">
        <f t="shared" si="34"/>
        <v>0</v>
      </c>
      <c r="DH23" s="398">
        <f t="shared" si="35"/>
        <v>0</v>
      </c>
      <c r="DK23" s="398">
        <f t="shared" si="36"/>
        <v>0</v>
      </c>
      <c r="DN23" s="398">
        <f t="shared" si="37"/>
        <v>0</v>
      </c>
      <c r="DQ23" s="398">
        <f t="shared" si="38"/>
        <v>0</v>
      </c>
      <c r="DT23" s="398">
        <f t="shared" si="39"/>
        <v>0</v>
      </c>
      <c r="DW23" s="398">
        <f t="shared" si="40"/>
        <v>0</v>
      </c>
      <c r="DY23" s="405"/>
      <c r="DZ23" s="396"/>
      <c r="EA23" s="398"/>
      <c r="EB23" s="212">
        <f t="shared" si="41"/>
        <v>388041574.12</v>
      </c>
      <c r="EC23" s="212">
        <f t="shared" si="42"/>
        <v>79216574.120000005</v>
      </c>
      <c r="ED23" s="398">
        <f t="shared" si="43"/>
        <v>26947.9779093</v>
      </c>
      <c r="EE23" s="399">
        <f t="shared" si="44"/>
        <v>2.5000599663447212E-2</v>
      </c>
      <c r="EG23" s="212">
        <f t="shared" si="45"/>
        <v>0</v>
      </c>
      <c r="EH23" s="398">
        <f t="shared" si="46"/>
        <v>0</v>
      </c>
      <c r="EI23" s="399">
        <f t="shared" si="47"/>
        <v>0</v>
      </c>
      <c r="EJ23" s="399"/>
      <c r="EK23" s="212">
        <f t="shared" si="48"/>
        <v>308825000</v>
      </c>
      <c r="EL23" s="212">
        <f t="shared" si="49"/>
        <v>0</v>
      </c>
      <c r="EM23" s="212">
        <f t="shared" si="50"/>
        <v>21908.923611111109</v>
      </c>
      <c r="EN23" s="399">
        <f t="shared" si="51"/>
        <v>2.5539423621792273E-2</v>
      </c>
      <c r="EP23" s="398"/>
    </row>
    <row r="24" spans="1:146">
      <c r="A24" s="416">
        <f t="shared" si="52"/>
        <v>43417</v>
      </c>
      <c r="D24" s="398">
        <f t="shared" si="1"/>
        <v>0</v>
      </c>
      <c r="E24" s="398">
        <v>72443330.700000003</v>
      </c>
      <c r="F24" s="399">
        <v>2.2000000000000002E-2</v>
      </c>
      <c r="G24" s="398">
        <f t="shared" si="2"/>
        <v>4427.0924316666669</v>
      </c>
      <c r="J24" s="398">
        <f t="shared" si="3"/>
        <v>0</v>
      </c>
      <c r="M24" s="398">
        <f t="shared" si="4"/>
        <v>0</v>
      </c>
      <c r="P24" s="398">
        <f t="shared" si="5"/>
        <v>0</v>
      </c>
      <c r="S24" s="398">
        <f t="shared" si="6"/>
        <v>0</v>
      </c>
      <c r="V24" s="398">
        <f t="shared" si="7"/>
        <v>0</v>
      </c>
      <c r="Y24" s="398">
        <f t="shared" si="8"/>
        <v>0</v>
      </c>
      <c r="AB24" s="398">
        <f t="shared" si="9"/>
        <v>0</v>
      </c>
      <c r="AE24" s="398">
        <v>0</v>
      </c>
      <c r="AH24" s="398">
        <v>0</v>
      </c>
      <c r="AI24" s="417">
        <f>65625000</f>
        <v>65625000</v>
      </c>
      <c r="AJ24" s="418">
        <v>2.4500000000000001E-2</v>
      </c>
      <c r="AK24" s="398">
        <f t="shared" si="10"/>
        <v>4466.145833333333</v>
      </c>
      <c r="AL24" s="417"/>
      <c r="AM24" s="418"/>
      <c r="AN24" s="398">
        <f t="shared" si="11"/>
        <v>0</v>
      </c>
      <c r="AO24" s="417"/>
      <c r="AP24" s="418"/>
      <c r="AQ24" s="398">
        <f t="shared" si="12"/>
        <v>0</v>
      </c>
      <c r="AR24" s="417">
        <f t="shared" si="53"/>
        <v>75000000</v>
      </c>
      <c r="AS24" s="418">
        <v>2.5600000000000001E-2</v>
      </c>
      <c r="AT24" s="398">
        <f t="shared" si="13"/>
        <v>5333.333333333333</v>
      </c>
      <c r="AU24" s="417">
        <f t="shared" si="54"/>
        <v>50000000</v>
      </c>
      <c r="AV24" s="418">
        <v>2.5100000000000001E-2</v>
      </c>
      <c r="AW24" s="398">
        <f t="shared" si="14"/>
        <v>3486.1111111111113</v>
      </c>
      <c r="AX24" s="417">
        <f t="shared" si="55"/>
        <v>70000000</v>
      </c>
      <c r="AY24" s="418">
        <v>2.63E-2</v>
      </c>
      <c r="AZ24" s="398">
        <f t="shared" si="15"/>
        <v>5113.8888888888887</v>
      </c>
      <c r="BA24" s="417">
        <f t="shared" si="56"/>
        <v>55000000</v>
      </c>
      <c r="BB24" s="418">
        <v>2.5999999999999999E-2</v>
      </c>
      <c r="BC24" s="398">
        <f t="shared" si="16"/>
        <v>3972.2222222222222</v>
      </c>
      <c r="BF24" s="398">
        <f t="shared" si="17"/>
        <v>0</v>
      </c>
      <c r="BI24" s="398">
        <f t="shared" si="18"/>
        <v>0</v>
      </c>
      <c r="BL24" s="398">
        <f t="shared" si="19"/>
        <v>0</v>
      </c>
      <c r="BO24" s="398">
        <f t="shared" si="20"/>
        <v>0</v>
      </c>
      <c r="BR24" s="398">
        <f t="shared" si="21"/>
        <v>0</v>
      </c>
      <c r="BU24" s="398">
        <f t="shared" si="22"/>
        <v>0</v>
      </c>
      <c r="BX24" s="398">
        <f t="shared" si="23"/>
        <v>0</v>
      </c>
      <c r="CA24" s="398">
        <f t="shared" si="24"/>
        <v>0</v>
      </c>
      <c r="CD24" s="398">
        <f t="shared" si="25"/>
        <v>0</v>
      </c>
      <c r="CG24" s="398">
        <f t="shared" si="26"/>
        <v>0</v>
      </c>
      <c r="CJ24" s="398">
        <f t="shared" si="27"/>
        <v>0</v>
      </c>
      <c r="CM24" s="398">
        <f t="shared" si="28"/>
        <v>0</v>
      </c>
      <c r="CP24" s="398">
        <f t="shared" si="29"/>
        <v>0</v>
      </c>
      <c r="CS24" s="398">
        <f t="shared" si="30"/>
        <v>0</v>
      </c>
      <c r="CV24" s="398">
        <f t="shared" si="31"/>
        <v>0</v>
      </c>
      <c r="CY24" s="398">
        <f t="shared" si="32"/>
        <v>0</v>
      </c>
      <c r="DB24" s="398">
        <f t="shared" si="33"/>
        <v>0</v>
      </c>
      <c r="DE24" s="398">
        <f t="shared" si="34"/>
        <v>0</v>
      </c>
      <c r="DH24" s="398">
        <f t="shared" si="35"/>
        <v>0</v>
      </c>
      <c r="DK24" s="398">
        <f t="shared" si="36"/>
        <v>0</v>
      </c>
      <c r="DN24" s="398">
        <f t="shared" si="37"/>
        <v>0</v>
      </c>
      <c r="DQ24" s="398">
        <f t="shared" si="38"/>
        <v>0</v>
      </c>
      <c r="DT24" s="398">
        <f t="shared" si="39"/>
        <v>0</v>
      </c>
      <c r="DW24" s="398">
        <f t="shared" si="40"/>
        <v>0</v>
      </c>
      <c r="DY24" s="405"/>
      <c r="DZ24" s="396"/>
      <c r="EA24" s="398"/>
      <c r="EB24" s="212">
        <f t="shared" si="41"/>
        <v>388068330.69999999</v>
      </c>
      <c r="EC24" s="212">
        <f t="shared" si="42"/>
        <v>72443330.699999988</v>
      </c>
      <c r="ED24" s="398">
        <f t="shared" si="43"/>
        <v>26798.793820555558</v>
      </c>
      <c r="EE24" s="399">
        <f t="shared" si="44"/>
        <v>2.486048206509834E-2</v>
      </c>
      <c r="EG24" s="212">
        <f t="shared" si="45"/>
        <v>0</v>
      </c>
      <c r="EH24" s="398">
        <f t="shared" si="46"/>
        <v>0</v>
      </c>
      <c r="EI24" s="399">
        <f t="shared" si="47"/>
        <v>0</v>
      </c>
      <c r="EJ24" s="399"/>
      <c r="EK24" s="212">
        <f t="shared" si="48"/>
        <v>315625000</v>
      </c>
      <c r="EL24" s="212">
        <f t="shared" si="49"/>
        <v>0</v>
      </c>
      <c r="EM24" s="212">
        <f t="shared" si="50"/>
        <v>22371.701388888887</v>
      </c>
      <c r="EN24" s="399">
        <f t="shared" si="51"/>
        <v>2.5517029702970297E-2</v>
      </c>
      <c r="EP24" s="398"/>
    </row>
    <row r="25" spans="1:146">
      <c r="A25" s="416">
        <f t="shared" si="52"/>
        <v>43418</v>
      </c>
      <c r="D25" s="398">
        <f t="shared" si="1"/>
        <v>0</v>
      </c>
      <c r="E25" s="398">
        <v>75963025.269999996</v>
      </c>
      <c r="F25" s="399">
        <v>2.29E-2</v>
      </c>
      <c r="G25" s="398">
        <f t="shared" si="2"/>
        <v>4832.0924407861112</v>
      </c>
      <c r="J25" s="398">
        <f t="shared" si="3"/>
        <v>0</v>
      </c>
      <c r="M25" s="398">
        <f t="shared" si="4"/>
        <v>0</v>
      </c>
      <c r="P25" s="398">
        <f t="shared" si="5"/>
        <v>0</v>
      </c>
      <c r="S25" s="398">
        <f t="shared" si="6"/>
        <v>0</v>
      </c>
      <c r="V25" s="398">
        <f t="shared" si="7"/>
        <v>0</v>
      </c>
      <c r="Y25" s="398">
        <f t="shared" si="8"/>
        <v>0</v>
      </c>
      <c r="AB25" s="398">
        <f t="shared" si="9"/>
        <v>0</v>
      </c>
      <c r="AE25" s="398">
        <v>0</v>
      </c>
      <c r="AH25" s="398">
        <v>0</v>
      </c>
      <c r="AI25" s="417"/>
      <c r="AJ25" s="418"/>
      <c r="AK25" s="398">
        <f t="shared" si="10"/>
        <v>0</v>
      </c>
      <c r="AL25" s="417">
        <f>62250000</f>
        <v>62250000</v>
      </c>
      <c r="AM25" s="418">
        <v>2.5999999999999999E-2</v>
      </c>
      <c r="AN25" s="398">
        <f t="shared" si="11"/>
        <v>4495.833333333333</v>
      </c>
      <c r="AO25" s="417"/>
      <c r="AP25" s="418"/>
      <c r="AQ25" s="398">
        <f t="shared" si="12"/>
        <v>0</v>
      </c>
      <c r="AR25" s="417">
        <f t="shared" si="53"/>
        <v>75000000</v>
      </c>
      <c r="AS25" s="418">
        <v>2.5600000000000001E-2</v>
      </c>
      <c r="AT25" s="398">
        <f t="shared" si="13"/>
        <v>5333.333333333333</v>
      </c>
      <c r="AU25" s="417">
        <f t="shared" si="54"/>
        <v>50000000</v>
      </c>
      <c r="AV25" s="418">
        <v>2.5100000000000001E-2</v>
      </c>
      <c r="AW25" s="398">
        <f t="shared" si="14"/>
        <v>3486.1111111111113</v>
      </c>
      <c r="AX25" s="417">
        <f t="shared" si="55"/>
        <v>70000000</v>
      </c>
      <c r="AY25" s="418">
        <v>2.63E-2</v>
      </c>
      <c r="AZ25" s="398">
        <f t="shared" si="15"/>
        <v>5113.8888888888887</v>
      </c>
      <c r="BA25" s="417">
        <f t="shared" si="56"/>
        <v>55000000</v>
      </c>
      <c r="BB25" s="418">
        <v>2.5999999999999999E-2</v>
      </c>
      <c r="BC25" s="398">
        <f t="shared" si="16"/>
        <v>3972.2222222222222</v>
      </c>
      <c r="BF25" s="398">
        <f t="shared" si="17"/>
        <v>0</v>
      </c>
      <c r="BI25" s="398">
        <f t="shared" si="18"/>
        <v>0</v>
      </c>
      <c r="BL25" s="398">
        <f t="shared" si="19"/>
        <v>0</v>
      </c>
      <c r="BO25" s="398">
        <f t="shared" si="20"/>
        <v>0</v>
      </c>
      <c r="BR25" s="398">
        <f t="shared" si="21"/>
        <v>0</v>
      </c>
      <c r="BU25" s="398">
        <f t="shared" si="22"/>
        <v>0</v>
      </c>
      <c r="BX25" s="398">
        <f t="shared" si="23"/>
        <v>0</v>
      </c>
      <c r="CA25" s="398">
        <f t="shared" si="24"/>
        <v>0</v>
      </c>
      <c r="CD25" s="398">
        <f t="shared" si="25"/>
        <v>0</v>
      </c>
      <c r="CG25" s="398">
        <f t="shared" si="26"/>
        <v>0</v>
      </c>
      <c r="CJ25" s="398">
        <f t="shared" si="27"/>
        <v>0</v>
      </c>
      <c r="CM25" s="398">
        <f t="shared" si="28"/>
        <v>0</v>
      </c>
      <c r="CP25" s="398">
        <f t="shared" si="29"/>
        <v>0</v>
      </c>
      <c r="CS25" s="398">
        <f t="shared" si="30"/>
        <v>0</v>
      </c>
      <c r="CV25" s="398">
        <f t="shared" si="31"/>
        <v>0</v>
      </c>
      <c r="CY25" s="398">
        <f t="shared" si="32"/>
        <v>0</v>
      </c>
      <c r="DB25" s="398">
        <f t="shared" si="33"/>
        <v>0</v>
      </c>
      <c r="DE25" s="398">
        <f t="shared" si="34"/>
        <v>0</v>
      </c>
      <c r="DH25" s="398">
        <f t="shared" si="35"/>
        <v>0</v>
      </c>
      <c r="DK25" s="398">
        <f t="shared" si="36"/>
        <v>0</v>
      </c>
      <c r="DN25" s="398">
        <f t="shared" si="37"/>
        <v>0</v>
      </c>
      <c r="DQ25" s="398">
        <f t="shared" si="38"/>
        <v>0</v>
      </c>
      <c r="DT25" s="398">
        <f t="shared" si="39"/>
        <v>0</v>
      </c>
      <c r="DW25" s="398">
        <f t="shared" si="40"/>
        <v>0</v>
      </c>
      <c r="DY25" s="405"/>
      <c r="DZ25" s="396"/>
      <c r="EA25" s="398"/>
      <c r="EB25" s="212">
        <f t="shared" si="41"/>
        <v>388213025.26999998</v>
      </c>
      <c r="EC25" s="212">
        <f t="shared" si="42"/>
        <v>75963025.269999981</v>
      </c>
      <c r="ED25" s="398">
        <f t="shared" si="43"/>
        <v>27233.481329675004</v>
      </c>
      <c r="EE25" s="399">
        <f t="shared" si="44"/>
        <v>2.5254313071706794E-2</v>
      </c>
      <c r="EG25" s="212">
        <f t="shared" si="45"/>
        <v>0</v>
      </c>
      <c r="EH25" s="398">
        <f t="shared" si="46"/>
        <v>0</v>
      </c>
      <c r="EI25" s="399">
        <f t="shared" si="47"/>
        <v>0</v>
      </c>
      <c r="EJ25" s="399"/>
      <c r="EK25" s="212">
        <f t="shared" si="48"/>
        <v>312250000</v>
      </c>
      <c r="EL25" s="212">
        <f t="shared" si="49"/>
        <v>0</v>
      </c>
      <c r="EM25" s="212">
        <f t="shared" si="50"/>
        <v>22401.388888888887</v>
      </c>
      <c r="EN25" s="399">
        <f t="shared" si="51"/>
        <v>2.5827061649319454E-2</v>
      </c>
      <c r="EP25" s="398"/>
    </row>
    <row r="26" spans="1:146">
      <c r="A26" s="416">
        <f t="shared" si="52"/>
        <v>43419</v>
      </c>
      <c r="D26" s="398">
        <f t="shared" si="1"/>
        <v>0</v>
      </c>
      <c r="E26" s="398">
        <v>13010354.359999999</v>
      </c>
      <c r="F26" s="399">
        <v>2.3099999999999999E-2</v>
      </c>
      <c r="G26" s="398">
        <f t="shared" si="2"/>
        <v>834.83107143333325</v>
      </c>
      <c r="J26" s="398">
        <f t="shared" si="3"/>
        <v>0</v>
      </c>
      <c r="M26" s="398">
        <f t="shared" si="4"/>
        <v>0</v>
      </c>
      <c r="P26" s="398">
        <f t="shared" si="5"/>
        <v>0</v>
      </c>
      <c r="S26" s="398">
        <f t="shared" si="6"/>
        <v>0</v>
      </c>
      <c r="V26" s="398">
        <f t="shared" si="7"/>
        <v>0</v>
      </c>
      <c r="Y26" s="398">
        <f t="shared" si="8"/>
        <v>0</v>
      </c>
      <c r="AB26" s="398">
        <f t="shared" si="9"/>
        <v>0</v>
      </c>
      <c r="AE26" s="398">
        <v>0</v>
      </c>
      <c r="AH26" s="398">
        <v>0</v>
      </c>
      <c r="AI26" s="417">
        <f>62875000</f>
        <v>62875000</v>
      </c>
      <c r="AJ26" s="418">
        <v>2.4500000000000001E-2</v>
      </c>
      <c r="AK26" s="398">
        <f t="shared" si="10"/>
        <v>4278.9930555555557</v>
      </c>
      <c r="AL26" s="417">
        <f t="shared" ref="AL26:AL41" si="57">62250000+30100000</f>
        <v>92350000</v>
      </c>
      <c r="AM26" s="418">
        <v>2.5999999999999999E-2</v>
      </c>
      <c r="AN26" s="398">
        <f t="shared" si="11"/>
        <v>6669.7222222222226</v>
      </c>
      <c r="AO26" s="417"/>
      <c r="AP26" s="418"/>
      <c r="AQ26" s="398">
        <f t="shared" si="12"/>
        <v>0</v>
      </c>
      <c r="AR26" s="417">
        <f t="shared" si="53"/>
        <v>75000000</v>
      </c>
      <c r="AS26" s="418">
        <v>2.5600000000000001E-2</v>
      </c>
      <c r="AT26" s="398">
        <f t="shared" si="13"/>
        <v>5333.333333333333</v>
      </c>
      <c r="AU26" s="417">
        <f t="shared" si="54"/>
        <v>50000000</v>
      </c>
      <c r="AV26" s="418">
        <v>2.5100000000000001E-2</v>
      </c>
      <c r="AW26" s="398">
        <f t="shared" si="14"/>
        <v>3486.1111111111113</v>
      </c>
      <c r="AX26" s="417">
        <f t="shared" si="55"/>
        <v>70000000</v>
      </c>
      <c r="AY26" s="418">
        <v>2.63E-2</v>
      </c>
      <c r="AZ26" s="398">
        <f t="shared" si="15"/>
        <v>5113.8888888888887</v>
      </c>
      <c r="BA26" s="417">
        <f t="shared" si="56"/>
        <v>55000000</v>
      </c>
      <c r="BB26" s="418">
        <v>2.5999999999999999E-2</v>
      </c>
      <c r="BC26" s="398">
        <f t="shared" si="16"/>
        <v>3972.2222222222222</v>
      </c>
      <c r="BF26" s="398">
        <f t="shared" si="17"/>
        <v>0</v>
      </c>
      <c r="BI26" s="398">
        <f t="shared" si="18"/>
        <v>0</v>
      </c>
      <c r="BL26" s="398">
        <f t="shared" si="19"/>
        <v>0</v>
      </c>
      <c r="BO26" s="398">
        <f t="shared" si="20"/>
        <v>0</v>
      </c>
      <c r="BR26" s="398">
        <f t="shared" si="21"/>
        <v>0</v>
      </c>
      <c r="BU26" s="398">
        <f t="shared" si="22"/>
        <v>0</v>
      </c>
      <c r="BX26" s="398">
        <f t="shared" si="23"/>
        <v>0</v>
      </c>
      <c r="CA26" s="398">
        <f t="shared" si="24"/>
        <v>0</v>
      </c>
      <c r="CD26" s="398">
        <f t="shared" si="25"/>
        <v>0</v>
      </c>
      <c r="CG26" s="398">
        <f t="shared" si="26"/>
        <v>0</v>
      </c>
      <c r="CJ26" s="398">
        <f t="shared" si="27"/>
        <v>0</v>
      </c>
      <c r="CM26" s="398">
        <f t="shared" si="28"/>
        <v>0</v>
      </c>
      <c r="CP26" s="398">
        <f t="shared" si="29"/>
        <v>0</v>
      </c>
      <c r="CS26" s="398">
        <f t="shared" si="30"/>
        <v>0</v>
      </c>
      <c r="CV26" s="398">
        <f t="shared" si="31"/>
        <v>0</v>
      </c>
      <c r="CY26" s="398">
        <f t="shared" si="32"/>
        <v>0</v>
      </c>
      <c r="DB26" s="398">
        <f t="shared" si="33"/>
        <v>0</v>
      </c>
      <c r="DE26" s="398">
        <f t="shared" si="34"/>
        <v>0</v>
      </c>
      <c r="DH26" s="398">
        <f t="shared" si="35"/>
        <v>0</v>
      </c>
      <c r="DK26" s="398">
        <f t="shared" si="36"/>
        <v>0</v>
      </c>
      <c r="DN26" s="398">
        <f t="shared" si="37"/>
        <v>0</v>
      </c>
      <c r="DQ26" s="398">
        <f t="shared" si="38"/>
        <v>0</v>
      </c>
      <c r="DT26" s="398">
        <f t="shared" si="39"/>
        <v>0</v>
      </c>
      <c r="DW26" s="398">
        <f t="shared" si="40"/>
        <v>0</v>
      </c>
      <c r="DY26" s="405"/>
      <c r="DZ26" s="396"/>
      <c r="EA26" s="398"/>
      <c r="EB26" s="212">
        <f t="shared" si="41"/>
        <v>418235354.36000001</v>
      </c>
      <c r="EC26" s="212">
        <f t="shared" si="42"/>
        <v>13010354.360000014</v>
      </c>
      <c r="ED26" s="398">
        <f t="shared" si="43"/>
        <v>29689.101904766667</v>
      </c>
      <c r="EE26" s="399">
        <f t="shared" si="44"/>
        <v>2.5555172642139044E-2</v>
      </c>
      <c r="EG26" s="212">
        <f t="shared" si="45"/>
        <v>0</v>
      </c>
      <c r="EH26" s="398">
        <f t="shared" si="46"/>
        <v>0</v>
      </c>
      <c r="EI26" s="399">
        <f t="shared" si="47"/>
        <v>0</v>
      </c>
      <c r="EJ26" s="399"/>
      <c r="EK26" s="212">
        <f t="shared" si="48"/>
        <v>405225000</v>
      </c>
      <c r="EL26" s="212">
        <f t="shared" si="49"/>
        <v>0</v>
      </c>
      <c r="EM26" s="212">
        <f t="shared" si="50"/>
        <v>28854.270833333332</v>
      </c>
      <c r="EN26" s="399">
        <f t="shared" si="51"/>
        <v>2.5633999629835279E-2</v>
      </c>
      <c r="EP26" s="398"/>
    </row>
    <row r="27" spans="1:146">
      <c r="A27" s="416">
        <f t="shared" si="52"/>
        <v>43420</v>
      </c>
      <c r="D27" s="398">
        <f t="shared" si="1"/>
        <v>0</v>
      </c>
      <c r="E27" s="398">
        <v>14437804.130000001</v>
      </c>
      <c r="F27" s="399">
        <v>2.3399999999999997E-2</v>
      </c>
      <c r="G27" s="398">
        <f t="shared" si="2"/>
        <v>938.4572684499999</v>
      </c>
      <c r="J27" s="398">
        <f t="shared" si="3"/>
        <v>0</v>
      </c>
      <c r="M27" s="398">
        <f t="shared" si="4"/>
        <v>0</v>
      </c>
      <c r="P27" s="398">
        <f t="shared" si="5"/>
        <v>0</v>
      </c>
      <c r="S27" s="398">
        <f t="shared" si="6"/>
        <v>0</v>
      </c>
      <c r="V27" s="398">
        <f t="shared" si="7"/>
        <v>0</v>
      </c>
      <c r="Y27" s="398">
        <f t="shared" si="8"/>
        <v>0</v>
      </c>
      <c r="AB27" s="398">
        <f t="shared" si="9"/>
        <v>0</v>
      </c>
      <c r="AE27" s="398">
        <v>0</v>
      </c>
      <c r="AH27" s="398">
        <v>0</v>
      </c>
      <c r="AI27" s="417">
        <f>50000000+61475000</f>
        <v>111475000</v>
      </c>
      <c r="AJ27" s="418">
        <v>2.4500000000000001E-2</v>
      </c>
      <c r="AK27" s="398">
        <f t="shared" si="10"/>
        <v>7586.4930555555557</v>
      </c>
      <c r="AL27" s="417">
        <f t="shared" si="57"/>
        <v>92350000</v>
      </c>
      <c r="AM27" s="418">
        <v>2.5999999999999999E-2</v>
      </c>
      <c r="AN27" s="398">
        <f t="shared" si="11"/>
        <v>6669.7222222222226</v>
      </c>
      <c r="AO27" s="417"/>
      <c r="AP27" s="418"/>
      <c r="AQ27" s="398">
        <f t="shared" si="12"/>
        <v>0</v>
      </c>
      <c r="AR27" s="417">
        <f t="shared" si="53"/>
        <v>75000000</v>
      </c>
      <c r="AS27" s="418">
        <v>2.5600000000000001E-2</v>
      </c>
      <c r="AT27" s="398">
        <f t="shared" si="13"/>
        <v>5333.333333333333</v>
      </c>
      <c r="AU27" s="417"/>
      <c r="AV27" s="418"/>
      <c r="AW27" s="398">
        <f t="shared" si="14"/>
        <v>0</v>
      </c>
      <c r="AX27" s="417">
        <f t="shared" si="55"/>
        <v>70000000</v>
      </c>
      <c r="AY27" s="418">
        <v>2.63E-2</v>
      </c>
      <c r="AZ27" s="398">
        <f t="shared" si="15"/>
        <v>5113.8888888888887</v>
      </c>
      <c r="BA27" s="417">
        <f t="shared" si="56"/>
        <v>55000000</v>
      </c>
      <c r="BB27" s="418">
        <v>2.5999999999999999E-2</v>
      </c>
      <c r="BC27" s="398">
        <f t="shared" si="16"/>
        <v>3972.2222222222222</v>
      </c>
      <c r="BF27" s="398">
        <f t="shared" si="17"/>
        <v>0</v>
      </c>
      <c r="BI27" s="398">
        <f t="shared" si="18"/>
        <v>0</v>
      </c>
      <c r="BL27" s="398">
        <f t="shared" si="19"/>
        <v>0</v>
      </c>
      <c r="BO27" s="398">
        <f t="shared" si="20"/>
        <v>0</v>
      </c>
      <c r="BR27" s="398">
        <f t="shared" si="21"/>
        <v>0</v>
      </c>
      <c r="BU27" s="398">
        <f t="shared" si="22"/>
        <v>0</v>
      </c>
      <c r="BX27" s="398">
        <f t="shared" si="23"/>
        <v>0</v>
      </c>
      <c r="CA27" s="398">
        <f t="shared" si="24"/>
        <v>0</v>
      </c>
      <c r="CD27" s="398">
        <f t="shared" si="25"/>
        <v>0</v>
      </c>
      <c r="CG27" s="398">
        <f t="shared" si="26"/>
        <v>0</v>
      </c>
      <c r="CJ27" s="398">
        <f t="shared" si="27"/>
        <v>0</v>
      </c>
      <c r="CM27" s="398">
        <f t="shared" si="28"/>
        <v>0</v>
      </c>
      <c r="CP27" s="398">
        <f t="shared" si="29"/>
        <v>0</v>
      </c>
      <c r="CS27" s="398">
        <f t="shared" si="30"/>
        <v>0</v>
      </c>
      <c r="CV27" s="398">
        <f t="shared" si="31"/>
        <v>0</v>
      </c>
      <c r="CY27" s="398">
        <f t="shared" si="32"/>
        <v>0</v>
      </c>
      <c r="DB27" s="398">
        <f t="shared" si="33"/>
        <v>0</v>
      </c>
      <c r="DE27" s="398">
        <f t="shared" si="34"/>
        <v>0</v>
      </c>
      <c r="DH27" s="398">
        <f t="shared" si="35"/>
        <v>0</v>
      </c>
      <c r="DK27" s="398">
        <f t="shared" si="36"/>
        <v>0</v>
      </c>
      <c r="DN27" s="398">
        <f t="shared" si="37"/>
        <v>0</v>
      </c>
      <c r="DQ27" s="398">
        <f t="shared" si="38"/>
        <v>0</v>
      </c>
      <c r="DT27" s="398">
        <f t="shared" si="39"/>
        <v>0</v>
      </c>
      <c r="DW27" s="398">
        <f t="shared" si="40"/>
        <v>0</v>
      </c>
      <c r="DY27" s="405"/>
      <c r="DZ27" s="396"/>
      <c r="EA27" s="398"/>
      <c r="EB27" s="212">
        <f t="shared" si="41"/>
        <v>418262804.13</v>
      </c>
      <c r="EC27" s="212">
        <f t="shared" si="42"/>
        <v>14437804.129999995</v>
      </c>
      <c r="ED27" s="398">
        <f t="shared" si="43"/>
        <v>29614.116990672224</v>
      </c>
      <c r="EE27" s="399">
        <f t="shared" si="44"/>
        <v>2.5488955774629285E-2</v>
      </c>
      <c r="EG27" s="212">
        <f t="shared" si="45"/>
        <v>0</v>
      </c>
      <c r="EH27" s="398">
        <f t="shared" si="46"/>
        <v>0</v>
      </c>
      <c r="EI27" s="399">
        <f t="shared" si="47"/>
        <v>0</v>
      </c>
      <c r="EJ27" s="399"/>
      <c r="EK27" s="212">
        <f t="shared" si="48"/>
        <v>403825000</v>
      </c>
      <c r="EL27" s="212">
        <f t="shared" si="49"/>
        <v>0</v>
      </c>
      <c r="EM27" s="212">
        <f t="shared" si="50"/>
        <v>28675.659722222223</v>
      </c>
      <c r="EN27" s="399">
        <f t="shared" si="51"/>
        <v>2.5563641428836749E-2</v>
      </c>
      <c r="EP27" s="398"/>
    </row>
    <row r="28" spans="1:146">
      <c r="A28" s="416">
        <f t="shared" si="52"/>
        <v>43421</v>
      </c>
      <c r="D28" s="398">
        <f t="shared" si="1"/>
        <v>0</v>
      </c>
      <c r="E28" s="398">
        <v>14437804.130000001</v>
      </c>
      <c r="F28" s="399">
        <v>2.3399999999999997E-2</v>
      </c>
      <c r="G28" s="398">
        <f t="shared" si="2"/>
        <v>938.4572684499999</v>
      </c>
      <c r="J28" s="398">
        <f t="shared" si="3"/>
        <v>0</v>
      </c>
      <c r="M28" s="398">
        <f t="shared" si="4"/>
        <v>0</v>
      </c>
      <c r="P28" s="398">
        <f t="shared" si="5"/>
        <v>0</v>
      </c>
      <c r="S28" s="398">
        <f t="shared" si="6"/>
        <v>0</v>
      </c>
      <c r="V28" s="398">
        <f t="shared" si="7"/>
        <v>0</v>
      </c>
      <c r="Y28" s="398">
        <f t="shared" si="8"/>
        <v>0</v>
      </c>
      <c r="AB28" s="398">
        <f t="shared" si="9"/>
        <v>0</v>
      </c>
      <c r="AE28" s="398">
        <v>0</v>
      </c>
      <c r="AH28" s="398">
        <v>0</v>
      </c>
      <c r="AI28" s="417">
        <f>50000000+61475000</f>
        <v>111475000</v>
      </c>
      <c r="AJ28" s="418">
        <v>2.4500000000000001E-2</v>
      </c>
      <c r="AK28" s="398">
        <f t="shared" si="10"/>
        <v>7586.4930555555557</v>
      </c>
      <c r="AL28" s="417">
        <f t="shared" si="57"/>
        <v>92350000</v>
      </c>
      <c r="AM28" s="418">
        <v>2.5999999999999999E-2</v>
      </c>
      <c r="AN28" s="398">
        <f t="shared" si="11"/>
        <v>6669.7222222222226</v>
      </c>
      <c r="AO28" s="417"/>
      <c r="AP28" s="418"/>
      <c r="AQ28" s="398">
        <f t="shared" si="12"/>
        <v>0</v>
      </c>
      <c r="AR28" s="417">
        <f t="shared" si="53"/>
        <v>75000000</v>
      </c>
      <c r="AS28" s="418">
        <v>2.5600000000000001E-2</v>
      </c>
      <c r="AT28" s="398">
        <f t="shared" si="13"/>
        <v>5333.333333333333</v>
      </c>
      <c r="AU28" s="417"/>
      <c r="AV28" s="418"/>
      <c r="AW28" s="398">
        <f t="shared" si="14"/>
        <v>0</v>
      </c>
      <c r="AX28" s="417">
        <f t="shared" si="55"/>
        <v>70000000</v>
      </c>
      <c r="AY28" s="418">
        <v>2.63E-2</v>
      </c>
      <c r="AZ28" s="398">
        <f t="shared" si="15"/>
        <v>5113.8888888888887</v>
      </c>
      <c r="BA28" s="417">
        <f t="shared" si="56"/>
        <v>55000000</v>
      </c>
      <c r="BB28" s="418">
        <v>2.5999999999999999E-2</v>
      </c>
      <c r="BC28" s="398">
        <f t="shared" si="16"/>
        <v>3972.2222222222222</v>
      </c>
      <c r="BF28" s="398">
        <f t="shared" si="17"/>
        <v>0</v>
      </c>
      <c r="BI28" s="398">
        <f t="shared" si="18"/>
        <v>0</v>
      </c>
      <c r="BL28" s="398">
        <f t="shared" si="19"/>
        <v>0</v>
      </c>
      <c r="BO28" s="398">
        <f t="shared" si="20"/>
        <v>0</v>
      </c>
      <c r="BR28" s="398">
        <f t="shared" si="21"/>
        <v>0</v>
      </c>
      <c r="BU28" s="398">
        <f t="shared" si="22"/>
        <v>0</v>
      </c>
      <c r="BX28" s="398">
        <f t="shared" si="23"/>
        <v>0</v>
      </c>
      <c r="CA28" s="398">
        <f t="shared" si="24"/>
        <v>0</v>
      </c>
      <c r="CD28" s="398">
        <f t="shared" si="25"/>
        <v>0</v>
      </c>
      <c r="CG28" s="398">
        <f t="shared" si="26"/>
        <v>0</v>
      </c>
      <c r="CJ28" s="398">
        <f t="shared" si="27"/>
        <v>0</v>
      </c>
      <c r="CM28" s="398">
        <f t="shared" si="28"/>
        <v>0</v>
      </c>
      <c r="CP28" s="398">
        <f t="shared" si="29"/>
        <v>0</v>
      </c>
      <c r="CS28" s="398">
        <f t="shared" si="30"/>
        <v>0</v>
      </c>
      <c r="CV28" s="398">
        <f t="shared" si="31"/>
        <v>0</v>
      </c>
      <c r="CY28" s="398">
        <f t="shared" si="32"/>
        <v>0</v>
      </c>
      <c r="DB28" s="398">
        <f t="shared" si="33"/>
        <v>0</v>
      </c>
      <c r="DE28" s="398">
        <f t="shared" si="34"/>
        <v>0</v>
      </c>
      <c r="DH28" s="398">
        <f t="shared" si="35"/>
        <v>0</v>
      </c>
      <c r="DK28" s="398">
        <f t="shared" si="36"/>
        <v>0</v>
      </c>
      <c r="DN28" s="398">
        <f t="shared" si="37"/>
        <v>0</v>
      </c>
      <c r="DQ28" s="398">
        <f t="shared" si="38"/>
        <v>0</v>
      </c>
      <c r="DT28" s="398">
        <f t="shared" si="39"/>
        <v>0</v>
      </c>
      <c r="DW28" s="398">
        <f t="shared" si="40"/>
        <v>0</v>
      </c>
      <c r="DY28" s="405"/>
      <c r="DZ28" s="396"/>
      <c r="EA28" s="398"/>
      <c r="EB28" s="212">
        <f t="shared" si="41"/>
        <v>418262804.13</v>
      </c>
      <c r="EC28" s="212">
        <f t="shared" si="42"/>
        <v>14437804.129999995</v>
      </c>
      <c r="ED28" s="398">
        <f t="shared" si="43"/>
        <v>29614.116990672224</v>
      </c>
      <c r="EE28" s="399">
        <f t="shared" si="44"/>
        <v>2.5488955774629285E-2</v>
      </c>
      <c r="EG28" s="212">
        <f t="shared" si="45"/>
        <v>0</v>
      </c>
      <c r="EH28" s="398">
        <f t="shared" si="46"/>
        <v>0</v>
      </c>
      <c r="EI28" s="399">
        <f t="shared" si="47"/>
        <v>0</v>
      </c>
      <c r="EJ28" s="399"/>
      <c r="EK28" s="212">
        <f t="shared" si="48"/>
        <v>403825000</v>
      </c>
      <c r="EL28" s="212">
        <f t="shared" si="49"/>
        <v>0</v>
      </c>
      <c r="EM28" s="212">
        <f t="shared" si="50"/>
        <v>28675.659722222223</v>
      </c>
      <c r="EN28" s="399">
        <f t="shared" si="51"/>
        <v>2.5563641428836749E-2</v>
      </c>
      <c r="EP28" s="398"/>
    </row>
    <row r="29" spans="1:146">
      <c r="A29" s="416">
        <f t="shared" si="52"/>
        <v>43422</v>
      </c>
      <c r="D29" s="398">
        <f t="shared" si="1"/>
        <v>0</v>
      </c>
      <c r="E29" s="398">
        <v>14437804.130000001</v>
      </c>
      <c r="F29" s="399">
        <v>2.3399999999999997E-2</v>
      </c>
      <c r="G29" s="398">
        <f t="shared" si="2"/>
        <v>938.4572684499999</v>
      </c>
      <c r="J29" s="398">
        <f t="shared" si="3"/>
        <v>0</v>
      </c>
      <c r="M29" s="398">
        <f t="shared" si="4"/>
        <v>0</v>
      </c>
      <c r="P29" s="398">
        <f t="shared" si="5"/>
        <v>0</v>
      </c>
      <c r="S29" s="398">
        <f t="shared" si="6"/>
        <v>0</v>
      </c>
      <c r="V29" s="398">
        <f t="shared" si="7"/>
        <v>0</v>
      </c>
      <c r="Y29" s="398">
        <f t="shared" si="8"/>
        <v>0</v>
      </c>
      <c r="AB29" s="398">
        <f t="shared" si="9"/>
        <v>0</v>
      </c>
      <c r="AE29" s="398">
        <v>0</v>
      </c>
      <c r="AH29" s="398">
        <v>0</v>
      </c>
      <c r="AI29" s="417">
        <f>50000000+61475000</f>
        <v>111475000</v>
      </c>
      <c r="AJ29" s="418">
        <v>2.4500000000000001E-2</v>
      </c>
      <c r="AK29" s="398">
        <f t="shared" si="10"/>
        <v>7586.4930555555557</v>
      </c>
      <c r="AL29" s="417">
        <f t="shared" si="57"/>
        <v>92350000</v>
      </c>
      <c r="AM29" s="418">
        <v>2.5999999999999999E-2</v>
      </c>
      <c r="AN29" s="398">
        <f t="shared" si="11"/>
        <v>6669.7222222222226</v>
      </c>
      <c r="AO29" s="417"/>
      <c r="AP29" s="418"/>
      <c r="AQ29" s="398">
        <f t="shared" si="12"/>
        <v>0</v>
      </c>
      <c r="AR29" s="417">
        <f t="shared" si="53"/>
        <v>75000000</v>
      </c>
      <c r="AS29" s="418">
        <v>2.5600000000000001E-2</v>
      </c>
      <c r="AT29" s="398">
        <f t="shared" si="13"/>
        <v>5333.333333333333</v>
      </c>
      <c r="AU29" s="417"/>
      <c r="AV29" s="418"/>
      <c r="AW29" s="398">
        <f t="shared" si="14"/>
        <v>0</v>
      </c>
      <c r="AX29" s="417">
        <f t="shared" si="55"/>
        <v>70000000</v>
      </c>
      <c r="AY29" s="418">
        <v>2.63E-2</v>
      </c>
      <c r="AZ29" s="398">
        <f t="shared" si="15"/>
        <v>5113.8888888888887</v>
      </c>
      <c r="BA29" s="417">
        <f t="shared" si="56"/>
        <v>55000000</v>
      </c>
      <c r="BB29" s="418">
        <v>2.5999999999999999E-2</v>
      </c>
      <c r="BC29" s="398">
        <f t="shared" si="16"/>
        <v>3972.2222222222222</v>
      </c>
      <c r="BF29" s="398">
        <f t="shared" si="17"/>
        <v>0</v>
      </c>
      <c r="BI29" s="398">
        <f t="shared" si="18"/>
        <v>0</v>
      </c>
      <c r="BL29" s="398">
        <f t="shared" si="19"/>
        <v>0</v>
      </c>
      <c r="BO29" s="398">
        <f t="shared" si="20"/>
        <v>0</v>
      </c>
      <c r="BR29" s="398">
        <f t="shared" si="21"/>
        <v>0</v>
      </c>
      <c r="BU29" s="398">
        <f t="shared" si="22"/>
        <v>0</v>
      </c>
      <c r="BX29" s="398">
        <f t="shared" si="23"/>
        <v>0</v>
      </c>
      <c r="CA29" s="398">
        <f t="shared" si="24"/>
        <v>0</v>
      </c>
      <c r="CD29" s="398">
        <f t="shared" si="25"/>
        <v>0</v>
      </c>
      <c r="CG29" s="398">
        <f t="shared" si="26"/>
        <v>0</v>
      </c>
      <c r="CJ29" s="398">
        <f t="shared" si="27"/>
        <v>0</v>
      </c>
      <c r="CM29" s="398">
        <f t="shared" si="28"/>
        <v>0</v>
      </c>
      <c r="CP29" s="398">
        <f t="shared" si="29"/>
        <v>0</v>
      </c>
      <c r="CS29" s="398">
        <f t="shared" si="30"/>
        <v>0</v>
      </c>
      <c r="CV29" s="398">
        <f t="shared" si="31"/>
        <v>0</v>
      </c>
      <c r="CY29" s="398">
        <f t="shared" si="32"/>
        <v>0</v>
      </c>
      <c r="DB29" s="398">
        <f t="shared" si="33"/>
        <v>0</v>
      </c>
      <c r="DE29" s="398">
        <f t="shared" si="34"/>
        <v>0</v>
      </c>
      <c r="DH29" s="398">
        <f t="shared" si="35"/>
        <v>0</v>
      </c>
      <c r="DK29" s="398">
        <f t="shared" si="36"/>
        <v>0</v>
      </c>
      <c r="DN29" s="398">
        <f t="shared" si="37"/>
        <v>0</v>
      </c>
      <c r="DQ29" s="398">
        <f t="shared" si="38"/>
        <v>0</v>
      </c>
      <c r="DT29" s="398">
        <f t="shared" si="39"/>
        <v>0</v>
      </c>
      <c r="DW29" s="398">
        <f t="shared" si="40"/>
        <v>0</v>
      </c>
      <c r="DY29" s="405"/>
      <c r="DZ29" s="396"/>
      <c r="EA29" s="398"/>
      <c r="EB29" s="212">
        <f t="shared" si="41"/>
        <v>418262804.13</v>
      </c>
      <c r="EC29" s="212">
        <f t="shared" si="42"/>
        <v>14437804.129999995</v>
      </c>
      <c r="ED29" s="398">
        <f t="shared" si="43"/>
        <v>29614.116990672224</v>
      </c>
      <c r="EE29" s="399">
        <f t="shared" si="44"/>
        <v>2.5488955774629285E-2</v>
      </c>
      <c r="EG29" s="212">
        <f t="shared" si="45"/>
        <v>0</v>
      </c>
      <c r="EH29" s="398">
        <f t="shared" si="46"/>
        <v>0</v>
      </c>
      <c r="EI29" s="399">
        <f t="shared" si="47"/>
        <v>0</v>
      </c>
      <c r="EJ29" s="399"/>
      <c r="EK29" s="212">
        <f t="shared" si="48"/>
        <v>403825000</v>
      </c>
      <c r="EL29" s="212">
        <f t="shared" si="49"/>
        <v>0</v>
      </c>
      <c r="EM29" s="212">
        <f t="shared" si="50"/>
        <v>28675.659722222223</v>
      </c>
      <c r="EN29" s="399">
        <f t="shared" si="51"/>
        <v>2.5563641428836749E-2</v>
      </c>
      <c r="EP29" s="398"/>
    </row>
    <row r="30" spans="1:146">
      <c r="A30" s="416">
        <f t="shared" si="52"/>
        <v>43423</v>
      </c>
      <c r="D30" s="398">
        <f t="shared" si="1"/>
        <v>0</v>
      </c>
      <c r="E30" s="398">
        <v>14021932.880000001</v>
      </c>
      <c r="F30" s="399">
        <v>2.3199999999999998E-2</v>
      </c>
      <c r="G30" s="398">
        <f t="shared" si="2"/>
        <v>903.63567448888887</v>
      </c>
      <c r="J30" s="398">
        <f t="shared" si="3"/>
        <v>0</v>
      </c>
      <c r="M30" s="398">
        <f t="shared" si="4"/>
        <v>0</v>
      </c>
      <c r="P30" s="398">
        <f t="shared" si="5"/>
        <v>0</v>
      </c>
      <c r="S30" s="398">
        <f t="shared" si="6"/>
        <v>0</v>
      </c>
      <c r="V30" s="398">
        <f t="shared" si="7"/>
        <v>0</v>
      </c>
      <c r="Y30" s="398">
        <f t="shared" si="8"/>
        <v>0</v>
      </c>
      <c r="AB30" s="398">
        <f t="shared" si="9"/>
        <v>0</v>
      </c>
      <c r="AE30" s="398">
        <v>0</v>
      </c>
      <c r="AH30" s="398">
        <v>0</v>
      </c>
      <c r="AI30" s="417">
        <f>50000000+61900000</f>
        <v>111900000</v>
      </c>
      <c r="AJ30" s="418">
        <v>2.4500000000000001E-2</v>
      </c>
      <c r="AK30" s="398">
        <f t="shared" si="10"/>
        <v>7615.416666666667</v>
      </c>
      <c r="AL30" s="417">
        <f t="shared" si="57"/>
        <v>92350000</v>
      </c>
      <c r="AM30" s="418">
        <v>2.5999999999999999E-2</v>
      </c>
      <c r="AN30" s="398">
        <f t="shared" si="11"/>
        <v>6669.7222222222226</v>
      </c>
      <c r="AO30" s="417"/>
      <c r="AP30" s="418"/>
      <c r="AQ30" s="398">
        <f t="shared" si="12"/>
        <v>0</v>
      </c>
      <c r="AR30" s="417">
        <f t="shared" si="53"/>
        <v>75000000</v>
      </c>
      <c r="AS30" s="418">
        <v>2.5600000000000001E-2</v>
      </c>
      <c r="AT30" s="398">
        <f t="shared" si="13"/>
        <v>5333.333333333333</v>
      </c>
      <c r="AU30" s="417"/>
      <c r="AV30" s="418"/>
      <c r="AW30" s="398">
        <f t="shared" si="14"/>
        <v>0</v>
      </c>
      <c r="AX30" s="417">
        <f t="shared" si="55"/>
        <v>70000000</v>
      </c>
      <c r="AY30" s="418">
        <v>2.63E-2</v>
      </c>
      <c r="AZ30" s="398">
        <f t="shared" si="15"/>
        <v>5113.8888888888887</v>
      </c>
      <c r="BA30" s="417">
        <f t="shared" si="56"/>
        <v>55000000</v>
      </c>
      <c r="BB30" s="418">
        <v>2.5999999999999999E-2</v>
      </c>
      <c r="BC30" s="398">
        <f t="shared" si="16"/>
        <v>3972.2222222222222</v>
      </c>
      <c r="BF30" s="398">
        <f t="shared" si="17"/>
        <v>0</v>
      </c>
      <c r="BI30" s="398">
        <f t="shared" si="18"/>
        <v>0</v>
      </c>
      <c r="BL30" s="398">
        <f t="shared" si="19"/>
        <v>0</v>
      </c>
      <c r="BO30" s="398">
        <f t="shared" si="20"/>
        <v>0</v>
      </c>
      <c r="BR30" s="398">
        <f t="shared" si="21"/>
        <v>0</v>
      </c>
      <c r="BU30" s="398">
        <f t="shared" si="22"/>
        <v>0</v>
      </c>
      <c r="BX30" s="398">
        <f t="shared" si="23"/>
        <v>0</v>
      </c>
      <c r="CA30" s="398">
        <f t="shared" si="24"/>
        <v>0</v>
      </c>
      <c r="CD30" s="398">
        <f t="shared" si="25"/>
        <v>0</v>
      </c>
      <c r="CG30" s="398">
        <f t="shared" si="26"/>
        <v>0</v>
      </c>
      <c r="CJ30" s="398">
        <f t="shared" si="27"/>
        <v>0</v>
      </c>
      <c r="CM30" s="398">
        <f t="shared" si="28"/>
        <v>0</v>
      </c>
      <c r="CP30" s="398">
        <f t="shared" si="29"/>
        <v>0</v>
      </c>
      <c r="CS30" s="398">
        <f t="shared" si="30"/>
        <v>0</v>
      </c>
      <c r="CV30" s="398">
        <f t="shared" si="31"/>
        <v>0</v>
      </c>
      <c r="CY30" s="398">
        <f t="shared" si="32"/>
        <v>0</v>
      </c>
      <c r="DB30" s="398">
        <f t="shared" si="33"/>
        <v>0</v>
      </c>
      <c r="DE30" s="398">
        <f t="shared" si="34"/>
        <v>0</v>
      </c>
      <c r="DH30" s="398">
        <f t="shared" si="35"/>
        <v>0</v>
      </c>
      <c r="DK30" s="398">
        <f t="shared" si="36"/>
        <v>0</v>
      </c>
      <c r="DN30" s="398">
        <f t="shared" si="37"/>
        <v>0</v>
      </c>
      <c r="DQ30" s="398">
        <f t="shared" si="38"/>
        <v>0</v>
      </c>
      <c r="DT30" s="398">
        <f t="shared" si="39"/>
        <v>0</v>
      </c>
      <c r="DW30" s="398">
        <f t="shared" si="40"/>
        <v>0</v>
      </c>
      <c r="DY30" s="405"/>
      <c r="DZ30" s="396"/>
      <c r="EA30" s="398"/>
      <c r="EB30" s="212">
        <f t="shared" si="41"/>
        <v>418271932.88</v>
      </c>
      <c r="EC30" s="212">
        <f t="shared" si="42"/>
        <v>14021932.879999995</v>
      </c>
      <c r="ED30" s="398">
        <f t="shared" si="43"/>
        <v>29608.219007822223</v>
      </c>
      <c r="EE30" s="399">
        <f t="shared" si="44"/>
        <v>2.5483323180267029E-2</v>
      </c>
      <c r="EG30" s="212">
        <f t="shared" si="45"/>
        <v>0</v>
      </c>
      <c r="EH30" s="398">
        <f t="shared" si="46"/>
        <v>0</v>
      </c>
      <c r="EI30" s="399">
        <f t="shared" si="47"/>
        <v>0</v>
      </c>
      <c r="EJ30" s="399"/>
      <c r="EK30" s="212">
        <f t="shared" si="48"/>
        <v>404250000</v>
      </c>
      <c r="EL30" s="212">
        <f t="shared" si="49"/>
        <v>0</v>
      </c>
      <c r="EM30" s="212">
        <f t="shared" si="50"/>
        <v>28704.583333333336</v>
      </c>
      <c r="EN30" s="399">
        <f t="shared" si="51"/>
        <v>2.5562523191094623E-2</v>
      </c>
      <c r="EP30" s="398"/>
    </row>
    <row r="31" spans="1:146">
      <c r="A31" s="416">
        <f t="shared" si="52"/>
        <v>43424</v>
      </c>
      <c r="D31" s="398">
        <f t="shared" si="1"/>
        <v>0</v>
      </c>
      <c r="E31" s="398">
        <v>69951702.060000002</v>
      </c>
      <c r="F31" s="399">
        <v>2.3099999999999999E-2</v>
      </c>
      <c r="G31" s="398">
        <f t="shared" si="2"/>
        <v>4488.5675488500001</v>
      </c>
      <c r="J31" s="398">
        <f t="shared" si="3"/>
        <v>0</v>
      </c>
      <c r="M31" s="398">
        <f t="shared" si="4"/>
        <v>0</v>
      </c>
      <c r="P31" s="398">
        <f t="shared" si="5"/>
        <v>0</v>
      </c>
      <c r="S31" s="398">
        <f t="shared" si="6"/>
        <v>0</v>
      </c>
      <c r="V31" s="398">
        <f t="shared" si="7"/>
        <v>0</v>
      </c>
      <c r="Y31" s="398">
        <f t="shared" si="8"/>
        <v>0</v>
      </c>
      <c r="AB31" s="398">
        <f t="shared" si="9"/>
        <v>0</v>
      </c>
      <c r="AE31" s="398">
        <v>0</v>
      </c>
      <c r="AH31" s="398">
        <v>0</v>
      </c>
      <c r="AI31" s="417">
        <f>23900000</f>
        <v>23900000</v>
      </c>
      <c r="AJ31" s="418">
        <v>2.4500000000000001E-2</v>
      </c>
      <c r="AK31" s="398">
        <f t="shared" si="10"/>
        <v>1626.5277777777778</v>
      </c>
      <c r="AL31" s="417">
        <f t="shared" si="57"/>
        <v>92350000</v>
      </c>
      <c r="AM31" s="418">
        <v>2.5999999999999999E-2</v>
      </c>
      <c r="AN31" s="398">
        <f t="shared" si="11"/>
        <v>6669.7222222222226</v>
      </c>
      <c r="AO31" s="417"/>
      <c r="AP31" s="418"/>
      <c r="AQ31" s="398">
        <f t="shared" si="12"/>
        <v>0</v>
      </c>
      <c r="AR31" s="417">
        <f t="shared" si="53"/>
        <v>75000000</v>
      </c>
      <c r="AS31" s="418">
        <v>2.5600000000000001E-2</v>
      </c>
      <c r="AT31" s="398">
        <f t="shared" si="13"/>
        <v>5333.333333333333</v>
      </c>
      <c r="AU31" s="417"/>
      <c r="AV31" s="418"/>
      <c r="AW31" s="398">
        <f t="shared" si="14"/>
        <v>0</v>
      </c>
      <c r="AX31" s="417">
        <f t="shared" si="55"/>
        <v>70000000</v>
      </c>
      <c r="AY31" s="418">
        <v>2.63E-2</v>
      </c>
      <c r="AZ31" s="398">
        <f t="shared" si="15"/>
        <v>5113.8888888888887</v>
      </c>
      <c r="BA31" s="417">
        <f t="shared" ref="BA31:BA41" si="58">55000000+25000000</f>
        <v>80000000</v>
      </c>
      <c r="BB31" s="418">
        <v>2.5999999999999999E-2</v>
      </c>
      <c r="BC31" s="398">
        <f t="shared" si="16"/>
        <v>5777.7777777777774</v>
      </c>
      <c r="BF31" s="398">
        <f t="shared" si="17"/>
        <v>0</v>
      </c>
      <c r="BI31" s="398">
        <f t="shared" si="18"/>
        <v>0</v>
      </c>
      <c r="BL31" s="398">
        <f t="shared" si="19"/>
        <v>0</v>
      </c>
      <c r="BO31" s="398">
        <f t="shared" si="20"/>
        <v>0</v>
      </c>
      <c r="BR31" s="398">
        <f t="shared" si="21"/>
        <v>0</v>
      </c>
      <c r="BU31" s="398">
        <f t="shared" si="22"/>
        <v>0</v>
      </c>
      <c r="BX31" s="398">
        <f t="shared" si="23"/>
        <v>0</v>
      </c>
      <c r="CA31" s="398">
        <f t="shared" si="24"/>
        <v>0</v>
      </c>
      <c r="CD31" s="398">
        <f t="shared" si="25"/>
        <v>0</v>
      </c>
      <c r="CG31" s="398">
        <f t="shared" si="26"/>
        <v>0</v>
      </c>
      <c r="CJ31" s="398">
        <f t="shared" si="27"/>
        <v>0</v>
      </c>
      <c r="CM31" s="398">
        <f t="shared" si="28"/>
        <v>0</v>
      </c>
      <c r="CP31" s="398">
        <f t="shared" si="29"/>
        <v>0</v>
      </c>
      <c r="CS31" s="398">
        <f t="shared" si="30"/>
        <v>0</v>
      </c>
      <c r="CV31" s="398">
        <f t="shared" si="31"/>
        <v>0</v>
      </c>
      <c r="CY31" s="398">
        <f t="shared" si="32"/>
        <v>0</v>
      </c>
      <c r="DB31" s="398">
        <f t="shared" si="33"/>
        <v>0</v>
      </c>
      <c r="DE31" s="398">
        <f t="shared" si="34"/>
        <v>0</v>
      </c>
      <c r="DH31" s="398">
        <f t="shared" si="35"/>
        <v>0</v>
      </c>
      <c r="DK31" s="398">
        <f t="shared" si="36"/>
        <v>0</v>
      </c>
      <c r="DN31" s="398">
        <f t="shared" si="37"/>
        <v>0</v>
      </c>
      <c r="DQ31" s="398">
        <f t="shared" si="38"/>
        <v>0</v>
      </c>
      <c r="DT31" s="398">
        <f t="shared" si="39"/>
        <v>0</v>
      </c>
      <c r="DW31" s="398">
        <f t="shared" si="40"/>
        <v>0</v>
      </c>
      <c r="DY31" s="405"/>
      <c r="DZ31" s="396"/>
      <c r="EA31" s="398"/>
      <c r="EB31" s="212">
        <f t="shared" si="41"/>
        <v>411201702.06</v>
      </c>
      <c r="EC31" s="212">
        <f t="shared" si="42"/>
        <v>69951702.060000002</v>
      </c>
      <c r="ED31" s="398">
        <f t="shared" si="43"/>
        <v>29009.817548850002</v>
      </c>
      <c r="EE31" s="399">
        <f t="shared" si="44"/>
        <v>2.5397595061661844E-2</v>
      </c>
      <c r="EG31" s="212">
        <f t="shared" si="45"/>
        <v>0</v>
      </c>
      <c r="EH31" s="398">
        <f t="shared" si="46"/>
        <v>0</v>
      </c>
      <c r="EI31" s="399">
        <f t="shared" si="47"/>
        <v>0</v>
      </c>
      <c r="EJ31" s="399"/>
      <c r="EK31" s="212">
        <f t="shared" si="48"/>
        <v>341250000</v>
      </c>
      <c r="EL31" s="212">
        <f t="shared" si="49"/>
        <v>0</v>
      </c>
      <c r="EM31" s="212">
        <f t="shared" si="50"/>
        <v>24521.25</v>
      </c>
      <c r="EN31" s="399">
        <f t="shared" si="51"/>
        <v>2.5868571428571432E-2</v>
      </c>
      <c r="EP31" s="398"/>
    </row>
    <row r="32" spans="1:146">
      <c r="A32" s="416">
        <f t="shared" si="52"/>
        <v>43425</v>
      </c>
      <c r="D32" s="398">
        <f t="shared" si="1"/>
        <v>0</v>
      </c>
      <c r="E32" s="398">
        <v>56208419.039999999</v>
      </c>
      <c r="F32" s="399">
        <v>2.2499999999999999E-2</v>
      </c>
      <c r="G32" s="398">
        <f t="shared" si="2"/>
        <v>3513.0261899999996</v>
      </c>
      <c r="J32" s="398">
        <f t="shared" si="3"/>
        <v>0</v>
      </c>
      <c r="M32" s="398">
        <f t="shared" si="4"/>
        <v>0</v>
      </c>
      <c r="P32" s="398">
        <f t="shared" si="5"/>
        <v>0</v>
      </c>
      <c r="S32" s="398">
        <f t="shared" si="6"/>
        <v>0</v>
      </c>
      <c r="V32" s="398">
        <f t="shared" si="7"/>
        <v>0</v>
      </c>
      <c r="Y32" s="398">
        <f t="shared" si="8"/>
        <v>0</v>
      </c>
      <c r="AB32" s="398">
        <f t="shared" si="9"/>
        <v>0</v>
      </c>
      <c r="AE32" s="398">
        <v>0</v>
      </c>
      <c r="AH32" s="398">
        <v>0</v>
      </c>
      <c r="AI32" s="417"/>
      <c r="AJ32" s="418"/>
      <c r="AK32" s="398">
        <f t="shared" si="10"/>
        <v>0</v>
      </c>
      <c r="AL32" s="417">
        <f t="shared" si="57"/>
        <v>92350000</v>
      </c>
      <c r="AM32" s="418">
        <v>2.5999999999999999E-2</v>
      </c>
      <c r="AN32" s="398">
        <f t="shared" si="11"/>
        <v>6669.7222222222226</v>
      </c>
      <c r="AO32" s="417"/>
      <c r="AP32" s="418"/>
      <c r="AQ32" s="398">
        <f t="shared" si="12"/>
        <v>0</v>
      </c>
      <c r="AR32" s="417">
        <f t="shared" si="53"/>
        <v>75000000</v>
      </c>
      <c r="AS32" s="418">
        <v>2.5600000000000001E-2</v>
      </c>
      <c r="AT32" s="398">
        <f t="shared" si="13"/>
        <v>5333.333333333333</v>
      </c>
      <c r="AU32" s="417">
        <f>36075000</f>
        <v>36075000</v>
      </c>
      <c r="AV32" s="418">
        <v>2.5000000000000001E-2</v>
      </c>
      <c r="AW32" s="398">
        <f t="shared" si="14"/>
        <v>2505.2083333333335</v>
      </c>
      <c r="AX32" s="417">
        <f t="shared" si="55"/>
        <v>70000000</v>
      </c>
      <c r="AY32" s="418">
        <v>2.63E-2</v>
      </c>
      <c r="AZ32" s="398">
        <f t="shared" si="15"/>
        <v>5113.8888888888887</v>
      </c>
      <c r="BA32" s="417">
        <f t="shared" si="58"/>
        <v>80000000</v>
      </c>
      <c r="BB32" s="418">
        <v>2.5999999999999999E-2</v>
      </c>
      <c r="BC32" s="398">
        <f t="shared" si="16"/>
        <v>5777.7777777777774</v>
      </c>
      <c r="BF32" s="398">
        <f t="shared" si="17"/>
        <v>0</v>
      </c>
      <c r="BI32" s="398">
        <f t="shared" si="18"/>
        <v>0</v>
      </c>
      <c r="BL32" s="398">
        <f t="shared" si="19"/>
        <v>0</v>
      </c>
      <c r="BO32" s="398">
        <f t="shared" si="20"/>
        <v>0</v>
      </c>
      <c r="BR32" s="398">
        <f t="shared" si="21"/>
        <v>0</v>
      </c>
      <c r="BU32" s="398">
        <f t="shared" si="22"/>
        <v>0</v>
      </c>
      <c r="BX32" s="398">
        <f t="shared" si="23"/>
        <v>0</v>
      </c>
      <c r="CA32" s="398">
        <f t="shared" si="24"/>
        <v>0</v>
      </c>
      <c r="CD32" s="398">
        <f t="shared" si="25"/>
        <v>0</v>
      </c>
      <c r="CG32" s="398">
        <f t="shared" si="26"/>
        <v>0</v>
      </c>
      <c r="CJ32" s="398">
        <f t="shared" si="27"/>
        <v>0</v>
      </c>
      <c r="CM32" s="398">
        <f t="shared" si="28"/>
        <v>0</v>
      </c>
      <c r="CP32" s="398">
        <f t="shared" si="29"/>
        <v>0</v>
      </c>
      <c r="CS32" s="398">
        <f t="shared" si="30"/>
        <v>0</v>
      </c>
      <c r="CV32" s="398">
        <f t="shared" si="31"/>
        <v>0</v>
      </c>
      <c r="CY32" s="398">
        <f t="shared" si="32"/>
        <v>0</v>
      </c>
      <c r="DB32" s="398">
        <f t="shared" si="33"/>
        <v>0</v>
      </c>
      <c r="DE32" s="398">
        <f t="shared" si="34"/>
        <v>0</v>
      </c>
      <c r="DH32" s="398">
        <f t="shared" si="35"/>
        <v>0</v>
      </c>
      <c r="DK32" s="398">
        <f t="shared" si="36"/>
        <v>0</v>
      </c>
      <c r="DN32" s="398">
        <f t="shared" si="37"/>
        <v>0</v>
      </c>
      <c r="DQ32" s="398">
        <f t="shared" si="38"/>
        <v>0</v>
      </c>
      <c r="DT32" s="398">
        <f t="shared" si="39"/>
        <v>0</v>
      </c>
      <c r="DW32" s="398">
        <f t="shared" si="40"/>
        <v>0</v>
      </c>
      <c r="DY32" s="405"/>
      <c r="DZ32" s="396"/>
      <c r="EA32" s="398"/>
      <c r="EB32" s="212">
        <f t="shared" si="41"/>
        <v>409633419.03999996</v>
      </c>
      <c r="EC32" s="212">
        <f t="shared" si="42"/>
        <v>56208419.039999962</v>
      </c>
      <c r="ED32" s="398">
        <f t="shared" si="43"/>
        <v>28912.956745555555</v>
      </c>
      <c r="EE32" s="399">
        <f t="shared" si="44"/>
        <v>2.5409705225695009E-2</v>
      </c>
      <c r="EG32" s="212">
        <f t="shared" si="45"/>
        <v>0</v>
      </c>
      <c r="EH32" s="398">
        <f t="shared" si="46"/>
        <v>0</v>
      </c>
      <c r="EI32" s="399">
        <f t="shared" si="47"/>
        <v>0</v>
      </c>
      <c r="EJ32" s="399"/>
      <c r="EK32" s="212">
        <f t="shared" si="48"/>
        <v>353425000</v>
      </c>
      <c r="EL32" s="212">
        <f t="shared" si="49"/>
        <v>0</v>
      </c>
      <c r="EM32" s="212">
        <f t="shared" si="50"/>
        <v>25399.930555555555</v>
      </c>
      <c r="EN32" s="399">
        <f t="shared" si="51"/>
        <v>2.5872462332885333E-2</v>
      </c>
      <c r="EP32" s="398"/>
    </row>
    <row r="33" spans="1:146">
      <c r="A33" s="416">
        <f t="shared" si="52"/>
        <v>43426</v>
      </c>
      <c r="D33" s="398">
        <f t="shared" si="1"/>
        <v>0</v>
      </c>
      <c r="E33" s="398">
        <v>56208419.039999999</v>
      </c>
      <c r="F33" s="399">
        <v>2.2499999999999999E-2</v>
      </c>
      <c r="G33" s="398">
        <f t="shared" si="2"/>
        <v>3513.0261899999996</v>
      </c>
      <c r="J33" s="398">
        <f t="shared" si="3"/>
        <v>0</v>
      </c>
      <c r="M33" s="398">
        <f t="shared" si="4"/>
        <v>0</v>
      </c>
      <c r="P33" s="398">
        <f t="shared" si="5"/>
        <v>0</v>
      </c>
      <c r="S33" s="398">
        <f t="shared" si="6"/>
        <v>0</v>
      </c>
      <c r="V33" s="398">
        <f t="shared" si="7"/>
        <v>0</v>
      </c>
      <c r="Y33" s="398">
        <f t="shared" si="8"/>
        <v>0</v>
      </c>
      <c r="AB33" s="398">
        <f t="shared" si="9"/>
        <v>0</v>
      </c>
      <c r="AE33" s="398">
        <v>0</v>
      </c>
      <c r="AH33" s="398">
        <v>0</v>
      </c>
      <c r="AI33" s="417"/>
      <c r="AJ33" s="418"/>
      <c r="AK33" s="398">
        <f t="shared" si="10"/>
        <v>0</v>
      </c>
      <c r="AL33" s="417">
        <f t="shared" si="57"/>
        <v>92350000</v>
      </c>
      <c r="AM33" s="418">
        <v>2.5999999999999999E-2</v>
      </c>
      <c r="AN33" s="398">
        <f t="shared" si="11"/>
        <v>6669.7222222222226</v>
      </c>
      <c r="AO33" s="417"/>
      <c r="AP33" s="418"/>
      <c r="AQ33" s="398">
        <f t="shared" si="12"/>
        <v>0</v>
      </c>
      <c r="AR33" s="417">
        <f t="shared" si="53"/>
        <v>75000000</v>
      </c>
      <c r="AS33" s="418">
        <v>2.5600000000000001E-2</v>
      </c>
      <c r="AT33" s="398">
        <f t="shared" si="13"/>
        <v>5333.333333333333</v>
      </c>
      <c r="AU33" s="417">
        <f>36075000</f>
        <v>36075000</v>
      </c>
      <c r="AV33" s="418">
        <v>2.5000000000000001E-2</v>
      </c>
      <c r="AW33" s="398">
        <f t="shared" si="14"/>
        <v>2505.2083333333335</v>
      </c>
      <c r="AX33" s="417">
        <f t="shared" si="55"/>
        <v>70000000</v>
      </c>
      <c r="AY33" s="418">
        <v>2.63E-2</v>
      </c>
      <c r="AZ33" s="398">
        <f t="shared" si="15"/>
        <v>5113.8888888888887</v>
      </c>
      <c r="BA33" s="417">
        <f t="shared" si="58"/>
        <v>80000000</v>
      </c>
      <c r="BB33" s="418">
        <v>2.5999999999999999E-2</v>
      </c>
      <c r="BC33" s="398">
        <f t="shared" si="16"/>
        <v>5777.7777777777774</v>
      </c>
      <c r="BF33" s="398">
        <f t="shared" si="17"/>
        <v>0</v>
      </c>
      <c r="BI33" s="398">
        <f t="shared" si="18"/>
        <v>0</v>
      </c>
      <c r="BL33" s="398">
        <f t="shared" si="19"/>
        <v>0</v>
      </c>
      <c r="BO33" s="398">
        <f t="shared" si="20"/>
        <v>0</v>
      </c>
      <c r="BR33" s="398">
        <f t="shared" si="21"/>
        <v>0</v>
      </c>
      <c r="BU33" s="398">
        <f t="shared" si="22"/>
        <v>0</v>
      </c>
      <c r="BX33" s="398">
        <f t="shared" si="23"/>
        <v>0</v>
      </c>
      <c r="CA33" s="398">
        <f t="shared" si="24"/>
        <v>0</v>
      </c>
      <c r="CD33" s="398">
        <f t="shared" si="25"/>
        <v>0</v>
      </c>
      <c r="CG33" s="398">
        <f t="shared" si="26"/>
        <v>0</v>
      </c>
      <c r="CJ33" s="398">
        <f t="shared" si="27"/>
        <v>0</v>
      </c>
      <c r="CM33" s="398">
        <f t="shared" si="28"/>
        <v>0</v>
      </c>
      <c r="CP33" s="398">
        <f t="shared" si="29"/>
        <v>0</v>
      </c>
      <c r="CS33" s="398">
        <f t="shared" si="30"/>
        <v>0</v>
      </c>
      <c r="CV33" s="398">
        <f t="shared" si="31"/>
        <v>0</v>
      </c>
      <c r="CY33" s="398">
        <f t="shared" si="32"/>
        <v>0</v>
      </c>
      <c r="DB33" s="398">
        <f t="shared" si="33"/>
        <v>0</v>
      </c>
      <c r="DE33" s="398">
        <f t="shared" si="34"/>
        <v>0</v>
      </c>
      <c r="DH33" s="398">
        <f t="shared" si="35"/>
        <v>0</v>
      </c>
      <c r="DK33" s="398">
        <f t="shared" si="36"/>
        <v>0</v>
      </c>
      <c r="DN33" s="398">
        <f t="shared" si="37"/>
        <v>0</v>
      </c>
      <c r="DQ33" s="398">
        <f t="shared" si="38"/>
        <v>0</v>
      </c>
      <c r="DT33" s="398">
        <f t="shared" si="39"/>
        <v>0</v>
      </c>
      <c r="DW33" s="398">
        <f t="shared" si="40"/>
        <v>0</v>
      </c>
      <c r="DY33" s="405"/>
      <c r="DZ33" s="396"/>
      <c r="EA33" s="398"/>
      <c r="EB33" s="212">
        <f t="shared" si="41"/>
        <v>409633419.03999996</v>
      </c>
      <c r="EC33" s="212">
        <f t="shared" si="42"/>
        <v>56208419.039999962</v>
      </c>
      <c r="ED33" s="398">
        <f t="shared" si="43"/>
        <v>28912.956745555555</v>
      </c>
      <c r="EE33" s="399">
        <f t="shared" si="44"/>
        <v>2.5409705225695009E-2</v>
      </c>
      <c r="EG33" s="212">
        <f t="shared" si="45"/>
        <v>0</v>
      </c>
      <c r="EH33" s="398">
        <f t="shared" si="46"/>
        <v>0</v>
      </c>
      <c r="EI33" s="399">
        <f t="shared" si="47"/>
        <v>0</v>
      </c>
      <c r="EJ33" s="399"/>
      <c r="EK33" s="212">
        <f t="shared" si="48"/>
        <v>353425000</v>
      </c>
      <c r="EL33" s="212">
        <f t="shared" si="49"/>
        <v>0</v>
      </c>
      <c r="EM33" s="212">
        <f t="shared" si="50"/>
        <v>25399.930555555555</v>
      </c>
      <c r="EN33" s="399">
        <f t="shared" si="51"/>
        <v>2.5872462332885333E-2</v>
      </c>
      <c r="EP33" s="398"/>
    </row>
    <row r="34" spans="1:146">
      <c r="A34" s="416">
        <f t="shared" si="52"/>
        <v>43427</v>
      </c>
      <c r="D34" s="398">
        <f t="shared" si="1"/>
        <v>0</v>
      </c>
      <c r="E34" s="398">
        <v>46500996.460000001</v>
      </c>
      <c r="F34" s="399">
        <v>2.2499999999999999E-2</v>
      </c>
      <c r="G34" s="398">
        <f t="shared" si="2"/>
        <v>2906.3122787500001</v>
      </c>
      <c r="J34" s="398">
        <f t="shared" si="3"/>
        <v>0</v>
      </c>
      <c r="M34" s="398">
        <f t="shared" si="4"/>
        <v>0</v>
      </c>
      <c r="P34" s="398">
        <f t="shared" si="5"/>
        <v>0</v>
      </c>
      <c r="S34" s="398">
        <f t="shared" si="6"/>
        <v>0</v>
      </c>
      <c r="V34" s="398">
        <f t="shared" si="7"/>
        <v>0</v>
      </c>
      <c r="Y34" s="398">
        <f t="shared" si="8"/>
        <v>0</v>
      </c>
      <c r="AB34" s="398">
        <f t="shared" si="9"/>
        <v>0</v>
      </c>
      <c r="AE34" s="398">
        <v>0</v>
      </c>
      <c r="AH34" s="398">
        <v>0</v>
      </c>
      <c r="AI34" s="417">
        <f>9425000</f>
        <v>9425000</v>
      </c>
      <c r="AJ34" s="418">
        <v>2.5499999999999998E-2</v>
      </c>
      <c r="AK34" s="398">
        <f t="shared" si="10"/>
        <v>667.60416666666663</v>
      </c>
      <c r="AL34" s="417">
        <f t="shared" si="57"/>
        <v>92350000</v>
      </c>
      <c r="AM34" s="418">
        <v>2.5999999999999999E-2</v>
      </c>
      <c r="AN34" s="398">
        <f t="shared" si="11"/>
        <v>6669.7222222222226</v>
      </c>
      <c r="AO34" s="417"/>
      <c r="AP34" s="418"/>
      <c r="AQ34" s="398">
        <f t="shared" si="12"/>
        <v>0</v>
      </c>
      <c r="AR34" s="417">
        <f t="shared" si="53"/>
        <v>75000000</v>
      </c>
      <c r="AS34" s="418">
        <v>2.5600000000000001E-2</v>
      </c>
      <c r="AT34" s="398">
        <f t="shared" si="13"/>
        <v>5333.333333333333</v>
      </c>
      <c r="AU34" s="417">
        <f>36075000</f>
        <v>36075000</v>
      </c>
      <c r="AV34" s="418">
        <v>2.5000000000000001E-2</v>
      </c>
      <c r="AW34" s="398">
        <f t="shared" si="14"/>
        <v>2505.2083333333335</v>
      </c>
      <c r="AX34" s="417">
        <f t="shared" si="55"/>
        <v>70000000</v>
      </c>
      <c r="AY34" s="418">
        <v>2.63E-2</v>
      </c>
      <c r="AZ34" s="398">
        <f t="shared" si="15"/>
        <v>5113.8888888888887</v>
      </c>
      <c r="BA34" s="417">
        <f t="shared" si="58"/>
        <v>80000000</v>
      </c>
      <c r="BB34" s="418">
        <v>2.5999999999999999E-2</v>
      </c>
      <c r="BC34" s="398">
        <f t="shared" si="16"/>
        <v>5777.7777777777774</v>
      </c>
      <c r="BF34" s="398">
        <f t="shared" si="17"/>
        <v>0</v>
      </c>
      <c r="BI34" s="398">
        <f t="shared" si="18"/>
        <v>0</v>
      </c>
      <c r="BL34" s="398">
        <f t="shared" si="19"/>
        <v>0</v>
      </c>
      <c r="BO34" s="398">
        <f t="shared" si="20"/>
        <v>0</v>
      </c>
      <c r="BR34" s="398">
        <f t="shared" si="21"/>
        <v>0</v>
      </c>
      <c r="BU34" s="398">
        <f t="shared" si="22"/>
        <v>0</v>
      </c>
      <c r="BX34" s="398">
        <f t="shared" si="23"/>
        <v>0</v>
      </c>
      <c r="CA34" s="398">
        <f t="shared" si="24"/>
        <v>0</v>
      </c>
      <c r="CD34" s="398">
        <f t="shared" si="25"/>
        <v>0</v>
      </c>
      <c r="CG34" s="398">
        <f t="shared" si="26"/>
        <v>0</v>
      </c>
      <c r="CJ34" s="398">
        <f t="shared" si="27"/>
        <v>0</v>
      </c>
      <c r="CM34" s="398">
        <f t="shared" si="28"/>
        <v>0</v>
      </c>
      <c r="CP34" s="398">
        <f t="shared" si="29"/>
        <v>0</v>
      </c>
      <c r="CS34" s="398">
        <f t="shared" si="30"/>
        <v>0</v>
      </c>
      <c r="CV34" s="398">
        <f t="shared" si="31"/>
        <v>0</v>
      </c>
      <c r="CY34" s="398">
        <f t="shared" si="32"/>
        <v>0</v>
      </c>
      <c r="DB34" s="398">
        <f t="shared" si="33"/>
        <v>0</v>
      </c>
      <c r="DE34" s="398">
        <f t="shared" si="34"/>
        <v>0</v>
      </c>
      <c r="DH34" s="398">
        <f t="shared" si="35"/>
        <v>0</v>
      </c>
      <c r="DK34" s="398">
        <f t="shared" si="36"/>
        <v>0</v>
      </c>
      <c r="DN34" s="398">
        <f t="shared" si="37"/>
        <v>0</v>
      </c>
      <c r="DQ34" s="398">
        <f t="shared" si="38"/>
        <v>0</v>
      </c>
      <c r="DT34" s="398">
        <f t="shared" si="39"/>
        <v>0</v>
      </c>
      <c r="DW34" s="398">
        <f t="shared" si="40"/>
        <v>0</v>
      </c>
      <c r="DY34" s="405"/>
      <c r="DZ34" s="396"/>
      <c r="EA34" s="398"/>
      <c r="EB34" s="212">
        <f t="shared" si="41"/>
        <v>409350996.46000004</v>
      </c>
      <c r="EC34" s="212">
        <f t="shared" si="42"/>
        <v>46500996.460000038</v>
      </c>
      <c r="ED34" s="398">
        <f t="shared" si="43"/>
        <v>28973.847000972219</v>
      </c>
      <c r="EE34" s="399">
        <f t="shared" si="44"/>
        <v>2.5480785464190827E-2</v>
      </c>
      <c r="EG34" s="212">
        <f t="shared" si="45"/>
        <v>0</v>
      </c>
      <c r="EH34" s="398">
        <f t="shared" si="46"/>
        <v>0</v>
      </c>
      <c r="EI34" s="399">
        <f t="shared" si="47"/>
        <v>0</v>
      </c>
      <c r="EJ34" s="399"/>
      <c r="EK34" s="212">
        <f t="shared" si="48"/>
        <v>362850000</v>
      </c>
      <c r="EL34" s="212">
        <f t="shared" si="49"/>
        <v>0</v>
      </c>
      <c r="EM34" s="212">
        <f t="shared" si="50"/>
        <v>26067.534722222223</v>
      </c>
      <c r="EN34" s="399">
        <f t="shared" si="51"/>
        <v>2.5862787653300263E-2</v>
      </c>
      <c r="EP34" s="398"/>
    </row>
    <row r="35" spans="1:146">
      <c r="A35" s="416">
        <f t="shared" si="52"/>
        <v>43428</v>
      </c>
      <c r="D35" s="398">
        <f t="shared" si="1"/>
        <v>0</v>
      </c>
      <c r="E35" s="398">
        <v>46500996.460000001</v>
      </c>
      <c r="F35" s="399">
        <v>2.2499999999999999E-2</v>
      </c>
      <c r="G35" s="398">
        <f t="shared" si="2"/>
        <v>2906.3122787500001</v>
      </c>
      <c r="J35" s="398">
        <f t="shared" si="3"/>
        <v>0</v>
      </c>
      <c r="M35" s="398">
        <f t="shared" si="4"/>
        <v>0</v>
      </c>
      <c r="P35" s="398">
        <f t="shared" si="5"/>
        <v>0</v>
      </c>
      <c r="S35" s="398">
        <f t="shared" si="6"/>
        <v>0</v>
      </c>
      <c r="V35" s="398">
        <f t="shared" si="7"/>
        <v>0</v>
      </c>
      <c r="Y35" s="398">
        <f t="shared" si="8"/>
        <v>0</v>
      </c>
      <c r="AB35" s="398">
        <f t="shared" si="9"/>
        <v>0</v>
      </c>
      <c r="AE35" s="398">
        <v>0</v>
      </c>
      <c r="AH35" s="398">
        <v>0</v>
      </c>
      <c r="AI35" s="417">
        <f>9425000</f>
        <v>9425000</v>
      </c>
      <c r="AJ35" s="418">
        <v>2.5499999999999998E-2</v>
      </c>
      <c r="AK35" s="398">
        <f t="shared" si="10"/>
        <v>667.60416666666663</v>
      </c>
      <c r="AL35" s="417">
        <f t="shared" si="57"/>
        <v>92350000</v>
      </c>
      <c r="AM35" s="418">
        <v>2.5999999999999999E-2</v>
      </c>
      <c r="AN35" s="398">
        <f t="shared" si="11"/>
        <v>6669.7222222222226</v>
      </c>
      <c r="AO35" s="417"/>
      <c r="AP35" s="418"/>
      <c r="AQ35" s="398">
        <f t="shared" si="12"/>
        <v>0</v>
      </c>
      <c r="AR35" s="417">
        <f t="shared" si="53"/>
        <v>75000000</v>
      </c>
      <c r="AS35" s="418">
        <v>2.5600000000000001E-2</v>
      </c>
      <c r="AT35" s="398">
        <f t="shared" si="13"/>
        <v>5333.333333333333</v>
      </c>
      <c r="AU35" s="417">
        <f>36075000</f>
        <v>36075000</v>
      </c>
      <c r="AV35" s="418">
        <v>2.5000000000000001E-2</v>
      </c>
      <c r="AW35" s="398">
        <f t="shared" si="14"/>
        <v>2505.2083333333335</v>
      </c>
      <c r="AX35" s="417">
        <f t="shared" si="55"/>
        <v>70000000</v>
      </c>
      <c r="AY35" s="418">
        <v>2.63E-2</v>
      </c>
      <c r="AZ35" s="398">
        <f t="shared" si="15"/>
        <v>5113.8888888888887</v>
      </c>
      <c r="BA35" s="417">
        <f t="shared" si="58"/>
        <v>80000000</v>
      </c>
      <c r="BB35" s="418">
        <v>2.5999999999999999E-2</v>
      </c>
      <c r="BC35" s="398">
        <f t="shared" si="16"/>
        <v>5777.7777777777774</v>
      </c>
      <c r="BF35" s="398">
        <f t="shared" si="17"/>
        <v>0</v>
      </c>
      <c r="BI35" s="398">
        <f t="shared" si="18"/>
        <v>0</v>
      </c>
      <c r="BL35" s="398">
        <f t="shared" si="19"/>
        <v>0</v>
      </c>
      <c r="BO35" s="398">
        <f t="shared" si="20"/>
        <v>0</v>
      </c>
      <c r="BR35" s="398">
        <f t="shared" si="21"/>
        <v>0</v>
      </c>
      <c r="BU35" s="398">
        <f t="shared" si="22"/>
        <v>0</v>
      </c>
      <c r="BX35" s="398">
        <f t="shared" si="23"/>
        <v>0</v>
      </c>
      <c r="CA35" s="398">
        <f t="shared" si="24"/>
        <v>0</v>
      </c>
      <c r="CD35" s="398">
        <f t="shared" si="25"/>
        <v>0</v>
      </c>
      <c r="CG35" s="398">
        <f t="shared" si="26"/>
        <v>0</v>
      </c>
      <c r="CJ35" s="398">
        <f t="shared" si="27"/>
        <v>0</v>
      </c>
      <c r="CM35" s="398">
        <f t="shared" si="28"/>
        <v>0</v>
      </c>
      <c r="CP35" s="398">
        <f t="shared" si="29"/>
        <v>0</v>
      </c>
      <c r="CS35" s="398">
        <f t="shared" si="30"/>
        <v>0</v>
      </c>
      <c r="CV35" s="398">
        <f t="shared" si="31"/>
        <v>0</v>
      </c>
      <c r="CY35" s="398">
        <f t="shared" si="32"/>
        <v>0</v>
      </c>
      <c r="DB35" s="398">
        <f t="shared" si="33"/>
        <v>0</v>
      </c>
      <c r="DE35" s="398">
        <f t="shared" si="34"/>
        <v>0</v>
      </c>
      <c r="DH35" s="398">
        <f t="shared" si="35"/>
        <v>0</v>
      </c>
      <c r="DK35" s="398">
        <f t="shared" si="36"/>
        <v>0</v>
      </c>
      <c r="DN35" s="398">
        <f t="shared" si="37"/>
        <v>0</v>
      </c>
      <c r="DQ35" s="398">
        <f t="shared" si="38"/>
        <v>0</v>
      </c>
      <c r="DT35" s="398">
        <f t="shared" si="39"/>
        <v>0</v>
      </c>
      <c r="DW35" s="398">
        <f t="shared" si="40"/>
        <v>0</v>
      </c>
      <c r="DY35" s="405"/>
      <c r="DZ35" s="396"/>
      <c r="EA35" s="398"/>
      <c r="EB35" s="212">
        <f t="shared" si="41"/>
        <v>409350996.46000004</v>
      </c>
      <c r="EC35" s="212">
        <f t="shared" si="42"/>
        <v>46500996.460000038</v>
      </c>
      <c r="ED35" s="398">
        <f t="shared" si="43"/>
        <v>28973.847000972219</v>
      </c>
      <c r="EE35" s="399">
        <f t="shared" si="44"/>
        <v>2.5480785464190827E-2</v>
      </c>
      <c r="EG35" s="212">
        <f t="shared" si="45"/>
        <v>0</v>
      </c>
      <c r="EH35" s="398">
        <f t="shared" si="46"/>
        <v>0</v>
      </c>
      <c r="EI35" s="399">
        <f t="shared" si="47"/>
        <v>0</v>
      </c>
      <c r="EJ35" s="399"/>
      <c r="EK35" s="212">
        <f t="shared" si="48"/>
        <v>362850000</v>
      </c>
      <c r="EL35" s="212">
        <f t="shared" si="49"/>
        <v>0</v>
      </c>
      <c r="EM35" s="212">
        <f t="shared" si="50"/>
        <v>26067.534722222223</v>
      </c>
      <c r="EN35" s="399">
        <f t="shared" si="51"/>
        <v>2.5862787653300263E-2</v>
      </c>
      <c r="EP35" s="398"/>
    </row>
    <row r="36" spans="1:146">
      <c r="A36" s="416">
        <f t="shared" si="52"/>
        <v>43429</v>
      </c>
      <c r="D36" s="398">
        <f t="shared" si="1"/>
        <v>0</v>
      </c>
      <c r="E36" s="398">
        <v>46500996.460000001</v>
      </c>
      <c r="F36" s="399">
        <v>2.2499999999999999E-2</v>
      </c>
      <c r="G36" s="398">
        <f t="shared" si="2"/>
        <v>2906.3122787500001</v>
      </c>
      <c r="J36" s="398">
        <f t="shared" si="3"/>
        <v>0</v>
      </c>
      <c r="M36" s="398">
        <f t="shared" si="4"/>
        <v>0</v>
      </c>
      <c r="P36" s="398">
        <f t="shared" si="5"/>
        <v>0</v>
      </c>
      <c r="S36" s="398">
        <f t="shared" si="6"/>
        <v>0</v>
      </c>
      <c r="V36" s="398">
        <f t="shared" si="7"/>
        <v>0</v>
      </c>
      <c r="Y36" s="398">
        <f t="shared" si="8"/>
        <v>0</v>
      </c>
      <c r="AB36" s="398">
        <f t="shared" si="9"/>
        <v>0</v>
      </c>
      <c r="AE36" s="398">
        <v>0</v>
      </c>
      <c r="AH36" s="398">
        <v>0</v>
      </c>
      <c r="AI36" s="417">
        <f>9425000</f>
        <v>9425000</v>
      </c>
      <c r="AJ36" s="418">
        <v>2.5499999999999998E-2</v>
      </c>
      <c r="AK36" s="398">
        <f t="shared" si="10"/>
        <v>667.60416666666663</v>
      </c>
      <c r="AL36" s="417">
        <f t="shared" si="57"/>
        <v>92350000</v>
      </c>
      <c r="AM36" s="418">
        <v>2.5999999999999999E-2</v>
      </c>
      <c r="AN36" s="398">
        <f t="shared" si="11"/>
        <v>6669.7222222222226</v>
      </c>
      <c r="AO36" s="417"/>
      <c r="AP36" s="418"/>
      <c r="AQ36" s="398">
        <f t="shared" si="12"/>
        <v>0</v>
      </c>
      <c r="AR36" s="417">
        <f t="shared" si="53"/>
        <v>75000000</v>
      </c>
      <c r="AS36" s="418">
        <v>2.5600000000000001E-2</v>
      </c>
      <c r="AT36" s="398">
        <f t="shared" si="13"/>
        <v>5333.333333333333</v>
      </c>
      <c r="AU36" s="417">
        <f>36075000</f>
        <v>36075000</v>
      </c>
      <c r="AV36" s="418">
        <v>2.5000000000000001E-2</v>
      </c>
      <c r="AW36" s="398">
        <f t="shared" si="14"/>
        <v>2505.2083333333335</v>
      </c>
      <c r="AX36" s="417">
        <f t="shared" si="55"/>
        <v>70000000</v>
      </c>
      <c r="AY36" s="418">
        <v>2.63E-2</v>
      </c>
      <c r="AZ36" s="398">
        <f t="shared" si="15"/>
        <v>5113.8888888888887</v>
      </c>
      <c r="BA36" s="417">
        <f t="shared" si="58"/>
        <v>80000000</v>
      </c>
      <c r="BB36" s="418">
        <v>2.5999999999999999E-2</v>
      </c>
      <c r="BC36" s="398">
        <f t="shared" si="16"/>
        <v>5777.7777777777774</v>
      </c>
      <c r="BF36" s="398">
        <f t="shared" si="17"/>
        <v>0</v>
      </c>
      <c r="BI36" s="398">
        <f t="shared" si="18"/>
        <v>0</v>
      </c>
      <c r="BL36" s="398">
        <f t="shared" si="19"/>
        <v>0</v>
      </c>
      <c r="BO36" s="398">
        <f t="shared" si="20"/>
        <v>0</v>
      </c>
      <c r="BR36" s="398">
        <f t="shared" si="21"/>
        <v>0</v>
      </c>
      <c r="BU36" s="398">
        <f t="shared" si="22"/>
        <v>0</v>
      </c>
      <c r="BX36" s="398">
        <f t="shared" si="23"/>
        <v>0</v>
      </c>
      <c r="CA36" s="398">
        <f t="shared" si="24"/>
        <v>0</v>
      </c>
      <c r="CD36" s="398">
        <f t="shared" si="25"/>
        <v>0</v>
      </c>
      <c r="CG36" s="398">
        <f t="shared" si="26"/>
        <v>0</v>
      </c>
      <c r="CJ36" s="398">
        <f t="shared" si="27"/>
        <v>0</v>
      </c>
      <c r="CM36" s="398">
        <f t="shared" si="28"/>
        <v>0</v>
      </c>
      <c r="CP36" s="398">
        <f t="shared" si="29"/>
        <v>0</v>
      </c>
      <c r="CS36" s="398">
        <f t="shared" si="30"/>
        <v>0</v>
      </c>
      <c r="CV36" s="398">
        <f t="shared" si="31"/>
        <v>0</v>
      </c>
      <c r="CY36" s="398">
        <f t="shared" si="32"/>
        <v>0</v>
      </c>
      <c r="DB36" s="398">
        <f t="shared" si="33"/>
        <v>0</v>
      </c>
      <c r="DE36" s="398">
        <f t="shared" si="34"/>
        <v>0</v>
      </c>
      <c r="DH36" s="398">
        <f t="shared" si="35"/>
        <v>0</v>
      </c>
      <c r="DK36" s="398">
        <f t="shared" si="36"/>
        <v>0</v>
      </c>
      <c r="DN36" s="398">
        <f t="shared" si="37"/>
        <v>0</v>
      </c>
      <c r="DQ36" s="398">
        <f t="shared" si="38"/>
        <v>0</v>
      </c>
      <c r="DT36" s="398">
        <f t="shared" si="39"/>
        <v>0</v>
      </c>
      <c r="DW36" s="398">
        <f t="shared" si="40"/>
        <v>0</v>
      </c>
      <c r="DY36" s="405"/>
      <c r="DZ36" s="396"/>
      <c r="EA36" s="398"/>
      <c r="EB36" s="212">
        <f t="shared" si="41"/>
        <v>409350996.46000004</v>
      </c>
      <c r="EC36" s="212">
        <f t="shared" si="42"/>
        <v>46500996.460000038</v>
      </c>
      <c r="ED36" s="398">
        <f t="shared" si="43"/>
        <v>28973.847000972219</v>
      </c>
      <c r="EE36" s="399">
        <f t="shared" si="44"/>
        <v>2.5480785464190827E-2</v>
      </c>
      <c r="EG36" s="212">
        <f t="shared" si="45"/>
        <v>0</v>
      </c>
      <c r="EH36" s="398">
        <f t="shared" si="46"/>
        <v>0</v>
      </c>
      <c r="EI36" s="399">
        <f t="shared" si="47"/>
        <v>0</v>
      </c>
      <c r="EJ36" s="399"/>
      <c r="EK36" s="212">
        <f t="shared" si="48"/>
        <v>362850000</v>
      </c>
      <c r="EL36" s="212">
        <f t="shared" si="49"/>
        <v>0</v>
      </c>
      <c r="EM36" s="212">
        <f t="shared" si="50"/>
        <v>26067.534722222223</v>
      </c>
      <c r="EN36" s="399">
        <f t="shared" si="51"/>
        <v>2.5862787653300263E-2</v>
      </c>
      <c r="EP36" s="398"/>
    </row>
    <row r="37" spans="1:146">
      <c r="A37" s="416">
        <f t="shared" si="52"/>
        <v>43430</v>
      </c>
      <c r="D37" s="398">
        <f t="shared" si="1"/>
        <v>0</v>
      </c>
      <c r="E37" s="398">
        <v>46845811.729999997</v>
      </c>
      <c r="F37" s="399">
        <v>2.3E-2</v>
      </c>
      <c r="G37" s="398">
        <f t="shared" si="2"/>
        <v>2992.9268605277775</v>
      </c>
      <c r="J37" s="398">
        <f t="shared" si="3"/>
        <v>0</v>
      </c>
      <c r="M37" s="398">
        <f t="shared" si="4"/>
        <v>0</v>
      </c>
      <c r="P37" s="398">
        <f t="shared" si="5"/>
        <v>0</v>
      </c>
      <c r="S37" s="398">
        <f t="shared" si="6"/>
        <v>0</v>
      </c>
      <c r="V37" s="398">
        <f t="shared" si="7"/>
        <v>0</v>
      </c>
      <c r="Y37" s="398">
        <f t="shared" si="8"/>
        <v>0</v>
      </c>
      <c r="AB37" s="398">
        <f t="shared" si="9"/>
        <v>0</v>
      </c>
      <c r="AE37" s="398">
        <v>0</v>
      </c>
      <c r="AH37" s="398">
        <v>0</v>
      </c>
      <c r="AI37" s="417">
        <f>44375000</f>
        <v>44375000</v>
      </c>
      <c r="AJ37" s="418">
        <v>2.4500000000000001E-2</v>
      </c>
      <c r="AK37" s="398">
        <f t="shared" si="10"/>
        <v>3019.9652777777778</v>
      </c>
      <c r="AL37" s="417">
        <f t="shared" si="57"/>
        <v>92350000</v>
      </c>
      <c r="AM37" s="418">
        <v>2.5999999999999999E-2</v>
      </c>
      <c r="AN37" s="398">
        <f t="shared" si="11"/>
        <v>6669.7222222222226</v>
      </c>
      <c r="AO37" s="417"/>
      <c r="AP37" s="418"/>
      <c r="AQ37" s="398">
        <f t="shared" si="12"/>
        <v>0</v>
      </c>
      <c r="AR37" s="417">
        <f t="shared" si="53"/>
        <v>75000000</v>
      </c>
      <c r="AS37" s="418">
        <v>2.5600000000000001E-2</v>
      </c>
      <c r="AT37" s="398">
        <f t="shared" si="13"/>
        <v>5333.333333333333</v>
      </c>
      <c r="AU37" s="417"/>
      <c r="AV37" s="418"/>
      <c r="AW37" s="398">
        <f t="shared" si="14"/>
        <v>0</v>
      </c>
      <c r="AX37" s="417">
        <f t="shared" si="55"/>
        <v>70000000</v>
      </c>
      <c r="AY37" s="418">
        <v>2.63E-2</v>
      </c>
      <c r="AZ37" s="398">
        <f t="shared" si="15"/>
        <v>5113.8888888888887</v>
      </c>
      <c r="BA37" s="417">
        <f t="shared" si="58"/>
        <v>80000000</v>
      </c>
      <c r="BB37" s="418">
        <v>2.5999999999999999E-2</v>
      </c>
      <c r="BC37" s="398">
        <f t="shared" si="16"/>
        <v>5777.7777777777774</v>
      </c>
      <c r="BF37" s="398">
        <f t="shared" si="17"/>
        <v>0</v>
      </c>
      <c r="BI37" s="398">
        <f t="shared" si="18"/>
        <v>0</v>
      </c>
      <c r="BL37" s="398">
        <f t="shared" si="19"/>
        <v>0</v>
      </c>
      <c r="BO37" s="398">
        <f t="shared" si="20"/>
        <v>0</v>
      </c>
      <c r="BR37" s="398">
        <f t="shared" si="21"/>
        <v>0</v>
      </c>
      <c r="BU37" s="398">
        <f t="shared" si="22"/>
        <v>0</v>
      </c>
      <c r="BX37" s="398">
        <f t="shared" si="23"/>
        <v>0</v>
      </c>
      <c r="CA37" s="398">
        <f t="shared" si="24"/>
        <v>0</v>
      </c>
      <c r="CD37" s="398">
        <f t="shared" si="25"/>
        <v>0</v>
      </c>
      <c r="CG37" s="398">
        <f t="shared" si="26"/>
        <v>0</v>
      </c>
      <c r="CJ37" s="398">
        <f t="shared" si="27"/>
        <v>0</v>
      </c>
      <c r="CM37" s="398">
        <f t="shared" si="28"/>
        <v>0</v>
      </c>
      <c r="CP37" s="398">
        <f t="shared" si="29"/>
        <v>0</v>
      </c>
      <c r="CS37" s="398">
        <f t="shared" si="30"/>
        <v>0</v>
      </c>
      <c r="CV37" s="398">
        <f t="shared" si="31"/>
        <v>0</v>
      </c>
      <c r="CY37" s="398">
        <f t="shared" si="32"/>
        <v>0</v>
      </c>
      <c r="DB37" s="398">
        <f t="shared" si="33"/>
        <v>0</v>
      </c>
      <c r="DE37" s="398">
        <f t="shared" si="34"/>
        <v>0</v>
      </c>
      <c r="DH37" s="398">
        <f t="shared" si="35"/>
        <v>0</v>
      </c>
      <c r="DK37" s="398">
        <f t="shared" si="36"/>
        <v>0</v>
      </c>
      <c r="DN37" s="398">
        <f t="shared" si="37"/>
        <v>0</v>
      </c>
      <c r="DQ37" s="398">
        <f t="shared" si="38"/>
        <v>0</v>
      </c>
      <c r="DT37" s="398">
        <f t="shared" si="39"/>
        <v>0</v>
      </c>
      <c r="DW37" s="398">
        <f t="shared" si="40"/>
        <v>0</v>
      </c>
      <c r="DY37" s="405"/>
      <c r="DZ37" s="396"/>
      <c r="EA37" s="398"/>
      <c r="EB37" s="212">
        <f t="shared" si="41"/>
        <v>408570811.73000002</v>
      </c>
      <c r="EC37" s="212">
        <f t="shared" si="42"/>
        <v>46845811.730000019</v>
      </c>
      <c r="ED37" s="398">
        <f t="shared" si="43"/>
        <v>28907.614360527779</v>
      </c>
      <c r="EE37" s="399">
        <f t="shared" si="44"/>
        <v>2.547108327617684E-2</v>
      </c>
      <c r="EG37" s="212">
        <f t="shared" si="45"/>
        <v>0</v>
      </c>
      <c r="EH37" s="398">
        <f t="shared" si="46"/>
        <v>0</v>
      </c>
      <c r="EI37" s="399">
        <f t="shared" si="47"/>
        <v>0</v>
      </c>
      <c r="EJ37" s="399"/>
      <c r="EK37" s="212">
        <f t="shared" si="48"/>
        <v>361725000</v>
      </c>
      <c r="EL37" s="212">
        <f t="shared" si="49"/>
        <v>0</v>
      </c>
      <c r="EM37" s="212">
        <f t="shared" si="50"/>
        <v>25914.6875</v>
      </c>
      <c r="EN37" s="399">
        <f t="shared" si="51"/>
        <v>2.57911051212938E-2</v>
      </c>
      <c r="EO37" s="419"/>
      <c r="EP37" s="398"/>
    </row>
    <row r="38" spans="1:146">
      <c r="A38" s="416">
        <f t="shared" si="52"/>
        <v>43431</v>
      </c>
      <c r="D38" s="398">
        <f t="shared" si="1"/>
        <v>0</v>
      </c>
      <c r="E38" s="398">
        <v>48439707.939999998</v>
      </c>
      <c r="F38" s="399">
        <v>2.3E-2</v>
      </c>
      <c r="G38" s="398">
        <f t="shared" si="2"/>
        <v>3094.759118388889</v>
      </c>
      <c r="J38" s="398">
        <f t="shared" si="3"/>
        <v>0</v>
      </c>
      <c r="M38" s="398">
        <f t="shared" si="4"/>
        <v>0</v>
      </c>
      <c r="P38" s="398">
        <f t="shared" si="5"/>
        <v>0</v>
      </c>
      <c r="S38" s="398">
        <f t="shared" si="6"/>
        <v>0</v>
      </c>
      <c r="V38" s="398">
        <f t="shared" si="7"/>
        <v>0</v>
      </c>
      <c r="Y38" s="398">
        <f t="shared" si="8"/>
        <v>0</v>
      </c>
      <c r="AB38" s="398">
        <f t="shared" si="9"/>
        <v>0</v>
      </c>
      <c r="AE38" s="398">
        <v>0</v>
      </c>
      <c r="AH38" s="398">
        <v>0</v>
      </c>
      <c r="AI38" s="417">
        <f>42775000</f>
        <v>42775000</v>
      </c>
      <c r="AJ38" s="418">
        <v>2.4500000000000001E-2</v>
      </c>
      <c r="AK38" s="398">
        <f t="shared" si="10"/>
        <v>2911.0763888888887</v>
      </c>
      <c r="AL38" s="417">
        <f t="shared" si="57"/>
        <v>92350000</v>
      </c>
      <c r="AM38" s="418">
        <v>2.5999999999999999E-2</v>
      </c>
      <c r="AN38" s="398">
        <f t="shared" si="11"/>
        <v>6669.7222222222226</v>
      </c>
      <c r="AO38" s="417"/>
      <c r="AP38" s="418"/>
      <c r="AQ38" s="398">
        <f t="shared" si="12"/>
        <v>0</v>
      </c>
      <c r="AR38" s="417">
        <f t="shared" si="53"/>
        <v>75000000</v>
      </c>
      <c r="AS38" s="418">
        <v>2.5600000000000001E-2</v>
      </c>
      <c r="AT38" s="398">
        <f t="shared" si="13"/>
        <v>5333.333333333333</v>
      </c>
      <c r="AU38" s="417"/>
      <c r="AV38" s="418"/>
      <c r="AW38" s="398">
        <f t="shared" si="14"/>
        <v>0</v>
      </c>
      <c r="AX38" s="417">
        <f t="shared" si="55"/>
        <v>70000000</v>
      </c>
      <c r="AY38" s="418">
        <v>2.63E-2</v>
      </c>
      <c r="AZ38" s="398">
        <f t="shared" si="15"/>
        <v>5113.8888888888887</v>
      </c>
      <c r="BA38" s="417">
        <f t="shared" si="58"/>
        <v>80000000</v>
      </c>
      <c r="BB38" s="418">
        <v>2.5999999999999999E-2</v>
      </c>
      <c r="BC38" s="398">
        <f t="shared" si="16"/>
        <v>5777.7777777777774</v>
      </c>
      <c r="BF38" s="398">
        <f t="shared" si="17"/>
        <v>0</v>
      </c>
      <c r="BI38" s="398">
        <f t="shared" si="18"/>
        <v>0</v>
      </c>
      <c r="BL38" s="398">
        <f t="shared" si="19"/>
        <v>0</v>
      </c>
      <c r="BO38" s="398">
        <f t="shared" si="20"/>
        <v>0</v>
      </c>
      <c r="BR38" s="398">
        <f t="shared" si="21"/>
        <v>0</v>
      </c>
      <c r="BU38" s="398">
        <f t="shared" si="22"/>
        <v>0</v>
      </c>
      <c r="BX38" s="398">
        <f t="shared" si="23"/>
        <v>0</v>
      </c>
      <c r="CA38" s="398">
        <f t="shared" si="24"/>
        <v>0</v>
      </c>
      <c r="CD38" s="398">
        <f t="shared" si="25"/>
        <v>0</v>
      </c>
      <c r="CG38" s="398">
        <f t="shared" si="26"/>
        <v>0</v>
      </c>
      <c r="CJ38" s="398">
        <f t="shared" si="27"/>
        <v>0</v>
      </c>
      <c r="CM38" s="398">
        <f t="shared" si="28"/>
        <v>0</v>
      </c>
      <c r="CP38" s="398">
        <f t="shared" si="29"/>
        <v>0</v>
      </c>
      <c r="CS38" s="398">
        <f t="shared" si="30"/>
        <v>0</v>
      </c>
      <c r="CV38" s="398">
        <f t="shared" si="31"/>
        <v>0</v>
      </c>
      <c r="CY38" s="398">
        <f t="shared" si="32"/>
        <v>0</v>
      </c>
      <c r="DB38" s="398">
        <f t="shared" si="33"/>
        <v>0</v>
      </c>
      <c r="DE38" s="398">
        <f t="shared" si="34"/>
        <v>0</v>
      </c>
      <c r="DH38" s="398">
        <f t="shared" si="35"/>
        <v>0</v>
      </c>
      <c r="DK38" s="398">
        <f t="shared" si="36"/>
        <v>0</v>
      </c>
      <c r="DN38" s="398">
        <f t="shared" si="37"/>
        <v>0</v>
      </c>
      <c r="DQ38" s="398">
        <f t="shared" si="38"/>
        <v>0</v>
      </c>
      <c r="DT38" s="398">
        <f t="shared" si="39"/>
        <v>0</v>
      </c>
      <c r="DW38" s="398">
        <f t="shared" si="40"/>
        <v>0</v>
      </c>
      <c r="DY38" s="405"/>
      <c r="DZ38" s="396"/>
      <c r="EA38" s="398"/>
      <c r="EB38" s="212">
        <f t="shared" si="41"/>
        <v>408564707.94</v>
      </c>
      <c r="EC38" s="212">
        <f t="shared" si="42"/>
        <v>48439707.939999998</v>
      </c>
      <c r="ED38" s="398">
        <f t="shared" si="43"/>
        <v>28900.5577295</v>
      </c>
      <c r="EE38" s="399">
        <f t="shared" si="44"/>
        <v>2.5465245970652743E-2</v>
      </c>
      <c r="EG38" s="212">
        <f t="shared" si="45"/>
        <v>0</v>
      </c>
      <c r="EH38" s="398">
        <f t="shared" si="46"/>
        <v>0</v>
      </c>
      <c r="EI38" s="399">
        <f t="shared" si="47"/>
        <v>0</v>
      </c>
      <c r="EJ38" s="399"/>
      <c r="EK38" s="212">
        <f t="shared" si="48"/>
        <v>360125000</v>
      </c>
      <c r="EL38" s="212">
        <f t="shared" si="49"/>
        <v>0</v>
      </c>
      <c r="EM38" s="212">
        <f t="shared" si="50"/>
        <v>25805.798611111109</v>
      </c>
      <c r="EN38" s="399">
        <f t="shared" si="51"/>
        <v>2.5796841374522733E-2</v>
      </c>
      <c r="EO38" s="419"/>
      <c r="EP38" s="398"/>
    </row>
    <row r="39" spans="1:146">
      <c r="A39" s="416">
        <f t="shared" si="52"/>
        <v>43432</v>
      </c>
      <c r="D39" s="398">
        <f t="shared" si="1"/>
        <v>0</v>
      </c>
      <c r="E39" s="398">
        <v>39368209.969999999</v>
      </c>
      <c r="F39" s="399">
        <v>2.3E-2</v>
      </c>
      <c r="G39" s="398">
        <f t="shared" si="2"/>
        <v>2515.1911925277777</v>
      </c>
      <c r="J39" s="398">
        <f t="shared" si="3"/>
        <v>0</v>
      </c>
      <c r="M39" s="398">
        <f t="shared" si="4"/>
        <v>0</v>
      </c>
      <c r="P39" s="398">
        <f t="shared" si="5"/>
        <v>0</v>
      </c>
      <c r="S39" s="398">
        <f t="shared" si="6"/>
        <v>0</v>
      </c>
      <c r="V39" s="398">
        <f t="shared" si="7"/>
        <v>0</v>
      </c>
      <c r="Y39" s="398">
        <f t="shared" si="8"/>
        <v>0</v>
      </c>
      <c r="AB39" s="398">
        <f t="shared" si="9"/>
        <v>0</v>
      </c>
      <c r="AE39" s="398">
        <v>0</v>
      </c>
      <c r="AH39" s="398">
        <v>0</v>
      </c>
      <c r="AI39" s="417">
        <f>51925000</f>
        <v>51925000</v>
      </c>
      <c r="AJ39" s="418">
        <v>2.4500000000000001E-2</v>
      </c>
      <c r="AK39" s="398">
        <f t="shared" si="10"/>
        <v>3533.7847222222222</v>
      </c>
      <c r="AL39" s="417">
        <f t="shared" si="57"/>
        <v>92350000</v>
      </c>
      <c r="AM39" s="418">
        <v>2.5999999999999999E-2</v>
      </c>
      <c r="AN39" s="398">
        <f t="shared" si="11"/>
        <v>6669.7222222222226</v>
      </c>
      <c r="AO39" s="417"/>
      <c r="AP39" s="418"/>
      <c r="AQ39" s="398">
        <f t="shared" si="12"/>
        <v>0</v>
      </c>
      <c r="AR39" s="417">
        <f t="shared" si="53"/>
        <v>75000000</v>
      </c>
      <c r="AS39" s="418">
        <v>2.5600000000000001E-2</v>
      </c>
      <c r="AT39" s="398">
        <f t="shared" si="13"/>
        <v>5333.333333333333</v>
      </c>
      <c r="AU39" s="417"/>
      <c r="AV39" s="418"/>
      <c r="AW39" s="398">
        <f t="shared" si="14"/>
        <v>0</v>
      </c>
      <c r="AX39" s="417">
        <f t="shared" si="55"/>
        <v>70000000</v>
      </c>
      <c r="AY39" s="418">
        <v>2.63E-2</v>
      </c>
      <c r="AZ39" s="398">
        <f t="shared" si="15"/>
        <v>5113.8888888888887</v>
      </c>
      <c r="BA39" s="417">
        <f t="shared" si="58"/>
        <v>80000000</v>
      </c>
      <c r="BB39" s="418">
        <v>2.5999999999999999E-2</v>
      </c>
      <c r="BC39" s="398">
        <f t="shared" si="16"/>
        <v>5777.7777777777774</v>
      </c>
      <c r="BF39" s="398">
        <f t="shared" si="17"/>
        <v>0</v>
      </c>
      <c r="BI39" s="398">
        <f t="shared" si="18"/>
        <v>0</v>
      </c>
      <c r="BL39" s="398">
        <f t="shared" si="19"/>
        <v>0</v>
      </c>
      <c r="BO39" s="398">
        <f t="shared" si="20"/>
        <v>0</v>
      </c>
      <c r="BR39" s="398">
        <f t="shared" si="21"/>
        <v>0</v>
      </c>
      <c r="BU39" s="398">
        <f t="shared" si="22"/>
        <v>0</v>
      </c>
      <c r="BX39" s="398">
        <f t="shared" si="23"/>
        <v>0</v>
      </c>
      <c r="CA39" s="398">
        <f t="shared" si="24"/>
        <v>0</v>
      </c>
      <c r="CD39" s="398">
        <f t="shared" si="25"/>
        <v>0</v>
      </c>
      <c r="CG39" s="398">
        <f t="shared" si="26"/>
        <v>0</v>
      </c>
      <c r="CJ39" s="398">
        <f t="shared" si="27"/>
        <v>0</v>
      </c>
      <c r="CM39" s="398">
        <f t="shared" si="28"/>
        <v>0</v>
      </c>
      <c r="CP39" s="398">
        <f t="shared" si="29"/>
        <v>0</v>
      </c>
      <c r="CS39" s="398">
        <f t="shared" si="30"/>
        <v>0</v>
      </c>
      <c r="CV39" s="398">
        <f t="shared" si="31"/>
        <v>0</v>
      </c>
      <c r="CY39" s="398">
        <f t="shared" si="32"/>
        <v>0</v>
      </c>
      <c r="DB39" s="398">
        <f t="shared" si="33"/>
        <v>0</v>
      </c>
      <c r="DE39" s="398">
        <f t="shared" si="34"/>
        <v>0</v>
      </c>
      <c r="DH39" s="398">
        <f t="shared" si="35"/>
        <v>0</v>
      </c>
      <c r="DK39" s="398">
        <f t="shared" si="36"/>
        <v>0</v>
      </c>
      <c r="DN39" s="398">
        <f t="shared" si="37"/>
        <v>0</v>
      </c>
      <c r="DQ39" s="398">
        <f t="shared" si="38"/>
        <v>0</v>
      </c>
      <c r="DT39" s="398">
        <f t="shared" si="39"/>
        <v>0</v>
      </c>
      <c r="DW39" s="398">
        <f t="shared" si="40"/>
        <v>0</v>
      </c>
      <c r="DY39" s="405"/>
      <c r="DZ39" s="396"/>
      <c r="EA39" s="398"/>
      <c r="EB39" s="212">
        <f t="shared" si="41"/>
        <v>408643209.97000003</v>
      </c>
      <c r="EC39" s="212">
        <f t="shared" si="42"/>
        <v>39368209.970000029</v>
      </c>
      <c r="ED39" s="398">
        <f t="shared" si="43"/>
        <v>28943.698136972223</v>
      </c>
      <c r="EE39" s="399">
        <f t="shared" si="44"/>
        <v>2.5498359143358705E-2</v>
      </c>
      <c r="EG39" s="212">
        <f t="shared" si="45"/>
        <v>0</v>
      </c>
      <c r="EH39" s="398">
        <f t="shared" si="46"/>
        <v>0</v>
      </c>
      <c r="EI39" s="399">
        <f t="shared" si="47"/>
        <v>0</v>
      </c>
      <c r="EJ39" s="399"/>
      <c r="EK39" s="212">
        <f t="shared" si="48"/>
        <v>369275000</v>
      </c>
      <c r="EL39" s="212">
        <f t="shared" si="49"/>
        <v>0</v>
      </c>
      <c r="EM39" s="212">
        <f t="shared" si="50"/>
        <v>26428.506944444445</v>
      </c>
      <c r="EN39" s="399">
        <f t="shared" si="51"/>
        <v>2.5764707873535984E-2</v>
      </c>
      <c r="EO39" s="419"/>
      <c r="EP39" s="398"/>
    </row>
    <row r="40" spans="1:146">
      <c r="A40" s="416">
        <f t="shared" si="52"/>
        <v>43433</v>
      </c>
      <c r="D40" s="398">
        <f t="shared" si="1"/>
        <v>0</v>
      </c>
      <c r="E40" s="398">
        <v>27334074.52</v>
      </c>
      <c r="F40" s="399">
        <v>2.3399999999999997E-2</v>
      </c>
      <c r="G40" s="398">
        <f t="shared" si="2"/>
        <v>1776.7148437999997</v>
      </c>
      <c r="J40" s="398">
        <f t="shared" si="3"/>
        <v>0</v>
      </c>
      <c r="M40" s="398">
        <f t="shared" si="4"/>
        <v>0</v>
      </c>
      <c r="P40" s="398">
        <f t="shared" si="5"/>
        <v>0</v>
      </c>
      <c r="S40" s="398">
        <f t="shared" si="6"/>
        <v>0</v>
      </c>
      <c r="V40" s="398">
        <f t="shared" si="7"/>
        <v>0</v>
      </c>
      <c r="Y40" s="398">
        <f t="shared" si="8"/>
        <v>0</v>
      </c>
      <c r="AB40" s="398">
        <f t="shared" si="9"/>
        <v>0</v>
      </c>
      <c r="AE40" s="398">
        <v>0</v>
      </c>
      <c r="AH40" s="398">
        <v>0</v>
      </c>
      <c r="AI40" s="417">
        <f>19050000</f>
        <v>19050000</v>
      </c>
      <c r="AJ40" s="418">
        <v>2.4500000000000001E-2</v>
      </c>
      <c r="AK40" s="398">
        <f t="shared" si="10"/>
        <v>1296.4583333333333</v>
      </c>
      <c r="AL40" s="417">
        <f t="shared" si="57"/>
        <v>92350000</v>
      </c>
      <c r="AM40" s="418">
        <v>2.5999999999999999E-2</v>
      </c>
      <c r="AN40" s="398">
        <f t="shared" si="11"/>
        <v>6669.7222222222226</v>
      </c>
      <c r="AO40" s="417">
        <f>30000000+15000000</f>
        <v>45000000</v>
      </c>
      <c r="AP40" s="418">
        <v>2.8000000000000001E-2</v>
      </c>
      <c r="AQ40" s="398">
        <f t="shared" si="12"/>
        <v>3500</v>
      </c>
      <c r="AR40" s="417">
        <f t="shared" si="53"/>
        <v>75000000</v>
      </c>
      <c r="AS40" s="418">
        <v>2.5600000000000001E-2</v>
      </c>
      <c r="AT40" s="398">
        <f t="shared" si="13"/>
        <v>5333.333333333333</v>
      </c>
      <c r="AU40" s="417"/>
      <c r="AV40" s="418"/>
      <c r="AW40" s="398">
        <f t="shared" si="14"/>
        <v>0</v>
      </c>
      <c r="AX40" s="417">
        <f t="shared" si="55"/>
        <v>70000000</v>
      </c>
      <c r="AY40" s="418">
        <v>2.63E-2</v>
      </c>
      <c r="AZ40" s="398">
        <f t="shared" si="15"/>
        <v>5113.8888888888887</v>
      </c>
      <c r="BA40" s="417">
        <f t="shared" si="58"/>
        <v>80000000</v>
      </c>
      <c r="BB40" s="418">
        <v>2.5999999999999999E-2</v>
      </c>
      <c r="BC40" s="398">
        <f t="shared" si="16"/>
        <v>5777.7777777777774</v>
      </c>
      <c r="BF40" s="398">
        <f t="shared" si="17"/>
        <v>0</v>
      </c>
      <c r="BI40" s="398">
        <f t="shared" si="18"/>
        <v>0</v>
      </c>
      <c r="BL40" s="398">
        <f t="shared" si="19"/>
        <v>0</v>
      </c>
      <c r="BO40" s="398">
        <f t="shared" si="20"/>
        <v>0</v>
      </c>
      <c r="BR40" s="398">
        <f t="shared" si="21"/>
        <v>0</v>
      </c>
      <c r="BU40" s="398">
        <f t="shared" si="22"/>
        <v>0</v>
      </c>
      <c r="BX40" s="398">
        <f t="shared" si="23"/>
        <v>0</v>
      </c>
      <c r="CA40" s="398">
        <f t="shared" si="24"/>
        <v>0</v>
      </c>
      <c r="CD40" s="398">
        <f t="shared" si="25"/>
        <v>0</v>
      </c>
      <c r="CG40" s="398">
        <f t="shared" si="26"/>
        <v>0</v>
      </c>
      <c r="CJ40" s="398">
        <f t="shared" si="27"/>
        <v>0</v>
      </c>
      <c r="CM40" s="398">
        <f t="shared" si="28"/>
        <v>0</v>
      </c>
      <c r="CP40" s="398">
        <f t="shared" si="29"/>
        <v>0</v>
      </c>
      <c r="CS40" s="398">
        <f t="shared" si="30"/>
        <v>0</v>
      </c>
      <c r="CV40" s="398">
        <f t="shared" si="31"/>
        <v>0</v>
      </c>
      <c r="CY40" s="398">
        <f t="shared" si="32"/>
        <v>0</v>
      </c>
      <c r="DB40" s="398">
        <f t="shared" si="33"/>
        <v>0</v>
      </c>
      <c r="DE40" s="398">
        <f t="shared" si="34"/>
        <v>0</v>
      </c>
      <c r="DH40" s="398">
        <f t="shared" si="35"/>
        <v>0</v>
      </c>
      <c r="DK40" s="398">
        <f t="shared" si="36"/>
        <v>0</v>
      </c>
      <c r="DN40" s="398">
        <f t="shared" si="37"/>
        <v>0</v>
      </c>
      <c r="DQ40" s="398">
        <f t="shared" si="38"/>
        <v>0</v>
      </c>
      <c r="DT40" s="398">
        <f t="shared" si="39"/>
        <v>0</v>
      </c>
      <c r="DW40" s="398">
        <f t="shared" si="40"/>
        <v>0</v>
      </c>
      <c r="DY40" s="405"/>
      <c r="DZ40" s="396"/>
      <c r="EA40" s="398"/>
      <c r="EB40" s="212">
        <f t="shared" si="41"/>
        <v>408734074.51999998</v>
      </c>
      <c r="EC40" s="212">
        <f t="shared" si="42"/>
        <v>27334074.519999981</v>
      </c>
      <c r="ED40" s="398">
        <f t="shared" si="43"/>
        <v>29467.895399355551</v>
      </c>
      <c r="EE40" s="399">
        <f t="shared" si="44"/>
        <v>2.5954386984315181E-2</v>
      </c>
      <c r="EG40" s="212">
        <f t="shared" si="45"/>
        <v>0</v>
      </c>
      <c r="EH40" s="398">
        <f t="shared" si="46"/>
        <v>0</v>
      </c>
      <c r="EI40" s="399">
        <f t="shared" si="47"/>
        <v>0</v>
      </c>
      <c r="EJ40" s="399"/>
      <c r="EK40" s="212">
        <f t="shared" si="48"/>
        <v>381400000</v>
      </c>
      <c r="EL40" s="212">
        <f t="shared" si="49"/>
        <v>0</v>
      </c>
      <c r="EM40" s="212">
        <f t="shared" si="50"/>
        <v>27691.180555555555</v>
      </c>
      <c r="EN40" s="399">
        <f t="shared" si="51"/>
        <v>2.6137454116413213E-2</v>
      </c>
      <c r="EP40" s="398"/>
    </row>
    <row r="41" spans="1:146">
      <c r="A41" s="416">
        <f t="shared" si="52"/>
        <v>43434</v>
      </c>
      <c r="D41" s="398">
        <f t="shared" si="1"/>
        <v>0</v>
      </c>
      <c r="E41" s="398">
        <v>28588018.52</v>
      </c>
      <c r="F41" s="399">
        <v>2.2700000000000001E-2</v>
      </c>
      <c r="G41" s="398">
        <f t="shared" si="2"/>
        <v>1802.6333900111113</v>
      </c>
      <c r="J41" s="398">
        <f t="shared" si="3"/>
        <v>0</v>
      </c>
      <c r="M41" s="398">
        <f t="shared" si="4"/>
        <v>0</v>
      </c>
      <c r="P41" s="398">
        <f t="shared" si="5"/>
        <v>0</v>
      </c>
      <c r="S41" s="398">
        <f t="shared" si="6"/>
        <v>0</v>
      </c>
      <c r="V41" s="398">
        <f t="shared" si="7"/>
        <v>0</v>
      </c>
      <c r="Y41" s="398">
        <f t="shared" si="8"/>
        <v>0</v>
      </c>
      <c r="AB41" s="398">
        <f t="shared" si="9"/>
        <v>0</v>
      </c>
      <c r="AE41" s="398">
        <v>0</v>
      </c>
      <c r="AH41" s="398">
        <v>0</v>
      </c>
      <c r="AI41" s="417">
        <v>19300000</v>
      </c>
      <c r="AJ41" s="418">
        <v>2.4500000000000001E-2</v>
      </c>
      <c r="AK41" s="398">
        <f t="shared" si="10"/>
        <v>1313.4722222222222</v>
      </c>
      <c r="AL41" s="417">
        <f t="shared" si="57"/>
        <v>92350000</v>
      </c>
      <c r="AM41" s="418">
        <v>2.5999999999999999E-2</v>
      </c>
      <c r="AN41" s="398">
        <f t="shared" si="11"/>
        <v>6669.7222222222226</v>
      </c>
      <c r="AO41" s="417">
        <f>30000000+15000000</f>
        <v>45000000</v>
      </c>
      <c r="AP41" s="418">
        <v>2.8000000000000001E-2</v>
      </c>
      <c r="AQ41" s="398">
        <f t="shared" si="12"/>
        <v>3500</v>
      </c>
      <c r="AR41" s="417">
        <f t="shared" si="53"/>
        <v>75000000</v>
      </c>
      <c r="AS41" s="418">
        <v>2.5600000000000001E-2</v>
      </c>
      <c r="AT41" s="398">
        <f t="shared" si="13"/>
        <v>5333.333333333333</v>
      </c>
      <c r="AU41" s="417"/>
      <c r="AV41" s="418"/>
      <c r="AW41" s="398">
        <f t="shared" si="14"/>
        <v>0</v>
      </c>
      <c r="AX41" s="417">
        <f t="shared" si="55"/>
        <v>70000000</v>
      </c>
      <c r="AY41" s="418">
        <v>2.63E-2</v>
      </c>
      <c r="AZ41" s="398">
        <f t="shared" si="15"/>
        <v>5113.8888888888887</v>
      </c>
      <c r="BA41" s="417">
        <f t="shared" si="58"/>
        <v>80000000</v>
      </c>
      <c r="BB41" s="418">
        <v>2.5999999999999999E-2</v>
      </c>
      <c r="BC41" s="398">
        <f t="shared" si="16"/>
        <v>5777.7777777777774</v>
      </c>
      <c r="BF41" s="398">
        <f t="shared" si="17"/>
        <v>0</v>
      </c>
      <c r="BI41" s="398">
        <f t="shared" si="18"/>
        <v>0</v>
      </c>
      <c r="BL41" s="398">
        <f t="shared" si="19"/>
        <v>0</v>
      </c>
      <c r="BO41" s="398">
        <f t="shared" si="20"/>
        <v>0</v>
      </c>
      <c r="BR41" s="398">
        <f t="shared" si="21"/>
        <v>0</v>
      </c>
      <c r="BU41" s="398">
        <f t="shared" si="22"/>
        <v>0</v>
      </c>
      <c r="BX41" s="398">
        <f t="shared" si="23"/>
        <v>0</v>
      </c>
      <c r="CA41" s="398">
        <f t="shared" si="24"/>
        <v>0</v>
      </c>
      <c r="CD41" s="398">
        <f t="shared" si="25"/>
        <v>0</v>
      </c>
      <c r="CG41" s="398">
        <f t="shared" si="26"/>
        <v>0</v>
      </c>
      <c r="CJ41" s="398">
        <f t="shared" si="27"/>
        <v>0</v>
      </c>
      <c r="CM41" s="398">
        <f t="shared" si="28"/>
        <v>0</v>
      </c>
      <c r="CP41" s="398">
        <f t="shared" si="29"/>
        <v>0</v>
      </c>
      <c r="CS41" s="398">
        <f t="shared" si="30"/>
        <v>0</v>
      </c>
      <c r="CV41" s="398">
        <f t="shared" si="31"/>
        <v>0</v>
      </c>
      <c r="CY41" s="398">
        <f t="shared" si="32"/>
        <v>0</v>
      </c>
      <c r="DB41" s="398">
        <f t="shared" si="33"/>
        <v>0</v>
      </c>
      <c r="DE41" s="398">
        <f t="shared" si="34"/>
        <v>0</v>
      </c>
      <c r="DH41" s="398">
        <f t="shared" si="35"/>
        <v>0</v>
      </c>
      <c r="DK41" s="398">
        <f t="shared" si="36"/>
        <v>0</v>
      </c>
      <c r="DN41" s="398">
        <f t="shared" si="37"/>
        <v>0</v>
      </c>
      <c r="DQ41" s="398">
        <f t="shared" si="38"/>
        <v>0</v>
      </c>
      <c r="DT41" s="398">
        <f t="shared" si="39"/>
        <v>0</v>
      </c>
      <c r="DW41" s="398">
        <f t="shared" si="40"/>
        <v>0</v>
      </c>
      <c r="DY41" s="405"/>
      <c r="DZ41" s="396"/>
      <c r="EA41" s="398"/>
      <c r="EB41" s="212">
        <f t="shared" si="41"/>
        <v>410238018.51999998</v>
      </c>
      <c r="EC41" s="212">
        <f t="shared" si="42"/>
        <v>28588018.519999981</v>
      </c>
      <c r="ED41" s="398">
        <f t="shared" si="43"/>
        <v>29510.827834455555</v>
      </c>
      <c r="EE41" s="399">
        <f t="shared" si="44"/>
        <v>2.5896912379626418E-2</v>
      </c>
      <c r="EG41" s="212">
        <f t="shared" si="45"/>
        <v>0</v>
      </c>
      <c r="EH41" s="398">
        <f t="shared" si="46"/>
        <v>0</v>
      </c>
      <c r="EI41" s="399">
        <f t="shared" si="47"/>
        <v>0</v>
      </c>
      <c r="EJ41" s="399"/>
      <c r="EK41" s="212">
        <f t="shared" si="48"/>
        <v>381650000</v>
      </c>
      <c r="EL41" s="212">
        <f t="shared" si="49"/>
        <v>0</v>
      </c>
      <c r="EM41" s="212">
        <f t="shared" si="50"/>
        <v>27708.194444444445</v>
      </c>
      <c r="EN41" s="399">
        <f t="shared" si="51"/>
        <v>2.6136381501375608E-2</v>
      </c>
      <c r="EP41" s="398"/>
    </row>
    <row r="42" spans="1:146">
      <c r="A42" s="213" t="s">
        <v>13</v>
      </c>
      <c r="D42" s="420">
        <f>SUM(D12:D41)</f>
        <v>0</v>
      </c>
      <c r="G42" s="420">
        <f>SUM(G12:G41)</f>
        <v>91698.519594388898</v>
      </c>
      <c r="J42" s="420">
        <f>SUM(J12:J41)</f>
        <v>0</v>
      </c>
      <c r="M42" s="420">
        <f>SUM(M12:M41)</f>
        <v>0</v>
      </c>
      <c r="P42" s="420">
        <f>SUM(P12:P41)</f>
        <v>0</v>
      </c>
      <c r="S42" s="420">
        <f>SUM(S12:S41)</f>
        <v>0</v>
      </c>
      <c r="V42" s="420">
        <f>SUM(V12:V41)</f>
        <v>0</v>
      </c>
      <c r="Y42" s="420">
        <f>SUM(Y12:Y41)</f>
        <v>0</v>
      </c>
      <c r="AB42" s="420">
        <f>SUM(AB12:AB41)</f>
        <v>0</v>
      </c>
      <c r="AE42" s="420">
        <f>SUM(AE12:AE41)</f>
        <v>0</v>
      </c>
      <c r="AH42" s="420">
        <f>SUM(AH12:AH41)</f>
        <v>0</v>
      </c>
      <c r="AK42" s="420">
        <f>SUM(AK12:AK41)</f>
        <v>104232.46527777781</v>
      </c>
      <c r="AN42" s="420">
        <f>SUM(AN12:AN41)</f>
        <v>167323.38888888885</v>
      </c>
      <c r="AQ42" s="420">
        <f>SUM(AQ12:AQ41)</f>
        <v>61527.5</v>
      </c>
      <c r="AT42" s="420">
        <f>SUM(AT12:AT41)</f>
        <v>138666.66666666663</v>
      </c>
      <c r="AW42" s="420">
        <f>SUM(AW12:AW41)</f>
        <v>50873.263888888891</v>
      </c>
      <c r="AZ42" s="420">
        <f>SUM(AZ12:AZ41)</f>
        <v>122733.33333333336</v>
      </c>
      <c r="BC42" s="420">
        <f>SUM(BC12:BC41)</f>
        <v>107250.00000000003</v>
      </c>
      <c r="BF42" s="420">
        <f>SUM(BF12:BF41)</f>
        <v>0</v>
      </c>
      <c r="BI42" s="420">
        <f>SUM(BI12:BI41)</f>
        <v>0</v>
      </c>
      <c r="BL42" s="420">
        <f>SUM(BL12:BL41)</f>
        <v>0</v>
      </c>
      <c r="BO42" s="420">
        <f>SUM(BO12:BO41)</f>
        <v>0</v>
      </c>
      <c r="BR42" s="420">
        <f>SUM(BR12:BR41)</f>
        <v>0</v>
      </c>
      <c r="BU42" s="420">
        <f>SUM(BU12:BU41)</f>
        <v>0</v>
      </c>
      <c r="BX42" s="420">
        <f>SUM(BX12:BX41)</f>
        <v>0</v>
      </c>
      <c r="CA42" s="420">
        <f>SUM(CA12:CA41)</f>
        <v>0</v>
      </c>
      <c r="CD42" s="420">
        <f>SUM(CD12:CD41)</f>
        <v>0</v>
      </c>
      <c r="CG42" s="420">
        <f>SUM(CG12:CG41)</f>
        <v>0</v>
      </c>
      <c r="CJ42" s="420">
        <f>SUM(CJ12:CJ41)</f>
        <v>0</v>
      </c>
      <c r="CM42" s="420">
        <f>SUM(CM12:CM41)</f>
        <v>0</v>
      </c>
      <c r="CP42" s="420">
        <f>SUM(CP12:CP41)</f>
        <v>0</v>
      </c>
      <c r="CS42" s="420">
        <f>SUM(CS12:CS41)</f>
        <v>0</v>
      </c>
      <c r="CV42" s="420">
        <f>SUM(CV12:CV41)</f>
        <v>0</v>
      </c>
      <c r="CY42" s="420">
        <f>SUM(CY12:CY41)</f>
        <v>0</v>
      </c>
      <c r="DB42" s="420">
        <f>SUM(DB12:DB41)</f>
        <v>0</v>
      </c>
      <c r="DE42" s="420">
        <f>SUM(DE12:DE41)</f>
        <v>0</v>
      </c>
      <c r="DH42" s="420">
        <f>SUM(DH12:DH41)</f>
        <v>0</v>
      </c>
      <c r="DK42" s="420">
        <f>SUM(DK12:DK41)</f>
        <v>0</v>
      </c>
      <c r="DN42" s="420">
        <f>SUM(DN12:DN41)</f>
        <v>0</v>
      </c>
      <c r="DQ42" s="420">
        <f>SUM(DQ12:DQ41)</f>
        <v>0</v>
      </c>
      <c r="DT42" s="420">
        <f>SUM(DT12:DT41)</f>
        <v>0</v>
      </c>
      <c r="DW42" s="420">
        <f>SUM(DW12:DW41)</f>
        <v>0</v>
      </c>
      <c r="DY42" s="405"/>
      <c r="DZ42" s="396"/>
      <c r="EA42" s="396"/>
      <c r="EB42" s="398"/>
      <c r="EC42" s="398"/>
      <c r="ED42" s="420">
        <f>SUM(ED12:ED41)</f>
        <v>844305.13764994463</v>
      </c>
      <c r="EE42" s="399"/>
      <c r="EG42" s="398"/>
      <c r="EH42" s="420">
        <f>SUM(EH12:EH41)</f>
        <v>0</v>
      </c>
      <c r="EI42" s="399"/>
      <c r="EJ42" s="399"/>
      <c r="EK42" s="398"/>
      <c r="EL42" s="398"/>
      <c r="EM42" s="420">
        <f>SUM(EM12:EM41)</f>
        <v>752606.61805555574</v>
      </c>
      <c r="EN42" s="399"/>
    </row>
    <row r="44" spans="1:146">
      <c r="EM44" s="419"/>
    </row>
    <row r="45" spans="1:146">
      <c r="EM45" s="398"/>
    </row>
    <row r="46" spans="1:146">
      <c r="EM46" s="398"/>
    </row>
    <row r="48" spans="1:146">
      <c r="EM48" s="398"/>
      <c r="EN48" s="398"/>
    </row>
    <row r="49" spans="144:144">
      <c r="EN49" s="419"/>
    </row>
    <row r="50" spans="144:144">
      <c r="EN50" s="398"/>
    </row>
    <row r="52" spans="144:144">
      <c r="EN52" s="398"/>
    </row>
    <row r="53" spans="144:144">
      <c r="EN53" s="419"/>
    </row>
    <row r="54" spans="144:144">
      <c r="EN54" s="398"/>
    </row>
    <row r="56" spans="144:144">
      <c r="EN56" s="398"/>
    </row>
    <row r="57" spans="144:144">
      <c r="EN57" s="419"/>
    </row>
    <row r="58" spans="144:144">
      <c r="EN58" s="398"/>
    </row>
  </sheetData>
  <pageMargins left="0.7" right="0.7" top="0.75" bottom="0.75" header="0.3" footer="0.3"/>
  <pageSetup scale="53" orientation="landscape" r:id="rId1"/>
  <headerFooter>
    <oddFooter>&amp;CSchedule MA-TU&amp;RNovember 2018 &amp;P of &amp;N
Confidential
4 CSR 240-2.090(9(A).2(D).II)</oddFooter>
  </headerFooter>
  <colBreaks count="2" manualBreakCount="2">
    <brk id="43" max="1048575" man="1"/>
    <brk id="13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6"/>
  <sheetViews>
    <sheetView zoomScale="80" zoomScaleNormal="80" workbookViewId="0">
      <selection activeCell="E31" sqref="E31"/>
    </sheetView>
  </sheetViews>
  <sheetFormatPr defaultColWidth="9.140625" defaultRowHeight="12.75"/>
  <cols>
    <col min="1" max="1" width="14.5703125" style="400" bestFit="1" customWidth="1"/>
    <col min="2" max="2" width="15.5703125" style="398" hidden="1" customWidth="1"/>
    <col min="3" max="3" width="15.42578125" style="399" hidden="1" customWidth="1"/>
    <col min="4" max="4" width="15.42578125" style="400" hidden="1" customWidth="1"/>
    <col min="5" max="5" width="15.5703125" style="398" bestFit="1" customWidth="1"/>
    <col min="6" max="6" width="4.85546875" style="399" bestFit="1" customWidth="1"/>
    <col min="7" max="7" width="17.28515625" style="400" bestFit="1" customWidth="1"/>
    <col min="8" max="8" width="15.42578125" style="398" hidden="1" customWidth="1"/>
    <col min="9" max="9" width="10.28515625" style="399" hidden="1" customWidth="1"/>
    <col min="10" max="10" width="13.42578125" style="400" hidden="1" customWidth="1"/>
    <col min="11" max="11" width="14.42578125" style="398" hidden="1" customWidth="1"/>
    <col min="12" max="12" width="10.28515625" style="399" hidden="1" customWidth="1"/>
    <col min="13" max="13" width="11.7109375" style="400" hidden="1" customWidth="1"/>
    <col min="14" max="14" width="14.42578125" style="398" hidden="1" customWidth="1"/>
    <col min="15" max="15" width="10.28515625" style="399" hidden="1" customWidth="1"/>
    <col min="16" max="16" width="11.7109375" style="400" hidden="1" customWidth="1"/>
    <col min="17" max="17" width="15.42578125" style="398" hidden="1" customWidth="1"/>
    <col min="18" max="18" width="10.28515625" style="399" hidden="1" customWidth="1"/>
    <col min="19" max="19" width="11.7109375" style="400" hidden="1" customWidth="1"/>
    <col min="20" max="20" width="15.42578125" style="398" hidden="1" customWidth="1"/>
    <col min="21" max="21" width="10.28515625" style="399" hidden="1" customWidth="1"/>
    <col min="22" max="22" width="11.7109375" style="400" hidden="1" customWidth="1"/>
    <col min="23" max="23" width="15.42578125" style="398" hidden="1" customWidth="1"/>
    <col min="24" max="24" width="10.28515625" style="399" hidden="1" customWidth="1"/>
    <col min="25" max="25" width="11.7109375" style="400" hidden="1" customWidth="1"/>
    <col min="26" max="26" width="15.42578125" style="398" hidden="1" customWidth="1"/>
    <col min="27" max="27" width="10.28515625" style="399" hidden="1" customWidth="1"/>
    <col min="28" max="28" width="11.7109375" style="400" hidden="1" customWidth="1"/>
    <col min="29" max="29" width="15.42578125" style="398" hidden="1" customWidth="1"/>
    <col min="30" max="30" width="10.28515625" style="399" hidden="1" customWidth="1"/>
    <col min="31" max="31" width="11.7109375" style="400" hidden="1" customWidth="1"/>
    <col min="32" max="32" width="14.42578125" style="398" hidden="1" customWidth="1"/>
    <col min="33" max="33" width="10.28515625" style="399" hidden="1" customWidth="1"/>
    <col min="34" max="34" width="10.7109375" style="400" hidden="1" customWidth="1"/>
    <col min="35" max="35" width="13.42578125" style="398" bestFit="1" customWidth="1"/>
    <col min="36" max="36" width="12" style="399" bestFit="1" customWidth="1"/>
    <col min="37" max="37" width="11.85546875" style="400" bestFit="1" customWidth="1"/>
    <col min="38" max="38" width="12.28515625" style="398" bestFit="1" customWidth="1"/>
    <col min="39" max="39" width="12" style="399" bestFit="1" customWidth="1"/>
    <col min="40" max="40" width="10.140625" style="400" bestFit="1" customWidth="1"/>
    <col min="41" max="41" width="15.42578125" style="398" hidden="1" customWidth="1"/>
    <col min="42" max="42" width="12.28515625" style="399" hidden="1" customWidth="1"/>
    <col min="43" max="43" width="11.7109375" style="400" hidden="1" customWidth="1"/>
    <col min="44" max="44" width="15.42578125" style="398" hidden="1" customWidth="1"/>
    <col min="45" max="45" width="10.28515625" style="399" hidden="1" customWidth="1"/>
    <col min="46" max="46" width="11.7109375" style="400" hidden="1" customWidth="1"/>
    <col min="47" max="47" width="14.42578125" style="398" hidden="1" customWidth="1"/>
    <col min="48" max="48" width="10.28515625" style="399" hidden="1" customWidth="1"/>
    <col min="49" max="49" width="10.7109375" style="400" hidden="1" customWidth="1"/>
    <col min="50" max="50" width="14.42578125" style="398" hidden="1" customWidth="1"/>
    <col min="51" max="51" width="10.28515625" style="399" hidden="1" customWidth="1"/>
    <col min="52" max="52" width="10.7109375" style="400" hidden="1" customWidth="1"/>
    <col min="53" max="53" width="14.42578125" style="398" hidden="1" customWidth="1"/>
    <col min="54" max="54" width="10.28515625" style="399" hidden="1" customWidth="1"/>
    <col min="55" max="55" width="10.7109375" style="400" hidden="1" customWidth="1"/>
    <col min="56" max="56" width="14.42578125" style="398" hidden="1" customWidth="1"/>
    <col min="57" max="57" width="10.28515625" style="399" hidden="1" customWidth="1"/>
    <col min="58" max="58" width="10.7109375" style="400" hidden="1" customWidth="1"/>
    <col min="59" max="59" width="14.42578125" style="398" hidden="1" customWidth="1"/>
    <col min="60" max="60" width="10.28515625" style="399" hidden="1" customWidth="1"/>
    <col min="61" max="61" width="10.7109375" style="400" hidden="1" customWidth="1"/>
    <col min="62" max="62" width="14.42578125" style="398" hidden="1" customWidth="1"/>
    <col min="63" max="63" width="10.28515625" style="399" hidden="1" customWidth="1"/>
    <col min="64" max="64" width="10.7109375" style="400" hidden="1" customWidth="1"/>
    <col min="65" max="65" width="14.42578125" style="398" hidden="1" customWidth="1"/>
    <col min="66" max="66" width="10.28515625" style="399" hidden="1" customWidth="1"/>
    <col min="67" max="67" width="10.7109375" style="400" hidden="1" customWidth="1"/>
    <col min="68" max="68" width="14.42578125" style="398" hidden="1" customWidth="1"/>
    <col min="69" max="69" width="10.28515625" style="399" hidden="1" customWidth="1"/>
    <col min="70" max="70" width="10.7109375" style="400" hidden="1" customWidth="1"/>
    <col min="71" max="71" width="14.42578125" style="398" hidden="1" customWidth="1"/>
    <col min="72" max="72" width="10.28515625" style="399" hidden="1" customWidth="1"/>
    <col min="73" max="73" width="10.7109375" style="400" hidden="1" customWidth="1"/>
    <col min="74" max="74" width="14.42578125" style="398" hidden="1" customWidth="1"/>
    <col min="75" max="75" width="10.28515625" style="399" hidden="1" customWidth="1"/>
    <col min="76" max="76" width="10.7109375" style="400" hidden="1" customWidth="1"/>
    <col min="77" max="77" width="14.42578125" style="398" hidden="1" customWidth="1"/>
    <col min="78" max="78" width="10.28515625" style="399" hidden="1" customWidth="1"/>
    <col min="79" max="79" width="10.7109375" style="400" hidden="1" customWidth="1"/>
    <col min="80" max="80" width="14.42578125" style="398" hidden="1" customWidth="1"/>
    <col min="81" max="81" width="10.28515625" style="399" hidden="1" customWidth="1"/>
    <col min="82" max="82" width="10.7109375" style="400" hidden="1" customWidth="1"/>
    <col min="83" max="83" width="14.42578125" style="398" hidden="1" customWidth="1"/>
    <col min="84" max="84" width="10.28515625" style="399" hidden="1" customWidth="1"/>
    <col min="85" max="85" width="10.7109375" style="400" hidden="1" customWidth="1"/>
    <col min="86" max="86" width="14.42578125" style="398" hidden="1" customWidth="1"/>
    <col min="87" max="87" width="10.28515625" style="399" hidden="1" customWidth="1"/>
    <col min="88" max="88" width="10.7109375" style="400" hidden="1" customWidth="1"/>
    <col min="89" max="89" width="14.42578125" style="398" hidden="1" customWidth="1"/>
    <col min="90" max="90" width="10.28515625" style="399" hidden="1" customWidth="1"/>
    <col min="91" max="91" width="10.7109375" style="400" hidden="1" customWidth="1"/>
    <col min="92" max="92" width="14.42578125" style="398" hidden="1" customWidth="1"/>
    <col min="93" max="93" width="10.28515625" style="399" hidden="1" customWidth="1"/>
    <col min="94" max="94" width="10.7109375" style="400" hidden="1" customWidth="1"/>
    <col min="95" max="95" width="14.42578125" style="398" hidden="1" customWidth="1"/>
    <col min="96" max="96" width="10.28515625" style="399" hidden="1" customWidth="1"/>
    <col min="97" max="97" width="10.7109375" style="400" hidden="1" customWidth="1"/>
    <col min="98" max="98" width="14.42578125" style="398" hidden="1" customWidth="1"/>
    <col min="99" max="99" width="10.28515625" style="399" hidden="1" customWidth="1"/>
    <col min="100" max="100" width="10.7109375" style="400" hidden="1" customWidth="1"/>
    <col min="101" max="101" width="14.42578125" style="398" hidden="1" customWidth="1"/>
    <col min="102" max="102" width="10.28515625" style="399" hidden="1" customWidth="1"/>
    <col min="103" max="103" width="10.7109375" style="400" hidden="1" customWidth="1"/>
    <col min="104" max="104" width="14.42578125" style="398" hidden="1" customWidth="1"/>
    <col min="105" max="105" width="10.28515625" style="399" hidden="1" customWidth="1"/>
    <col min="106" max="106" width="10.7109375" style="400" hidden="1" customWidth="1"/>
    <col min="107" max="107" width="14.42578125" style="398" hidden="1" customWidth="1"/>
    <col min="108" max="108" width="10.28515625" style="399" hidden="1" customWidth="1"/>
    <col min="109" max="109" width="10.7109375" style="400" hidden="1" customWidth="1"/>
    <col min="110" max="110" width="14.42578125" style="398" hidden="1" customWidth="1"/>
    <col min="111" max="111" width="10.28515625" style="399" hidden="1" customWidth="1"/>
    <col min="112" max="112" width="10.7109375" style="400" hidden="1" customWidth="1"/>
    <col min="113" max="113" width="14.42578125" style="398" hidden="1" customWidth="1"/>
    <col min="114" max="114" width="10.28515625" style="399" hidden="1" customWidth="1"/>
    <col min="115" max="115" width="10.7109375" style="400" hidden="1" customWidth="1"/>
    <col min="116" max="116" width="14.42578125" style="398" hidden="1" customWidth="1"/>
    <col min="117" max="117" width="10.28515625" style="399" hidden="1" customWidth="1"/>
    <col min="118" max="118" width="10.7109375" style="400" hidden="1" customWidth="1"/>
    <col min="119" max="119" width="14.42578125" style="398" hidden="1" customWidth="1"/>
    <col min="120" max="120" width="10.28515625" style="399" hidden="1" customWidth="1"/>
    <col min="121" max="121" width="10.7109375" style="400" hidden="1" customWidth="1"/>
    <col min="122" max="122" width="14.42578125" style="398" hidden="1" customWidth="1"/>
    <col min="123" max="123" width="10.28515625" style="399" hidden="1" customWidth="1"/>
    <col min="124" max="124" width="10.7109375" style="400" hidden="1" customWidth="1"/>
    <col min="125" max="125" width="14.42578125" style="398" hidden="1" customWidth="1"/>
    <col min="126" max="126" width="10.28515625" style="399" hidden="1" customWidth="1"/>
    <col min="127" max="127" width="10.7109375" style="400" hidden="1" customWidth="1"/>
    <col min="128" max="128" width="14.42578125" style="398" hidden="1" customWidth="1"/>
    <col min="129" max="129" width="10.28515625" style="399" hidden="1" customWidth="1"/>
    <col min="130" max="130" width="10.7109375" style="400" hidden="1" customWidth="1"/>
    <col min="131" max="131" width="2.7109375" style="400" customWidth="1"/>
    <col min="132" max="132" width="25.140625" style="400" bestFit="1" customWidth="1"/>
    <col min="133" max="133" width="15.42578125" style="400" hidden="1" customWidth="1"/>
    <col min="134" max="134" width="11.28515625" style="400" bestFit="1" customWidth="1"/>
    <col min="135" max="135" width="17.7109375" style="400" bestFit="1" customWidth="1"/>
    <col min="136" max="136" width="2.7109375" style="400" customWidth="1"/>
    <col min="137" max="137" width="15.42578125" style="400" hidden="1" customWidth="1"/>
    <col min="138" max="138" width="14.42578125" style="400" hidden="1" customWidth="1"/>
    <col min="139" max="139" width="12.42578125" style="400" hidden="1" customWidth="1"/>
    <col min="140" max="140" width="2.7109375" style="400" hidden="1" customWidth="1"/>
    <col min="141" max="141" width="16.5703125" style="400" bestFit="1" customWidth="1"/>
    <col min="142" max="142" width="15.42578125" style="400" hidden="1" customWidth="1"/>
    <col min="143" max="143" width="11.28515625" style="400" bestFit="1" customWidth="1"/>
    <col min="144" max="144" width="17.28515625" style="400" bestFit="1" customWidth="1"/>
    <col min="145" max="145" width="23.5703125" style="400" customWidth="1"/>
    <col min="146" max="146" width="20.42578125" style="400" bestFit="1" customWidth="1"/>
    <col min="147" max="147" width="23.140625" style="400" bestFit="1" customWidth="1"/>
    <col min="148" max="16384" width="9.140625" style="400"/>
  </cols>
  <sheetData>
    <row r="1" spans="1:147" s="201" customFormat="1">
      <c r="A1" s="200" t="s">
        <v>0</v>
      </c>
      <c r="B1" s="212"/>
      <c r="C1" s="392"/>
      <c r="E1" s="212"/>
      <c r="F1" s="392"/>
      <c r="H1" s="212"/>
      <c r="I1" s="392"/>
      <c r="K1" s="212"/>
      <c r="L1" s="392"/>
      <c r="N1" s="212"/>
      <c r="O1" s="392"/>
      <c r="Q1" s="212"/>
      <c r="R1" s="392"/>
      <c r="T1" s="212"/>
      <c r="U1" s="392"/>
      <c r="W1" s="212"/>
      <c r="X1" s="392"/>
      <c r="Z1" s="212"/>
      <c r="AA1" s="392"/>
      <c r="AC1" s="212"/>
      <c r="AD1" s="392"/>
      <c r="AF1" s="212"/>
      <c r="AG1" s="392"/>
      <c r="AI1" s="212"/>
      <c r="AJ1" s="392"/>
      <c r="AL1" s="212"/>
      <c r="AM1" s="392"/>
      <c r="AO1" s="212"/>
      <c r="AP1" s="392"/>
      <c r="AR1" s="212"/>
      <c r="AS1" s="392"/>
      <c r="AU1" s="212"/>
      <c r="AV1" s="392"/>
      <c r="AX1" s="212"/>
      <c r="AY1" s="392"/>
      <c r="BA1" s="212"/>
      <c r="BB1" s="392"/>
      <c r="BD1" s="212"/>
      <c r="BE1" s="392"/>
      <c r="BG1" s="212"/>
      <c r="BH1" s="392"/>
      <c r="BJ1" s="212"/>
      <c r="BK1" s="392"/>
      <c r="BM1" s="212"/>
      <c r="BN1" s="392"/>
      <c r="BP1" s="212"/>
      <c r="BQ1" s="392"/>
      <c r="BS1" s="212"/>
      <c r="BT1" s="392"/>
      <c r="BV1" s="212"/>
      <c r="BW1" s="392"/>
      <c r="BY1" s="212"/>
      <c r="BZ1" s="392"/>
      <c r="CB1" s="212"/>
      <c r="CC1" s="392"/>
      <c r="CE1" s="212"/>
      <c r="CF1" s="392"/>
      <c r="CH1" s="212"/>
      <c r="CI1" s="392"/>
      <c r="CK1" s="212"/>
      <c r="CL1" s="392"/>
      <c r="CN1" s="212"/>
      <c r="CO1" s="392"/>
      <c r="CQ1" s="212"/>
      <c r="CR1" s="392"/>
      <c r="CT1" s="212"/>
      <c r="CU1" s="392"/>
      <c r="CW1" s="212"/>
      <c r="CX1" s="392"/>
      <c r="CZ1" s="212"/>
      <c r="DA1" s="392"/>
      <c r="DC1" s="212"/>
      <c r="DD1" s="392"/>
      <c r="DF1" s="212"/>
      <c r="DG1" s="392"/>
      <c r="DI1" s="212"/>
      <c r="DJ1" s="392"/>
      <c r="DL1" s="212"/>
      <c r="DM1" s="392"/>
      <c r="DO1" s="212"/>
      <c r="DP1" s="392"/>
      <c r="DR1" s="212"/>
      <c r="DS1" s="392"/>
      <c r="DU1" s="212"/>
      <c r="DV1" s="392"/>
      <c r="DX1" s="212"/>
      <c r="DY1" s="392"/>
      <c r="DZ1" s="198"/>
      <c r="ED1" s="202"/>
      <c r="EE1" s="393" t="s">
        <v>118</v>
      </c>
      <c r="EI1" s="202" t="s">
        <v>59</v>
      </c>
      <c r="EM1" s="202"/>
      <c r="EN1" s="202" t="s">
        <v>120</v>
      </c>
      <c r="EO1" s="200" t="s">
        <v>121</v>
      </c>
      <c r="EP1" s="200" t="s">
        <v>122</v>
      </c>
      <c r="EQ1" s="200" t="s">
        <v>123</v>
      </c>
    </row>
    <row r="2" spans="1:147" s="201" customFormat="1">
      <c r="A2" s="200" t="s">
        <v>49</v>
      </c>
      <c r="B2" s="212"/>
      <c r="C2" s="392"/>
      <c r="E2" s="204"/>
      <c r="F2" s="392"/>
      <c r="G2" s="202"/>
      <c r="H2" s="212"/>
      <c r="I2" s="392"/>
      <c r="K2" s="212"/>
      <c r="L2" s="392"/>
      <c r="N2" s="212"/>
      <c r="O2" s="392"/>
      <c r="Q2" s="212"/>
      <c r="R2" s="392"/>
      <c r="T2" s="212"/>
      <c r="U2" s="392"/>
      <c r="W2" s="212"/>
      <c r="X2" s="392"/>
      <c r="Z2" s="212"/>
      <c r="AA2" s="392"/>
      <c r="AC2" s="212"/>
      <c r="AD2" s="392"/>
      <c r="AF2" s="212"/>
      <c r="AG2" s="392"/>
      <c r="AI2" s="212"/>
      <c r="AJ2" s="392"/>
      <c r="AL2" s="212"/>
      <c r="AM2" s="392"/>
      <c r="AO2" s="212"/>
      <c r="AP2" s="392"/>
      <c r="AR2" s="212"/>
      <c r="AS2" s="392"/>
      <c r="AU2" s="212"/>
      <c r="AV2" s="392"/>
      <c r="AX2" s="212"/>
      <c r="AY2" s="392"/>
      <c r="BA2" s="212"/>
      <c r="BB2" s="392"/>
      <c r="BD2" s="212"/>
      <c r="BE2" s="392"/>
      <c r="BG2" s="212"/>
      <c r="BH2" s="392"/>
      <c r="BJ2" s="212"/>
      <c r="BK2" s="392"/>
      <c r="BM2" s="212"/>
      <c r="BN2" s="392"/>
      <c r="BP2" s="212"/>
      <c r="BQ2" s="392"/>
      <c r="BS2" s="212"/>
      <c r="BT2" s="392"/>
      <c r="BV2" s="212"/>
      <c r="BW2" s="392"/>
      <c r="BY2" s="212"/>
      <c r="BZ2" s="392"/>
      <c r="CB2" s="212"/>
      <c r="CC2" s="392"/>
      <c r="CE2" s="212"/>
      <c r="CF2" s="392"/>
      <c r="CH2" s="212"/>
      <c r="CI2" s="392"/>
      <c r="CK2" s="212"/>
      <c r="CL2" s="392"/>
      <c r="CN2" s="212"/>
      <c r="CO2" s="392"/>
      <c r="CQ2" s="212"/>
      <c r="CR2" s="392"/>
      <c r="CT2" s="212"/>
      <c r="CU2" s="392"/>
      <c r="CW2" s="212"/>
      <c r="CX2" s="392"/>
      <c r="CZ2" s="212"/>
      <c r="DA2" s="392"/>
      <c r="DC2" s="212"/>
      <c r="DD2" s="392"/>
      <c r="DF2" s="212"/>
      <c r="DG2" s="392"/>
      <c r="DI2" s="212"/>
      <c r="DJ2" s="392"/>
      <c r="DL2" s="212"/>
      <c r="DM2" s="392"/>
      <c r="DO2" s="212"/>
      <c r="DP2" s="392"/>
      <c r="DR2" s="212"/>
      <c r="DS2" s="392"/>
      <c r="DU2" s="212"/>
      <c r="DV2" s="392"/>
      <c r="DX2" s="212"/>
      <c r="DY2" s="392"/>
      <c r="EB2" s="395" t="s">
        <v>51</v>
      </c>
      <c r="EC2" s="395"/>
      <c r="ED2" s="396"/>
      <c r="EE2" s="396">
        <f>EB42</f>
        <v>54600000</v>
      </c>
      <c r="EI2" s="396">
        <f>EG41</f>
        <v>0</v>
      </c>
      <c r="EM2" s="396"/>
      <c r="EN2" s="396">
        <f>EK42</f>
        <v>54600000</v>
      </c>
      <c r="EO2" s="212">
        <v>-9233.33</v>
      </c>
      <c r="EP2" s="212">
        <f>EN2+EO2</f>
        <v>54590766.670000002</v>
      </c>
      <c r="EQ2" s="212">
        <f>EE2+EO2</f>
        <v>54590766.670000002</v>
      </c>
    </row>
    <row r="3" spans="1:147" s="201" customFormat="1" ht="13.5" thickBot="1">
      <c r="A3" s="397" t="s">
        <v>204</v>
      </c>
      <c r="B3" s="212"/>
      <c r="C3" s="392"/>
      <c r="E3" s="204"/>
      <c r="F3" s="392"/>
      <c r="G3" s="202"/>
      <c r="H3" s="212"/>
      <c r="I3" s="392"/>
      <c r="K3" s="212"/>
      <c r="L3" s="392"/>
      <c r="N3" s="212"/>
      <c r="O3" s="392"/>
      <c r="Q3" s="212"/>
      <c r="R3" s="392"/>
      <c r="T3" s="212"/>
      <c r="U3" s="392"/>
      <c r="W3" s="212"/>
      <c r="X3" s="392"/>
      <c r="Z3" s="212"/>
      <c r="AA3" s="392"/>
      <c r="AC3" s="212"/>
      <c r="AD3" s="392"/>
      <c r="AF3" s="212"/>
      <c r="AG3" s="392"/>
      <c r="AI3" s="212"/>
      <c r="AJ3" s="392"/>
      <c r="AL3" s="212"/>
      <c r="AM3" s="392"/>
      <c r="AO3" s="212"/>
      <c r="AP3" s="392"/>
      <c r="AR3" s="212"/>
      <c r="AS3" s="392"/>
      <c r="AU3" s="212"/>
      <c r="AV3" s="392"/>
      <c r="AX3" s="212"/>
      <c r="AY3" s="392"/>
      <c r="BA3" s="212"/>
      <c r="BB3" s="392"/>
      <c r="BD3" s="212"/>
      <c r="BE3" s="392"/>
      <c r="BG3" s="212"/>
      <c r="BH3" s="392"/>
      <c r="BJ3" s="212"/>
      <c r="BK3" s="392"/>
      <c r="BM3" s="212"/>
      <c r="BN3" s="392"/>
      <c r="BP3" s="212"/>
      <c r="BQ3" s="392"/>
      <c r="BS3" s="212"/>
      <c r="BT3" s="392"/>
      <c r="BV3" s="212"/>
      <c r="BW3" s="392"/>
      <c r="BY3" s="212"/>
      <c r="BZ3" s="392"/>
      <c r="CB3" s="212"/>
      <c r="CC3" s="392"/>
      <c r="CE3" s="212"/>
      <c r="CF3" s="392"/>
      <c r="CH3" s="212"/>
      <c r="CI3" s="392"/>
      <c r="CK3" s="212"/>
      <c r="CL3" s="392"/>
      <c r="CN3" s="212"/>
      <c r="CO3" s="392"/>
      <c r="CQ3" s="212"/>
      <c r="CR3" s="392"/>
      <c r="CT3" s="212"/>
      <c r="CU3" s="392"/>
      <c r="CW3" s="212"/>
      <c r="CX3" s="392"/>
      <c r="CZ3" s="212"/>
      <c r="DA3" s="392"/>
      <c r="DC3" s="212"/>
      <c r="DD3" s="392"/>
      <c r="DF3" s="212"/>
      <c r="DG3" s="392"/>
      <c r="DI3" s="212"/>
      <c r="DJ3" s="392"/>
      <c r="DL3" s="212"/>
      <c r="DM3" s="392"/>
      <c r="DO3" s="212"/>
      <c r="DP3" s="392"/>
      <c r="DR3" s="212"/>
      <c r="DS3" s="392"/>
      <c r="DU3" s="212"/>
      <c r="DV3" s="392"/>
      <c r="DX3" s="212"/>
      <c r="DY3" s="392"/>
      <c r="EB3" s="395"/>
      <c r="EC3" s="395"/>
      <c r="ED3" s="396"/>
      <c r="EE3" s="396"/>
      <c r="EI3" s="396"/>
      <c r="EM3" s="396"/>
      <c r="EN3" s="396"/>
      <c r="EO3" s="212"/>
      <c r="EP3" s="212"/>
      <c r="EQ3" s="212"/>
    </row>
    <row r="4" spans="1:147" ht="13.5" thickTop="1">
      <c r="A4" s="397"/>
      <c r="E4" s="199" t="s">
        <v>50</v>
      </c>
      <c r="F4" s="401"/>
      <c r="G4" s="402"/>
      <c r="EB4" s="395" t="s">
        <v>52</v>
      </c>
      <c r="EC4" s="395"/>
      <c r="ED4" s="396"/>
      <c r="EE4" s="396">
        <f>AVERAGE(EB12:EB42)</f>
        <v>1761290.3225806451</v>
      </c>
      <c r="EI4" s="396">
        <f>AVERAGE(EG12:EG41)</f>
        <v>0</v>
      </c>
      <c r="EM4" s="396"/>
      <c r="EN4" s="396">
        <f>AVERAGE(EK12:EK42)</f>
        <v>1761290.3225806451</v>
      </c>
    </row>
    <row r="5" spans="1:147">
      <c r="D5" s="395"/>
      <c r="E5" s="403" t="s">
        <v>51</v>
      </c>
      <c r="F5" s="396"/>
      <c r="G5" s="404">
        <f>EQ2</f>
        <v>54590766.670000002</v>
      </c>
      <c r="AI5" s="200"/>
      <c r="EB5" s="395" t="s">
        <v>53</v>
      </c>
      <c r="EC5" s="395"/>
      <c r="ED5" s="405"/>
      <c r="EE5" s="405">
        <f>IF(EE4=0,0,360*(AVERAGE(ED12:ED42)/EE4))</f>
        <v>2.7545787545787539E-2</v>
      </c>
      <c r="EI5" s="405">
        <f>IF(EI4=0,0,360*(AVERAGE(EH12:EH41)/EI4))</f>
        <v>0</v>
      </c>
      <c r="EM5" s="405"/>
      <c r="EN5" s="405">
        <f>IF(EN4=0,0,360*(AVERAGE(EM12:EM42)/EN4))</f>
        <v>2.7545787545787539E-2</v>
      </c>
      <c r="EO5" s="201" t="s">
        <v>199</v>
      </c>
      <c r="EQ5" s="202"/>
    </row>
    <row r="6" spans="1:147">
      <c r="D6" s="395"/>
      <c r="E6" s="403" t="s">
        <v>52</v>
      </c>
      <c r="F6" s="396"/>
      <c r="G6" s="404">
        <f>EE4</f>
        <v>1761290.3225806451</v>
      </c>
      <c r="AI6" s="394"/>
      <c r="EB6" s="406" t="s">
        <v>57</v>
      </c>
      <c r="EC6" s="406"/>
      <c r="ED6" s="396"/>
      <c r="EE6" s="396">
        <f>MAX(EB12:EB42)</f>
        <v>54600000</v>
      </c>
      <c r="EI6" s="396">
        <f>MAX(EG12:EG41)</f>
        <v>0</v>
      </c>
      <c r="EM6" s="396"/>
      <c r="EN6" s="396">
        <f>MAX(EK12:EK42)</f>
        <v>54600000</v>
      </c>
    </row>
    <row r="7" spans="1:147">
      <c r="D7" s="395"/>
      <c r="E7" s="403" t="s">
        <v>53</v>
      </c>
      <c r="F7" s="396"/>
      <c r="G7" s="407">
        <f>EE5</f>
        <v>2.7545787545787539E-2</v>
      </c>
    </row>
    <row r="8" spans="1:147" ht="13.5" thickBot="1">
      <c r="D8" s="395"/>
      <c r="E8" s="408" t="s">
        <v>57</v>
      </c>
      <c r="F8" s="409"/>
      <c r="G8" s="410">
        <f>EE6</f>
        <v>54600000</v>
      </c>
      <c r="AI8" s="394"/>
      <c r="EB8" s="203" t="s">
        <v>54</v>
      </c>
      <c r="EC8" s="203"/>
      <c r="ED8" s="411"/>
      <c r="EE8" s="411"/>
      <c r="EG8" s="203" t="s">
        <v>55</v>
      </c>
      <c r="EH8" s="411"/>
      <c r="EI8" s="411"/>
      <c r="EJ8" s="412"/>
      <c r="EK8" s="203" t="s">
        <v>56</v>
      </c>
      <c r="EL8" s="203"/>
      <c r="EM8" s="411"/>
      <c r="EN8" s="411"/>
    </row>
    <row r="9" spans="1:147" ht="13.5" thickTop="1">
      <c r="AI9" s="204"/>
      <c r="AL9" s="204"/>
      <c r="AO9" s="204"/>
      <c r="AR9" s="204"/>
      <c r="AU9" s="204"/>
      <c r="AX9" s="204"/>
      <c r="BA9" s="204"/>
      <c r="BD9" s="204"/>
      <c r="BG9" s="204"/>
      <c r="BJ9" s="204"/>
      <c r="BM9" s="204" t="s">
        <v>112</v>
      </c>
      <c r="BP9" s="204" t="s">
        <v>112</v>
      </c>
      <c r="BS9" s="204" t="s">
        <v>112</v>
      </c>
      <c r="BV9" s="204" t="s">
        <v>112</v>
      </c>
      <c r="BY9" s="204" t="s">
        <v>112</v>
      </c>
      <c r="CB9" s="204" t="s">
        <v>112</v>
      </c>
      <c r="CE9" s="204" t="s">
        <v>112</v>
      </c>
      <c r="CH9" s="204" t="s">
        <v>112</v>
      </c>
      <c r="CK9" s="204" t="s">
        <v>112</v>
      </c>
      <c r="CN9" s="204" t="s">
        <v>112</v>
      </c>
      <c r="CQ9" s="204" t="s">
        <v>112</v>
      </c>
      <c r="CT9" s="204" t="s">
        <v>112</v>
      </c>
      <c r="CW9" s="204" t="s">
        <v>112</v>
      </c>
      <c r="CZ9" s="204" t="s">
        <v>112</v>
      </c>
      <c r="DC9" s="204" t="s">
        <v>112</v>
      </c>
      <c r="DF9" s="204" t="s">
        <v>112</v>
      </c>
      <c r="DI9" s="204" t="s">
        <v>112</v>
      </c>
      <c r="DL9" s="204" t="s">
        <v>112</v>
      </c>
      <c r="DO9" s="204" t="s">
        <v>112</v>
      </c>
      <c r="DR9" s="204" t="s">
        <v>112</v>
      </c>
      <c r="EB9" s="413"/>
      <c r="EC9" s="413"/>
      <c r="ED9" s="413"/>
      <c r="EE9" s="413" t="s">
        <v>58</v>
      </c>
      <c r="EG9" s="413"/>
      <c r="EH9" s="205" t="s">
        <v>59</v>
      </c>
      <c r="EI9" s="413" t="s">
        <v>58</v>
      </c>
      <c r="EJ9" s="413"/>
      <c r="EK9" s="202" t="s">
        <v>113</v>
      </c>
      <c r="EL9" s="202" t="s">
        <v>114</v>
      </c>
      <c r="EM9" s="205" t="s">
        <v>60</v>
      </c>
      <c r="EN9" s="413" t="s">
        <v>58</v>
      </c>
    </row>
    <row r="10" spans="1:147">
      <c r="B10" s="414" t="s">
        <v>61</v>
      </c>
      <c r="C10" s="415"/>
      <c r="D10" s="411"/>
      <c r="E10" s="414" t="s">
        <v>62</v>
      </c>
      <c r="F10" s="415"/>
      <c r="G10" s="411"/>
      <c r="H10" s="414" t="s">
        <v>63</v>
      </c>
      <c r="I10" s="415"/>
      <c r="J10" s="411"/>
      <c r="K10" s="414" t="s">
        <v>64</v>
      </c>
      <c r="L10" s="415"/>
      <c r="M10" s="411"/>
      <c r="N10" s="414" t="s">
        <v>65</v>
      </c>
      <c r="O10" s="415"/>
      <c r="P10" s="411"/>
      <c r="Q10" s="414" t="s">
        <v>66</v>
      </c>
      <c r="R10" s="415"/>
      <c r="S10" s="411"/>
      <c r="T10" s="414" t="s">
        <v>67</v>
      </c>
      <c r="U10" s="415"/>
      <c r="V10" s="411"/>
      <c r="W10" s="414" t="s">
        <v>68</v>
      </c>
      <c r="X10" s="415"/>
      <c r="Y10" s="411"/>
      <c r="Z10" s="414" t="s">
        <v>69</v>
      </c>
      <c r="AA10" s="415"/>
      <c r="AB10" s="411"/>
      <c r="AC10" s="206" t="s">
        <v>70</v>
      </c>
      <c r="AD10" s="415"/>
      <c r="AE10" s="411"/>
      <c r="AF10" s="206" t="s">
        <v>71</v>
      </c>
      <c r="AG10" s="415"/>
      <c r="AH10" s="411"/>
      <c r="AI10" s="414" t="s">
        <v>72</v>
      </c>
      <c r="AJ10" s="415"/>
      <c r="AK10" s="411"/>
      <c r="AL10" s="414" t="s">
        <v>73</v>
      </c>
      <c r="AM10" s="415"/>
      <c r="AN10" s="411"/>
      <c r="AO10" s="414" t="s">
        <v>74</v>
      </c>
      <c r="AP10" s="415"/>
      <c r="AQ10" s="411"/>
      <c r="AR10" s="414" t="s">
        <v>75</v>
      </c>
      <c r="AS10" s="415"/>
      <c r="AT10" s="411"/>
      <c r="AU10" s="414" t="s">
        <v>76</v>
      </c>
      <c r="AV10" s="415"/>
      <c r="AW10" s="411"/>
      <c r="AX10" s="414" t="s">
        <v>77</v>
      </c>
      <c r="AY10" s="415"/>
      <c r="AZ10" s="411"/>
      <c r="BA10" s="414" t="s">
        <v>78</v>
      </c>
      <c r="BB10" s="415"/>
      <c r="BC10" s="411"/>
      <c r="BD10" s="414" t="s">
        <v>79</v>
      </c>
      <c r="BE10" s="415"/>
      <c r="BF10" s="411"/>
      <c r="BG10" s="414" t="s">
        <v>80</v>
      </c>
      <c r="BH10" s="415"/>
      <c r="BI10" s="411"/>
      <c r="BJ10" s="414" t="s">
        <v>81</v>
      </c>
      <c r="BK10" s="415"/>
      <c r="BL10" s="411"/>
      <c r="BM10" s="414" t="s">
        <v>82</v>
      </c>
      <c r="BN10" s="415"/>
      <c r="BO10" s="411"/>
      <c r="BP10" s="414" t="s">
        <v>83</v>
      </c>
      <c r="BQ10" s="415"/>
      <c r="BR10" s="411"/>
      <c r="BS10" s="414" t="s">
        <v>84</v>
      </c>
      <c r="BT10" s="415"/>
      <c r="BU10" s="411"/>
      <c r="BV10" s="414" t="s">
        <v>85</v>
      </c>
      <c r="BW10" s="415"/>
      <c r="BX10" s="411"/>
      <c r="BY10" s="414" t="s">
        <v>86</v>
      </c>
      <c r="BZ10" s="415"/>
      <c r="CA10" s="411"/>
      <c r="CB10" s="414" t="s">
        <v>87</v>
      </c>
      <c r="CC10" s="415"/>
      <c r="CD10" s="411"/>
      <c r="CE10" s="414" t="s">
        <v>88</v>
      </c>
      <c r="CF10" s="415"/>
      <c r="CG10" s="411"/>
      <c r="CH10" s="414" t="s">
        <v>89</v>
      </c>
      <c r="CI10" s="415"/>
      <c r="CJ10" s="411"/>
      <c r="CK10" s="414" t="s">
        <v>90</v>
      </c>
      <c r="CL10" s="415"/>
      <c r="CM10" s="411"/>
      <c r="CN10" s="414" t="s">
        <v>91</v>
      </c>
      <c r="CO10" s="415"/>
      <c r="CP10" s="411"/>
      <c r="CQ10" s="414" t="s">
        <v>92</v>
      </c>
      <c r="CR10" s="415"/>
      <c r="CS10" s="411"/>
      <c r="CT10" s="414" t="s">
        <v>93</v>
      </c>
      <c r="CU10" s="415"/>
      <c r="CV10" s="411"/>
      <c r="CW10" s="414" t="s">
        <v>94</v>
      </c>
      <c r="CX10" s="415"/>
      <c r="CY10" s="411"/>
      <c r="CZ10" s="414" t="s">
        <v>95</v>
      </c>
      <c r="DA10" s="415"/>
      <c r="DB10" s="411"/>
      <c r="DC10" s="414" t="s">
        <v>96</v>
      </c>
      <c r="DD10" s="415"/>
      <c r="DE10" s="411"/>
      <c r="DF10" s="414" t="s">
        <v>97</v>
      </c>
      <c r="DG10" s="415"/>
      <c r="DH10" s="411"/>
      <c r="DI10" s="414" t="s">
        <v>98</v>
      </c>
      <c r="DJ10" s="415"/>
      <c r="DK10" s="411"/>
      <c r="DL10" s="414" t="s">
        <v>99</v>
      </c>
      <c r="DM10" s="415"/>
      <c r="DN10" s="411"/>
      <c r="DO10" s="414" t="s">
        <v>100</v>
      </c>
      <c r="DP10" s="415"/>
      <c r="DQ10" s="411"/>
      <c r="DR10" s="414" t="s">
        <v>101</v>
      </c>
      <c r="DS10" s="415"/>
      <c r="DT10" s="411"/>
      <c r="DU10" s="414" t="s">
        <v>102</v>
      </c>
      <c r="DV10" s="415"/>
      <c r="DW10" s="411"/>
      <c r="DX10" s="207" t="s">
        <v>115</v>
      </c>
      <c r="DY10" s="415"/>
      <c r="DZ10" s="411"/>
      <c r="EA10" s="412"/>
      <c r="EB10" s="202" t="s">
        <v>116</v>
      </c>
      <c r="EC10" s="202" t="s">
        <v>117</v>
      </c>
      <c r="ED10" s="413" t="s">
        <v>103</v>
      </c>
      <c r="EE10" s="413" t="s">
        <v>104</v>
      </c>
      <c r="EG10" s="205" t="s">
        <v>105</v>
      </c>
      <c r="EH10" s="413" t="s">
        <v>103</v>
      </c>
      <c r="EI10" s="413" t="s">
        <v>104</v>
      </c>
      <c r="EJ10" s="413"/>
      <c r="EK10" s="205" t="s">
        <v>60</v>
      </c>
      <c r="EL10" s="205" t="s">
        <v>60</v>
      </c>
      <c r="EM10" s="413" t="s">
        <v>103</v>
      </c>
      <c r="EN10" s="413" t="s">
        <v>104</v>
      </c>
    </row>
    <row r="11" spans="1:147">
      <c r="A11" s="413" t="s">
        <v>106</v>
      </c>
      <c r="B11" s="208" t="s">
        <v>107</v>
      </c>
      <c r="C11" s="209" t="s">
        <v>108</v>
      </c>
      <c r="D11" s="210" t="s">
        <v>109</v>
      </c>
      <c r="E11" s="208" t="s">
        <v>107</v>
      </c>
      <c r="F11" s="209" t="s">
        <v>108</v>
      </c>
      <c r="G11" s="210" t="s">
        <v>109</v>
      </c>
      <c r="H11" s="208" t="s">
        <v>107</v>
      </c>
      <c r="I11" s="209" t="s">
        <v>108</v>
      </c>
      <c r="J11" s="210" t="s">
        <v>109</v>
      </c>
      <c r="K11" s="208" t="s">
        <v>107</v>
      </c>
      <c r="L11" s="209" t="s">
        <v>108</v>
      </c>
      <c r="M11" s="210" t="s">
        <v>109</v>
      </c>
      <c r="N11" s="208" t="s">
        <v>107</v>
      </c>
      <c r="O11" s="209" t="s">
        <v>108</v>
      </c>
      <c r="P11" s="210" t="s">
        <v>109</v>
      </c>
      <c r="Q11" s="208" t="s">
        <v>107</v>
      </c>
      <c r="R11" s="209" t="s">
        <v>108</v>
      </c>
      <c r="S11" s="210" t="s">
        <v>109</v>
      </c>
      <c r="T11" s="208" t="s">
        <v>107</v>
      </c>
      <c r="U11" s="209" t="s">
        <v>108</v>
      </c>
      <c r="V11" s="210" t="s">
        <v>109</v>
      </c>
      <c r="W11" s="208" t="s">
        <v>107</v>
      </c>
      <c r="X11" s="209" t="s">
        <v>108</v>
      </c>
      <c r="Y11" s="210" t="s">
        <v>109</v>
      </c>
      <c r="Z11" s="208" t="s">
        <v>107</v>
      </c>
      <c r="AA11" s="209" t="s">
        <v>108</v>
      </c>
      <c r="AB11" s="210" t="s">
        <v>109</v>
      </c>
      <c r="AC11" s="208" t="s">
        <v>107</v>
      </c>
      <c r="AD11" s="209" t="s">
        <v>108</v>
      </c>
      <c r="AE11" s="210" t="s">
        <v>109</v>
      </c>
      <c r="AF11" s="208" t="s">
        <v>107</v>
      </c>
      <c r="AG11" s="209" t="s">
        <v>108</v>
      </c>
      <c r="AH11" s="210" t="s">
        <v>109</v>
      </c>
      <c r="AI11" s="208" t="s">
        <v>107</v>
      </c>
      <c r="AJ11" s="209" t="s">
        <v>108</v>
      </c>
      <c r="AK11" s="210" t="s">
        <v>109</v>
      </c>
      <c r="AL11" s="208" t="s">
        <v>107</v>
      </c>
      <c r="AM11" s="209" t="s">
        <v>108</v>
      </c>
      <c r="AN11" s="210" t="s">
        <v>109</v>
      </c>
      <c r="AO11" s="208" t="s">
        <v>107</v>
      </c>
      <c r="AP11" s="209" t="s">
        <v>108</v>
      </c>
      <c r="AQ11" s="210" t="s">
        <v>109</v>
      </c>
      <c r="AR11" s="208" t="s">
        <v>107</v>
      </c>
      <c r="AS11" s="209" t="s">
        <v>108</v>
      </c>
      <c r="AT11" s="210" t="s">
        <v>109</v>
      </c>
      <c r="AU11" s="208" t="s">
        <v>107</v>
      </c>
      <c r="AV11" s="209" t="s">
        <v>108</v>
      </c>
      <c r="AW11" s="210" t="s">
        <v>109</v>
      </c>
      <c r="AX11" s="208" t="s">
        <v>107</v>
      </c>
      <c r="AY11" s="209" t="s">
        <v>108</v>
      </c>
      <c r="AZ11" s="210" t="s">
        <v>109</v>
      </c>
      <c r="BA11" s="208" t="s">
        <v>107</v>
      </c>
      <c r="BB11" s="209" t="s">
        <v>108</v>
      </c>
      <c r="BC11" s="210" t="s">
        <v>109</v>
      </c>
      <c r="BD11" s="208" t="s">
        <v>107</v>
      </c>
      <c r="BE11" s="209" t="s">
        <v>108</v>
      </c>
      <c r="BF11" s="210" t="s">
        <v>109</v>
      </c>
      <c r="BG11" s="208" t="s">
        <v>107</v>
      </c>
      <c r="BH11" s="209" t="s">
        <v>108</v>
      </c>
      <c r="BI11" s="210" t="s">
        <v>109</v>
      </c>
      <c r="BJ11" s="208" t="s">
        <v>107</v>
      </c>
      <c r="BK11" s="209" t="s">
        <v>108</v>
      </c>
      <c r="BL11" s="210" t="s">
        <v>109</v>
      </c>
      <c r="BM11" s="208" t="s">
        <v>107</v>
      </c>
      <c r="BN11" s="209" t="s">
        <v>108</v>
      </c>
      <c r="BO11" s="210" t="s">
        <v>109</v>
      </c>
      <c r="BP11" s="208" t="s">
        <v>107</v>
      </c>
      <c r="BQ11" s="209" t="s">
        <v>108</v>
      </c>
      <c r="BR11" s="210" t="s">
        <v>109</v>
      </c>
      <c r="BS11" s="208" t="s">
        <v>107</v>
      </c>
      <c r="BT11" s="209" t="s">
        <v>108</v>
      </c>
      <c r="BU11" s="210" t="s">
        <v>109</v>
      </c>
      <c r="BV11" s="208" t="s">
        <v>107</v>
      </c>
      <c r="BW11" s="209" t="s">
        <v>108</v>
      </c>
      <c r="BX11" s="210" t="s">
        <v>109</v>
      </c>
      <c r="BY11" s="208" t="s">
        <v>107</v>
      </c>
      <c r="BZ11" s="209" t="s">
        <v>108</v>
      </c>
      <c r="CA11" s="210" t="s">
        <v>109</v>
      </c>
      <c r="CB11" s="208" t="s">
        <v>107</v>
      </c>
      <c r="CC11" s="209" t="s">
        <v>108</v>
      </c>
      <c r="CD11" s="210" t="s">
        <v>109</v>
      </c>
      <c r="CE11" s="208" t="s">
        <v>107</v>
      </c>
      <c r="CF11" s="209" t="s">
        <v>108</v>
      </c>
      <c r="CG11" s="210" t="s">
        <v>109</v>
      </c>
      <c r="CH11" s="208" t="s">
        <v>107</v>
      </c>
      <c r="CI11" s="209" t="s">
        <v>108</v>
      </c>
      <c r="CJ11" s="210" t="s">
        <v>109</v>
      </c>
      <c r="CK11" s="208" t="s">
        <v>107</v>
      </c>
      <c r="CL11" s="209" t="s">
        <v>108</v>
      </c>
      <c r="CM11" s="210" t="s">
        <v>109</v>
      </c>
      <c r="CN11" s="208" t="s">
        <v>107</v>
      </c>
      <c r="CO11" s="209" t="s">
        <v>108</v>
      </c>
      <c r="CP11" s="210" t="s">
        <v>109</v>
      </c>
      <c r="CQ11" s="208" t="s">
        <v>107</v>
      </c>
      <c r="CR11" s="209" t="s">
        <v>108</v>
      </c>
      <c r="CS11" s="210" t="s">
        <v>109</v>
      </c>
      <c r="CT11" s="208" t="s">
        <v>107</v>
      </c>
      <c r="CU11" s="209" t="s">
        <v>108</v>
      </c>
      <c r="CV11" s="210" t="s">
        <v>109</v>
      </c>
      <c r="CW11" s="208" t="s">
        <v>107</v>
      </c>
      <c r="CX11" s="209" t="s">
        <v>108</v>
      </c>
      <c r="CY11" s="210" t="s">
        <v>109</v>
      </c>
      <c r="CZ11" s="208" t="s">
        <v>107</v>
      </c>
      <c r="DA11" s="209" t="s">
        <v>108</v>
      </c>
      <c r="DB11" s="210" t="s">
        <v>109</v>
      </c>
      <c r="DC11" s="208" t="s">
        <v>107</v>
      </c>
      <c r="DD11" s="209" t="s">
        <v>108</v>
      </c>
      <c r="DE11" s="210" t="s">
        <v>109</v>
      </c>
      <c r="DF11" s="208" t="s">
        <v>107</v>
      </c>
      <c r="DG11" s="209" t="s">
        <v>108</v>
      </c>
      <c r="DH11" s="210" t="s">
        <v>109</v>
      </c>
      <c r="DI11" s="208" t="s">
        <v>107</v>
      </c>
      <c r="DJ11" s="209" t="s">
        <v>108</v>
      </c>
      <c r="DK11" s="210" t="s">
        <v>109</v>
      </c>
      <c r="DL11" s="208" t="s">
        <v>107</v>
      </c>
      <c r="DM11" s="209" t="s">
        <v>108</v>
      </c>
      <c r="DN11" s="210" t="s">
        <v>109</v>
      </c>
      <c r="DO11" s="208" t="s">
        <v>107</v>
      </c>
      <c r="DP11" s="209" t="s">
        <v>108</v>
      </c>
      <c r="DQ11" s="210" t="s">
        <v>109</v>
      </c>
      <c r="DR11" s="208" t="s">
        <v>107</v>
      </c>
      <c r="DS11" s="209" t="s">
        <v>108</v>
      </c>
      <c r="DT11" s="210" t="s">
        <v>109</v>
      </c>
      <c r="DU11" s="208" t="s">
        <v>107</v>
      </c>
      <c r="DV11" s="209" t="s">
        <v>108</v>
      </c>
      <c r="DW11" s="210" t="s">
        <v>109</v>
      </c>
      <c r="DX11" s="208" t="s">
        <v>107</v>
      </c>
      <c r="DY11" s="209"/>
      <c r="DZ11" s="210"/>
      <c r="EA11" s="210"/>
      <c r="EB11" s="210" t="s">
        <v>110</v>
      </c>
      <c r="EC11" s="210" t="s">
        <v>110</v>
      </c>
      <c r="ED11" s="210" t="s">
        <v>109</v>
      </c>
      <c r="EE11" s="211" t="s">
        <v>108</v>
      </c>
      <c r="EG11" s="210" t="s">
        <v>110</v>
      </c>
      <c r="EH11" s="210" t="s">
        <v>109</v>
      </c>
      <c r="EI11" s="211" t="s">
        <v>108</v>
      </c>
      <c r="EJ11" s="211"/>
      <c r="EK11" s="210" t="s">
        <v>110</v>
      </c>
      <c r="EL11" s="210" t="s">
        <v>110</v>
      </c>
      <c r="EM11" s="210" t="s">
        <v>109</v>
      </c>
      <c r="EN11" s="211" t="s">
        <v>108</v>
      </c>
    </row>
    <row r="12" spans="1:147">
      <c r="A12" s="416">
        <v>43435</v>
      </c>
      <c r="D12" s="398">
        <f>(B12*C12)/360</f>
        <v>0</v>
      </c>
      <c r="G12" s="398">
        <f>(E12*F12)/360</f>
        <v>0</v>
      </c>
      <c r="J12" s="398">
        <f>(H12*I12)/360</f>
        <v>0</v>
      </c>
      <c r="M12" s="398">
        <f>(K12*L12)/360</f>
        <v>0</v>
      </c>
      <c r="P12" s="398">
        <f>(N12*O12)/360</f>
        <v>0</v>
      </c>
      <c r="S12" s="398">
        <f>(Q12*R12)/360</f>
        <v>0</v>
      </c>
      <c r="V12" s="398">
        <f>(T12*U12)/360</f>
        <v>0</v>
      </c>
      <c r="Y12" s="398">
        <f>(W12*X12)/360</f>
        <v>0</v>
      </c>
      <c r="AB12" s="398">
        <f>(Z12*AA12)/360</f>
        <v>0</v>
      </c>
      <c r="AE12" s="398">
        <v>0</v>
      </c>
      <c r="AH12" s="398">
        <v>0</v>
      </c>
      <c r="AK12" s="398">
        <f>(AI12*AJ12)/360</f>
        <v>0</v>
      </c>
      <c r="AN12" s="398">
        <f>(AL12*AM12)/360</f>
        <v>0</v>
      </c>
      <c r="AQ12" s="398">
        <f>(AO12*AP12)/360</f>
        <v>0</v>
      </c>
      <c r="AT12" s="398">
        <f>(AR12*AS12)/360</f>
        <v>0</v>
      </c>
      <c r="AW12" s="398">
        <f>(AU12*AV12)/360</f>
        <v>0</v>
      </c>
      <c r="AZ12" s="398">
        <f>(AX12*AY12)/360</f>
        <v>0</v>
      </c>
      <c r="BC12" s="398">
        <f>(BA12*BB12)/360</f>
        <v>0</v>
      </c>
      <c r="BF12" s="398">
        <f>(BD12*BE12)/360</f>
        <v>0</v>
      </c>
      <c r="BI12" s="398">
        <f>(BG12*BH12)/360</f>
        <v>0</v>
      </c>
      <c r="BL12" s="398">
        <f>(BJ12*BK12)/360</f>
        <v>0</v>
      </c>
      <c r="BO12" s="398">
        <f>(BM12*BN12)/360</f>
        <v>0</v>
      </c>
      <c r="BR12" s="398">
        <f>(BP12*BQ12)/360</f>
        <v>0</v>
      </c>
      <c r="BU12" s="398">
        <f>(BS12*BT12)/360</f>
        <v>0</v>
      </c>
      <c r="BX12" s="398">
        <f>(BV12*BW12)/360</f>
        <v>0</v>
      </c>
      <c r="CA12" s="398">
        <f>(BY12*BZ12)/360</f>
        <v>0</v>
      </c>
      <c r="CD12" s="398">
        <f>(CB12*CC12)/360</f>
        <v>0</v>
      </c>
      <c r="CG12" s="398">
        <f>(CE12*CF12)/360</f>
        <v>0</v>
      </c>
      <c r="CJ12" s="398">
        <f>(CH12*CI12)/360</f>
        <v>0</v>
      </c>
      <c r="CM12" s="398">
        <f>(CK12*CL12)/360</f>
        <v>0</v>
      </c>
      <c r="CP12" s="398">
        <f>(CN12*CO12)/360</f>
        <v>0</v>
      </c>
      <c r="CS12" s="398">
        <f>(CQ12*CR12)/360</f>
        <v>0</v>
      </c>
      <c r="CV12" s="398">
        <f>(CT12*CU12)/360</f>
        <v>0</v>
      </c>
      <c r="CY12" s="398">
        <f>(CW12*CX12)/360</f>
        <v>0</v>
      </c>
      <c r="DB12" s="398">
        <f>(CZ12*DA12)/360</f>
        <v>0</v>
      </c>
      <c r="DE12" s="398">
        <f>(DC12*DD12)/360</f>
        <v>0</v>
      </c>
      <c r="DH12" s="398">
        <f>(DF12*DG12)/360</f>
        <v>0</v>
      </c>
      <c r="DK12" s="398">
        <f>(DI12*DJ12)/360</f>
        <v>0</v>
      </c>
      <c r="DN12" s="398">
        <f>(DL12*DM12)/360</f>
        <v>0</v>
      </c>
      <c r="DQ12" s="398">
        <f>(DO12*DP12)/360</f>
        <v>0</v>
      </c>
      <c r="DT12" s="398">
        <f>(DR12*DS12)/360</f>
        <v>0</v>
      </c>
      <c r="DW12" s="398">
        <f>(DU12*DV12)/360</f>
        <v>0</v>
      </c>
      <c r="DZ12" s="398"/>
      <c r="EA12" s="398"/>
      <c r="EB12" s="212">
        <f>B12+E12+H12+K12+N12+Q12+T12+W12+Z12+AC12+AF12+AL12+AO12+AR12+AU12+AX12+BA12+BD12+BG12+DU12+AI12+DR12+DO12+DL12+DI12+DF12+DC12+CZ12+CW12+CT12+CQ12+CN12+CK12+CH12+CE12+CB12+BY12+BV12+BS12+BP12+BM12+BJ12</f>
        <v>0</v>
      </c>
      <c r="EC12" s="212">
        <f>EB12-EK12+EL12</f>
        <v>0</v>
      </c>
      <c r="ED12" s="398">
        <f>D12+G12+J12+M12+P12+S12+V12+Y12+AB12+AE12+AH12+AK12+AN12+AQ12+AT12+AW12+AZ12+BC12+BF12+BI12+DW12+DT12+DQ12+DN12+DK12+DH12+DE12+DB12+CY12+CV12+CS12+CP12+CM12+CJ12+CG12+CD12+CA12+BX12+BU12+BR12+BO12+BL12</f>
        <v>0</v>
      </c>
      <c r="EE12" s="399">
        <f>IF(EB12&lt;&gt;0,((ED12/EB12)*360),0)</f>
        <v>0</v>
      </c>
      <c r="EG12" s="212">
        <f>Q12+T12+W12+Z12+AC12+AF12</f>
        <v>0</v>
      </c>
      <c r="EH12" s="398">
        <f>S12+V12+Y12+AB12+AE12+AH12</f>
        <v>0</v>
      </c>
      <c r="EI12" s="399">
        <f>IF(EG12&lt;&gt;0,((EH12/EG12)*360),0)</f>
        <v>0</v>
      </c>
      <c r="EJ12" s="399"/>
      <c r="EK12" s="212">
        <f>DR12+DL12+DI12+DF12+DC12+CZ12+CW12+CT12+CQ12+CN12+CK12+CH12+CE12+CB12+BY12+BV12+BS12+BP12+BM12+BJ12+BG12+BD12+BA12+AX12+AU12+AR12+AO12+AL12+AI12+DO12</f>
        <v>0</v>
      </c>
      <c r="EL12" s="212">
        <f>DX12</f>
        <v>0</v>
      </c>
      <c r="EM12" s="212">
        <f>DT12+DQ12+DN12+DK12+DH12+DE12+DB12+CY12+CV12+CS12+CP12+CM12+CJ12+CG12+CD12+CA12+BX12+BU12+BR12+BO12+BL12+BI12+BF12+BC12+AZ12+AW12+AT12+AQ12+AN12+AK12</f>
        <v>0</v>
      </c>
      <c r="EN12" s="399">
        <f>IF(EK12&lt;&gt;0,((EM12/EK12)*360),0)</f>
        <v>0</v>
      </c>
    </row>
    <row r="13" spans="1:147">
      <c r="A13" s="416">
        <f>1+A12</f>
        <v>43436</v>
      </c>
      <c r="D13" s="398">
        <f t="shared" ref="D13:D42" si="0">(B13*C13)/360</f>
        <v>0</v>
      </c>
      <c r="G13" s="398">
        <f t="shared" ref="G13:G42" si="1">(E13*F13)/360</f>
        <v>0</v>
      </c>
      <c r="J13" s="398">
        <f t="shared" ref="J13:J42" si="2">(H13*I13)/360</f>
        <v>0</v>
      </c>
      <c r="M13" s="398">
        <f t="shared" ref="M13:M42" si="3">(K13*L13)/360</f>
        <v>0</v>
      </c>
      <c r="P13" s="398">
        <f t="shared" ref="P13:P42" si="4">(N13*O13)/360</f>
        <v>0</v>
      </c>
      <c r="S13" s="398">
        <f t="shared" ref="S13:S42" si="5">(Q13*R13)/360</f>
        <v>0</v>
      </c>
      <c r="V13" s="398">
        <f t="shared" ref="V13:V42" si="6">(T13*U13)/360</f>
        <v>0</v>
      </c>
      <c r="Y13" s="398">
        <f t="shared" ref="Y13:Y42" si="7">(W13*X13)/360</f>
        <v>0</v>
      </c>
      <c r="AB13" s="398">
        <f t="shared" ref="AB13:AB42" si="8">(Z13*AA13)/360</f>
        <v>0</v>
      </c>
      <c r="AE13" s="398">
        <v>0</v>
      </c>
      <c r="AH13" s="398">
        <v>0</v>
      </c>
      <c r="AK13" s="398">
        <f t="shared" ref="AK13:AK42" si="9">(AI13*AJ13)/360</f>
        <v>0</v>
      </c>
      <c r="AN13" s="398">
        <f t="shared" ref="AN13:AN42" si="10">(AL13*AM13)/360</f>
        <v>0</v>
      </c>
      <c r="AQ13" s="398">
        <f t="shared" ref="AQ13:AQ42" si="11">(AO13*AP13)/360</f>
        <v>0</v>
      </c>
      <c r="AT13" s="398">
        <f t="shared" ref="AT13:AT42" si="12">(AR13*AS13)/360</f>
        <v>0</v>
      </c>
      <c r="AW13" s="398">
        <f t="shared" ref="AW13:AW42" si="13">(AU13*AV13)/360</f>
        <v>0</v>
      </c>
      <c r="AZ13" s="398">
        <f t="shared" ref="AZ13:AZ42" si="14">(AX13*AY13)/360</f>
        <v>0</v>
      </c>
      <c r="BC13" s="398">
        <f t="shared" ref="BC13:BC42" si="15">(BA13*BB13)/360</f>
        <v>0</v>
      </c>
      <c r="BF13" s="398">
        <f t="shared" ref="BF13:BF42" si="16">(BD13*BE13)/360</f>
        <v>0</v>
      </c>
      <c r="BI13" s="398">
        <f t="shared" ref="BI13:BI42" si="17">(BG13*BH13)/360</f>
        <v>0</v>
      </c>
      <c r="BL13" s="398">
        <f t="shared" ref="BL13:BL42" si="18">(BJ13*BK13)/360</f>
        <v>0</v>
      </c>
      <c r="BO13" s="398">
        <f t="shared" ref="BO13:BO42" si="19">(BM13*BN13)/360</f>
        <v>0</v>
      </c>
      <c r="BR13" s="398">
        <f t="shared" ref="BR13:BR42" si="20">(BP13*BQ13)/360</f>
        <v>0</v>
      </c>
      <c r="BU13" s="398">
        <f t="shared" ref="BU13:BU42" si="21">(BS13*BT13)/360</f>
        <v>0</v>
      </c>
      <c r="BX13" s="398">
        <f t="shared" ref="BX13:BX42" si="22">(BV13*BW13)/360</f>
        <v>0</v>
      </c>
      <c r="CA13" s="398">
        <f t="shared" ref="CA13:CA42" si="23">(BY13*BZ13)/360</f>
        <v>0</v>
      </c>
      <c r="CD13" s="398">
        <f t="shared" ref="CD13:CD42" si="24">(CB13*CC13)/360</f>
        <v>0</v>
      </c>
      <c r="CG13" s="398">
        <f t="shared" ref="CG13:CG42" si="25">(CE13*CF13)/360</f>
        <v>0</v>
      </c>
      <c r="CJ13" s="398">
        <f t="shared" ref="CJ13:CJ42" si="26">(CH13*CI13)/360</f>
        <v>0</v>
      </c>
      <c r="CM13" s="398">
        <f t="shared" ref="CM13:CM42" si="27">(CK13*CL13)/360</f>
        <v>0</v>
      </c>
      <c r="CP13" s="398">
        <f t="shared" ref="CP13:CP42" si="28">(CN13*CO13)/360</f>
        <v>0</v>
      </c>
      <c r="CS13" s="398">
        <f t="shared" ref="CS13:CS42" si="29">(CQ13*CR13)/360</f>
        <v>0</v>
      </c>
      <c r="CV13" s="398">
        <f t="shared" ref="CV13:CV42" si="30">(CT13*CU13)/360</f>
        <v>0</v>
      </c>
      <c r="CY13" s="398">
        <f t="shared" ref="CY13:CY42" si="31">(CW13*CX13)/360</f>
        <v>0</v>
      </c>
      <c r="DB13" s="398">
        <f t="shared" ref="DB13:DB42" si="32">(CZ13*DA13)/360</f>
        <v>0</v>
      </c>
      <c r="DE13" s="398">
        <f t="shared" ref="DE13:DE42" si="33">(DC13*DD13)/360</f>
        <v>0</v>
      </c>
      <c r="DH13" s="398">
        <f t="shared" ref="DH13:DH42" si="34">(DF13*DG13)/360</f>
        <v>0</v>
      </c>
      <c r="DK13" s="398">
        <f t="shared" ref="DK13:DK42" si="35">(DI13*DJ13)/360</f>
        <v>0</v>
      </c>
      <c r="DN13" s="398">
        <f t="shared" ref="DN13:DN42" si="36">(DL13*DM13)/360</f>
        <v>0</v>
      </c>
      <c r="DQ13" s="398">
        <f t="shared" ref="DQ13:DQ42" si="37">(DO13*DP13)/360</f>
        <v>0</v>
      </c>
      <c r="DT13" s="398">
        <f t="shared" ref="DT13:DT42" si="38">(DR13*DS13)/360</f>
        <v>0</v>
      </c>
      <c r="DW13" s="398">
        <f t="shared" ref="DW13:DW42" si="39">(DU13*DV13)/360</f>
        <v>0</v>
      </c>
      <c r="DZ13" s="398"/>
      <c r="EA13" s="398"/>
      <c r="EB13" s="212">
        <f t="shared" ref="EB13:EB42" si="40">B13+E13+H13+K13+N13+Q13+T13+W13+Z13+AC13+AF13+AL13+AO13+AR13+AU13+AX13+BA13+BD13+BG13+DU13+AI13+DR13+DO13+DL13+DI13+DF13+DC13+CZ13+CW13+CT13+CQ13+CN13+CK13+CH13+CE13+CB13+BY13+BV13+BS13+BP13+BM13+BJ13</f>
        <v>0</v>
      </c>
      <c r="EC13" s="212">
        <f t="shared" ref="EC13:EC42" si="41">EB13-EK13+EL13</f>
        <v>0</v>
      </c>
      <c r="ED13" s="398">
        <f t="shared" ref="ED13:ED42" si="42">D13+G13+J13+M13+P13+S13+V13+Y13+AB13+AE13+AH13+AK13+AN13+AQ13+AT13+AW13+AZ13+BC13+BF13+BI13+DW13+DT13+DQ13+DN13+DK13+DH13+DE13+DB13+CY13+CV13+CS13+CP13+CM13+CJ13+CG13+CD13+CA13+BX13+BU13+BR13+BO13+BL13</f>
        <v>0</v>
      </c>
      <c r="EE13" s="399">
        <f t="shared" ref="EE13:EE42" si="43">IF(EB13&lt;&gt;0,((ED13/EB13)*360),0)</f>
        <v>0</v>
      </c>
      <c r="EG13" s="212">
        <f t="shared" ref="EG13:EG42" si="44">Q13+T13+W13+Z13+AC13+AF13</f>
        <v>0</v>
      </c>
      <c r="EH13" s="398">
        <f t="shared" ref="EH13:EH42" si="45">S13+V13+Y13+AB13+AE13+AH13</f>
        <v>0</v>
      </c>
      <c r="EI13" s="399">
        <f t="shared" ref="EI13:EI42" si="46">IF(EG13&lt;&gt;0,((EH13/EG13)*360),0)</f>
        <v>0</v>
      </c>
      <c r="EJ13" s="399"/>
      <c r="EK13" s="212">
        <f t="shared" ref="EK13:EK42" si="47">DR13+DL13+DI13+DF13+DC13+CZ13+CW13+CT13+CQ13+CN13+CK13+CH13+CE13+CB13+BY13+BV13+BS13+BP13+BM13+BJ13+BG13+BD13+BA13+AX13+AU13+AR13+AO13+AL13+AI13+DO13</f>
        <v>0</v>
      </c>
      <c r="EL13" s="212">
        <f t="shared" ref="EL13:EL42" si="48">DX13</f>
        <v>0</v>
      </c>
      <c r="EM13" s="212">
        <f t="shared" ref="EM13:EM42" si="49">DT13+DQ13+DN13+DK13+DH13+DE13+DB13+CY13+CV13+CS13+CP13+CM13+CJ13+CG13+CD13+CA13+BX13+BU13+BR13+BO13+BL13+BI13+BF13+BC13+AZ13+AW13+AT13+AQ13+AN13+AK13</f>
        <v>0</v>
      </c>
      <c r="EN13" s="399">
        <f t="shared" ref="EN13:EN42" si="50">IF(EK13&lt;&gt;0,((EM13/EK13)*360),0)</f>
        <v>0</v>
      </c>
    </row>
    <row r="14" spans="1:147">
      <c r="A14" s="416">
        <f t="shared" ref="A14:A42" si="51">1+A13</f>
        <v>43437</v>
      </c>
      <c r="D14" s="398">
        <f t="shared" si="0"/>
        <v>0</v>
      </c>
      <c r="G14" s="398">
        <f t="shared" si="1"/>
        <v>0</v>
      </c>
      <c r="J14" s="398">
        <f t="shared" si="2"/>
        <v>0</v>
      </c>
      <c r="M14" s="398">
        <f t="shared" si="3"/>
        <v>0</v>
      </c>
      <c r="P14" s="398">
        <f t="shared" si="4"/>
        <v>0</v>
      </c>
      <c r="S14" s="398">
        <f t="shared" si="5"/>
        <v>0</v>
      </c>
      <c r="V14" s="398">
        <f t="shared" si="6"/>
        <v>0</v>
      </c>
      <c r="Y14" s="398">
        <f t="shared" si="7"/>
        <v>0</v>
      </c>
      <c r="AB14" s="398">
        <f t="shared" si="8"/>
        <v>0</v>
      </c>
      <c r="AE14" s="398">
        <v>0</v>
      </c>
      <c r="AH14" s="398">
        <v>0</v>
      </c>
      <c r="AK14" s="398">
        <f t="shared" si="9"/>
        <v>0</v>
      </c>
      <c r="AN14" s="398">
        <f t="shared" si="10"/>
        <v>0</v>
      </c>
      <c r="AQ14" s="398">
        <f t="shared" si="11"/>
        <v>0</v>
      </c>
      <c r="AT14" s="398">
        <f t="shared" si="12"/>
        <v>0</v>
      </c>
      <c r="AW14" s="398">
        <f t="shared" si="13"/>
        <v>0</v>
      </c>
      <c r="AZ14" s="398">
        <f t="shared" si="14"/>
        <v>0</v>
      </c>
      <c r="BC14" s="398">
        <f t="shared" si="15"/>
        <v>0</v>
      </c>
      <c r="BF14" s="398">
        <f t="shared" si="16"/>
        <v>0</v>
      </c>
      <c r="BI14" s="398">
        <f t="shared" si="17"/>
        <v>0</v>
      </c>
      <c r="BL14" s="398">
        <f t="shared" si="18"/>
        <v>0</v>
      </c>
      <c r="BO14" s="398">
        <f t="shared" si="19"/>
        <v>0</v>
      </c>
      <c r="BR14" s="398">
        <f t="shared" si="20"/>
        <v>0</v>
      </c>
      <c r="BU14" s="398">
        <f t="shared" si="21"/>
        <v>0</v>
      </c>
      <c r="BX14" s="398">
        <f t="shared" si="22"/>
        <v>0</v>
      </c>
      <c r="CA14" s="398">
        <f t="shared" si="23"/>
        <v>0</v>
      </c>
      <c r="CD14" s="398">
        <f t="shared" si="24"/>
        <v>0</v>
      </c>
      <c r="CG14" s="398">
        <f t="shared" si="25"/>
        <v>0</v>
      </c>
      <c r="CJ14" s="398">
        <f t="shared" si="26"/>
        <v>0</v>
      </c>
      <c r="CM14" s="398">
        <f t="shared" si="27"/>
        <v>0</v>
      </c>
      <c r="CP14" s="398">
        <f t="shared" si="28"/>
        <v>0</v>
      </c>
      <c r="CS14" s="398">
        <f t="shared" si="29"/>
        <v>0</v>
      </c>
      <c r="CV14" s="398">
        <f t="shared" si="30"/>
        <v>0</v>
      </c>
      <c r="CY14" s="398">
        <f t="shared" si="31"/>
        <v>0</v>
      </c>
      <c r="DB14" s="398">
        <f t="shared" si="32"/>
        <v>0</v>
      </c>
      <c r="DE14" s="398">
        <f t="shared" si="33"/>
        <v>0</v>
      </c>
      <c r="DH14" s="398">
        <f t="shared" si="34"/>
        <v>0</v>
      </c>
      <c r="DK14" s="398">
        <f t="shared" si="35"/>
        <v>0</v>
      </c>
      <c r="DN14" s="398">
        <f t="shared" si="36"/>
        <v>0</v>
      </c>
      <c r="DQ14" s="398">
        <f t="shared" si="37"/>
        <v>0</v>
      </c>
      <c r="DT14" s="398">
        <f t="shared" si="38"/>
        <v>0</v>
      </c>
      <c r="DW14" s="398">
        <f t="shared" si="39"/>
        <v>0</v>
      </c>
      <c r="DZ14" s="398"/>
      <c r="EA14" s="398"/>
      <c r="EB14" s="212">
        <f t="shared" si="40"/>
        <v>0</v>
      </c>
      <c r="EC14" s="212">
        <f t="shared" si="41"/>
        <v>0</v>
      </c>
      <c r="ED14" s="398">
        <f t="shared" si="42"/>
        <v>0</v>
      </c>
      <c r="EE14" s="399">
        <f t="shared" si="43"/>
        <v>0</v>
      </c>
      <c r="EG14" s="212">
        <f t="shared" si="44"/>
        <v>0</v>
      </c>
      <c r="EH14" s="398">
        <f t="shared" si="45"/>
        <v>0</v>
      </c>
      <c r="EI14" s="399">
        <f t="shared" si="46"/>
        <v>0</v>
      </c>
      <c r="EJ14" s="399"/>
      <c r="EK14" s="212">
        <f t="shared" si="47"/>
        <v>0</v>
      </c>
      <c r="EL14" s="212">
        <f t="shared" si="48"/>
        <v>0</v>
      </c>
      <c r="EM14" s="212">
        <f t="shared" si="49"/>
        <v>0</v>
      </c>
      <c r="EN14" s="399">
        <f t="shared" si="50"/>
        <v>0</v>
      </c>
    </row>
    <row r="15" spans="1:147">
      <c r="A15" s="416">
        <f t="shared" si="51"/>
        <v>43438</v>
      </c>
      <c r="D15" s="398">
        <f t="shared" si="0"/>
        <v>0</v>
      </c>
      <c r="G15" s="398">
        <f t="shared" si="1"/>
        <v>0</v>
      </c>
      <c r="J15" s="398">
        <f t="shared" si="2"/>
        <v>0</v>
      </c>
      <c r="M15" s="398">
        <f t="shared" si="3"/>
        <v>0</v>
      </c>
      <c r="P15" s="398">
        <f t="shared" si="4"/>
        <v>0</v>
      </c>
      <c r="S15" s="398">
        <f t="shared" si="5"/>
        <v>0</v>
      </c>
      <c r="V15" s="398">
        <f t="shared" si="6"/>
        <v>0</v>
      </c>
      <c r="Y15" s="398">
        <f t="shared" si="7"/>
        <v>0</v>
      </c>
      <c r="AB15" s="398">
        <f t="shared" si="8"/>
        <v>0</v>
      </c>
      <c r="AE15" s="398">
        <v>0</v>
      </c>
      <c r="AH15" s="398">
        <v>0</v>
      </c>
      <c r="AK15" s="398">
        <f t="shared" si="9"/>
        <v>0</v>
      </c>
      <c r="AN15" s="398">
        <f t="shared" si="10"/>
        <v>0</v>
      </c>
      <c r="AQ15" s="398">
        <f t="shared" si="11"/>
        <v>0</v>
      </c>
      <c r="AT15" s="398">
        <f t="shared" si="12"/>
        <v>0</v>
      </c>
      <c r="AW15" s="398">
        <f t="shared" si="13"/>
        <v>0</v>
      </c>
      <c r="AZ15" s="398">
        <f t="shared" si="14"/>
        <v>0</v>
      </c>
      <c r="BC15" s="398">
        <f t="shared" si="15"/>
        <v>0</v>
      </c>
      <c r="BF15" s="398">
        <f t="shared" si="16"/>
        <v>0</v>
      </c>
      <c r="BI15" s="398">
        <f t="shared" si="17"/>
        <v>0</v>
      </c>
      <c r="BL15" s="398">
        <f t="shared" si="18"/>
        <v>0</v>
      </c>
      <c r="BO15" s="398">
        <f t="shared" si="19"/>
        <v>0</v>
      </c>
      <c r="BR15" s="398">
        <f t="shared" si="20"/>
        <v>0</v>
      </c>
      <c r="BU15" s="398">
        <f t="shared" si="21"/>
        <v>0</v>
      </c>
      <c r="BX15" s="398">
        <f t="shared" si="22"/>
        <v>0</v>
      </c>
      <c r="CA15" s="398">
        <f t="shared" si="23"/>
        <v>0</v>
      </c>
      <c r="CD15" s="398">
        <f t="shared" si="24"/>
        <v>0</v>
      </c>
      <c r="CG15" s="398">
        <f t="shared" si="25"/>
        <v>0</v>
      </c>
      <c r="CJ15" s="398">
        <f t="shared" si="26"/>
        <v>0</v>
      </c>
      <c r="CM15" s="398">
        <f t="shared" si="27"/>
        <v>0</v>
      </c>
      <c r="CP15" s="398">
        <f t="shared" si="28"/>
        <v>0</v>
      </c>
      <c r="CS15" s="398">
        <f t="shared" si="29"/>
        <v>0</v>
      </c>
      <c r="CV15" s="398">
        <f t="shared" si="30"/>
        <v>0</v>
      </c>
      <c r="CY15" s="398">
        <f t="shared" si="31"/>
        <v>0</v>
      </c>
      <c r="DB15" s="398">
        <f t="shared" si="32"/>
        <v>0</v>
      </c>
      <c r="DE15" s="398">
        <f t="shared" si="33"/>
        <v>0</v>
      </c>
      <c r="DH15" s="398">
        <f t="shared" si="34"/>
        <v>0</v>
      </c>
      <c r="DK15" s="398">
        <f t="shared" si="35"/>
        <v>0</v>
      </c>
      <c r="DN15" s="398">
        <f t="shared" si="36"/>
        <v>0</v>
      </c>
      <c r="DQ15" s="398">
        <f t="shared" si="37"/>
        <v>0</v>
      </c>
      <c r="DT15" s="398">
        <f t="shared" si="38"/>
        <v>0</v>
      </c>
      <c r="DW15" s="398">
        <f t="shared" si="39"/>
        <v>0</v>
      </c>
      <c r="DZ15" s="398"/>
      <c r="EA15" s="398"/>
      <c r="EB15" s="212">
        <f t="shared" si="40"/>
        <v>0</v>
      </c>
      <c r="EC15" s="212">
        <f t="shared" si="41"/>
        <v>0</v>
      </c>
      <c r="ED15" s="398">
        <f t="shared" si="42"/>
        <v>0</v>
      </c>
      <c r="EE15" s="399">
        <f t="shared" si="43"/>
        <v>0</v>
      </c>
      <c r="EG15" s="212">
        <f t="shared" si="44"/>
        <v>0</v>
      </c>
      <c r="EH15" s="398">
        <f t="shared" si="45"/>
        <v>0</v>
      </c>
      <c r="EI15" s="399">
        <f t="shared" si="46"/>
        <v>0</v>
      </c>
      <c r="EJ15" s="399"/>
      <c r="EK15" s="212">
        <f t="shared" si="47"/>
        <v>0</v>
      </c>
      <c r="EL15" s="212">
        <f t="shared" si="48"/>
        <v>0</v>
      </c>
      <c r="EM15" s="212">
        <f t="shared" si="49"/>
        <v>0</v>
      </c>
      <c r="EN15" s="399">
        <f t="shared" si="50"/>
        <v>0</v>
      </c>
    </row>
    <row r="16" spans="1:147">
      <c r="A16" s="416">
        <f t="shared" si="51"/>
        <v>43439</v>
      </c>
      <c r="D16" s="398">
        <f t="shared" si="0"/>
        <v>0</v>
      </c>
      <c r="G16" s="398">
        <f t="shared" si="1"/>
        <v>0</v>
      </c>
      <c r="J16" s="398">
        <f t="shared" si="2"/>
        <v>0</v>
      </c>
      <c r="M16" s="398">
        <f t="shared" si="3"/>
        <v>0</v>
      </c>
      <c r="P16" s="398">
        <f t="shared" si="4"/>
        <v>0</v>
      </c>
      <c r="S16" s="398">
        <f t="shared" si="5"/>
        <v>0</v>
      </c>
      <c r="V16" s="398">
        <f t="shared" si="6"/>
        <v>0</v>
      </c>
      <c r="Y16" s="398">
        <f t="shared" si="7"/>
        <v>0</v>
      </c>
      <c r="AB16" s="398">
        <f t="shared" si="8"/>
        <v>0</v>
      </c>
      <c r="AE16" s="398">
        <v>0</v>
      </c>
      <c r="AH16" s="398">
        <v>0</v>
      </c>
      <c r="AK16" s="398">
        <f t="shared" si="9"/>
        <v>0</v>
      </c>
      <c r="AN16" s="398">
        <f t="shared" si="10"/>
        <v>0</v>
      </c>
      <c r="AQ16" s="398">
        <f t="shared" si="11"/>
        <v>0</v>
      </c>
      <c r="AT16" s="398">
        <f t="shared" si="12"/>
        <v>0</v>
      </c>
      <c r="AW16" s="398">
        <f t="shared" si="13"/>
        <v>0</v>
      </c>
      <c r="AZ16" s="398">
        <f t="shared" si="14"/>
        <v>0</v>
      </c>
      <c r="BC16" s="398">
        <f t="shared" si="15"/>
        <v>0</v>
      </c>
      <c r="BF16" s="398">
        <f t="shared" si="16"/>
        <v>0</v>
      </c>
      <c r="BI16" s="398">
        <f t="shared" si="17"/>
        <v>0</v>
      </c>
      <c r="BL16" s="398">
        <f t="shared" si="18"/>
        <v>0</v>
      </c>
      <c r="BO16" s="398">
        <f t="shared" si="19"/>
        <v>0</v>
      </c>
      <c r="BR16" s="398">
        <f t="shared" si="20"/>
        <v>0</v>
      </c>
      <c r="BU16" s="398">
        <f t="shared" si="21"/>
        <v>0</v>
      </c>
      <c r="BX16" s="398">
        <f t="shared" si="22"/>
        <v>0</v>
      </c>
      <c r="CA16" s="398">
        <f t="shared" si="23"/>
        <v>0</v>
      </c>
      <c r="CD16" s="398">
        <f t="shared" si="24"/>
        <v>0</v>
      </c>
      <c r="CG16" s="398">
        <f t="shared" si="25"/>
        <v>0</v>
      </c>
      <c r="CJ16" s="398">
        <f t="shared" si="26"/>
        <v>0</v>
      </c>
      <c r="CM16" s="398">
        <f t="shared" si="27"/>
        <v>0</v>
      </c>
      <c r="CP16" s="398">
        <f t="shared" si="28"/>
        <v>0</v>
      </c>
      <c r="CS16" s="398">
        <f t="shared" si="29"/>
        <v>0</v>
      </c>
      <c r="CV16" s="398">
        <f t="shared" si="30"/>
        <v>0</v>
      </c>
      <c r="CY16" s="398">
        <f t="shared" si="31"/>
        <v>0</v>
      </c>
      <c r="DB16" s="398">
        <f t="shared" si="32"/>
        <v>0</v>
      </c>
      <c r="DE16" s="398">
        <f t="shared" si="33"/>
        <v>0</v>
      </c>
      <c r="DH16" s="398">
        <f t="shared" si="34"/>
        <v>0</v>
      </c>
      <c r="DK16" s="398">
        <f t="shared" si="35"/>
        <v>0</v>
      </c>
      <c r="DN16" s="398">
        <f t="shared" si="36"/>
        <v>0</v>
      </c>
      <c r="DQ16" s="398">
        <f t="shared" si="37"/>
        <v>0</v>
      </c>
      <c r="DT16" s="398">
        <f t="shared" si="38"/>
        <v>0</v>
      </c>
      <c r="DW16" s="398">
        <f t="shared" si="39"/>
        <v>0</v>
      </c>
      <c r="DZ16" s="398"/>
      <c r="EA16" s="398"/>
      <c r="EB16" s="212">
        <f t="shared" si="40"/>
        <v>0</v>
      </c>
      <c r="EC16" s="212">
        <f t="shared" si="41"/>
        <v>0</v>
      </c>
      <c r="ED16" s="398">
        <f t="shared" si="42"/>
        <v>0</v>
      </c>
      <c r="EE16" s="399">
        <f t="shared" si="43"/>
        <v>0</v>
      </c>
      <c r="EG16" s="212">
        <f t="shared" si="44"/>
        <v>0</v>
      </c>
      <c r="EH16" s="398">
        <f t="shared" si="45"/>
        <v>0</v>
      </c>
      <c r="EI16" s="399">
        <f t="shared" si="46"/>
        <v>0</v>
      </c>
      <c r="EJ16" s="399"/>
      <c r="EK16" s="212">
        <f t="shared" si="47"/>
        <v>0</v>
      </c>
      <c r="EL16" s="212">
        <f t="shared" si="48"/>
        <v>0</v>
      </c>
      <c r="EM16" s="212">
        <f t="shared" si="49"/>
        <v>0</v>
      </c>
      <c r="EN16" s="399">
        <f t="shared" si="50"/>
        <v>0</v>
      </c>
    </row>
    <row r="17" spans="1:144">
      <c r="A17" s="416">
        <f t="shared" si="51"/>
        <v>43440</v>
      </c>
      <c r="D17" s="398">
        <f t="shared" si="0"/>
        <v>0</v>
      </c>
      <c r="G17" s="398">
        <f t="shared" si="1"/>
        <v>0</v>
      </c>
      <c r="J17" s="398">
        <f t="shared" si="2"/>
        <v>0</v>
      </c>
      <c r="M17" s="398">
        <f t="shared" si="3"/>
        <v>0</v>
      </c>
      <c r="P17" s="398">
        <f t="shared" si="4"/>
        <v>0</v>
      </c>
      <c r="S17" s="398">
        <f t="shared" si="5"/>
        <v>0</v>
      </c>
      <c r="V17" s="398">
        <f t="shared" si="6"/>
        <v>0</v>
      </c>
      <c r="Y17" s="398">
        <f t="shared" si="7"/>
        <v>0</v>
      </c>
      <c r="AB17" s="398">
        <f t="shared" si="8"/>
        <v>0</v>
      </c>
      <c r="AE17" s="398">
        <v>0</v>
      </c>
      <c r="AH17" s="398">
        <v>0</v>
      </c>
      <c r="AK17" s="398">
        <f t="shared" si="9"/>
        <v>0</v>
      </c>
      <c r="AN17" s="398">
        <f t="shared" si="10"/>
        <v>0</v>
      </c>
      <c r="AQ17" s="398">
        <f t="shared" si="11"/>
        <v>0</v>
      </c>
      <c r="AT17" s="398">
        <f t="shared" si="12"/>
        <v>0</v>
      </c>
      <c r="AW17" s="398">
        <f t="shared" si="13"/>
        <v>0</v>
      </c>
      <c r="AZ17" s="398">
        <f t="shared" si="14"/>
        <v>0</v>
      </c>
      <c r="BC17" s="398">
        <f t="shared" si="15"/>
        <v>0</v>
      </c>
      <c r="BF17" s="398">
        <f t="shared" si="16"/>
        <v>0</v>
      </c>
      <c r="BI17" s="398">
        <f t="shared" si="17"/>
        <v>0</v>
      </c>
      <c r="BL17" s="398">
        <f t="shared" si="18"/>
        <v>0</v>
      </c>
      <c r="BO17" s="398">
        <f t="shared" si="19"/>
        <v>0</v>
      </c>
      <c r="BR17" s="398">
        <f t="shared" si="20"/>
        <v>0</v>
      </c>
      <c r="BU17" s="398">
        <f t="shared" si="21"/>
        <v>0</v>
      </c>
      <c r="BX17" s="398">
        <f t="shared" si="22"/>
        <v>0</v>
      </c>
      <c r="CA17" s="398">
        <f t="shared" si="23"/>
        <v>0</v>
      </c>
      <c r="CD17" s="398">
        <f t="shared" si="24"/>
        <v>0</v>
      </c>
      <c r="CG17" s="398">
        <f t="shared" si="25"/>
        <v>0</v>
      </c>
      <c r="CJ17" s="398">
        <f t="shared" si="26"/>
        <v>0</v>
      </c>
      <c r="CM17" s="398">
        <f t="shared" si="27"/>
        <v>0</v>
      </c>
      <c r="CP17" s="398">
        <f t="shared" si="28"/>
        <v>0</v>
      </c>
      <c r="CS17" s="398">
        <f t="shared" si="29"/>
        <v>0</v>
      </c>
      <c r="CV17" s="398">
        <f t="shared" si="30"/>
        <v>0</v>
      </c>
      <c r="CY17" s="398">
        <f t="shared" si="31"/>
        <v>0</v>
      </c>
      <c r="DB17" s="398">
        <f t="shared" si="32"/>
        <v>0</v>
      </c>
      <c r="DE17" s="398">
        <f t="shared" si="33"/>
        <v>0</v>
      </c>
      <c r="DH17" s="398">
        <f t="shared" si="34"/>
        <v>0</v>
      </c>
      <c r="DK17" s="398">
        <f t="shared" si="35"/>
        <v>0</v>
      </c>
      <c r="DN17" s="398">
        <f t="shared" si="36"/>
        <v>0</v>
      </c>
      <c r="DQ17" s="398">
        <f t="shared" si="37"/>
        <v>0</v>
      </c>
      <c r="DT17" s="398">
        <f t="shared" si="38"/>
        <v>0</v>
      </c>
      <c r="DW17" s="398">
        <f t="shared" si="39"/>
        <v>0</v>
      </c>
      <c r="DZ17" s="398"/>
      <c r="EA17" s="398"/>
      <c r="EB17" s="212">
        <f t="shared" si="40"/>
        <v>0</v>
      </c>
      <c r="EC17" s="212">
        <f t="shared" si="41"/>
        <v>0</v>
      </c>
      <c r="ED17" s="398">
        <f t="shared" si="42"/>
        <v>0</v>
      </c>
      <c r="EE17" s="399">
        <f t="shared" si="43"/>
        <v>0</v>
      </c>
      <c r="EG17" s="212">
        <f t="shared" si="44"/>
        <v>0</v>
      </c>
      <c r="EH17" s="398">
        <f t="shared" si="45"/>
        <v>0</v>
      </c>
      <c r="EI17" s="399">
        <f t="shared" si="46"/>
        <v>0</v>
      </c>
      <c r="EJ17" s="399"/>
      <c r="EK17" s="212">
        <f t="shared" si="47"/>
        <v>0</v>
      </c>
      <c r="EL17" s="212">
        <f t="shared" si="48"/>
        <v>0</v>
      </c>
      <c r="EM17" s="212">
        <f t="shared" si="49"/>
        <v>0</v>
      </c>
      <c r="EN17" s="399">
        <f t="shared" si="50"/>
        <v>0</v>
      </c>
    </row>
    <row r="18" spans="1:144">
      <c r="A18" s="416">
        <f t="shared" si="51"/>
        <v>43441</v>
      </c>
      <c r="D18" s="398">
        <f t="shared" si="0"/>
        <v>0</v>
      </c>
      <c r="G18" s="398">
        <f t="shared" si="1"/>
        <v>0</v>
      </c>
      <c r="J18" s="398">
        <f t="shared" si="2"/>
        <v>0</v>
      </c>
      <c r="M18" s="398">
        <f t="shared" si="3"/>
        <v>0</v>
      </c>
      <c r="P18" s="398">
        <f t="shared" si="4"/>
        <v>0</v>
      </c>
      <c r="S18" s="398">
        <f t="shared" si="5"/>
        <v>0</v>
      </c>
      <c r="V18" s="398">
        <f t="shared" si="6"/>
        <v>0</v>
      </c>
      <c r="Y18" s="398">
        <f t="shared" si="7"/>
        <v>0</v>
      </c>
      <c r="AB18" s="398">
        <f t="shared" si="8"/>
        <v>0</v>
      </c>
      <c r="AE18" s="398">
        <v>0</v>
      </c>
      <c r="AH18" s="398">
        <v>0</v>
      </c>
      <c r="AK18" s="398">
        <f t="shared" si="9"/>
        <v>0</v>
      </c>
      <c r="AN18" s="398">
        <f t="shared" si="10"/>
        <v>0</v>
      </c>
      <c r="AQ18" s="398">
        <f t="shared" si="11"/>
        <v>0</v>
      </c>
      <c r="AT18" s="398">
        <f t="shared" si="12"/>
        <v>0</v>
      </c>
      <c r="AW18" s="398">
        <f t="shared" si="13"/>
        <v>0</v>
      </c>
      <c r="AZ18" s="398">
        <f t="shared" si="14"/>
        <v>0</v>
      </c>
      <c r="BC18" s="398">
        <f t="shared" si="15"/>
        <v>0</v>
      </c>
      <c r="BF18" s="398">
        <f t="shared" si="16"/>
        <v>0</v>
      </c>
      <c r="BI18" s="398">
        <f t="shared" si="17"/>
        <v>0</v>
      </c>
      <c r="BL18" s="398">
        <f t="shared" si="18"/>
        <v>0</v>
      </c>
      <c r="BO18" s="398">
        <f t="shared" si="19"/>
        <v>0</v>
      </c>
      <c r="BR18" s="398">
        <f t="shared" si="20"/>
        <v>0</v>
      </c>
      <c r="BU18" s="398">
        <f t="shared" si="21"/>
        <v>0</v>
      </c>
      <c r="BX18" s="398">
        <f t="shared" si="22"/>
        <v>0</v>
      </c>
      <c r="CA18" s="398">
        <f t="shared" si="23"/>
        <v>0</v>
      </c>
      <c r="CD18" s="398">
        <f t="shared" si="24"/>
        <v>0</v>
      </c>
      <c r="CG18" s="398">
        <f t="shared" si="25"/>
        <v>0</v>
      </c>
      <c r="CJ18" s="398">
        <f t="shared" si="26"/>
        <v>0</v>
      </c>
      <c r="CM18" s="398">
        <f t="shared" si="27"/>
        <v>0</v>
      </c>
      <c r="CP18" s="398">
        <f t="shared" si="28"/>
        <v>0</v>
      </c>
      <c r="CS18" s="398">
        <f t="shared" si="29"/>
        <v>0</v>
      </c>
      <c r="CV18" s="398">
        <f t="shared" si="30"/>
        <v>0</v>
      </c>
      <c r="CY18" s="398">
        <f t="shared" si="31"/>
        <v>0</v>
      </c>
      <c r="DB18" s="398">
        <f t="shared" si="32"/>
        <v>0</v>
      </c>
      <c r="DE18" s="398">
        <f t="shared" si="33"/>
        <v>0</v>
      </c>
      <c r="DH18" s="398">
        <f t="shared" si="34"/>
        <v>0</v>
      </c>
      <c r="DK18" s="398">
        <f t="shared" si="35"/>
        <v>0</v>
      </c>
      <c r="DN18" s="398">
        <f t="shared" si="36"/>
        <v>0</v>
      </c>
      <c r="DQ18" s="398">
        <f t="shared" si="37"/>
        <v>0</v>
      </c>
      <c r="DT18" s="398">
        <f t="shared" si="38"/>
        <v>0</v>
      </c>
      <c r="DW18" s="398">
        <f t="shared" si="39"/>
        <v>0</v>
      </c>
      <c r="DZ18" s="398"/>
      <c r="EA18" s="398"/>
      <c r="EB18" s="212">
        <f t="shared" si="40"/>
        <v>0</v>
      </c>
      <c r="EC18" s="212">
        <f t="shared" si="41"/>
        <v>0</v>
      </c>
      <c r="ED18" s="398">
        <f t="shared" si="42"/>
        <v>0</v>
      </c>
      <c r="EE18" s="399">
        <f t="shared" si="43"/>
        <v>0</v>
      </c>
      <c r="EG18" s="212">
        <f t="shared" si="44"/>
        <v>0</v>
      </c>
      <c r="EH18" s="398">
        <f t="shared" si="45"/>
        <v>0</v>
      </c>
      <c r="EI18" s="399">
        <f t="shared" si="46"/>
        <v>0</v>
      </c>
      <c r="EJ18" s="399"/>
      <c r="EK18" s="212">
        <f t="shared" si="47"/>
        <v>0</v>
      </c>
      <c r="EL18" s="212">
        <f t="shared" si="48"/>
        <v>0</v>
      </c>
      <c r="EM18" s="212">
        <f t="shared" si="49"/>
        <v>0</v>
      </c>
      <c r="EN18" s="399">
        <f t="shared" si="50"/>
        <v>0</v>
      </c>
    </row>
    <row r="19" spans="1:144">
      <c r="A19" s="416">
        <f t="shared" si="51"/>
        <v>43442</v>
      </c>
      <c r="D19" s="398">
        <f t="shared" si="0"/>
        <v>0</v>
      </c>
      <c r="G19" s="398">
        <f t="shared" si="1"/>
        <v>0</v>
      </c>
      <c r="J19" s="398">
        <f t="shared" si="2"/>
        <v>0</v>
      </c>
      <c r="M19" s="398">
        <f t="shared" si="3"/>
        <v>0</v>
      </c>
      <c r="P19" s="398">
        <f t="shared" si="4"/>
        <v>0</v>
      </c>
      <c r="S19" s="398">
        <f t="shared" si="5"/>
        <v>0</v>
      </c>
      <c r="V19" s="398">
        <f t="shared" si="6"/>
        <v>0</v>
      </c>
      <c r="Y19" s="398">
        <f t="shared" si="7"/>
        <v>0</v>
      </c>
      <c r="AB19" s="398">
        <f t="shared" si="8"/>
        <v>0</v>
      </c>
      <c r="AE19" s="398">
        <v>0</v>
      </c>
      <c r="AH19" s="398">
        <v>0</v>
      </c>
      <c r="AK19" s="398">
        <f t="shared" si="9"/>
        <v>0</v>
      </c>
      <c r="AN19" s="398">
        <f t="shared" si="10"/>
        <v>0</v>
      </c>
      <c r="AQ19" s="398">
        <f t="shared" si="11"/>
        <v>0</v>
      </c>
      <c r="AT19" s="398">
        <f t="shared" si="12"/>
        <v>0</v>
      </c>
      <c r="AW19" s="398">
        <f t="shared" si="13"/>
        <v>0</v>
      </c>
      <c r="AZ19" s="398">
        <f t="shared" si="14"/>
        <v>0</v>
      </c>
      <c r="BC19" s="398">
        <f t="shared" si="15"/>
        <v>0</v>
      </c>
      <c r="BF19" s="398">
        <f t="shared" si="16"/>
        <v>0</v>
      </c>
      <c r="BI19" s="398">
        <f t="shared" si="17"/>
        <v>0</v>
      </c>
      <c r="BL19" s="398">
        <f t="shared" si="18"/>
        <v>0</v>
      </c>
      <c r="BO19" s="398">
        <f t="shared" si="19"/>
        <v>0</v>
      </c>
      <c r="BR19" s="398">
        <f t="shared" si="20"/>
        <v>0</v>
      </c>
      <c r="BU19" s="398">
        <f t="shared" si="21"/>
        <v>0</v>
      </c>
      <c r="BX19" s="398">
        <f t="shared" si="22"/>
        <v>0</v>
      </c>
      <c r="CA19" s="398">
        <f t="shared" si="23"/>
        <v>0</v>
      </c>
      <c r="CD19" s="398">
        <f t="shared" si="24"/>
        <v>0</v>
      </c>
      <c r="CG19" s="398">
        <f t="shared" si="25"/>
        <v>0</v>
      </c>
      <c r="CJ19" s="398">
        <f t="shared" si="26"/>
        <v>0</v>
      </c>
      <c r="CM19" s="398">
        <f t="shared" si="27"/>
        <v>0</v>
      </c>
      <c r="CP19" s="398">
        <f t="shared" si="28"/>
        <v>0</v>
      </c>
      <c r="CS19" s="398">
        <f t="shared" si="29"/>
        <v>0</v>
      </c>
      <c r="CV19" s="398">
        <f t="shared" si="30"/>
        <v>0</v>
      </c>
      <c r="CY19" s="398">
        <f t="shared" si="31"/>
        <v>0</v>
      </c>
      <c r="DB19" s="398">
        <f t="shared" si="32"/>
        <v>0</v>
      </c>
      <c r="DE19" s="398">
        <f t="shared" si="33"/>
        <v>0</v>
      </c>
      <c r="DH19" s="398">
        <f t="shared" si="34"/>
        <v>0</v>
      </c>
      <c r="DK19" s="398">
        <f t="shared" si="35"/>
        <v>0</v>
      </c>
      <c r="DN19" s="398">
        <f t="shared" si="36"/>
        <v>0</v>
      </c>
      <c r="DQ19" s="398">
        <f t="shared" si="37"/>
        <v>0</v>
      </c>
      <c r="DT19" s="398">
        <f t="shared" si="38"/>
        <v>0</v>
      </c>
      <c r="DW19" s="398">
        <f t="shared" si="39"/>
        <v>0</v>
      </c>
      <c r="DZ19" s="398"/>
      <c r="EA19" s="398"/>
      <c r="EB19" s="212">
        <f t="shared" si="40"/>
        <v>0</v>
      </c>
      <c r="EC19" s="212">
        <f t="shared" si="41"/>
        <v>0</v>
      </c>
      <c r="ED19" s="398">
        <f t="shared" si="42"/>
        <v>0</v>
      </c>
      <c r="EE19" s="399">
        <f t="shared" si="43"/>
        <v>0</v>
      </c>
      <c r="EG19" s="212">
        <f t="shared" si="44"/>
        <v>0</v>
      </c>
      <c r="EH19" s="398">
        <f t="shared" si="45"/>
        <v>0</v>
      </c>
      <c r="EI19" s="399">
        <f t="shared" si="46"/>
        <v>0</v>
      </c>
      <c r="EJ19" s="399"/>
      <c r="EK19" s="212">
        <f t="shared" si="47"/>
        <v>0</v>
      </c>
      <c r="EL19" s="212">
        <f t="shared" si="48"/>
        <v>0</v>
      </c>
      <c r="EM19" s="212">
        <f t="shared" si="49"/>
        <v>0</v>
      </c>
      <c r="EN19" s="399">
        <f t="shared" si="50"/>
        <v>0</v>
      </c>
    </row>
    <row r="20" spans="1:144">
      <c r="A20" s="416">
        <f t="shared" si="51"/>
        <v>43443</v>
      </c>
      <c r="D20" s="398">
        <f t="shared" si="0"/>
        <v>0</v>
      </c>
      <c r="G20" s="398">
        <f t="shared" si="1"/>
        <v>0</v>
      </c>
      <c r="J20" s="398">
        <f t="shared" si="2"/>
        <v>0</v>
      </c>
      <c r="M20" s="398">
        <f t="shared" si="3"/>
        <v>0</v>
      </c>
      <c r="P20" s="398">
        <f t="shared" si="4"/>
        <v>0</v>
      </c>
      <c r="S20" s="398">
        <f t="shared" si="5"/>
        <v>0</v>
      </c>
      <c r="V20" s="398">
        <f t="shared" si="6"/>
        <v>0</v>
      </c>
      <c r="Y20" s="398">
        <f t="shared" si="7"/>
        <v>0</v>
      </c>
      <c r="AB20" s="398">
        <f t="shared" si="8"/>
        <v>0</v>
      </c>
      <c r="AE20" s="398">
        <v>0</v>
      </c>
      <c r="AH20" s="398">
        <v>0</v>
      </c>
      <c r="AK20" s="398">
        <f t="shared" si="9"/>
        <v>0</v>
      </c>
      <c r="AN20" s="398">
        <f t="shared" si="10"/>
        <v>0</v>
      </c>
      <c r="AQ20" s="398">
        <f t="shared" si="11"/>
        <v>0</v>
      </c>
      <c r="AT20" s="398">
        <f t="shared" si="12"/>
        <v>0</v>
      </c>
      <c r="AW20" s="398">
        <f t="shared" si="13"/>
        <v>0</v>
      </c>
      <c r="AZ20" s="398">
        <f t="shared" si="14"/>
        <v>0</v>
      </c>
      <c r="BC20" s="398">
        <f t="shared" si="15"/>
        <v>0</v>
      </c>
      <c r="BF20" s="398">
        <f t="shared" si="16"/>
        <v>0</v>
      </c>
      <c r="BI20" s="398">
        <f t="shared" si="17"/>
        <v>0</v>
      </c>
      <c r="BL20" s="398">
        <f t="shared" si="18"/>
        <v>0</v>
      </c>
      <c r="BO20" s="398">
        <f t="shared" si="19"/>
        <v>0</v>
      </c>
      <c r="BR20" s="398">
        <f t="shared" si="20"/>
        <v>0</v>
      </c>
      <c r="BU20" s="398">
        <f t="shared" si="21"/>
        <v>0</v>
      </c>
      <c r="BX20" s="398">
        <f t="shared" si="22"/>
        <v>0</v>
      </c>
      <c r="CA20" s="398">
        <f t="shared" si="23"/>
        <v>0</v>
      </c>
      <c r="CD20" s="398">
        <f t="shared" si="24"/>
        <v>0</v>
      </c>
      <c r="CG20" s="398">
        <f t="shared" si="25"/>
        <v>0</v>
      </c>
      <c r="CJ20" s="398">
        <f t="shared" si="26"/>
        <v>0</v>
      </c>
      <c r="CM20" s="398">
        <f t="shared" si="27"/>
        <v>0</v>
      </c>
      <c r="CP20" s="398">
        <f t="shared" si="28"/>
        <v>0</v>
      </c>
      <c r="CS20" s="398">
        <f t="shared" si="29"/>
        <v>0</v>
      </c>
      <c r="CV20" s="398">
        <f t="shared" si="30"/>
        <v>0</v>
      </c>
      <c r="CY20" s="398">
        <f t="shared" si="31"/>
        <v>0</v>
      </c>
      <c r="DB20" s="398">
        <f t="shared" si="32"/>
        <v>0</v>
      </c>
      <c r="DE20" s="398">
        <f t="shared" si="33"/>
        <v>0</v>
      </c>
      <c r="DH20" s="398">
        <f t="shared" si="34"/>
        <v>0</v>
      </c>
      <c r="DK20" s="398">
        <f t="shared" si="35"/>
        <v>0</v>
      </c>
      <c r="DN20" s="398">
        <f t="shared" si="36"/>
        <v>0</v>
      </c>
      <c r="DQ20" s="398">
        <f t="shared" si="37"/>
        <v>0</v>
      </c>
      <c r="DT20" s="398">
        <f t="shared" si="38"/>
        <v>0</v>
      </c>
      <c r="DW20" s="398">
        <f t="shared" si="39"/>
        <v>0</v>
      </c>
      <c r="DZ20" s="398"/>
      <c r="EA20" s="398"/>
      <c r="EB20" s="212">
        <f t="shared" si="40"/>
        <v>0</v>
      </c>
      <c r="EC20" s="212">
        <f t="shared" si="41"/>
        <v>0</v>
      </c>
      <c r="ED20" s="398">
        <f t="shared" si="42"/>
        <v>0</v>
      </c>
      <c r="EE20" s="399">
        <f t="shared" si="43"/>
        <v>0</v>
      </c>
      <c r="EG20" s="212">
        <f t="shared" si="44"/>
        <v>0</v>
      </c>
      <c r="EH20" s="398">
        <f t="shared" si="45"/>
        <v>0</v>
      </c>
      <c r="EI20" s="399">
        <f t="shared" si="46"/>
        <v>0</v>
      </c>
      <c r="EJ20" s="399"/>
      <c r="EK20" s="212">
        <f t="shared" si="47"/>
        <v>0</v>
      </c>
      <c r="EL20" s="212">
        <f t="shared" si="48"/>
        <v>0</v>
      </c>
      <c r="EM20" s="212">
        <f t="shared" si="49"/>
        <v>0</v>
      </c>
      <c r="EN20" s="399">
        <f t="shared" si="50"/>
        <v>0</v>
      </c>
    </row>
    <row r="21" spans="1:144">
      <c r="A21" s="416">
        <f t="shared" si="51"/>
        <v>43444</v>
      </c>
      <c r="D21" s="398">
        <f t="shared" si="0"/>
        <v>0</v>
      </c>
      <c r="G21" s="398">
        <f t="shared" si="1"/>
        <v>0</v>
      </c>
      <c r="J21" s="398">
        <f t="shared" si="2"/>
        <v>0</v>
      </c>
      <c r="M21" s="398">
        <f t="shared" si="3"/>
        <v>0</v>
      </c>
      <c r="P21" s="398">
        <f t="shared" si="4"/>
        <v>0</v>
      </c>
      <c r="S21" s="398">
        <f t="shared" si="5"/>
        <v>0</v>
      </c>
      <c r="V21" s="398">
        <f t="shared" si="6"/>
        <v>0</v>
      </c>
      <c r="Y21" s="398">
        <f t="shared" si="7"/>
        <v>0</v>
      </c>
      <c r="AB21" s="398">
        <f t="shared" si="8"/>
        <v>0</v>
      </c>
      <c r="AE21" s="398">
        <v>0</v>
      </c>
      <c r="AH21" s="398">
        <v>0</v>
      </c>
      <c r="AK21" s="398">
        <f t="shared" si="9"/>
        <v>0</v>
      </c>
      <c r="AN21" s="398">
        <f t="shared" si="10"/>
        <v>0</v>
      </c>
      <c r="AQ21" s="398">
        <f t="shared" si="11"/>
        <v>0</v>
      </c>
      <c r="AT21" s="398">
        <f t="shared" si="12"/>
        <v>0</v>
      </c>
      <c r="AW21" s="398">
        <f t="shared" si="13"/>
        <v>0</v>
      </c>
      <c r="AZ21" s="398">
        <f t="shared" si="14"/>
        <v>0</v>
      </c>
      <c r="BC21" s="398">
        <f t="shared" si="15"/>
        <v>0</v>
      </c>
      <c r="BF21" s="398">
        <f t="shared" si="16"/>
        <v>0</v>
      </c>
      <c r="BI21" s="398">
        <f t="shared" si="17"/>
        <v>0</v>
      </c>
      <c r="BL21" s="398">
        <f t="shared" si="18"/>
        <v>0</v>
      </c>
      <c r="BO21" s="398">
        <f t="shared" si="19"/>
        <v>0</v>
      </c>
      <c r="BR21" s="398">
        <f t="shared" si="20"/>
        <v>0</v>
      </c>
      <c r="BU21" s="398">
        <f t="shared" si="21"/>
        <v>0</v>
      </c>
      <c r="BX21" s="398">
        <f t="shared" si="22"/>
        <v>0</v>
      </c>
      <c r="CA21" s="398">
        <f t="shared" si="23"/>
        <v>0</v>
      </c>
      <c r="CD21" s="398">
        <f t="shared" si="24"/>
        <v>0</v>
      </c>
      <c r="CG21" s="398">
        <f t="shared" si="25"/>
        <v>0</v>
      </c>
      <c r="CJ21" s="398">
        <f t="shared" si="26"/>
        <v>0</v>
      </c>
      <c r="CM21" s="398">
        <f t="shared" si="27"/>
        <v>0</v>
      </c>
      <c r="CP21" s="398">
        <f t="shared" si="28"/>
        <v>0</v>
      </c>
      <c r="CS21" s="398">
        <f t="shared" si="29"/>
        <v>0</v>
      </c>
      <c r="CV21" s="398">
        <f t="shared" si="30"/>
        <v>0</v>
      </c>
      <c r="CY21" s="398">
        <f t="shared" si="31"/>
        <v>0</v>
      </c>
      <c r="DB21" s="398">
        <f t="shared" si="32"/>
        <v>0</v>
      </c>
      <c r="DE21" s="398">
        <f t="shared" si="33"/>
        <v>0</v>
      </c>
      <c r="DH21" s="398">
        <f t="shared" si="34"/>
        <v>0</v>
      </c>
      <c r="DK21" s="398">
        <f t="shared" si="35"/>
        <v>0</v>
      </c>
      <c r="DN21" s="398">
        <f t="shared" si="36"/>
        <v>0</v>
      </c>
      <c r="DQ21" s="398">
        <f t="shared" si="37"/>
        <v>0</v>
      </c>
      <c r="DT21" s="398">
        <f t="shared" si="38"/>
        <v>0</v>
      </c>
      <c r="DW21" s="398">
        <f t="shared" si="39"/>
        <v>0</v>
      </c>
      <c r="DZ21" s="398"/>
      <c r="EA21" s="398"/>
      <c r="EB21" s="212">
        <f t="shared" si="40"/>
        <v>0</v>
      </c>
      <c r="EC21" s="212">
        <f t="shared" si="41"/>
        <v>0</v>
      </c>
      <c r="ED21" s="398">
        <f t="shared" si="42"/>
        <v>0</v>
      </c>
      <c r="EE21" s="399">
        <f t="shared" si="43"/>
        <v>0</v>
      </c>
      <c r="EG21" s="212">
        <f t="shared" si="44"/>
        <v>0</v>
      </c>
      <c r="EH21" s="398">
        <f t="shared" si="45"/>
        <v>0</v>
      </c>
      <c r="EI21" s="399">
        <f t="shared" si="46"/>
        <v>0</v>
      </c>
      <c r="EJ21" s="399"/>
      <c r="EK21" s="212">
        <f t="shared" si="47"/>
        <v>0</v>
      </c>
      <c r="EL21" s="212">
        <f t="shared" si="48"/>
        <v>0</v>
      </c>
      <c r="EM21" s="212">
        <f t="shared" si="49"/>
        <v>0</v>
      </c>
      <c r="EN21" s="399">
        <f t="shared" si="50"/>
        <v>0</v>
      </c>
    </row>
    <row r="22" spans="1:144">
      <c r="A22" s="416">
        <f t="shared" si="51"/>
        <v>43445</v>
      </c>
      <c r="D22" s="398">
        <f t="shared" si="0"/>
        <v>0</v>
      </c>
      <c r="G22" s="398">
        <f t="shared" si="1"/>
        <v>0</v>
      </c>
      <c r="J22" s="398">
        <f t="shared" si="2"/>
        <v>0</v>
      </c>
      <c r="M22" s="398">
        <f t="shared" si="3"/>
        <v>0</v>
      </c>
      <c r="P22" s="398">
        <f t="shared" si="4"/>
        <v>0</v>
      </c>
      <c r="S22" s="398">
        <f t="shared" si="5"/>
        <v>0</v>
      </c>
      <c r="V22" s="398">
        <f t="shared" si="6"/>
        <v>0</v>
      </c>
      <c r="Y22" s="398">
        <f t="shared" si="7"/>
        <v>0</v>
      </c>
      <c r="AB22" s="398">
        <f t="shared" si="8"/>
        <v>0</v>
      </c>
      <c r="AE22" s="398">
        <v>0</v>
      </c>
      <c r="AH22" s="398">
        <v>0</v>
      </c>
      <c r="AK22" s="398">
        <f t="shared" si="9"/>
        <v>0</v>
      </c>
      <c r="AN22" s="398">
        <f t="shared" si="10"/>
        <v>0</v>
      </c>
      <c r="AQ22" s="398">
        <f t="shared" si="11"/>
        <v>0</v>
      </c>
      <c r="AT22" s="398">
        <f t="shared" si="12"/>
        <v>0</v>
      </c>
      <c r="AW22" s="398">
        <f t="shared" si="13"/>
        <v>0</v>
      </c>
      <c r="AZ22" s="398">
        <f t="shared" si="14"/>
        <v>0</v>
      </c>
      <c r="BC22" s="398">
        <f t="shared" si="15"/>
        <v>0</v>
      </c>
      <c r="BF22" s="398">
        <f t="shared" si="16"/>
        <v>0</v>
      </c>
      <c r="BI22" s="398">
        <f t="shared" si="17"/>
        <v>0</v>
      </c>
      <c r="BL22" s="398">
        <f t="shared" si="18"/>
        <v>0</v>
      </c>
      <c r="BO22" s="398">
        <f t="shared" si="19"/>
        <v>0</v>
      </c>
      <c r="BR22" s="398">
        <f t="shared" si="20"/>
        <v>0</v>
      </c>
      <c r="BU22" s="398">
        <f t="shared" si="21"/>
        <v>0</v>
      </c>
      <c r="BX22" s="398">
        <f t="shared" si="22"/>
        <v>0</v>
      </c>
      <c r="CA22" s="398">
        <f t="shared" si="23"/>
        <v>0</v>
      </c>
      <c r="CD22" s="398">
        <f t="shared" si="24"/>
        <v>0</v>
      </c>
      <c r="CG22" s="398">
        <f t="shared" si="25"/>
        <v>0</v>
      </c>
      <c r="CJ22" s="398">
        <f t="shared" si="26"/>
        <v>0</v>
      </c>
      <c r="CM22" s="398">
        <f t="shared" si="27"/>
        <v>0</v>
      </c>
      <c r="CP22" s="398">
        <f t="shared" si="28"/>
        <v>0</v>
      </c>
      <c r="CS22" s="398">
        <f t="shared" si="29"/>
        <v>0</v>
      </c>
      <c r="CV22" s="398">
        <f t="shared" si="30"/>
        <v>0</v>
      </c>
      <c r="CY22" s="398">
        <f t="shared" si="31"/>
        <v>0</v>
      </c>
      <c r="DB22" s="398">
        <f t="shared" si="32"/>
        <v>0</v>
      </c>
      <c r="DE22" s="398">
        <f t="shared" si="33"/>
        <v>0</v>
      </c>
      <c r="DH22" s="398">
        <f t="shared" si="34"/>
        <v>0</v>
      </c>
      <c r="DK22" s="398">
        <f t="shared" si="35"/>
        <v>0</v>
      </c>
      <c r="DN22" s="398">
        <f t="shared" si="36"/>
        <v>0</v>
      </c>
      <c r="DQ22" s="398">
        <f t="shared" si="37"/>
        <v>0</v>
      </c>
      <c r="DT22" s="398">
        <f t="shared" si="38"/>
        <v>0</v>
      </c>
      <c r="DW22" s="398">
        <f t="shared" si="39"/>
        <v>0</v>
      </c>
      <c r="DZ22" s="398"/>
      <c r="EA22" s="398"/>
      <c r="EB22" s="212">
        <f t="shared" si="40"/>
        <v>0</v>
      </c>
      <c r="EC22" s="212">
        <f t="shared" si="41"/>
        <v>0</v>
      </c>
      <c r="ED22" s="398">
        <f t="shared" si="42"/>
        <v>0</v>
      </c>
      <c r="EE22" s="399">
        <f t="shared" si="43"/>
        <v>0</v>
      </c>
      <c r="EG22" s="212">
        <f t="shared" si="44"/>
        <v>0</v>
      </c>
      <c r="EH22" s="398">
        <f t="shared" si="45"/>
        <v>0</v>
      </c>
      <c r="EI22" s="399">
        <f t="shared" si="46"/>
        <v>0</v>
      </c>
      <c r="EJ22" s="399"/>
      <c r="EK22" s="212">
        <f t="shared" si="47"/>
        <v>0</v>
      </c>
      <c r="EL22" s="212">
        <f t="shared" si="48"/>
        <v>0</v>
      </c>
      <c r="EM22" s="212">
        <f t="shared" si="49"/>
        <v>0</v>
      </c>
      <c r="EN22" s="399">
        <f t="shared" si="50"/>
        <v>0</v>
      </c>
    </row>
    <row r="23" spans="1:144">
      <c r="A23" s="416">
        <f t="shared" si="51"/>
        <v>43446</v>
      </c>
      <c r="D23" s="398">
        <f t="shared" si="0"/>
        <v>0</v>
      </c>
      <c r="G23" s="398">
        <f t="shared" si="1"/>
        <v>0</v>
      </c>
      <c r="J23" s="398">
        <f t="shared" si="2"/>
        <v>0</v>
      </c>
      <c r="M23" s="398">
        <f t="shared" si="3"/>
        <v>0</v>
      </c>
      <c r="P23" s="398">
        <f t="shared" si="4"/>
        <v>0</v>
      </c>
      <c r="S23" s="398">
        <f t="shared" si="5"/>
        <v>0</v>
      </c>
      <c r="V23" s="398">
        <f t="shared" si="6"/>
        <v>0</v>
      </c>
      <c r="Y23" s="398">
        <f t="shared" si="7"/>
        <v>0</v>
      </c>
      <c r="AB23" s="398">
        <f t="shared" si="8"/>
        <v>0</v>
      </c>
      <c r="AE23" s="398">
        <v>0</v>
      </c>
      <c r="AH23" s="398">
        <v>0</v>
      </c>
      <c r="AK23" s="398">
        <f t="shared" si="9"/>
        <v>0</v>
      </c>
      <c r="AN23" s="398">
        <f t="shared" si="10"/>
        <v>0</v>
      </c>
      <c r="AQ23" s="398">
        <f t="shared" si="11"/>
        <v>0</v>
      </c>
      <c r="AT23" s="398">
        <f t="shared" si="12"/>
        <v>0</v>
      </c>
      <c r="AW23" s="398">
        <f t="shared" si="13"/>
        <v>0</v>
      </c>
      <c r="AZ23" s="398">
        <f t="shared" si="14"/>
        <v>0</v>
      </c>
      <c r="BC23" s="398">
        <f t="shared" si="15"/>
        <v>0</v>
      </c>
      <c r="BF23" s="398">
        <f t="shared" si="16"/>
        <v>0</v>
      </c>
      <c r="BI23" s="398">
        <f t="shared" si="17"/>
        <v>0</v>
      </c>
      <c r="BL23" s="398">
        <f t="shared" si="18"/>
        <v>0</v>
      </c>
      <c r="BO23" s="398">
        <f t="shared" si="19"/>
        <v>0</v>
      </c>
      <c r="BR23" s="398">
        <f t="shared" si="20"/>
        <v>0</v>
      </c>
      <c r="BU23" s="398">
        <f t="shared" si="21"/>
        <v>0</v>
      </c>
      <c r="BX23" s="398">
        <f t="shared" si="22"/>
        <v>0</v>
      </c>
      <c r="CA23" s="398">
        <f t="shared" si="23"/>
        <v>0</v>
      </c>
      <c r="CD23" s="398">
        <f t="shared" si="24"/>
        <v>0</v>
      </c>
      <c r="CG23" s="398">
        <f t="shared" si="25"/>
        <v>0</v>
      </c>
      <c r="CJ23" s="398">
        <f t="shared" si="26"/>
        <v>0</v>
      </c>
      <c r="CM23" s="398">
        <f t="shared" si="27"/>
        <v>0</v>
      </c>
      <c r="CP23" s="398">
        <f t="shared" si="28"/>
        <v>0</v>
      </c>
      <c r="CS23" s="398">
        <f t="shared" si="29"/>
        <v>0</v>
      </c>
      <c r="CV23" s="398">
        <f t="shared" si="30"/>
        <v>0</v>
      </c>
      <c r="CY23" s="398">
        <f t="shared" si="31"/>
        <v>0</v>
      </c>
      <c r="DB23" s="398">
        <f t="shared" si="32"/>
        <v>0</v>
      </c>
      <c r="DE23" s="398">
        <f t="shared" si="33"/>
        <v>0</v>
      </c>
      <c r="DH23" s="398">
        <f t="shared" si="34"/>
        <v>0</v>
      </c>
      <c r="DK23" s="398">
        <f t="shared" si="35"/>
        <v>0</v>
      </c>
      <c r="DN23" s="398">
        <f t="shared" si="36"/>
        <v>0</v>
      </c>
      <c r="DQ23" s="398">
        <f t="shared" si="37"/>
        <v>0</v>
      </c>
      <c r="DT23" s="398">
        <f t="shared" si="38"/>
        <v>0</v>
      </c>
      <c r="DW23" s="398">
        <f t="shared" si="39"/>
        <v>0</v>
      </c>
      <c r="DZ23" s="398"/>
      <c r="EA23" s="398"/>
      <c r="EB23" s="212">
        <f t="shared" si="40"/>
        <v>0</v>
      </c>
      <c r="EC23" s="212">
        <f t="shared" si="41"/>
        <v>0</v>
      </c>
      <c r="ED23" s="398">
        <f t="shared" si="42"/>
        <v>0</v>
      </c>
      <c r="EE23" s="399">
        <f t="shared" si="43"/>
        <v>0</v>
      </c>
      <c r="EG23" s="212">
        <f t="shared" si="44"/>
        <v>0</v>
      </c>
      <c r="EH23" s="398">
        <f t="shared" si="45"/>
        <v>0</v>
      </c>
      <c r="EI23" s="399">
        <f t="shared" si="46"/>
        <v>0</v>
      </c>
      <c r="EJ23" s="399"/>
      <c r="EK23" s="212">
        <f t="shared" si="47"/>
        <v>0</v>
      </c>
      <c r="EL23" s="212">
        <f t="shared" si="48"/>
        <v>0</v>
      </c>
      <c r="EM23" s="212">
        <f t="shared" si="49"/>
        <v>0</v>
      </c>
      <c r="EN23" s="399">
        <f t="shared" si="50"/>
        <v>0</v>
      </c>
    </row>
    <row r="24" spans="1:144">
      <c r="A24" s="416">
        <f t="shared" si="51"/>
        <v>43447</v>
      </c>
      <c r="D24" s="398">
        <f t="shared" si="0"/>
        <v>0</v>
      </c>
      <c r="G24" s="398">
        <f t="shared" si="1"/>
        <v>0</v>
      </c>
      <c r="J24" s="398">
        <f t="shared" si="2"/>
        <v>0</v>
      </c>
      <c r="M24" s="398">
        <f t="shared" si="3"/>
        <v>0</v>
      </c>
      <c r="P24" s="398">
        <f t="shared" si="4"/>
        <v>0</v>
      </c>
      <c r="S24" s="398">
        <f t="shared" si="5"/>
        <v>0</v>
      </c>
      <c r="V24" s="398">
        <f t="shared" si="6"/>
        <v>0</v>
      </c>
      <c r="Y24" s="398">
        <f t="shared" si="7"/>
        <v>0</v>
      </c>
      <c r="AB24" s="398">
        <f t="shared" si="8"/>
        <v>0</v>
      </c>
      <c r="AE24" s="398">
        <v>0</v>
      </c>
      <c r="AH24" s="398">
        <v>0</v>
      </c>
      <c r="AK24" s="398">
        <f t="shared" si="9"/>
        <v>0</v>
      </c>
      <c r="AN24" s="398">
        <f t="shared" si="10"/>
        <v>0</v>
      </c>
      <c r="AQ24" s="398">
        <f t="shared" si="11"/>
        <v>0</v>
      </c>
      <c r="AT24" s="398">
        <f t="shared" si="12"/>
        <v>0</v>
      </c>
      <c r="AW24" s="398">
        <f t="shared" si="13"/>
        <v>0</v>
      </c>
      <c r="AZ24" s="398">
        <f t="shared" si="14"/>
        <v>0</v>
      </c>
      <c r="BC24" s="398">
        <f t="shared" si="15"/>
        <v>0</v>
      </c>
      <c r="BF24" s="398">
        <f t="shared" si="16"/>
        <v>0</v>
      </c>
      <c r="BI24" s="398">
        <f t="shared" si="17"/>
        <v>0</v>
      </c>
      <c r="BL24" s="398">
        <f t="shared" si="18"/>
        <v>0</v>
      </c>
      <c r="BO24" s="398">
        <f t="shared" si="19"/>
        <v>0</v>
      </c>
      <c r="BR24" s="398">
        <f t="shared" si="20"/>
        <v>0</v>
      </c>
      <c r="BU24" s="398">
        <f t="shared" si="21"/>
        <v>0</v>
      </c>
      <c r="BX24" s="398">
        <f t="shared" si="22"/>
        <v>0</v>
      </c>
      <c r="CA24" s="398">
        <f t="shared" si="23"/>
        <v>0</v>
      </c>
      <c r="CD24" s="398">
        <f t="shared" si="24"/>
        <v>0</v>
      </c>
      <c r="CG24" s="398">
        <f t="shared" si="25"/>
        <v>0</v>
      </c>
      <c r="CJ24" s="398">
        <f t="shared" si="26"/>
        <v>0</v>
      </c>
      <c r="CM24" s="398">
        <f t="shared" si="27"/>
        <v>0</v>
      </c>
      <c r="CP24" s="398">
        <f t="shared" si="28"/>
        <v>0</v>
      </c>
      <c r="CS24" s="398">
        <f t="shared" si="29"/>
        <v>0</v>
      </c>
      <c r="CV24" s="398">
        <f t="shared" si="30"/>
        <v>0</v>
      </c>
      <c r="CY24" s="398">
        <f t="shared" si="31"/>
        <v>0</v>
      </c>
      <c r="DB24" s="398">
        <f t="shared" si="32"/>
        <v>0</v>
      </c>
      <c r="DE24" s="398">
        <f t="shared" si="33"/>
        <v>0</v>
      </c>
      <c r="DH24" s="398">
        <f t="shared" si="34"/>
        <v>0</v>
      </c>
      <c r="DK24" s="398">
        <f t="shared" si="35"/>
        <v>0</v>
      </c>
      <c r="DN24" s="398">
        <f t="shared" si="36"/>
        <v>0</v>
      </c>
      <c r="DQ24" s="398">
        <f t="shared" si="37"/>
        <v>0</v>
      </c>
      <c r="DT24" s="398">
        <f t="shared" si="38"/>
        <v>0</v>
      </c>
      <c r="DW24" s="398">
        <f t="shared" si="39"/>
        <v>0</v>
      </c>
      <c r="DZ24" s="398"/>
      <c r="EA24" s="398"/>
      <c r="EB24" s="212">
        <f t="shared" si="40"/>
        <v>0</v>
      </c>
      <c r="EC24" s="212">
        <f t="shared" si="41"/>
        <v>0</v>
      </c>
      <c r="ED24" s="398">
        <f t="shared" si="42"/>
        <v>0</v>
      </c>
      <c r="EE24" s="399">
        <f t="shared" si="43"/>
        <v>0</v>
      </c>
      <c r="EG24" s="212">
        <f t="shared" si="44"/>
        <v>0</v>
      </c>
      <c r="EH24" s="398">
        <f t="shared" si="45"/>
        <v>0</v>
      </c>
      <c r="EI24" s="399">
        <f t="shared" si="46"/>
        <v>0</v>
      </c>
      <c r="EJ24" s="399"/>
      <c r="EK24" s="212">
        <f t="shared" si="47"/>
        <v>0</v>
      </c>
      <c r="EL24" s="212">
        <f t="shared" si="48"/>
        <v>0</v>
      </c>
      <c r="EM24" s="212">
        <f t="shared" si="49"/>
        <v>0</v>
      </c>
      <c r="EN24" s="399">
        <f t="shared" si="50"/>
        <v>0</v>
      </c>
    </row>
    <row r="25" spans="1:144">
      <c r="A25" s="416">
        <f t="shared" si="51"/>
        <v>43448</v>
      </c>
      <c r="D25" s="398">
        <f t="shared" si="0"/>
        <v>0</v>
      </c>
      <c r="G25" s="398">
        <f t="shared" si="1"/>
        <v>0</v>
      </c>
      <c r="J25" s="398">
        <f t="shared" si="2"/>
        <v>0</v>
      </c>
      <c r="M25" s="398">
        <f t="shared" si="3"/>
        <v>0</v>
      </c>
      <c r="P25" s="398">
        <f t="shared" si="4"/>
        <v>0</v>
      </c>
      <c r="S25" s="398">
        <f t="shared" si="5"/>
        <v>0</v>
      </c>
      <c r="V25" s="398">
        <f t="shared" si="6"/>
        <v>0</v>
      </c>
      <c r="Y25" s="398">
        <f t="shared" si="7"/>
        <v>0</v>
      </c>
      <c r="AB25" s="398">
        <f t="shared" si="8"/>
        <v>0</v>
      </c>
      <c r="AE25" s="398">
        <v>0</v>
      </c>
      <c r="AH25" s="398">
        <v>0</v>
      </c>
      <c r="AK25" s="398">
        <f t="shared" si="9"/>
        <v>0</v>
      </c>
      <c r="AN25" s="398">
        <f t="shared" si="10"/>
        <v>0</v>
      </c>
      <c r="AQ25" s="398">
        <f t="shared" si="11"/>
        <v>0</v>
      </c>
      <c r="AT25" s="398">
        <f t="shared" si="12"/>
        <v>0</v>
      </c>
      <c r="AW25" s="398">
        <f t="shared" si="13"/>
        <v>0</v>
      </c>
      <c r="AZ25" s="398">
        <f t="shared" si="14"/>
        <v>0</v>
      </c>
      <c r="BC25" s="398">
        <f t="shared" si="15"/>
        <v>0</v>
      </c>
      <c r="BF25" s="398">
        <f t="shared" si="16"/>
        <v>0</v>
      </c>
      <c r="BI25" s="398">
        <f t="shared" si="17"/>
        <v>0</v>
      </c>
      <c r="BL25" s="398">
        <f t="shared" si="18"/>
        <v>0</v>
      </c>
      <c r="BO25" s="398">
        <f t="shared" si="19"/>
        <v>0</v>
      </c>
      <c r="BR25" s="398">
        <f t="shared" si="20"/>
        <v>0</v>
      </c>
      <c r="BU25" s="398">
        <f t="shared" si="21"/>
        <v>0</v>
      </c>
      <c r="BX25" s="398">
        <f t="shared" si="22"/>
        <v>0</v>
      </c>
      <c r="CA25" s="398">
        <f t="shared" si="23"/>
        <v>0</v>
      </c>
      <c r="CD25" s="398">
        <f t="shared" si="24"/>
        <v>0</v>
      </c>
      <c r="CG25" s="398">
        <f t="shared" si="25"/>
        <v>0</v>
      </c>
      <c r="CJ25" s="398">
        <f t="shared" si="26"/>
        <v>0</v>
      </c>
      <c r="CM25" s="398">
        <f t="shared" si="27"/>
        <v>0</v>
      </c>
      <c r="CP25" s="398">
        <f t="shared" si="28"/>
        <v>0</v>
      </c>
      <c r="CS25" s="398">
        <f t="shared" si="29"/>
        <v>0</v>
      </c>
      <c r="CV25" s="398">
        <f t="shared" si="30"/>
        <v>0</v>
      </c>
      <c r="CY25" s="398">
        <f t="shared" si="31"/>
        <v>0</v>
      </c>
      <c r="DB25" s="398">
        <f t="shared" si="32"/>
        <v>0</v>
      </c>
      <c r="DE25" s="398">
        <f t="shared" si="33"/>
        <v>0</v>
      </c>
      <c r="DH25" s="398">
        <f t="shared" si="34"/>
        <v>0</v>
      </c>
      <c r="DK25" s="398">
        <f t="shared" si="35"/>
        <v>0</v>
      </c>
      <c r="DN25" s="398">
        <f t="shared" si="36"/>
        <v>0</v>
      </c>
      <c r="DQ25" s="398">
        <f t="shared" si="37"/>
        <v>0</v>
      </c>
      <c r="DT25" s="398">
        <f t="shared" si="38"/>
        <v>0</v>
      </c>
      <c r="DW25" s="398">
        <f t="shared" si="39"/>
        <v>0</v>
      </c>
      <c r="DZ25" s="398"/>
      <c r="EA25" s="398"/>
      <c r="EB25" s="212">
        <f t="shared" si="40"/>
        <v>0</v>
      </c>
      <c r="EC25" s="212">
        <f t="shared" si="41"/>
        <v>0</v>
      </c>
      <c r="ED25" s="398">
        <f t="shared" si="42"/>
        <v>0</v>
      </c>
      <c r="EE25" s="399">
        <f t="shared" si="43"/>
        <v>0</v>
      </c>
      <c r="EG25" s="212">
        <f t="shared" si="44"/>
        <v>0</v>
      </c>
      <c r="EH25" s="398">
        <f t="shared" si="45"/>
        <v>0</v>
      </c>
      <c r="EI25" s="399">
        <f t="shared" si="46"/>
        <v>0</v>
      </c>
      <c r="EJ25" s="399"/>
      <c r="EK25" s="212">
        <f t="shared" si="47"/>
        <v>0</v>
      </c>
      <c r="EL25" s="212">
        <f t="shared" si="48"/>
        <v>0</v>
      </c>
      <c r="EM25" s="212">
        <f t="shared" si="49"/>
        <v>0</v>
      </c>
      <c r="EN25" s="399">
        <f t="shared" si="50"/>
        <v>0</v>
      </c>
    </row>
    <row r="26" spans="1:144">
      <c r="A26" s="416">
        <f t="shared" si="51"/>
        <v>43449</v>
      </c>
      <c r="D26" s="398">
        <f t="shared" si="0"/>
        <v>0</v>
      </c>
      <c r="G26" s="398">
        <f t="shared" si="1"/>
        <v>0</v>
      </c>
      <c r="J26" s="398">
        <f t="shared" si="2"/>
        <v>0</v>
      </c>
      <c r="M26" s="398">
        <f t="shared" si="3"/>
        <v>0</v>
      </c>
      <c r="P26" s="398">
        <f t="shared" si="4"/>
        <v>0</v>
      </c>
      <c r="S26" s="398">
        <f t="shared" si="5"/>
        <v>0</v>
      </c>
      <c r="V26" s="398">
        <f t="shared" si="6"/>
        <v>0</v>
      </c>
      <c r="Y26" s="398">
        <f t="shared" si="7"/>
        <v>0</v>
      </c>
      <c r="AB26" s="398">
        <f t="shared" si="8"/>
        <v>0</v>
      </c>
      <c r="AE26" s="398">
        <v>0</v>
      </c>
      <c r="AH26" s="398">
        <v>0</v>
      </c>
      <c r="AK26" s="398">
        <f t="shared" si="9"/>
        <v>0</v>
      </c>
      <c r="AN26" s="398">
        <f t="shared" si="10"/>
        <v>0</v>
      </c>
      <c r="AQ26" s="398">
        <f t="shared" si="11"/>
        <v>0</v>
      </c>
      <c r="AT26" s="398">
        <f t="shared" si="12"/>
        <v>0</v>
      </c>
      <c r="AW26" s="398">
        <f t="shared" si="13"/>
        <v>0</v>
      </c>
      <c r="AZ26" s="398">
        <f t="shared" si="14"/>
        <v>0</v>
      </c>
      <c r="BC26" s="398">
        <f t="shared" si="15"/>
        <v>0</v>
      </c>
      <c r="BF26" s="398">
        <f t="shared" si="16"/>
        <v>0</v>
      </c>
      <c r="BI26" s="398">
        <f t="shared" si="17"/>
        <v>0</v>
      </c>
      <c r="BL26" s="398">
        <f t="shared" si="18"/>
        <v>0</v>
      </c>
      <c r="BO26" s="398">
        <f t="shared" si="19"/>
        <v>0</v>
      </c>
      <c r="BR26" s="398">
        <f t="shared" si="20"/>
        <v>0</v>
      </c>
      <c r="BU26" s="398">
        <f t="shared" si="21"/>
        <v>0</v>
      </c>
      <c r="BX26" s="398">
        <f t="shared" si="22"/>
        <v>0</v>
      </c>
      <c r="CA26" s="398">
        <f t="shared" si="23"/>
        <v>0</v>
      </c>
      <c r="CD26" s="398">
        <f t="shared" si="24"/>
        <v>0</v>
      </c>
      <c r="CG26" s="398">
        <f t="shared" si="25"/>
        <v>0</v>
      </c>
      <c r="CJ26" s="398">
        <f t="shared" si="26"/>
        <v>0</v>
      </c>
      <c r="CM26" s="398">
        <f t="shared" si="27"/>
        <v>0</v>
      </c>
      <c r="CP26" s="398">
        <f t="shared" si="28"/>
        <v>0</v>
      </c>
      <c r="CS26" s="398">
        <f t="shared" si="29"/>
        <v>0</v>
      </c>
      <c r="CV26" s="398">
        <f t="shared" si="30"/>
        <v>0</v>
      </c>
      <c r="CY26" s="398">
        <f t="shared" si="31"/>
        <v>0</v>
      </c>
      <c r="DB26" s="398">
        <f t="shared" si="32"/>
        <v>0</v>
      </c>
      <c r="DE26" s="398">
        <f t="shared" si="33"/>
        <v>0</v>
      </c>
      <c r="DH26" s="398">
        <f t="shared" si="34"/>
        <v>0</v>
      </c>
      <c r="DK26" s="398">
        <f t="shared" si="35"/>
        <v>0</v>
      </c>
      <c r="DN26" s="398">
        <f t="shared" si="36"/>
        <v>0</v>
      </c>
      <c r="DQ26" s="398">
        <f t="shared" si="37"/>
        <v>0</v>
      </c>
      <c r="DT26" s="398">
        <f t="shared" si="38"/>
        <v>0</v>
      </c>
      <c r="DW26" s="398">
        <f t="shared" si="39"/>
        <v>0</v>
      </c>
      <c r="DZ26" s="398"/>
      <c r="EA26" s="398"/>
      <c r="EB26" s="212">
        <f t="shared" si="40"/>
        <v>0</v>
      </c>
      <c r="EC26" s="212">
        <f t="shared" si="41"/>
        <v>0</v>
      </c>
      <c r="ED26" s="398">
        <f t="shared" si="42"/>
        <v>0</v>
      </c>
      <c r="EE26" s="399">
        <f t="shared" si="43"/>
        <v>0</v>
      </c>
      <c r="EG26" s="212">
        <f t="shared" si="44"/>
        <v>0</v>
      </c>
      <c r="EH26" s="398">
        <f t="shared" si="45"/>
        <v>0</v>
      </c>
      <c r="EI26" s="399">
        <f t="shared" si="46"/>
        <v>0</v>
      </c>
      <c r="EJ26" s="399"/>
      <c r="EK26" s="212">
        <f t="shared" si="47"/>
        <v>0</v>
      </c>
      <c r="EL26" s="212">
        <f t="shared" si="48"/>
        <v>0</v>
      </c>
      <c r="EM26" s="212">
        <f t="shared" si="49"/>
        <v>0</v>
      </c>
      <c r="EN26" s="399">
        <f t="shared" si="50"/>
        <v>0</v>
      </c>
    </row>
    <row r="27" spans="1:144">
      <c r="A27" s="416">
        <f t="shared" si="51"/>
        <v>43450</v>
      </c>
      <c r="D27" s="398">
        <f t="shared" si="0"/>
        <v>0</v>
      </c>
      <c r="G27" s="398">
        <f t="shared" si="1"/>
        <v>0</v>
      </c>
      <c r="J27" s="398">
        <f t="shared" si="2"/>
        <v>0</v>
      </c>
      <c r="M27" s="398">
        <f t="shared" si="3"/>
        <v>0</v>
      </c>
      <c r="P27" s="398">
        <f t="shared" si="4"/>
        <v>0</v>
      </c>
      <c r="S27" s="398">
        <f t="shared" si="5"/>
        <v>0</v>
      </c>
      <c r="V27" s="398">
        <f t="shared" si="6"/>
        <v>0</v>
      </c>
      <c r="Y27" s="398">
        <f t="shared" si="7"/>
        <v>0</v>
      </c>
      <c r="AB27" s="398">
        <f t="shared" si="8"/>
        <v>0</v>
      </c>
      <c r="AE27" s="398">
        <v>0</v>
      </c>
      <c r="AH27" s="398">
        <v>0</v>
      </c>
      <c r="AK27" s="398">
        <f t="shared" si="9"/>
        <v>0</v>
      </c>
      <c r="AN27" s="398">
        <f t="shared" si="10"/>
        <v>0</v>
      </c>
      <c r="AQ27" s="398">
        <f t="shared" si="11"/>
        <v>0</v>
      </c>
      <c r="AT27" s="398">
        <f t="shared" si="12"/>
        <v>0</v>
      </c>
      <c r="AW27" s="398">
        <f t="shared" si="13"/>
        <v>0</v>
      </c>
      <c r="AZ27" s="398">
        <f t="shared" si="14"/>
        <v>0</v>
      </c>
      <c r="BC27" s="398">
        <f t="shared" si="15"/>
        <v>0</v>
      </c>
      <c r="BF27" s="398">
        <f t="shared" si="16"/>
        <v>0</v>
      </c>
      <c r="BI27" s="398">
        <f t="shared" si="17"/>
        <v>0</v>
      </c>
      <c r="BL27" s="398">
        <f t="shared" si="18"/>
        <v>0</v>
      </c>
      <c r="BO27" s="398">
        <f t="shared" si="19"/>
        <v>0</v>
      </c>
      <c r="BR27" s="398">
        <f t="shared" si="20"/>
        <v>0</v>
      </c>
      <c r="BU27" s="398">
        <f t="shared" si="21"/>
        <v>0</v>
      </c>
      <c r="BX27" s="398">
        <f t="shared" si="22"/>
        <v>0</v>
      </c>
      <c r="CA27" s="398">
        <f t="shared" si="23"/>
        <v>0</v>
      </c>
      <c r="CD27" s="398">
        <f t="shared" si="24"/>
        <v>0</v>
      </c>
      <c r="CG27" s="398">
        <f t="shared" si="25"/>
        <v>0</v>
      </c>
      <c r="CJ27" s="398">
        <f t="shared" si="26"/>
        <v>0</v>
      </c>
      <c r="CM27" s="398">
        <f t="shared" si="27"/>
        <v>0</v>
      </c>
      <c r="CP27" s="398">
        <f t="shared" si="28"/>
        <v>0</v>
      </c>
      <c r="CS27" s="398">
        <f t="shared" si="29"/>
        <v>0</v>
      </c>
      <c r="CV27" s="398">
        <f t="shared" si="30"/>
        <v>0</v>
      </c>
      <c r="CY27" s="398">
        <f t="shared" si="31"/>
        <v>0</v>
      </c>
      <c r="DB27" s="398">
        <f t="shared" si="32"/>
        <v>0</v>
      </c>
      <c r="DE27" s="398">
        <f t="shared" si="33"/>
        <v>0</v>
      </c>
      <c r="DH27" s="398">
        <f t="shared" si="34"/>
        <v>0</v>
      </c>
      <c r="DK27" s="398">
        <f t="shared" si="35"/>
        <v>0</v>
      </c>
      <c r="DN27" s="398">
        <f t="shared" si="36"/>
        <v>0</v>
      </c>
      <c r="DQ27" s="398">
        <f t="shared" si="37"/>
        <v>0</v>
      </c>
      <c r="DT27" s="398">
        <f t="shared" si="38"/>
        <v>0</v>
      </c>
      <c r="DW27" s="398">
        <f t="shared" si="39"/>
        <v>0</v>
      </c>
      <c r="DZ27" s="398"/>
      <c r="EA27" s="398"/>
      <c r="EB27" s="212">
        <f t="shared" si="40"/>
        <v>0</v>
      </c>
      <c r="EC27" s="212">
        <f t="shared" si="41"/>
        <v>0</v>
      </c>
      <c r="ED27" s="398">
        <f t="shared" si="42"/>
        <v>0</v>
      </c>
      <c r="EE27" s="399">
        <f t="shared" si="43"/>
        <v>0</v>
      </c>
      <c r="EG27" s="212">
        <f t="shared" si="44"/>
        <v>0</v>
      </c>
      <c r="EH27" s="398">
        <f t="shared" si="45"/>
        <v>0</v>
      </c>
      <c r="EI27" s="399">
        <f t="shared" si="46"/>
        <v>0</v>
      </c>
      <c r="EJ27" s="399"/>
      <c r="EK27" s="212">
        <f t="shared" si="47"/>
        <v>0</v>
      </c>
      <c r="EL27" s="212">
        <f t="shared" si="48"/>
        <v>0</v>
      </c>
      <c r="EM27" s="212">
        <f t="shared" si="49"/>
        <v>0</v>
      </c>
      <c r="EN27" s="399">
        <f t="shared" si="50"/>
        <v>0</v>
      </c>
    </row>
    <row r="28" spans="1:144">
      <c r="A28" s="416">
        <f t="shared" si="51"/>
        <v>43451</v>
      </c>
      <c r="D28" s="398">
        <f t="shared" si="0"/>
        <v>0</v>
      </c>
      <c r="G28" s="398">
        <f t="shared" si="1"/>
        <v>0</v>
      </c>
      <c r="J28" s="398">
        <f t="shared" si="2"/>
        <v>0</v>
      </c>
      <c r="M28" s="398">
        <f t="shared" si="3"/>
        <v>0</v>
      </c>
      <c r="P28" s="398">
        <f t="shared" si="4"/>
        <v>0</v>
      </c>
      <c r="S28" s="398">
        <f t="shared" si="5"/>
        <v>0</v>
      </c>
      <c r="V28" s="398">
        <f t="shared" si="6"/>
        <v>0</v>
      </c>
      <c r="Y28" s="398">
        <f t="shared" si="7"/>
        <v>0</v>
      </c>
      <c r="AB28" s="398">
        <f t="shared" si="8"/>
        <v>0</v>
      </c>
      <c r="AE28" s="398">
        <v>0</v>
      </c>
      <c r="AH28" s="398">
        <v>0</v>
      </c>
      <c r="AK28" s="398">
        <f t="shared" si="9"/>
        <v>0</v>
      </c>
      <c r="AN28" s="398">
        <f t="shared" si="10"/>
        <v>0</v>
      </c>
      <c r="AQ28" s="398">
        <f t="shared" si="11"/>
        <v>0</v>
      </c>
      <c r="AT28" s="398">
        <f t="shared" si="12"/>
        <v>0</v>
      </c>
      <c r="AW28" s="398">
        <f t="shared" si="13"/>
        <v>0</v>
      </c>
      <c r="AZ28" s="398">
        <f t="shared" si="14"/>
        <v>0</v>
      </c>
      <c r="BC28" s="398">
        <f t="shared" si="15"/>
        <v>0</v>
      </c>
      <c r="BF28" s="398">
        <f t="shared" si="16"/>
        <v>0</v>
      </c>
      <c r="BI28" s="398">
        <f t="shared" si="17"/>
        <v>0</v>
      </c>
      <c r="BL28" s="398">
        <f t="shared" si="18"/>
        <v>0</v>
      </c>
      <c r="BO28" s="398">
        <f t="shared" si="19"/>
        <v>0</v>
      </c>
      <c r="BR28" s="398">
        <f t="shared" si="20"/>
        <v>0</v>
      </c>
      <c r="BU28" s="398">
        <f t="shared" si="21"/>
        <v>0</v>
      </c>
      <c r="BX28" s="398">
        <f t="shared" si="22"/>
        <v>0</v>
      </c>
      <c r="CA28" s="398">
        <f t="shared" si="23"/>
        <v>0</v>
      </c>
      <c r="CD28" s="398">
        <f t="shared" si="24"/>
        <v>0</v>
      </c>
      <c r="CG28" s="398">
        <f t="shared" si="25"/>
        <v>0</v>
      </c>
      <c r="CJ28" s="398">
        <f t="shared" si="26"/>
        <v>0</v>
      </c>
      <c r="CM28" s="398">
        <f t="shared" si="27"/>
        <v>0</v>
      </c>
      <c r="CP28" s="398">
        <f t="shared" si="28"/>
        <v>0</v>
      </c>
      <c r="CS28" s="398">
        <f t="shared" si="29"/>
        <v>0</v>
      </c>
      <c r="CV28" s="398">
        <f t="shared" si="30"/>
        <v>0</v>
      </c>
      <c r="CY28" s="398">
        <f t="shared" si="31"/>
        <v>0</v>
      </c>
      <c r="DB28" s="398">
        <f t="shared" si="32"/>
        <v>0</v>
      </c>
      <c r="DE28" s="398">
        <f t="shared" si="33"/>
        <v>0</v>
      </c>
      <c r="DH28" s="398">
        <f t="shared" si="34"/>
        <v>0</v>
      </c>
      <c r="DK28" s="398">
        <f t="shared" si="35"/>
        <v>0</v>
      </c>
      <c r="DN28" s="398">
        <f t="shared" si="36"/>
        <v>0</v>
      </c>
      <c r="DQ28" s="398">
        <f t="shared" si="37"/>
        <v>0</v>
      </c>
      <c r="DT28" s="398">
        <f t="shared" si="38"/>
        <v>0</v>
      </c>
      <c r="DW28" s="398">
        <f t="shared" si="39"/>
        <v>0</v>
      </c>
      <c r="DZ28" s="398"/>
      <c r="EA28" s="398"/>
      <c r="EB28" s="212">
        <f t="shared" si="40"/>
        <v>0</v>
      </c>
      <c r="EC28" s="212">
        <f t="shared" si="41"/>
        <v>0</v>
      </c>
      <c r="ED28" s="398">
        <f t="shared" si="42"/>
        <v>0</v>
      </c>
      <c r="EE28" s="399">
        <f t="shared" si="43"/>
        <v>0</v>
      </c>
      <c r="EG28" s="212">
        <f t="shared" si="44"/>
        <v>0</v>
      </c>
      <c r="EH28" s="398">
        <f t="shared" si="45"/>
        <v>0</v>
      </c>
      <c r="EI28" s="399">
        <f t="shared" si="46"/>
        <v>0</v>
      </c>
      <c r="EJ28" s="399"/>
      <c r="EK28" s="212">
        <f t="shared" si="47"/>
        <v>0</v>
      </c>
      <c r="EL28" s="212">
        <f t="shared" si="48"/>
        <v>0</v>
      </c>
      <c r="EM28" s="212">
        <f t="shared" si="49"/>
        <v>0</v>
      </c>
      <c r="EN28" s="399">
        <f t="shared" si="50"/>
        <v>0</v>
      </c>
    </row>
    <row r="29" spans="1:144">
      <c r="A29" s="416">
        <f t="shared" si="51"/>
        <v>43452</v>
      </c>
      <c r="D29" s="398">
        <f t="shared" si="0"/>
        <v>0</v>
      </c>
      <c r="G29" s="398">
        <f t="shared" si="1"/>
        <v>0</v>
      </c>
      <c r="J29" s="398">
        <f t="shared" si="2"/>
        <v>0</v>
      </c>
      <c r="M29" s="398">
        <f t="shared" si="3"/>
        <v>0</v>
      </c>
      <c r="P29" s="398">
        <f t="shared" si="4"/>
        <v>0</v>
      </c>
      <c r="S29" s="398">
        <f t="shared" si="5"/>
        <v>0</v>
      </c>
      <c r="V29" s="398">
        <f t="shared" si="6"/>
        <v>0</v>
      </c>
      <c r="Y29" s="398">
        <f t="shared" si="7"/>
        <v>0</v>
      </c>
      <c r="AB29" s="398">
        <f t="shared" si="8"/>
        <v>0</v>
      </c>
      <c r="AE29" s="398">
        <v>0</v>
      </c>
      <c r="AH29" s="398">
        <v>0</v>
      </c>
      <c r="AK29" s="398">
        <f t="shared" si="9"/>
        <v>0</v>
      </c>
      <c r="AN29" s="398">
        <f t="shared" si="10"/>
        <v>0</v>
      </c>
      <c r="AQ29" s="398">
        <f t="shared" si="11"/>
        <v>0</v>
      </c>
      <c r="AT29" s="398">
        <f t="shared" si="12"/>
        <v>0</v>
      </c>
      <c r="AW29" s="398">
        <f t="shared" si="13"/>
        <v>0</v>
      </c>
      <c r="AZ29" s="398">
        <f t="shared" si="14"/>
        <v>0</v>
      </c>
      <c r="BC29" s="398">
        <f t="shared" si="15"/>
        <v>0</v>
      </c>
      <c r="BF29" s="398">
        <f t="shared" si="16"/>
        <v>0</v>
      </c>
      <c r="BI29" s="398">
        <f t="shared" si="17"/>
        <v>0</v>
      </c>
      <c r="BL29" s="398">
        <f t="shared" si="18"/>
        <v>0</v>
      </c>
      <c r="BO29" s="398">
        <f t="shared" si="19"/>
        <v>0</v>
      </c>
      <c r="BR29" s="398">
        <f t="shared" si="20"/>
        <v>0</v>
      </c>
      <c r="BU29" s="398">
        <f t="shared" si="21"/>
        <v>0</v>
      </c>
      <c r="BX29" s="398">
        <f t="shared" si="22"/>
        <v>0</v>
      </c>
      <c r="CA29" s="398">
        <f t="shared" si="23"/>
        <v>0</v>
      </c>
      <c r="CD29" s="398">
        <f t="shared" si="24"/>
        <v>0</v>
      </c>
      <c r="CG29" s="398">
        <f t="shared" si="25"/>
        <v>0</v>
      </c>
      <c r="CJ29" s="398">
        <f t="shared" si="26"/>
        <v>0</v>
      </c>
      <c r="CM29" s="398">
        <f t="shared" si="27"/>
        <v>0</v>
      </c>
      <c r="CP29" s="398">
        <f t="shared" si="28"/>
        <v>0</v>
      </c>
      <c r="CS29" s="398">
        <f t="shared" si="29"/>
        <v>0</v>
      </c>
      <c r="CV29" s="398">
        <f t="shared" si="30"/>
        <v>0</v>
      </c>
      <c r="CY29" s="398">
        <f t="shared" si="31"/>
        <v>0</v>
      </c>
      <c r="DB29" s="398">
        <f t="shared" si="32"/>
        <v>0</v>
      </c>
      <c r="DE29" s="398">
        <f t="shared" si="33"/>
        <v>0</v>
      </c>
      <c r="DH29" s="398">
        <f t="shared" si="34"/>
        <v>0</v>
      </c>
      <c r="DK29" s="398">
        <f t="shared" si="35"/>
        <v>0</v>
      </c>
      <c r="DN29" s="398">
        <f t="shared" si="36"/>
        <v>0</v>
      </c>
      <c r="DQ29" s="398">
        <f t="shared" si="37"/>
        <v>0</v>
      </c>
      <c r="DT29" s="398">
        <f t="shared" si="38"/>
        <v>0</v>
      </c>
      <c r="DW29" s="398">
        <f t="shared" si="39"/>
        <v>0</v>
      </c>
      <c r="DZ29" s="398"/>
      <c r="EA29" s="398"/>
      <c r="EB29" s="212">
        <f t="shared" si="40"/>
        <v>0</v>
      </c>
      <c r="EC29" s="212">
        <f t="shared" si="41"/>
        <v>0</v>
      </c>
      <c r="ED29" s="398">
        <f t="shared" si="42"/>
        <v>0</v>
      </c>
      <c r="EE29" s="399">
        <f t="shared" si="43"/>
        <v>0</v>
      </c>
      <c r="EG29" s="212">
        <f t="shared" si="44"/>
        <v>0</v>
      </c>
      <c r="EH29" s="398">
        <f t="shared" si="45"/>
        <v>0</v>
      </c>
      <c r="EI29" s="399">
        <f t="shared" si="46"/>
        <v>0</v>
      </c>
      <c r="EJ29" s="399"/>
      <c r="EK29" s="212">
        <f t="shared" si="47"/>
        <v>0</v>
      </c>
      <c r="EL29" s="212">
        <f t="shared" si="48"/>
        <v>0</v>
      </c>
      <c r="EM29" s="212">
        <f t="shared" si="49"/>
        <v>0</v>
      </c>
      <c r="EN29" s="399">
        <f t="shared" si="50"/>
        <v>0</v>
      </c>
    </row>
    <row r="30" spans="1:144">
      <c r="A30" s="416">
        <f t="shared" si="51"/>
        <v>43453</v>
      </c>
      <c r="D30" s="398">
        <f t="shared" si="0"/>
        <v>0</v>
      </c>
      <c r="G30" s="398">
        <f t="shared" si="1"/>
        <v>0</v>
      </c>
      <c r="J30" s="398">
        <f t="shared" si="2"/>
        <v>0</v>
      </c>
      <c r="M30" s="398">
        <f t="shared" si="3"/>
        <v>0</v>
      </c>
      <c r="P30" s="398">
        <f t="shared" si="4"/>
        <v>0</v>
      </c>
      <c r="S30" s="398">
        <f t="shared" si="5"/>
        <v>0</v>
      </c>
      <c r="V30" s="398">
        <f t="shared" si="6"/>
        <v>0</v>
      </c>
      <c r="Y30" s="398">
        <f t="shared" si="7"/>
        <v>0</v>
      </c>
      <c r="AB30" s="398">
        <f t="shared" si="8"/>
        <v>0</v>
      </c>
      <c r="AE30" s="398">
        <v>0</v>
      </c>
      <c r="AH30" s="398">
        <v>0</v>
      </c>
      <c r="AK30" s="398">
        <f t="shared" si="9"/>
        <v>0</v>
      </c>
      <c r="AN30" s="398">
        <f t="shared" si="10"/>
        <v>0</v>
      </c>
      <c r="AQ30" s="398">
        <f t="shared" si="11"/>
        <v>0</v>
      </c>
      <c r="AT30" s="398">
        <f t="shared" si="12"/>
        <v>0</v>
      </c>
      <c r="AW30" s="398">
        <f t="shared" si="13"/>
        <v>0</v>
      </c>
      <c r="AZ30" s="398">
        <f t="shared" si="14"/>
        <v>0</v>
      </c>
      <c r="BC30" s="398">
        <f t="shared" si="15"/>
        <v>0</v>
      </c>
      <c r="BF30" s="398">
        <f t="shared" si="16"/>
        <v>0</v>
      </c>
      <c r="BI30" s="398">
        <f t="shared" si="17"/>
        <v>0</v>
      </c>
      <c r="BL30" s="398">
        <f t="shared" si="18"/>
        <v>0</v>
      </c>
      <c r="BO30" s="398">
        <f t="shared" si="19"/>
        <v>0</v>
      </c>
      <c r="BR30" s="398">
        <f t="shared" si="20"/>
        <v>0</v>
      </c>
      <c r="BU30" s="398">
        <f t="shared" si="21"/>
        <v>0</v>
      </c>
      <c r="BX30" s="398">
        <f t="shared" si="22"/>
        <v>0</v>
      </c>
      <c r="CA30" s="398">
        <f t="shared" si="23"/>
        <v>0</v>
      </c>
      <c r="CD30" s="398">
        <f t="shared" si="24"/>
        <v>0</v>
      </c>
      <c r="CG30" s="398">
        <f t="shared" si="25"/>
        <v>0</v>
      </c>
      <c r="CJ30" s="398">
        <f t="shared" si="26"/>
        <v>0</v>
      </c>
      <c r="CM30" s="398">
        <f t="shared" si="27"/>
        <v>0</v>
      </c>
      <c r="CP30" s="398">
        <f t="shared" si="28"/>
        <v>0</v>
      </c>
      <c r="CS30" s="398">
        <f t="shared" si="29"/>
        <v>0</v>
      </c>
      <c r="CV30" s="398">
        <f t="shared" si="30"/>
        <v>0</v>
      </c>
      <c r="CY30" s="398">
        <f t="shared" si="31"/>
        <v>0</v>
      </c>
      <c r="DB30" s="398">
        <f t="shared" si="32"/>
        <v>0</v>
      </c>
      <c r="DE30" s="398">
        <f t="shared" si="33"/>
        <v>0</v>
      </c>
      <c r="DH30" s="398">
        <f t="shared" si="34"/>
        <v>0</v>
      </c>
      <c r="DK30" s="398">
        <f t="shared" si="35"/>
        <v>0</v>
      </c>
      <c r="DN30" s="398">
        <f t="shared" si="36"/>
        <v>0</v>
      </c>
      <c r="DQ30" s="398">
        <f t="shared" si="37"/>
        <v>0</v>
      </c>
      <c r="DT30" s="398">
        <f t="shared" si="38"/>
        <v>0</v>
      </c>
      <c r="DW30" s="398">
        <f t="shared" si="39"/>
        <v>0</v>
      </c>
      <c r="DZ30" s="398"/>
      <c r="EA30" s="398"/>
      <c r="EB30" s="212">
        <f t="shared" si="40"/>
        <v>0</v>
      </c>
      <c r="EC30" s="212">
        <f t="shared" si="41"/>
        <v>0</v>
      </c>
      <c r="ED30" s="398">
        <f t="shared" si="42"/>
        <v>0</v>
      </c>
      <c r="EE30" s="399">
        <f t="shared" si="43"/>
        <v>0</v>
      </c>
      <c r="EG30" s="212">
        <f t="shared" si="44"/>
        <v>0</v>
      </c>
      <c r="EH30" s="398">
        <f t="shared" si="45"/>
        <v>0</v>
      </c>
      <c r="EI30" s="399">
        <f t="shared" si="46"/>
        <v>0</v>
      </c>
      <c r="EJ30" s="399"/>
      <c r="EK30" s="212">
        <f t="shared" si="47"/>
        <v>0</v>
      </c>
      <c r="EL30" s="212">
        <f t="shared" si="48"/>
        <v>0</v>
      </c>
      <c r="EM30" s="212">
        <f t="shared" si="49"/>
        <v>0</v>
      </c>
      <c r="EN30" s="399">
        <f t="shared" si="50"/>
        <v>0</v>
      </c>
    </row>
    <row r="31" spans="1:144">
      <c r="A31" s="416">
        <f t="shared" si="51"/>
        <v>43454</v>
      </c>
      <c r="D31" s="398">
        <f t="shared" si="0"/>
        <v>0</v>
      </c>
      <c r="G31" s="398">
        <f t="shared" si="1"/>
        <v>0</v>
      </c>
      <c r="J31" s="398">
        <f t="shared" si="2"/>
        <v>0</v>
      </c>
      <c r="M31" s="398">
        <f t="shared" si="3"/>
        <v>0</v>
      </c>
      <c r="P31" s="398">
        <f t="shared" si="4"/>
        <v>0</v>
      </c>
      <c r="S31" s="398">
        <f t="shared" si="5"/>
        <v>0</v>
      </c>
      <c r="V31" s="398">
        <f t="shared" si="6"/>
        <v>0</v>
      </c>
      <c r="Y31" s="398">
        <f t="shared" si="7"/>
        <v>0</v>
      </c>
      <c r="AB31" s="398">
        <f t="shared" si="8"/>
        <v>0</v>
      </c>
      <c r="AE31" s="398">
        <v>0</v>
      </c>
      <c r="AH31" s="398">
        <v>0</v>
      </c>
      <c r="AK31" s="398">
        <f t="shared" si="9"/>
        <v>0</v>
      </c>
      <c r="AN31" s="398">
        <f t="shared" si="10"/>
        <v>0</v>
      </c>
      <c r="AQ31" s="398">
        <f t="shared" si="11"/>
        <v>0</v>
      </c>
      <c r="AT31" s="398">
        <f t="shared" si="12"/>
        <v>0</v>
      </c>
      <c r="AW31" s="398">
        <f t="shared" si="13"/>
        <v>0</v>
      </c>
      <c r="AZ31" s="398">
        <f t="shared" si="14"/>
        <v>0</v>
      </c>
      <c r="BC31" s="398">
        <f t="shared" si="15"/>
        <v>0</v>
      </c>
      <c r="BF31" s="398">
        <f t="shared" si="16"/>
        <v>0</v>
      </c>
      <c r="BI31" s="398">
        <f t="shared" si="17"/>
        <v>0</v>
      </c>
      <c r="BL31" s="398">
        <f t="shared" si="18"/>
        <v>0</v>
      </c>
      <c r="BO31" s="398">
        <f t="shared" si="19"/>
        <v>0</v>
      </c>
      <c r="BR31" s="398">
        <f t="shared" si="20"/>
        <v>0</v>
      </c>
      <c r="BU31" s="398">
        <f t="shared" si="21"/>
        <v>0</v>
      </c>
      <c r="BX31" s="398">
        <f t="shared" si="22"/>
        <v>0</v>
      </c>
      <c r="CA31" s="398">
        <f t="shared" si="23"/>
        <v>0</v>
      </c>
      <c r="CD31" s="398">
        <f t="shared" si="24"/>
        <v>0</v>
      </c>
      <c r="CG31" s="398">
        <f t="shared" si="25"/>
        <v>0</v>
      </c>
      <c r="CJ31" s="398">
        <f t="shared" si="26"/>
        <v>0</v>
      </c>
      <c r="CM31" s="398">
        <f t="shared" si="27"/>
        <v>0</v>
      </c>
      <c r="CP31" s="398">
        <f t="shared" si="28"/>
        <v>0</v>
      </c>
      <c r="CS31" s="398">
        <f t="shared" si="29"/>
        <v>0</v>
      </c>
      <c r="CV31" s="398">
        <f t="shared" si="30"/>
        <v>0</v>
      </c>
      <c r="CY31" s="398">
        <f t="shared" si="31"/>
        <v>0</v>
      </c>
      <c r="DB31" s="398">
        <f t="shared" si="32"/>
        <v>0</v>
      </c>
      <c r="DE31" s="398">
        <f t="shared" si="33"/>
        <v>0</v>
      </c>
      <c r="DH31" s="398">
        <f t="shared" si="34"/>
        <v>0</v>
      </c>
      <c r="DK31" s="398">
        <f t="shared" si="35"/>
        <v>0</v>
      </c>
      <c r="DN31" s="398">
        <f t="shared" si="36"/>
        <v>0</v>
      </c>
      <c r="DQ31" s="398">
        <f t="shared" si="37"/>
        <v>0</v>
      </c>
      <c r="DT31" s="398">
        <f t="shared" si="38"/>
        <v>0</v>
      </c>
      <c r="DW31" s="398">
        <f t="shared" si="39"/>
        <v>0</v>
      </c>
      <c r="DZ31" s="398"/>
      <c r="EA31" s="398"/>
      <c r="EB31" s="212">
        <f t="shared" si="40"/>
        <v>0</v>
      </c>
      <c r="EC31" s="212">
        <f t="shared" si="41"/>
        <v>0</v>
      </c>
      <c r="ED31" s="398">
        <f t="shared" si="42"/>
        <v>0</v>
      </c>
      <c r="EE31" s="399">
        <f t="shared" si="43"/>
        <v>0</v>
      </c>
      <c r="EG31" s="212">
        <f t="shared" si="44"/>
        <v>0</v>
      </c>
      <c r="EH31" s="398">
        <f t="shared" si="45"/>
        <v>0</v>
      </c>
      <c r="EI31" s="399">
        <f t="shared" si="46"/>
        <v>0</v>
      </c>
      <c r="EJ31" s="399"/>
      <c r="EK31" s="212">
        <f t="shared" si="47"/>
        <v>0</v>
      </c>
      <c r="EL31" s="212">
        <f t="shared" si="48"/>
        <v>0</v>
      </c>
      <c r="EM31" s="212">
        <f t="shared" si="49"/>
        <v>0</v>
      </c>
      <c r="EN31" s="399">
        <f t="shared" si="50"/>
        <v>0</v>
      </c>
    </row>
    <row r="32" spans="1:144">
      <c r="A32" s="416">
        <f t="shared" si="51"/>
        <v>43455</v>
      </c>
      <c r="D32" s="398">
        <f t="shared" si="0"/>
        <v>0</v>
      </c>
      <c r="G32" s="398">
        <f t="shared" si="1"/>
        <v>0</v>
      </c>
      <c r="J32" s="398">
        <f t="shared" si="2"/>
        <v>0</v>
      </c>
      <c r="M32" s="398">
        <f t="shared" si="3"/>
        <v>0</v>
      </c>
      <c r="P32" s="398">
        <f t="shared" si="4"/>
        <v>0</v>
      </c>
      <c r="S32" s="398">
        <f t="shared" si="5"/>
        <v>0</v>
      </c>
      <c r="V32" s="398">
        <f t="shared" si="6"/>
        <v>0</v>
      </c>
      <c r="Y32" s="398">
        <f t="shared" si="7"/>
        <v>0</v>
      </c>
      <c r="AB32" s="398">
        <f t="shared" si="8"/>
        <v>0</v>
      </c>
      <c r="AE32" s="398">
        <v>0</v>
      </c>
      <c r="AH32" s="398">
        <v>0</v>
      </c>
      <c r="AK32" s="398">
        <f t="shared" si="9"/>
        <v>0</v>
      </c>
      <c r="AN32" s="398">
        <f t="shared" si="10"/>
        <v>0</v>
      </c>
      <c r="AQ32" s="398">
        <f t="shared" si="11"/>
        <v>0</v>
      </c>
      <c r="AT32" s="398">
        <f t="shared" si="12"/>
        <v>0</v>
      </c>
      <c r="AW32" s="398">
        <f t="shared" si="13"/>
        <v>0</v>
      </c>
      <c r="AZ32" s="398">
        <f t="shared" si="14"/>
        <v>0</v>
      </c>
      <c r="BC32" s="398">
        <f t="shared" si="15"/>
        <v>0</v>
      </c>
      <c r="BF32" s="398">
        <f t="shared" si="16"/>
        <v>0</v>
      </c>
      <c r="BI32" s="398">
        <f t="shared" si="17"/>
        <v>0</v>
      </c>
      <c r="BL32" s="398">
        <f t="shared" si="18"/>
        <v>0</v>
      </c>
      <c r="BO32" s="398">
        <f t="shared" si="19"/>
        <v>0</v>
      </c>
      <c r="BR32" s="398">
        <f t="shared" si="20"/>
        <v>0</v>
      </c>
      <c r="BU32" s="398">
        <f t="shared" si="21"/>
        <v>0</v>
      </c>
      <c r="BX32" s="398">
        <f t="shared" si="22"/>
        <v>0</v>
      </c>
      <c r="CA32" s="398">
        <f t="shared" si="23"/>
        <v>0</v>
      </c>
      <c r="CD32" s="398">
        <f t="shared" si="24"/>
        <v>0</v>
      </c>
      <c r="CG32" s="398">
        <f t="shared" si="25"/>
        <v>0</v>
      </c>
      <c r="CJ32" s="398">
        <f t="shared" si="26"/>
        <v>0</v>
      </c>
      <c r="CM32" s="398">
        <f t="shared" si="27"/>
        <v>0</v>
      </c>
      <c r="CP32" s="398">
        <f t="shared" si="28"/>
        <v>0</v>
      </c>
      <c r="CS32" s="398">
        <f t="shared" si="29"/>
        <v>0</v>
      </c>
      <c r="CV32" s="398">
        <f t="shared" si="30"/>
        <v>0</v>
      </c>
      <c r="CY32" s="398">
        <f t="shared" si="31"/>
        <v>0</v>
      </c>
      <c r="DB32" s="398">
        <f t="shared" si="32"/>
        <v>0</v>
      </c>
      <c r="DE32" s="398">
        <f t="shared" si="33"/>
        <v>0</v>
      </c>
      <c r="DH32" s="398">
        <f t="shared" si="34"/>
        <v>0</v>
      </c>
      <c r="DK32" s="398">
        <f t="shared" si="35"/>
        <v>0</v>
      </c>
      <c r="DN32" s="398">
        <f t="shared" si="36"/>
        <v>0</v>
      </c>
      <c r="DQ32" s="398">
        <f t="shared" si="37"/>
        <v>0</v>
      </c>
      <c r="DT32" s="398">
        <f t="shared" si="38"/>
        <v>0</v>
      </c>
      <c r="DW32" s="398">
        <f t="shared" si="39"/>
        <v>0</v>
      </c>
      <c r="DZ32" s="398"/>
      <c r="EA32" s="398"/>
      <c r="EB32" s="212">
        <f t="shared" si="40"/>
        <v>0</v>
      </c>
      <c r="EC32" s="212">
        <f t="shared" si="41"/>
        <v>0</v>
      </c>
      <c r="ED32" s="398">
        <f t="shared" si="42"/>
        <v>0</v>
      </c>
      <c r="EE32" s="399">
        <f t="shared" si="43"/>
        <v>0</v>
      </c>
      <c r="EG32" s="212">
        <f t="shared" si="44"/>
        <v>0</v>
      </c>
      <c r="EH32" s="398">
        <f t="shared" si="45"/>
        <v>0</v>
      </c>
      <c r="EI32" s="399">
        <f t="shared" si="46"/>
        <v>0</v>
      </c>
      <c r="EJ32" s="399"/>
      <c r="EK32" s="212">
        <f t="shared" si="47"/>
        <v>0</v>
      </c>
      <c r="EL32" s="212">
        <f t="shared" si="48"/>
        <v>0</v>
      </c>
      <c r="EM32" s="212">
        <f t="shared" si="49"/>
        <v>0</v>
      </c>
      <c r="EN32" s="399">
        <f t="shared" si="50"/>
        <v>0</v>
      </c>
    </row>
    <row r="33" spans="1:144">
      <c r="A33" s="416">
        <f t="shared" si="51"/>
        <v>43456</v>
      </c>
      <c r="D33" s="398">
        <f t="shared" si="0"/>
        <v>0</v>
      </c>
      <c r="G33" s="398">
        <f t="shared" si="1"/>
        <v>0</v>
      </c>
      <c r="J33" s="398">
        <f t="shared" si="2"/>
        <v>0</v>
      </c>
      <c r="M33" s="398">
        <f t="shared" si="3"/>
        <v>0</v>
      </c>
      <c r="P33" s="398">
        <f t="shared" si="4"/>
        <v>0</v>
      </c>
      <c r="S33" s="398">
        <f t="shared" si="5"/>
        <v>0</v>
      </c>
      <c r="V33" s="398">
        <f t="shared" si="6"/>
        <v>0</v>
      </c>
      <c r="Y33" s="398">
        <f t="shared" si="7"/>
        <v>0</v>
      </c>
      <c r="AB33" s="398">
        <f t="shared" si="8"/>
        <v>0</v>
      </c>
      <c r="AE33" s="398">
        <v>0</v>
      </c>
      <c r="AH33" s="398">
        <v>0</v>
      </c>
      <c r="AK33" s="398">
        <f t="shared" si="9"/>
        <v>0</v>
      </c>
      <c r="AN33" s="398">
        <f t="shared" si="10"/>
        <v>0</v>
      </c>
      <c r="AQ33" s="398">
        <f t="shared" si="11"/>
        <v>0</v>
      </c>
      <c r="AT33" s="398">
        <f t="shared" si="12"/>
        <v>0</v>
      </c>
      <c r="AW33" s="398">
        <f t="shared" si="13"/>
        <v>0</v>
      </c>
      <c r="AZ33" s="398">
        <f t="shared" si="14"/>
        <v>0</v>
      </c>
      <c r="BC33" s="398">
        <f t="shared" si="15"/>
        <v>0</v>
      </c>
      <c r="BF33" s="398">
        <f t="shared" si="16"/>
        <v>0</v>
      </c>
      <c r="BI33" s="398">
        <f t="shared" si="17"/>
        <v>0</v>
      </c>
      <c r="BL33" s="398">
        <f t="shared" si="18"/>
        <v>0</v>
      </c>
      <c r="BO33" s="398">
        <f t="shared" si="19"/>
        <v>0</v>
      </c>
      <c r="BR33" s="398">
        <f t="shared" si="20"/>
        <v>0</v>
      </c>
      <c r="BU33" s="398">
        <f t="shared" si="21"/>
        <v>0</v>
      </c>
      <c r="BX33" s="398">
        <f t="shared" si="22"/>
        <v>0</v>
      </c>
      <c r="CA33" s="398">
        <f t="shared" si="23"/>
        <v>0</v>
      </c>
      <c r="CD33" s="398">
        <f t="shared" si="24"/>
        <v>0</v>
      </c>
      <c r="CG33" s="398">
        <f t="shared" si="25"/>
        <v>0</v>
      </c>
      <c r="CJ33" s="398">
        <f t="shared" si="26"/>
        <v>0</v>
      </c>
      <c r="CM33" s="398">
        <f t="shared" si="27"/>
        <v>0</v>
      </c>
      <c r="CP33" s="398">
        <f t="shared" si="28"/>
        <v>0</v>
      </c>
      <c r="CS33" s="398">
        <f t="shared" si="29"/>
        <v>0</v>
      </c>
      <c r="CV33" s="398">
        <f t="shared" si="30"/>
        <v>0</v>
      </c>
      <c r="CY33" s="398">
        <f t="shared" si="31"/>
        <v>0</v>
      </c>
      <c r="DB33" s="398">
        <f t="shared" si="32"/>
        <v>0</v>
      </c>
      <c r="DE33" s="398">
        <f t="shared" si="33"/>
        <v>0</v>
      </c>
      <c r="DH33" s="398">
        <f t="shared" si="34"/>
        <v>0</v>
      </c>
      <c r="DK33" s="398">
        <f t="shared" si="35"/>
        <v>0</v>
      </c>
      <c r="DN33" s="398">
        <f t="shared" si="36"/>
        <v>0</v>
      </c>
      <c r="DQ33" s="398">
        <f t="shared" si="37"/>
        <v>0</v>
      </c>
      <c r="DT33" s="398">
        <f t="shared" si="38"/>
        <v>0</v>
      </c>
      <c r="DW33" s="398">
        <f t="shared" si="39"/>
        <v>0</v>
      </c>
      <c r="DZ33" s="398"/>
      <c r="EA33" s="398"/>
      <c r="EB33" s="212">
        <f t="shared" si="40"/>
        <v>0</v>
      </c>
      <c r="EC33" s="212">
        <f t="shared" si="41"/>
        <v>0</v>
      </c>
      <c r="ED33" s="398">
        <f t="shared" si="42"/>
        <v>0</v>
      </c>
      <c r="EE33" s="399">
        <f t="shared" si="43"/>
        <v>0</v>
      </c>
      <c r="EG33" s="212">
        <f t="shared" si="44"/>
        <v>0</v>
      </c>
      <c r="EH33" s="398">
        <f t="shared" si="45"/>
        <v>0</v>
      </c>
      <c r="EI33" s="399">
        <f t="shared" si="46"/>
        <v>0</v>
      </c>
      <c r="EJ33" s="399"/>
      <c r="EK33" s="212">
        <f t="shared" si="47"/>
        <v>0</v>
      </c>
      <c r="EL33" s="212">
        <f t="shared" si="48"/>
        <v>0</v>
      </c>
      <c r="EM33" s="212">
        <f t="shared" si="49"/>
        <v>0</v>
      </c>
      <c r="EN33" s="399">
        <f t="shared" si="50"/>
        <v>0</v>
      </c>
    </row>
    <row r="34" spans="1:144">
      <c r="A34" s="416">
        <f t="shared" si="51"/>
        <v>43457</v>
      </c>
      <c r="D34" s="398">
        <f t="shared" si="0"/>
        <v>0</v>
      </c>
      <c r="G34" s="398">
        <f t="shared" si="1"/>
        <v>0</v>
      </c>
      <c r="J34" s="398">
        <f t="shared" si="2"/>
        <v>0</v>
      </c>
      <c r="M34" s="398">
        <f t="shared" si="3"/>
        <v>0</v>
      </c>
      <c r="P34" s="398">
        <f t="shared" si="4"/>
        <v>0</v>
      </c>
      <c r="S34" s="398">
        <f t="shared" si="5"/>
        <v>0</v>
      </c>
      <c r="V34" s="398">
        <f t="shared" si="6"/>
        <v>0</v>
      </c>
      <c r="Y34" s="398">
        <f t="shared" si="7"/>
        <v>0</v>
      </c>
      <c r="AB34" s="398">
        <f t="shared" si="8"/>
        <v>0</v>
      </c>
      <c r="AE34" s="398">
        <v>0</v>
      </c>
      <c r="AH34" s="398">
        <v>0</v>
      </c>
      <c r="AK34" s="398">
        <f t="shared" si="9"/>
        <v>0</v>
      </c>
      <c r="AN34" s="398">
        <f t="shared" si="10"/>
        <v>0</v>
      </c>
      <c r="AQ34" s="398">
        <f t="shared" si="11"/>
        <v>0</v>
      </c>
      <c r="AT34" s="398">
        <f t="shared" si="12"/>
        <v>0</v>
      </c>
      <c r="AW34" s="398">
        <f t="shared" si="13"/>
        <v>0</v>
      </c>
      <c r="AZ34" s="398">
        <f t="shared" si="14"/>
        <v>0</v>
      </c>
      <c r="BC34" s="398">
        <f t="shared" si="15"/>
        <v>0</v>
      </c>
      <c r="BF34" s="398">
        <f t="shared" si="16"/>
        <v>0</v>
      </c>
      <c r="BI34" s="398">
        <f t="shared" si="17"/>
        <v>0</v>
      </c>
      <c r="BL34" s="398">
        <f t="shared" si="18"/>
        <v>0</v>
      </c>
      <c r="BO34" s="398">
        <f t="shared" si="19"/>
        <v>0</v>
      </c>
      <c r="BR34" s="398">
        <f t="shared" si="20"/>
        <v>0</v>
      </c>
      <c r="BU34" s="398">
        <f t="shared" si="21"/>
        <v>0</v>
      </c>
      <c r="BX34" s="398">
        <f t="shared" si="22"/>
        <v>0</v>
      </c>
      <c r="CA34" s="398">
        <f t="shared" si="23"/>
        <v>0</v>
      </c>
      <c r="CD34" s="398">
        <f t="shared" si="24"/>
        <v>0</v>
      </c>
      <c r="CG34" s="398">
        <f t="shared" si="25"/>
        <v>0</v>
      </c>
      <c r="CJ34" s="398">
        <f t="shared" si="26"/>
        <v>0</v>
      </c>
      <c r="CM34" s="398">
        <f t="shared" si="27"/>
        <v>0</v>
      </c>
      <c r="CP34" s="398">
        <f t="shared" si="28"/>
        <v>0</v>
      </c>
      <c r="CS34" s="398">
        <f t="shared" si="29"/>
        <v>0</v>
      </c>
      <c r="CV34" s="398">
        <f t="shared" si="30"/>
        <v>0</v>
      </c>
      <c r="CY34" s="398">
        <f t="shared" si="31"/>
        <v>0</v>
      </c>
      <c r="DB34" s="398">
        <f t="shared" si="32"/>
        <v>0</v>
      </c>
      <c r="DE34" s="398">
        <f t="shared" si="33"/>
        <v>0</v>
      </c>
      <c r="DH34" s="398">
        <f t="shared" si="34"/>
        <v>0</v>
      </c>
      <c r="DK34" s="398">
        <f t="shared" si="35"/>
        <v>0</v>
      </c>
      <c r="DN34" s="398">
        <f t="shared" si="36"/>
        <v>0</v>
      </c>
      <c r="DQ34" s="398">
        <f t="shared" si="37"/>
        <v>0</v>
      </c>
      <c r="DT34" s="398">
        <f t="shared" si="38"/>
        <v>0</v>
      </c>
      <c r="DW34" s="398">
        <f t="shared" si="39"/>
        <v>0</v>
      </c>
      <c r="DZ34" s="398"/>
      <c r="EA34" s="398"/>
      <c r="EB34" s="212">
        <f t="shared" si="40"/>
        <v>0</v>
      </c>
      <c r="EC34" s="212">
        <f t="shared" si="41"/>
        <v>0</v>
      </c>
      <c r="ED34" s="398">
        <f t="shared" si="42"/>
        <v>0</v>
      </c>
      <c r="EE34" s="399">
        <f t="shared" si="43"/>
        <v>0</v>
      </c>
      <c r="EG34" s="212">
        <f t="shared" si="44"/>
        <v>0</v>
      </c>
      <c r="EH34" s="398">
        <f t="shared" si="45"/>
        <v>0</v>
      </c>
      <c r="EI34" s="399">
        <f t="shared" si="46"/>
        <v>0</v>
      </c>
      <c r="EJ34" s="399"/>
      <c r="EK34" s="212">
        <f t="shared" si="47"/>
        <v>0</v>
      </c>
      <c r="EL34" s="212">
        <f t="shared" si="48"/>
        <v>0</v>
      </c>
      <c r="EM34" s="212">
        <f t="shared" si="49"/>
        <v>0</v>
      </c>
      <c r="EN34" s="399">
        <f t="shared" si="50"/>
        <v>0</v>
      </c>
    </row>
    <row r="35" spans="1:144">
      <c r="A35" s="416">
        <f t="shared" si="51"/>
        <v>43458</v>
      </c>
      <c r="D35" s="398">
        <f t="shared" si="0"/>
        <v>0</v>
      </c>
      <c r="G35" s="398">
        <f t="shared" si="1"/>
        <v>0</v>
      </c>
      <c r="J35" s="398">
        <f t="shared" si="2"/>
        <v>0</v>
      </c>
      <c r="M35" s="398">
        <f t="shared" si="3"/>
        <v>0</v>
      </c>
      <c r="P35" s="398">
        <f t="shared" si="4"/>
        <v>0</v>
      </c>
      <c r="S35" s="398">
        <f t="shared" si="5"/>
        <v>0</v>
      </c>
      <c r="V35" s="398">
        <f t="shared" si="6"/>
        <v>0</v>
      </c>
      <c r="Y35" s="398">
        <f t="shared" si="7"/>
        <v>0</v>
      </c>
      <c r="AB35" s="398">
        <f t="shared" si="8"/>
        <v>0</v>
      </c>
      <c r="AE35" s="398">
        <v>0</v>
      </c>
      <c r="AH35" s="398">
        <v>0</v>
      </c>
      <c r="AK35" s="398">
        <f t="shared" si="9"/>
        <v>0</v>
      </c>
      <c r="AN35" s="398">
        <f t="shared" si="10"/>
        <v>0</v>
      </c>
      <c r="AQ35" s="398">
        <f t="shared" si="11"/>
        <v>0</v>
      </c>
      <c r="AT35" s="398">
        <f t="shared" si="12"/>
        <v>0</v>
      </c>
      <c r="AW35" s="398">
        <f t="shared" si="13"/>
        <v>0</v>
      </c>
      <c r="AZ35" s="398">
        <f t="shared" si="14"/>
        <v>0</v>
      </c>
      <c r="BC35" s="398">
        <f t="shared" si="15"/>
        <v>0</v>
      </c>
      <c r="BF35" s="398">
        <f t="shared" si="16"/>
        <v>0</v>
      </c>
      <c r="BI35" s="398">
        <f t="shared" si="17"/>
        <v>0</v>
      </c>
      <c r="BL35" s="398">
        <f t="shared" si="18"/>
        <v>0</v>
      </c>
      <c r="BO35" s="398">
        <f t="shared" si="19"/>
        <v>0</v>
      </c>
      <c r="BR35" s="398">
        <f t="shared" si="20"/>
        <v>0</v>
      </c>
      <c r="BU35" s="398">
        <f t="shared" si="21"/>
        <v>0</v>
      </c>
      <c r="BX35" s="398">
        <f t="shared" si="22"/>
        <v>0</v>
      </c>
      <c r="CA35" s="398">
        <f t="shared" si="23"/>
        <v>0</v>
      </c>
      <c r="CD35" s="398">
        <f t="shared" si="24"/>
        <v>0</v>
      </c>
      <c r="CG35" s="398">
        <f t="shared" si="25"/>
        <v>0</v>
      </c>
      <c r="CJ35" s="398">
        <f t="shared" si="26"/>
        <v>0</v>
      </c>
      <c r="CM35" s="398">
        <f t="shared" si="27"/>
        <v>0</v>
      </c>
      <c r="CP35" s="398">
        <f t="shared" si="28"/>
        <v>0</v>
      </c>
      <c r="CS35" s="398">
        <f t="shared" si="29"/>
        <v>0</v>
      </c>
      <c r="CV35" s="398">
        <f t="shared" si="30"/>
        <v>0</v>
      </c>
      <c r="CY35" s="398">
        <f t="shared" si="31"/>
        <v>0</v>
      </c>
      <c r="DB35" s="398">
        <f t="shared" si="32"/>
        <v>0</v>
      </c>
      <c r="DE35" s="398">
        <f t="shared" si="33"/>
        <v>0</v>
      </c>
      <c r="DH35" s="398">
        <f t="shared" si="34"/>
        <v>0</v>
      </c>
      <c r="DK35" s="398">
        <f t="shared" si="35"/>
        <v>0</v>
      </c>
      <c r="DN35" s="398">
        <f t="shared" si="36"/>
        <v>0</v>
      </c>
      <c r="DQ35" s="398">
        <f t="shared" si="37"/>
        <v>0</v>
      </c>
      <c r="DT35" s="398">
        <f t="shared" si="38"/>
        <v>0</v>
      </c>
      <c r="DW35" s="398">
        <f t="shared" si="39"/>
        <v>0</v>
      </c>
      <c r="DZ35" s="398"/>
      <c r="EA35" s="398"/>
      <c r="EB35" s="212">
        <f t="shared" si="40"/>
        <v>0</v>
      </c>
      <c r="EC35" s="212">
        <f t="shared" si="41"/>
        <v>0</v>
      </c>
      <c r="ED35" s="398">
        <f t="shared" si="42"/>
        <v>0</v>
      </c>
      <c r="EE35" s="399">
        <f t="shared" si="43"/>
        <v>0</v>
      </c>
      <c r="EG35" s="212">
        <f t="shared" si="44"/>
        <v>0</v>
      </c>
      <c r="EH35" s="398">
        <f t="shared" si="45"/>
        <v>0</v>
      </c>
      <c r="EI35" s="399">
        <f t="shared" si="46"/>
        <v>0</v>
      </c>
      <c r="EJ35" s="399"/>
      <c r="EK35" s="212">
        <f t="shared" si="47"/>
        <v>0</v>
      </c>
      <c r="EL35" s="212">
        <f t="shared" si="48"/>
        <v>0</v>
      </c>
      <c r="EM35" s="212">
        <f t="shared" si="49"/>
        <v>0</v>
      </c>
      <c r="EN35" s="399">
        <f t="shared" si="50"/>
        <v>0</v>
      </c>
    </row>
    <row r="36" spans="1:144">
      <c r="A36" s="416">
        <f t="shared" si="51"/>
        <v>43459</v>
      </c>
      <c r="D36" s="398">
        <f t="shared" si="0"/>
        <v>0</v>
      </c>
      <c r="G36" s="398">
        <f t="shared" si="1"/>
        <v>0</v>
      </c>
      <c r="J36" s="398">
        <f t="shared" si="2"/>
        <v>0</v>
      </c>
      <c r="M36" s="398">
        <f t="shared" si="3"/>
        <v>0</v>
      </c>
      <c r="P36" s="398">
        <f t="shared" si="4"/>
        <v>0</v>
      </c>
      <c r="S36" s="398">
        <f t="shared" si="5"/>
        <v>0</v>
      </c>
      <c r="V36" s="398">
        <f t="shared" si="6"/>
        <v>0</v>
      </c>
      <c r="Y36" s="398">
        <f t="shared" si="7"/>
        <v>0</v>
      </c>
      <c r="AB36" s="398">
        <f t="shared" si="8"/>
        <v>0</v>
      </c>
      <c r="AE36" s="398">
        <v>0</v>
      </c>
      <c r="AH36" s="398">
        <v>0</v>
      </c>
      <c r="AK36" s="398">
        <f t="shared" si="9"/>
        <v>0</v>
      </c>
      <c r="AN36" s="398">
        <f t="shared" si="10"/>
        <v>0</v>
      </c>
      <c r="AQ36" s="398">
        <f t="shared" si="11"/>
        <v>0</v>
      </c>
      <c r="AT36" s="398">
        <f t="shared" si="12"/>
        <v>0</v>
      </c>
      <c r="AW36" s="398">
        <f t="shared" si="13"/>
        <v>0</v>
      </c>
      <c r="AZ36" s="398">
        <f t="shared" si="14"/>
        <v>0</v>
      </c>
      <c r="BC36" s="398">
        <f t="shared" si="15"/>
        <v>0</v>
      </c>
      <c r="BF36" s="398">
        <f t="shared" si="16"/>
        <v>0</v>
      </c>
      <c r="BI36" s="398">
        <f t="shared" si="17"/>
        <v>0</v>
      </c>
      <c r="BL36" s="398">
        <f t="shared" si="18"/>
        <v>0</v>
      </c>
      <c r="BO36" s="398">
        <f t="shared" si="19"/>
        <v>0</v>
      </c>
      <c r="BR36" s="398">
        <f t="shared" si="20"/>
        <v>0</v>
      </c>
      <c r="BU36" s="398">
        <f t="shared" si="21"/>
        <v>0</v>
      </c>
      <c r="BX36" s="398">
        <f t="shared" si="22"/>
        <v>0</v>
      </c>
      <c r="CA36" s="398">
        <f t="shared" si="23"/>
        <v>0</v>
      </c>
      <c r="CD36" s="398">
        <f t="shared" si="24"/>
        <v>0</v>
      </c>
      <c r="CG36" s="398">
        <f t="shared" si="25"/>
        <v>0</v>
      </c>
      <c r="CJ36" s="398">
        <f t="shared" si="26"/>
        <v>0</v>
      </c>
      <c r="CM36" s="398">
        <f t="shared" si="27"/>
        <v>0</v>
      </c>
      <c r="CP36" s="398">
        <f t="shared" si="28"/>
        <v>0</v>
      </c>
      <c r="CS36" s="398">
        <f t="shared" si="29"/>
        <v>0</v>
      </c>
      <c r="CV36" s="398">
        <f t="shared" si="30"/>
        <v>0</v>
      </c>
      <c r="CY36" s="398">
        <f t="shared" si="31"/>
        <v>0</v>
      </c>
      <c r="DB36" s="398">
        <f t="shared" si="32"/>
        <v>0</v>
      </c>
      <c r="DE36" s="398">
        <f t="shared" si="33"/>
        <v>0</v>
      </c>
      <c r="DH36" s="398">
        <f t="shared" si="34"/>
        <v>0</v>
      </c>
      <c r="DK36" s="398">
        <f t="shared" si="35"/>
        <v>0</v>
      </c>
      <c r="DN36" s="398">
        <f t="shared" si="36"/>
        <v>0</v>
      </c>
      <c r="DQ36" s="398">
        <f t="shared" si="37"/>
        <v>0</v>
      </c>
      <c r="DT36" s="398">
        <f t="shared" si="38"/>
        <v>0</v>
      </c>
      <c r="DW36" s="398">
        <f t="shared" si="39"/>
        <v>0</v>
      </c>
      <c r="DZ36" s="398"/>
      <c r="EA36" s="398"/>
      <c r="EB36" s="212">
        <f t="shared" si="40"/>
        <v>0</v>
      </c>
      <c r="EC36" s="212">
        <f t="shared" si="41"/>
        <v>0</v>
      </c>
      <c r="ED36" s="398">
        <f t="shared" si="42"/>
        <v>0</v>
      </c>
      <c r="EE36" s="399">
        <f t="shared" si="43"/>
        <v>0</v>
      </c>
      <c r="EG36" s="212">
        <f t="shared" si="44"/>
        <v>0</v>
      </c>
      <c r="EH36" s="398">
        <f t="shared" si="45"/>
        <v>0</v>
      </c>
      <c r="EI36" s="399">
        <f t="shared" si="46"/>
        <v>0</v>
      </c>
      <c r="EJ36" s="399"/>
      <c r="EK36" s="212">
        <f t="shared" si="47"/>
        <v>0</v>
      </c>
      <c r="EL36" s="212">
        <f t="shared" si="48"/>
        <v>0</v>
      </c>
      <c r="EM36" s="212">
        <f t="shared" si="49"/>
        <v>0</v>
      </c>
      <c r="EN36" s="399">
        <f t="shared" si="50"/>
        <v>0</v>
      </c>
    </row>
    <row r="37" spans="1:144">
      <c r="A37" s="416">
        <f t="shared" si="51"/>
        <v>43460</v>
      </c>
      <c r="D37" s="398">
        <f t="shared" si="0"/>
        <v>0</v>
      </c>
      <c r="G37" s="398">
        <f t="shared" si="1"/>
        <v>0</v>
      </c>
      <c r="J37" s="398">
        <f t="shared" si="2"/>
        <v>0</v>
      </c>
      <c r="M37" s="398">
        <f t="shared" si="3"/>
        <v>0</v>
      </c>
      <c r="P37" s="398">
        <f t="shared" si="4"/>
        <v>0</v>
      </c>
      <c r="S37" s="398">
        <f t="shared" si="5"/>
        <v>0</v>
      </c>
      <c r="V37" s="398">
        <f t="shared" si="6"/>
        <v>0</v>
      </c>
      <c r="Y37" s="398">
        <f t="shared" si="7"/>
        <v>0</v>
      </c>
      <c r="AB37" s="398">
        <f t="shared" si="8"/>
        <v>0</v>
      </c>
      <c r="AE37" s="398">
        <v>0</v>
      </c>
      <c r="AH37" s="398">
        <v>0</v>
      </c>
      <c r="AK37" s="398">
        <f t="shared" si="9"/>
        <v>0</v>
      </c>
      <c r="AN37" s="398">
        <f t="shared" si="10"/>
        <v>0</v>
      </c>
      <c r="AQ37" s="398">
        <f t="shared" si="11"/>
        <v>0</v>
      </c>
      <c r="AT37" s="398">
        <f t="shared" si="12"/>
        <v>0</v>
      </c>
      <c r="AW37" s="398">
        <f t="shared" si="13"/>
        <v>0</v>
      </c>
      <c r="AZ37" s="398">
        <f t="shared" si="14"/>
        <v>0</v>
      </c>
      <c r="BC37" s="398">
        <f t="shared" si="15"/>
        <v>0</v>
      </c>
      <c r="BF37" s="398">
        <f t="shared" si="16"/>
        <v>0</v>
      </c>
      <c r="BI37" s="398">
        <f t="shared" si="17"/>
        <v>0</v>
      </c>
      <c r="BL37" s="398">
        <f t="shared" si="18"/>
        <v>0</v>
      </c>
      <c r="BO37" s="398">
        <f t="shared" si="19"/>
        <v>0</v>
      </c>
      <c r="BR37" s="398">
        <f t="shared" si="20"/>
        <v>0</v>
      </c>
      <c r="BU37" s="398">
        <f t="shared" si="21"/>
        <v>0</v>
      </c>
      <c r="BX37" s="398">
        <f t="shared" si="22"/>
        <v>0</v>
      </c>
      <c r="CA37" s="398">
        <f t="shared" si="23"/>
        <v>0</v>
      </c>
      <c r="CD37" s="398">
        <f t="shared" si="24"/>
        <v>0</v>
      </c>
      <c r="CG37" s="398">
        <f t="shared" si="25"/>
        <v>0</v>
      </c>
      <c r="CJ37" s="398">
        <f t="shared" si="26"/>
        <v>0</v>
      </c>
      <c r="CM37" s="398">
        <f t="shared" si="27"/>
        <v>0</v>
      </c>
      <c r="CP37" s="398">
        <f t="shared" si="28"/>
        <v>0</v>
      </c>
      <c r="CS37" s="398">
        <f t="shared" si="29"/>
        <v>0</v>
      </c>
      <c r="CV37" s="398">
        <f t="shared" si="30"/>
        <v>0</v>
      </c>
      <c r="CY37" s="398">
        <f t="shared" si="31"/>
        <v>0</v>
      </c>
      <c r="DB37" s="398">
        <f t="shared" si="32"/>
        <v>0</v>
      </c>
      <c r="DE37" s="398">
        <f t="shared" si="33"/>
        <v>0</v>
      </c>
      <c r="DH37" s="398">
        <f t="shared" si="34"/>
        <v>0</v>
      </c>
      <c r="DK37" s="398">
        <f t="shared" si="35"/>
        <v>0</v>
      </c>
      <c r="DN37" s="398">
        <f t="shared" si="36"/>
        <v>0</v>
      </c>
      <c r="DQ37" s="398">
        <f t="shared" si="37"/>
        <v>0</v>
      </c>
      <c r="DT37" s="398">
        <f t="shared" si="38"/>
        <v>0</v>
      </c>
      <c r="DW37" s="398">
        <f t="shared" si="39"/>
        <v>0</v>
      </c>
      <c r="DZ37" s="398"/>
      <c r="EA37" s="398"/>
      <c r="EB37" s="212">
        <f t="shared" si="40"/>
        <v>0</v>
      </c>
      <c r="EC37" s="212">
        <f t="shared" si="41"/>
        <v>0</v>
      </c>
      <c r="ED37" s="398">
        <f t="shared" si="42"/>
        <v>0</v>
      </c>
      <c r="EE37" s="399">
        <f t="shared" si="43"/>
        <v>0</v>
      </c>
      <c r="EG37" s="212">
        <f t="shared" si="44"/>
        <v>0</v>
      </c>
      <c r="EH37" s="398">
        <f t="shared" si="45"/>
        <v>0</v>
      </c>
      <c r="EI37" s="399">
        <f t="shared" si="46"/>
        <v>0</v>
      </c>
      <c r="EJ37" s="399"/>
      <c r="EK37" s="212">
        <f t="shared" si="47"/>
        <v>0</v>
      </c>
      <c r="EL37" s="212">
        <f t="shared" si="48"/>
        <v>0</v>
      </c>
      <c r="EM37" s="212">
        <f t="shared" si="49"/>
        <v>0</v>
      </c>
      <c r="EN37" s="399">
        <f t="shared" si="50"/>
        <v>0</v>
      </c>
    </row>
    <row r="38" spans="1:144">
      <c r="A38" s="416">
        <f t="shared" si="51"/>
        <v>43461</v>
      </c>
      <c r="D38" s="398">
        <f t="shared" si="0"/>
        <v>0</v>
      </c>
      <c r="G38" s="398">
        <f t="shared" si="1"/>
        <v>0</v>
      </c>
      <c r="J38" s="398">
        <f t="shared" si="2"/>
        <v>0</v>
      </c>
      <c r="M38" s="398">
        <f t="shared" si="3"/>
        <v>0</v>
      </c>
      <c r="P38" s="398">
        <f t="shared" si="4"/>
        <v>0</v>
      </c>
      <c r="S38" s="398">
        <f t="shared" si="5"/>
        <v>0</v>
      </c>
      <c r="V38" s="398">
        <f t="shared" si="6"/>
        <v>0</v>
      </c>
      <c r="Y38" s="398">
        <f t="shared" si="7"/>
        <v>0</v>
      </c>
      <c r="AB38" s="398">
        <f t="shared" si="8"/>
        <v>0</v>
      </c>
      <c r="AE38" s="398">
        <v>0</v>
      </c>
      <c r="AH38" s="398">
        <v>0</v>
      </c>
      <c r="AK38" s="398">
        <f t="shared" si="9"/>
        <v>0</v>
      </c>
      <c r="AN38" s="398">
        <f t="shared" si="10"/>
        <v>0</v>
      </c>
      <c r="AQ38" s="398">
        <f t="shared" si="11"/>
        <v>0</v>
      </c>
      <c r="AT38" s="398">
        <f t="shared" si="12"/>
        <v>0</v>
      </c>
      <c r="AW38" s="398">
        <f t="shared" si="13"/>
        <v>0</v>
      </c>
      <c r="AZ38" s="398">
        <f t="shared" si="14"/>
        <v>0</v>
      </c>
      <c r="BC38" s="398">
        <f t="shared" si="15"/>
        <v>0</v>
      </c>
      <c r="BF38" s="398">
        <f t="shared" si="16"/>
        <v>0</v>
      </c>
      <c r="BI38" s="398">
        <f t="shared" si="17"/>
        <v>0</v>
      </c>
      <c r="BL38" s="398">
        <f t="shared" si="18"/>
        <v>0</v>
      </c>
      <c r="BO38" s="398">
        <f t="shared" si="19"/>
        <v>0</v>
      </c>
      <c r="BR38" s="398">
        <f t="shared" si="20"/>
        <v>0</v>
      </c>
      <c r="BU38" s="398">
        <f t="shared" si="21"/>
        <v>0</v>
      </c>
      <c r="BX38" s="398">
        <f t="shared" si="22"/>
        <v>0</v>
      </c>
      <c r="CA38" s="398">
        <f t="shared" si="23"/>
        <v>0</v>
      </c>
      <c r="CD38" s="398">
        <f t="shared" si="24"/>
        <v>0</v>
      </c>
      <c r="CG38" s="398">
        <f t="shared" si="25"/>
        <v>0</v>
      </c>
      <c r="CJ38" s="398">
        <f t="shared" si="26"/>
        <v>0</v>
      </c>
      <c r="CM38" s="398">
        <f t="shared" si="27"/>
        <v>0</v>
      </c>
      <c r="CP38" s="398">
        <f t="shared" si="28"/>
        <v>0</v>
      </c>
      <c r="CS38" s="398">
        <f t="shared" si="29"/>
        <v>0</v>
      </c>
      <c r="CV38" s="398">
        <f t="shared" si="30"/>
        <v>0</v>
      </c>
      <c r="CY38" s="398">
        <f t="shared" si="31"/>
        <v>0</v>
      </c>
      <c r="DB38" s="398">
        <f t="shared" si="32"/>
        <v>0</v>
      </c>
      <c r="DE38" s="398">
        <f t="shared" si="33"/>
        <v>0</v>
      </c>
      <c r="DH38" s="398">
        <f t="shared" si="34"/>
        <v>0</v>
      </c>
      <c r="DK38" s="398">
        <f t="shared" si="35"/>
        <v>0</v>
      </c>
      <c r="DN38" s="398">
        <f t="shared" si="36"/>
        <v>0</v>
      </c>
      <c r="DQ38" s="398">
        <f t="shared" si="37"/>
        <v>0</v>
      </c>
      <c r="DT38" s="398">
        <f t="shared" si="38"/>
        <v>0</v>
      </c>
      <c r="DW38" s="398">
        <f t="shared" si="39"/>
        <v>0</v>
      </c>
      <c r="DZ38" s="398"/>
      <c r="EA38" s="398"/>
      <c r="EB38" s="212">
        <f t="shared" si="40"/>
        <v>0</v>
      </c>
      <c r="EC38" s="212">
        <f t="shared" si="41"/>
        <v>0</v>
      </c>
      <c r="ED38" s="398">
        <f t="shared" si="42"/>
        <v>0</v>
      </c>
      <c r="EE38" s="399">
        <f t="shared" si="43"/>
        <v>0</v>
      </c>
      <c r="EG38" s="212">
        <f t="shared" si="44"/>
        <v>0</v>
      </c>
      <c r="EH38" s="398">
        <f t="shared" si="45"/>
        <v>0</v>
      </c>
      <c r="EI38" s="399">
        <f t="shared" si="46"/>
        <v>0</v>
      </c>
      <c r="EJ38" s="399"/>
      <c r="EK38" s="212">
        <f t="shared" si="47"/>
        <v>0</v>
      </c>
      <c r="EL38" s="212">
        <f t="shared" si="48"/>
        <v>0</v>
      </c>
      <c r="EM38" s="212">
        <f t="shared" si="49"/>
        <v>0</v>
      </c>
      <c r="EN38" s="399">
        <f t="shared" si="50"/>
        <v>0</v>
      </c>
    </row>
    <row r="39" spans="1:144">
      <c r="A39" s="416">
        <f t="shared" si="51"/>
        <v>43462</v>
      </c>
      <c r="D39" s="398">
        <f t="shared" si="0"/>
        <v>0</v>
      </c>
      <c r="G39" s="398">
        <f t="shared" si="1"/>
        <v>0</v>
      </c>
      <c r="J39" s="398">
        <f t="shared" si="2"/>
        <v>0</v>
      </c>
      <c r="M39" s="398">
        <f t="shared" si="3"/>
        <v>0</v>
      </c>
      <c r="P39" s="398">
        <f t="shared" si="4"/>
        <v>0</v>
      </c>
      <c r="S39" s="398">
        <f t="shared" si="5"/>
        <v>0</v>
      </c>
      <c r="V39" s="398">
        <f t="shared" si="6"/>
        <v>0</v>
      </c>
      <c r="Y39" s="398">
        <f t="shared" si="7"/>
        <v>0</v>
      </c>
      <c r="AB39" s="398">
        <f t="shared" si="8"/>
        <v>0</v>
      </c>
      <c r="AE39" s="398">
        <v>0</v>
      </c>
      <c r="AH39" s="398">
        <v>0</v>
      </c>
      <c r="AK39" s="398">
        <f t="shared" si="9"/>
        <v>0</v>
      </c>
      <c r="AN39" s="398">
        <f t="shared" si="10"/>
        <v>0</v>
      </c>
      <c r="AQ39" s="398">
        <f t="shared" si="11"/>
        <v>0</v>
      </c>
      <c r="AT39" s="398">
        <f t="shared" si="12"/>
        <v>0</v>
      </c>
      <c r="AW39" s="398">
        <f t="shared" si="13"/>
        <v>0</v>
      </c>
      <c r="AZ39" s="398">
        <f t="shared" si="14"/>
        <v>0</v>
      </c>
      <c r="BC39" s="398">
        <f t="shared" si="15"/>
        <v>0</v>
      </c>
      <c r="BF39" s="398">
        <f t="shared" si="16"/>
        <v>0</v>
      </c>
      <c r="BI39" s="398">
        <f t="shared" si="17"/>
        <v>0</v>
      </c>
      <c r="BL39" s="398">
        <f t="shared" si="18"/>
        <v>0</v>
      </c>
      <c r="BO39" s="398">
        <f t="shared" si="19"/>
        <v>0</v>
      </c>
      <c r="BR39" s="398">
        <f t="shared" si="20"/>
        <v>0</v>
      </c>
      <c r="BU39" s="398">
        <f t="shared" si="21"/>
        <v>0</v>
      </c>
      <c r="BX39" s="398">
        <f t="shared" si="22"/>
        <v>0</v>
      </c>
      <c r="CA39" s="398">
        <f t="shared" si="23"/>
        <v>0</v>
      </c>
      <c r="CD39" s="398">
        <f t="shared" si="24"/>
        <v>0</v>
      </c>
      <c r="CG39" s="398">
        <f t="shared" si="25"/>
        <v>0</v>
      </c>
      <c r="CJ39" s="398">
        <f t="shared" si="26"/>
        <v>0</v>
      </c>
      <c r="CM39" s="398">
        <f t="shared" si="27"/>
        <v>0</v>
      </c>
      <c r="CP39" s="398">
        <f t="shared" si="28"/>
        <v>0</v>
      </c>
      <c r="CS39" s="398">
        <f t="shared" si="29"/>
        <v>0</v>
      </c>
      <c r="CV39" s="398">
        <f t="shared" si="30"/>
        <v>0</v>
      </c>
      <c r="CY39" s="398">
        <f t="shared" si="31"/>
        <v>0</v>
      </c>
      <c r="DB39" s="398">
        <f t="shared" si="32"/>
        <v>0</v>
      </c>
      <c r="DE39" s="398">
        <f t="shared" si="33"/>
        <v>0</v>
      </c>
      <c r="DH39" s="398">
        <f t="shared" si="34"/>
        <v>0</v>
      </c>
      <c r="DK39" s="398">
        <f t="shared" si="35"/>
        <v>0</v>
      </c>
      <c r="DN39" s="398">
        <f t="shared" si="36"/>
        <v>0</v>
      </c>
      <c r="DQ39" s="398">
        <f t="shared" si="37"/>
        <v>0</v>
      </c>
      <c r="DT39" s="398">
        <f t="shared" si="38"/>
        <v>0</v>
      </c>
      <c r="DW39" s="398">
        <f t="shared" si="39"/>
        <v>0</v>
      </c>
      <c r="DZ39" s="398"/>
      <c r="EA39" s="398"/>
      <c r="EB39" s="212">
        <f t="shared" si="40"/>
        <v>0</v>
      </c>
      <c r="EC39" s="212">
        <f t="shared" si="41"/>
        <v>0</v>
      </c>
      <c r="ED39" s="398">
        <f t="shared" si="42"/>
        <v>0</v>
      </c>
      <c r="EE39" s="399">
        <f t="shared" si="43"/>
        <v>0</v>
      </c>
      <c r="EG39" s="212">
        <f t="shared" si="44"/>
        <v>0</v>
      </c>
      <c r="EH39" s="398">
        <f t="shared" si="45"/>
        <v>0</v>
      </c>
      <c r="EI39" s="399">
        <f t="shared" si="46"/>
        <v>0</v>
      </c>
      <c r="EJ39" s="399"/>
      <c r="EK39" s="212">
        <f t="shared" si="47"/>
        <v>0</v>
      </c>
      <c r="EL39" s="212">
        <f t="shared" si="48"/>
        <v>0</v>
      </c>
      <c r="EM39" s="212">
        <f t="shared" si="49"/>
        <v>0</v>
      </c>
      <c r="EN39" s="399">
        <f t="shared" si="50"/>
        <v>0</v>
      </c>
    </row>
    <row r="40" spans="1:144">
      <c r="A40" s="416">
        <f t="shared" si="51"/>
        <v>43463</v>
      </c>
      <c r="D40" s="398">
        <f t="shared" si="0"/>
        <v>0</v>
      </c>
      <c r="G40" s="398">
        <f t="shared" si="1"/>
        <v>0</v>
      </c>
      <c r="J40" s="398">
        <f t="shared" si="2"/>
        <v>0</v>
      </c>
      <c r="M40" s="398">
        <f t="shared" si="3"/>
        <v>0</v>
      </c>
      <c r="P40" s="398">
        <f t="shared" si="4"/>
        <v>0</v>
      </c>
      <c r="S40" s="398">
        <f t="shared" si="5"/>
        <v>0</v>
      </c>
      <c r="V40" s="398">
        <f t="shared" si="6"/>
        <v>0</v>
      </c>
      <c r="Y40" s="398">
        <f t="shared" si="7"/>
        <v>0</v>
      </c>
      <c r="AB40" s="398">
        <f t="shared" si="8"/>
        <v>0</v>
      </c>
      <c r="AE40" s="398">
        <v>0</v>
      </c>
      <c r="AH40" s="398">
        <v>0</v>
      </c>
      <c r="AK40" s="398">
        <f t="shared" si="9"/>
        <v>0</v>
      </c>
      <c r="AN40" s="398">
        <f t="shared" si="10"/>
        <v>0</v>
      </c>
      <c r="AQ40" s="398">
        <f t="shared" si="11"/>
        <v>0</v>
      </c>
      <c r="AT40" s="398">
        <f t="shared" si="12"/>
        <v>0</v>
      </c>
      <c r="AW40" s="398">
        <f t="shared" si="13"/>
        <v>0</v>
      </c>
      <c r="AZ40" s="398">
        <f t="shared" si="14"/>
        <v>0</v>
      </c>
      <c r="BC40" s="398">
        <f t="shared" si="15"/>
        <v>0</v>
      </c>
      <c r="BF40" s="398">
        <f t="shared" si="16"/>
        <v>0</v>
      </c>
      <c r="BI40" s="398">
        <f t="shared" si="17"/>
        <v>0</v>
      </c>
      <c r="BL40" s="398">
        <f t="shared" si="18"/>
        <v>0</v>
      </c>
      <c r="BO40" s="398">
        <f t="shared" si="19"/>
        <v>0</v>
      </c>
      <c r="BR40" s="398">
        <f t="shared" si="20"/>
        <v>0</v>
      </c>
      <c r="BU40" s="398">
        <f t="shared" si="21"/>
        <v>0</v>
      </c>
      <c r="BX40" s="398">
        <f t="shared" si="22"/>
        <v>0</v>
      </c>
      <c r="CA40" s="398">
        <f t="shared" si="23"/>
        <v>0</v>
      </c>
      <c r="CD40" s="398">
        <f t="shared" si="24"/>
        <v>0</v>
      </c>
      <c r="CG40" s="398">
        <f t="shared" si="25"/>
        <v>0</v>
      </c>
      <c r="CJ40" s="398">
        <f t="shared" si="26"/>
        <v>0</v>
      </c>
      <c r="CM40" s="398">
        <f t="shared" si="27"/>
        <v>0</v>
      </c>
      <c r="CP40" s="398">
        <f t="shared" si="28"/>
        <v>0</v>
      </c>
      <c r="CS40" s="398">
        <f t="shared" si="29"/>
        <v>0</v>
      </c>
      <c r="CV40" s="398">
        <f t="shared" si="30"/>
        <v>0</v>
      </c>
      <c r="CY40" s="398">
        <f t="shared" si="31"/>
        <v>0</v>
      </c>
      <c r="DB40" s="398">
        <f t="shared" si="32"/>
        <v>0</v>
      </c>
      <c r="DE40" s="398">
        <f t="shared" si="33"/>
        <v>0</v>
      </c>
      <c r="DH40" s="398">
        <f t="shared" si="34"/>
        <v>0</v>
      </c>
      <c r="DK40" s="398">
        <f t="shared" si="35"/>
        <v>0</v>
      </c>
      <c r="DN40" s="398">
        <f t="shared" si="36"/>
        <v>0</v>
      </c>
      <c r="DQ40" s="398">
        <f t="shared" si="37"/>
        <v>0</v>
      </c>
      <c r="DT40" s="398">
        <f t="shared" si="38"/>
        <v>0</v>
      </c>
      <c r="DW40" s="398">
        <f t="shared" si="39"/>
        <v>0</v>
      </c>
      <c r="DZ40" s="398"/>
      <c r="EA40" s="398"/>
      <c r="EB40" s="212">
        <f t="shared" si="40"/>
        <v>0</v>
      </c>
      <c r="EC40" s="212">
        <f t="shared" si="41"/>
        <v>0</v>
      </c>
      <c r="ED40" s="398">
        <f t="shared" si="42"/>
        <v>0</v>
      </c>
      <c r="EE40" s="399">
        <f t="shared" si="43"/>
        <v>0</v>
      </c>
      <c r="EG40" s="212">
        <f t="shared" si="44"/>
        <v>0</v>
      </c>
      <c r="EH40" s="398">
        <f t="shared" si="45"/>
        <v>0</v>
      </c>
      <c r="EI40" s="399">
        <f t="shared" si="46"/>
        <v>0</v>
      </c>
      <c r="EJ40" s="399"/>
      <c r="EK40" s="212">
        <f t="shared" si="47"/>
        <v>0</v>
      </c>
      <c r="EL40" s="212">
        <f t="shared" si="48"/>
        <v>0</v>
      </c>
      <c r="EM40" s="212">
        <f t="shared" si="49"/>
        <v>0</v>
      </c>
      <c r="EN40" s="399">
        <f t="shared" si="50"/>
        <v>0</v>
      </c>
    </row>
    <row r="41" spans="1:144">
      <c r="A41" s="416">
        <f t="shared" si="51"/>
        <v>43464</v>
      </c>
      <c r="D41" s="398">
        <f t="shared" si="0"/>
        <v>0</v>
      </c>
      <c r="G41" s="398">
        <f t="shared" si="1"/>
        <v>0</v>
      </c>
      <c r="J41" s="398">
        <f t="shared" si="2"/>
        <v>0</v>
      </c>
      <c r="M41" s="398">
        <f t="shared" si="3"/>
        <v>0</v>
      </c>
      <c r="P41" s="398">
        <f t="shared" si="4"/>
        <v>0</v>
      </c>
      <c r="S41" s="398">
        <f t="shared" si="5"/>
        <v>0</v>
      </c>
      <c r="V41" s="398">
        <f t="shared" si="6"/>
        <v>0</v>
      </c>
      <c r="Y41" s="398">
        <f t="shared" si="7"/>
        <v>0</v>
      </c>
      <c r="AB41" s="398">
        <f t="shared" si="8"/>
        <v>0</v>
      </c>
      <c r="AE41" s="398">
        <v>0</v>
      </c>
      <c r="AH41" s="398">
        <v>0</v>
      </c>
      <c r="AK41" s="398">
        <f t="shared" si="9"/>
        <v>0</v>
      </c>
      <c r="AN41" s="398">
        <f t="shared" si="10"/>
        <v>0</v>
      </c>
      <c r="AQ41" s="398">
        <f t="shared" si="11"/>
        <v>0</v>
      </c>
      <c r="AT41" s="398">
        <f t="shared" si="12"/>
        <v>0</v>
      </c>
      <c r="AW41" s="398">
        <f t="shared" si="13"/>
        <v>0</v>
      </c>
      <c r="AZ41" s="398">
        <f t="shared" si="14"/>
        <v>0</v>
      </c>
      <c r="BC41" s="398">
        <f t="shared" si="15"/>
        <v>0</v>
      </c>
      <c r="BF41" s="398">
        <f t="shared" si="16"/>
        <v>0</v>
      </c>
      <c r="BI41" s="398">
        <f t="shared" si="17"/>
        <v>0</v>
      </c>
      <c r="BL41" s="398">
        <f t="shared" si="18"/>
        <v>0</v>
      </c>
      <c r="BO41" s="398">
        <f t="shared" si="19"/>
        <v>0</v>
      </c>
      <c r="BR41" s="398">
        <f t="shared" si="20"/>
        <v>0</v>
      </c>
      <c r="BU41" s="398">
        <f t="shared" si="21"/>
        <v>0</v>
      </c>
      <c r="BX41" s="398">
        <f t="shared" si="22"/>
        <v>0</v>
      </c>
      <c r="CA41" s="398">
        <f t="shared" si="23"/>
        <v>0</v>
      </c>
      <c r="CD41" s="398">
        <f t="shared" si="24"/>
        <v>0</v>
      </c>
      <c r="CG41" s="398">
        <f t="shared" si="25"/>
        <v>0</v>
      </c>
      <c r="CJ41" s="398">
        <f t="shared" si="26"/>
        <v>0</v>
      </c>
      <c r="CM41" s="398">
        <f t="shared" si="27"/>
        <v>0</v>
      </c>
      <c r="CP41" s="398">
        <f t="shared" si="28"/>
        <v>0</v>
      </c>
      <c r="CS41" s="398">
        <f t="shared" si="29"/>
        <v>0</v>
      </c>
      <c r="CV41" s="398">
        <f t="shared" si="30"/>
        <v>0</v>
      </c>
      <c r="CY41" s="398">
        <f t="shared" si="31"/>
        <v>0</v>
      </c>
      <c r="DB41" s="398">
        <f t="shared" si="32"/>
        <v>0</v>
      </c>
      <c r="DE41" s="398">
        <f t="shared" si="33"/>
        <v>0</v>
      </c>
      <c r="DH41" s="398">
        <f t="shared" si="34"/>
        <v>0</v>
      </c>
      <c r="DK41" s="398">
        <f t="shared" si="35"/>
        <v>0</v>
      </c>
      <c r="DN41" s="398">
        <f t="shared" si="36"/>
        <v>0</v>
      </c>
      <c r="DQ41" s="398">
        <f t="shared" si="37"/>
        <v>0</v>
      </c>
      <c r="DT41" s="398">
        <f t="shared" si="38"/>
        <v>0</v>
      </c>
      <c r="DW41" s="398">
        <f t="shared" si="39"/>
        <v>0</v>
      </c>
      <c r="DZ41" s="396"/>
      <c r="EA41" s="398"/>
      <c r="EB41" s="212">
        <f t="shared" si="40"/>
        <v>0</v>
      </c>
      <c r="EC41" s="212">
        <f t="shared" si="41"/>
        <v>0</v>
      </c>
      <c r="ED41" s="398">
        <f t="shared" si="42"/>
        <v>0</v>
      </c>
      <c r="EE41" s="399">
        <f t="shared" si="43"/>
        <v>0</v>
      </c>
      <c r="EG41" s="212">
        <f t="shared" si="44"/>
        <v>0</v>
      </c>
      <c r="EH41" s="398">
        <f t="shared" si="45"/>
        <v>0</v>
      </c>
      <c r="EI41" s="399">
        <f t="shared" si="46"/>
        <v>0</v>
      </c>
      <c r="EJ41" s="399"/>
      <c r="EK41" s="212">
        <f t="shared" si="47"/>
        <v>0</v>
      </c>
      <c r="EL41" s="212">
        <f t="shared" si="48"/>
        <v>0</v>
      </c>
      <c r="EM41" s="212">
        <f t="shared" si="49"/>
        <v>0</v>
      </c>
      <c r="EN41" s="399">
        <f t="shared" si="50"/>
        <v>0</v>
      </c>
    </row>
    <row r="42" spans="1:144">
      <c r="A42" s="416">
        <f t="shared" si="51"/>
        <v>43465</v>
      </c>
      <c r="D42" s="398">
        <f t="shared" si="0"/>
        <v>0</v>
      </c>
      <c r="G42" s="398">
        <f t="shared" si="1"/>
        <v>0</v>
      </c>
      <c r="J42" s="398">
        <f t="shared" si="2"/>
        <v>0</v>
      </c>
      <c r="M42" s="398">
        <f t="shared" si="3"/>
        <v>0</v>
      </c>
      <c r="P42" s="398">
        <f t="shared" si="4"/>
        <v>0</v>
      </c>
      <c r="S42" s="398">
        <f t="shared" si="5"/>
        <v>0</v>
      </c>
      <c r="V42" s="398">
        <f t="shared" si="6"/>
        <v>0</v>
      </c>
      <c r="Y42" s="398">
        <f t="shared" si="7"/>
        <v>0</v>
      </c>
      <c r="AB42" s="398">
        <f t="shared" si="8"/>
        <v>0</v>
      </c>
      <c r="AE42" s="398">
        <v>0</v>
      </c>
      <c r="AH42" s="398">
        <v>0</v>
      </c>
      <c r="AI42" s="417">
        <f>49600000</f>
        <v>49600000</v>
      </c>
      <c r="AJ42" s="418">
        <v>2.75E-2</v>
      </c>
      <c r="AK42" s="398">
        <f t="shared" si="9"/>
        <v>3788.8888888888887</v>
      </c>
      <c r="AL42" s="417">
        <f>5000000</f>
        <v>5000000</v>
      </c>
      <c r="AM42" s="418">
        <v>2.8000000000000001E-2</v>
      </c>
      <c r="AN42" s="398">
        <f t="shared" si="10"/>
        <v>388.88888888888891</v>
      </c>
      <c r="AQ42" s="398">
        <f t="shared" si="11"/>
        <v>0</v>
      </c>
      <c r="AT42" s="398">
        <f t="shared" si="12"/>
        <v>0</v>
      </c>
      <c r="AW42" s="398">
        <f t="shared" si="13"/>
        <v>0</v>
      </c>
      <c r="AZ42" s="398">
        <f t="shared" si="14"/>
        <v>0</v>
      </c>
      <c r="BC42" s="398">
        <f t="shared" si="15"/>
        <v>0</v>
      </c>
      <c r="BF42" s="398">
        <f t="shared" si="16"/>
        <v>0</v>
      </c>
      <c r="BI42" s="398">
        <f t="shared" si="17"/>
        <v>0</v>
      </c>
      <c r="BL42" s="398">
        <f t="shared" si="18"/>
        <v>0</v>
      </c>
      <c r="BO42" s="398">
        <f t="shared" si="19"/>
        <v>0</v>
      </c>
      <c r="BR42" s="398">
        <f t="shared" si="20"/>
        <v>0</v>
      </c>
      <c r="BU42" s="398">
        <f t="shared" si="21"/>
        <v>0</v>
      </c>
      <c r="BX42" s="398">
        <f t="shared" si="22"/>
        <v>0</v>
      </c>
      <c r="CA42" s="398">
        <f t="shared" si="23"/>
        <v>0</v>
      </c>
      <c r="CD42" s="398">
        <f t="shared" si="24"/>
        <v>0</v>
      </c>
      <c r="CG42" s="398">
        <f t="shared" si="25"/>
        <v>0</v>
      </c>
      <c r="CJ42" s="398">
        <f t="shared" si="26"/>
        <v>0</v>
      </c>
      <c r="CM42" s="398">
        <f t="shared" si="27"/>
        <v>0</v>
      </c>
      <c r="CP42" s="398">
        <f t="shared" si="28"/>
        <v>0</v>
      </c>
      <c r="CS42" s="398">
        <f t="shared" si="29"/>
        <v>0</v>
      </c>
      <c r="CV42" s="398">
        <f t="shared" si="30"/>
        <v>0</v>
      </c>
      <c r="CY42" s="398">
        <f t="shared" si="31"/>
        <v>0</v>
      </c>
      <c r="DB42" s="398">
        <f t="shared" si="32"/>
        <v>0</v>
      </c>
      <c r="DE42" s="398">
        <f t="shared" si="33"/>
        <v>0</v>
      </c>
      <c r="DH42" s="398">
        <f t="shared" si="34"/>
        <v>0</v>
      </c>
      <c r="DK42" s="398">
        <f t="shared" si="35"/>
        <v>0</v>
      </c>
      <c r="DN42" s="398">
        <f t="shared" si="36"/>
        <v>0</v>
      </c>
      <c r="DQ42" s="398">
        <f t="shared" si="37"/>
        <v>0</v>
      </c>
      <c r="DT42" s="398">
        <f t="shared" si="38"/>
        <v>0</v>
      </c>
      <c r="DW42" s="398">
        <f t="shared" si="39"/>
        <v>0</v>
      </c>
      <c r="DZ42" s="396"/>
      <c r="EA42" s="398"/>
      <c r="EB42" s="212">
        <f t="shared" si="40"/>
        <v>54600000</v>
      </c>
      <c r="EC42" s="212">
        <f t="shared" si="41"/>
        <v>0</v>
      </c>
      <c r="ED42" s="398">
        <f t="shared" si="42"/>
        <v>4177.7777777777774</v>
      </c>
      <c r="EE42" s="399">
        <f t="shared" si="43"/>
        <v>2.7545787545787546E-2</v>
      </c>
      <c r="EG42" s="212">
        <f t="shared" si="44"/>
        <v>0</v>
      </c>
      <c r="EH42" s="398">
        <f t="shared" si="45"/>
        <v>0</v>
      </c>
      <c r="EI42" s="399">
        <f t="shared" si="46"/>
        <v>0</v>
      </c>
      <c r="EJ42" s="399"/>
      <c r="EK42" s="212">
        <f t="shared" si="47"/>
        <v>54600000</v>
      </c>
      <c r="EL42" s="212">
        <f t="shared" si="48"/>
        <v>0</v>
      </c>
      <c r="EM42" s="212">
        <f t="shared" si="49"/>
        <v>4177.7777777777774</v>
      </c>
      <c r="EN42" s="399">
        <f t="shared" si="50"/>
        <v>2.7545787545787546E-2</v>
      </c>
    </row>
    <row r="43" spans="1:144">
      <c r="A43" s="213" t="s">
        <v>13</v>
      </c>
      <c r="D43" s="420">
        <f>SUM(D12:D42)</f>
        <v>0</v>
      </c>
      <c r="G43" s="420">
        <f>SUM(G12:G42)</f>
        <v>0</v>
      </c>
      <c r="J43" s="420">
        <f>SUM(J12:J42)</f>
        <v>0</v>
      </c>
      <c r="M43" s="420">
        <f>SUM(M12:M42)</f>
        <v>0</v>
      </c>
      <c r="P43" s="420">
        <f>SUM(P12:P42)</f>
        <v>0</v>
      </c>
      <c r="S43" s="420">
        <f>SUM(S12:S42)</f>
        <v>0</v>
      </c>
      <c r="V43" s="420">
        <f>SUM(V12:V42)</f>
        <v>0</v>
      </c>
      <c r="Y43" s="420">
        <f>SUM(Y12:Y42)</f>
        <v>0</v>
      </c>
      <c r="AB43" s="420">
        <f>SUM(AB12:AB42)</f>
        <v>0</v>
      </c>
      <c r="AE43" s="420">
        <f>SUM(AE12:AE42)</f>
        <v>0</v>
      </c>
      <c r="AH43" s="420">
        <f>SUM(AH12:AH42)</f>
        <v>0</v>
      </c>
      <c r="AK43" s="420">
        <f>SUM(AK12:AK42)</f>
        <v>3788.8888888888887</v>
      </c>
      <c r="AN43" s="420">
        <f>SUM(AN12:AN42)</f>
        <v>388.88888888888891</v>
      </c>
      <c r="AQ43" s="420">
        <f>SUM(AQ12:AQ42)</f>
        <v>0</v>
      </c>
      <c r="AT43" s="420">
        <f>SUM(AT12:AT42)</f>
        <v>0</v>
      </c>
      <c r="AW43" s="420">
        <f>SUM(AW12:AW42)</f>
        <v>0</v>
      </c>
      <c r="AZ43" s="420">
        <f>SUM(AZ12:AZ42)</f>
        <v>0</v>
      </c>
      <c r="BC43" s="420">
        <f>SUM(BC12:BC42)</f>
        <v>0</v>
      </c>
      <c r="BF43" s="420">
        <f>SUM(BF12:BF42)</f>
        <v>0</v>
      </c>
      <c r="BI43" s="420">
        <f>SUM(BI12:BI42)</f>
        <v>0</v>
      </c>
      <c r="BL43" s="420">
        <f>SUM(BL12:BL42)</f>
        <v>0</v>
      </c>
      <c r="BO43" s="420">
        <f>SUM(BO12:BO42)</f>
        <v>0</v>
      </c>
      <c r="BR43" s="420">
        <f>SUM(BR12:BR42)</f>
        <v>0</v>
      </c>
      <c r="BU43" s="420">
        <f>SUM(BU12:BU42)</f>
        <v>0</v>
      </c>
      <c r="BX43" s="420">
        <f>SUM(BX12:BX42)</f>
        <v>0</v>
      </c>
      <c r="CA43" s="420">
        <f>SUM(CA12:CA42)</f>
        <v>0</v>
      </c>
      <c r="CD43" s="420">
        <f>SUM(CD12:CD42)</f>
        <v>0</v>
      </c>
      <c r="CG43" s="420">
        <f>SUM(CG12:CG42)</f>
        <v>0</v>
      </c>
      <c r="CJ43" s="420">
        <f>SUM(CJ12:CJ42)</f>
        <v>0</v>
      </c>
      <c r="CM43" s="420">
        <f>SUM(CM12:CM42)</f>
        <v>0</v>
      </c>
      <c r="CP43" s="420">
        <f>SUM(CP12:CP42)</f>
        <v>0</v>
      </c>
      <c r="CS43" s="420">
        <f>SUM(CS12:CS42)</f>
        <v>0</v>
      </c>
      <c r="CV43" s="420">
        <f>SUM(CV12:CV42)</f>
        <v>0</v>
      </c>
      <c r="CY43" s="420">
        <f>SUM(CY12:CY42)</f>
        <v>0</v>
      </c>
      <c r="DB43" s="420">
        <f>SUM(DB12:DB42)</f>
        <v>0</v>
      </c>
      <c r="DE43" s="420">
        <f>SUM(DE12:DE42)</f>
        <v>0</v>
      </c>
      <c r="DH43" s="420">
        <f>SUM(DH12:DH42)</f>
        <v>0</v>
      </c>
      <c r="DK43" s="420">
        <f>SUM(DK12:DK42)</f>
        <v>0</v>
      </c>
      <c r="DN43" s="420">
        <f>SUM(DN12:DN42)</f>
        <v>0</v>
      </c>
      <c r="DQ43" s="420">
        <f>SUM(DQ12:DQ42)</f>
        <v>0</v>
      </c>
      <c r="DT43" s="420">
        <f>SUM(DT12:DT42)</f>
        <v>0</v>
      </c>
      <c r="DW43" s="420">
        <f>SUM(DW12:DW42)</f>
        <v>0</v>
      </c>
      <c r="DZ43" s="396"/>
      <c r="EA43" s="396"/>
      <c r="EB43" s="398"/>
      <c r="EC43" s="398"/>
      <c r="ED43" s="420">
        <f>SUM(ED12:ED42)</f>
        <v>4177.7777777777774</v>
      </c>
      <c r="EE43" s="399"/>
      <c r="EG43" s="398"/>
      <c r="EH43" s="420">
        <f>SUM(EH12:EH42)</f>
        <v>0</v>
      </c>
      <c r="EI43" s="399"/>
      <c r="EJ43" s="399"/>
      <c r="EK43" s="398"/>
      <c r="EL43" s="398"/>
      <c r="EM43" s="420">
        <f>SUM(EM12:EM42)</f>
        <v>4177.7777777777774</v>
      </c>
      <c r="EN43" s="399"/>
    </row>
    <row r="45" spans="1:144">
      <c r="EM45" s="419"/>
    </row>
    <row r="46" spans="1:144">
      <c r="EM46" s="398"/>
    </row>
  </sheetData>
  <pageMargins left="0.7" right="0.7" top="0.75" bottom="0.75" header="0.3" footer="0.3"/>
  <pageSetup scale="53" fitToHeight="2" orientation="landscape" r:id="rId1"/>
  <headerFooter>
    <oddFooter>&amp;CSchedule MA-TU&amp;RDecember 2018 &amp;P of &amp;N
Confidential
4 CSR 240-2.090(9(A).2(D).II)</oddFooter>
  </headerFooter>
  <colBreaks count="1" manualBreakCount="1">
    <brk id="140" max="4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52"/>
  <sheetViews>
    <sheetView zoomScale="80" zoomScaleNormal="80" workbookViewId="0">
      <selection activeCell="E31" sqref="E31"/>
    </sheetView>
  </sheetViews>
  <sheetFormatPr defaultColWidth="9.140625" defaultRowHeight="12.75"/>
  <cols>
    <col min="1" max="1" width="14.5703125" style="400" bestFit="1" customWidth="1"/>
    <col min="2" max="2" width="15.5703125" style="398" hidden="1" customWidth="1"/>
    <col min="3" max="3" width="15.42578125" style="399" hidden="1" customWidth="1"/>
    <col min="4" max="4" width="15.42578125" style="400" hidden="1" customWidth="1"/>
    <col min="5" max="5" width="15.5703125" style="398" bestFit="1" customWidth="1"/>
    <col min="6" max="6" width="4.85546875" style="399" bestFit="1" customWidth="1"/>
    <col min="7" max="7" width="18" style="400" bestFit="1" customWidth="1"/>
    <col min="8" max="8" width="15.42578125" style="398" hidden="1" customWidth="1"/>
    <col min="9" max="9" width="10.28515625" style="399" hidden="1" customWidth="1"/>
    <col min="10" max="10" width="13.42578125" style="400" hidden="1" customWidth="1"/>
    <col min="11" max="11" width="14.42578125" style="398" hidden="1" customWidth="1"/>
    <col min="12" max="12" width="10.28515625" style="399" hidden="1" customWidth="1"/>
    <col min="13" max="13" width="11.7109375" style="400" hidden="1" customWidth="1"/>
    <col min="14" max="14" width="14.42578125" style="398" hidden="1" customWidth="1"/>
    <col min="15" max="15" width="10.28515625" style="399" hidden="1" customWidth="1"/>
    <col min="16" max="16" width="11.7109375" style="400" hidden="1" customWidth="1"/>
    <col min="17" max="17" width="15.42578125" style="398" hidden="1" customWidth="1"/>
    <col min="18" max="18" width="10.28515625" style="399" hidden="1" customWidth="1"/>
    <col min="19" max="19" width="11.7109375" style="400" hidden="1" customWidth="1"/>
    <col min="20" max="20" width="15.42578125" style="398" hidden="1" customWidth="1"/>
    <col min="21" max="21" width="10.28515625" style="399" hidden="1" customWidth="1"/>
    <col min="22" max="22" width="11.7109375" style="400" hidden="1" customWidth="1"/>
    <col min="23" max="23" width="15.42578125" style="398" hidden="1" customWidth="1"/>
    <col min="24" max="24" width="10.28515625" style="399" hidden="1" customWidth="1"/>
    <col min="25" max="25" width="11.7109375" style="400" hidden="1" customWidth="1"/>
    <col min="26" max="26" width="15.42578125" style="398" hidden="1" customWidth="1"/>
    <col min="27" max="27" width="10.28515625" style="399" hidden="1" customWidth="1"/>
    <col min="28" max="28" width="11.7109375" style="400" hidden="1" customWidth="1"/>
    <col min="29" max="29" width="15.42578125" style="398" hidden="1" customWidth="1"/>
    <col min="30" max="30" width="10.28515625" style="399" hidden="1" customWidth="1"/>
    <col min="31" max="31" width="11.7109375" style="400" hidden="1" customWidth="1"/>
    <col min="32" max="32" width="14.42578125" style="398" hidden="1" customWidth="1"/>
    <col min="33" max="33" width="10.28515625" style="399" hidden="1" customWidth="1"/>
    <col min="34" max="34" width="10.7109375" style="400" hidden="1" customWidth="1"/>
    <col min="35" max="35" width="13.42578125" style="398" bestFit="1" customWidth="1"/>
    <col min="36" max="36" width="12" style="399" bestFit="1" customWidth="1"/>
    <col min="37" max="37" width="13.7109375" style="400" bestFit="1" customWidth="1"/>
    <col min="38" max="38" width="13.42578125" style="398" bestFit="1" customWidth="1"/>
    <col min="39" max="39" width="12" style="399" bestFit="1" customWidth="1"/>
    <col min="40" max="40" width="13" style="400" bestFit="1" customWidth="1"/>
    <col min="41" max="41" width="13.42578125" style="398" bestFit="1" customWidth="1"/>
    <col min="42" max="42" width="12" style="399" bestFit="1" customWidth="1"/>
    <col min="43" max="43" width="13.28515625" style="400" bestFit="1" customWidth="1"/>
    <col min="44" max="44" width="13.42578125" style="398" bestFit="1" customWidth="1"/>
    <col min="45" max="45" width="12" style="399" bestFit="1" customWidth="1"/>
    <col min="46" max="46" width="13" style="400" bestFit="1" customWidth="1"/>
    <col min="47" max="47" width="14.42578125" style="398" hidden="1" customWidth="1"/>
    <col min="48" max="48" width="10.28515625" style="399" hidden="1" customWidth="1"/>
    <col min="49" max="49" width="10.7109375" style="400" hidden="1" customWidth="1"/>
    <col min="50" max="50" width="14.42578125" style="398" hidden="1" customWidth="1"/>
    <col min="51" max="51" width="10.28515625" style="399" hidden="1" customWidth="1"/>
    <col min="52" max="52" width="10.7109375" style="400" hidden="1" customWidth="1"/>
    <col min="53" max="53" width="14.42578125" style="398" hidden="1" customWidth="1"/>
    <col min="54" max="54" width="10.28515625" style="399" hidden="1" customWidth="1"/>
    <col min="55" max="55" width="10.7109375" style="400" hidden="1" customWidth="1"/>
    <col min="56" max="56" width="14.42578125" style="398" hidden="1" customWidth="1"/>
    <col min="57" max="57" width="10.28515625" style="399" hidden="1" customWidth="1"/>
    <col min="58" max="58" width="10.7109375" style="400" hidden="1" customWidth="1"/>
    <col min="59" max="59" width="14.42578125" style="398" hidden="1" customWidth="1"/>
    <col min="60" max="60" width="10.28515625" style="399" hidden="1" customWidth="1"/>
    <col min="61" max="61" width="10.7109375" style="400" hidden="1" customWidth="1"/>
    <col min="62" max="62" width="14.42578125" style="398" hidden="1" customWidth="1"/>
    <col min="63" max="63" width="10.28515625" style="399" hidden="1" customWidth="1"/>
    <col min="64" max="64" width="10.7109375" style="400" hidden="1" customWidth="1"/>
    <col min="65" max="65" width="14.42578125" style="398" hidden="1" customWidth="1"/>
    <col min="66" max="66" width="10.28515625" style="399" hidden="1" customWidth="1"/>
    <col min="67" max="67" width="10.7109375" style="400" hidden="1" customWidth="1"/>
    <col min="68" max="68" width="14.42578125" style="398" hidden="1" customWidth="1"/>
    <col min="69" max="69" width="10.28515625" style="399" hidden="1" customWidth="1"/>
    <col min="70" max="70" width="10.7109375" style="400" hidden="1" customWidth="1"/>
    <col min="71" max="71" width="14.42578125" style="398" hidden="1" customWidth="1"/>
    <col min="72" max="72" width="10.28515625" style="399" hidden="1" customWidth="1"/>
    <col min="73" max="73" width="10.7109375" style="400" hidden="1" customWidth="1"/>
    <col min="74" max="74" width="14.42578125" style="398" hidden="1" customWidth="1"/>
    <col min="75" max="75" width="10.28515625" style="399" hidden="1" customWidth="1"/>
    <col min="76" max="76" width="10.7109375" style="400" hidden="1" customWidth="1"/>
    <col min="77" max="77" width="14.42578125" style="398" hidden="1" customWidth="1"/>
    <col min="78" max="78" width="10.28515625" style="399" hidden="1" customWidth="1"/>
    <col min="79" max="79" width="10.7109375" style="400" hidden="1" customWidth="1"/>
    <col min="80" max="80" width="14.42578125" style="398" hidden="1" customWidth="1"/>
    <col min="81" max="81" width="10.28515625" style="399" hidden="1" customWidth="1"/>
    <col min="82" max="82" width="10.7109375" style="400" hidden="1" customWidth="1"/>
    <col min="83" max="83" width="14.42578125" style="398" hidden="1" customWidth="1"/>
    <col min="84" max="84" width="10.28515625" style="399" hidden="1" customWidth="1"/>
    <col min="85" max="85" width="10.7109375" style="400" hidden="1" customWidth="1"/>
    <col min="86" max="86" width="14.42578125" style="398" hidden="1" customWidth="1"/>
    <col min="87" max="87" width="10.28515625" style="399" hidden="1" customWidth="1"/>
    <col min="88" max="88" width="10.7109375" style="400" hidden="1" customWidth="1"/>
    <col min="89" max="89" width="14.42578125" style="398" hidden="1" customWidth="1"/>
    <col min="90" max="90" width="10.28515625" style="399" hidden="1" customWidth="1"/>
    <col min="91" max="91" width="10.7109375" style="400" hidden="1" customWidth="1"/>
    <col min="92" max="92" width="14.42578125" style="398" hidden="1" customWidth="1"/>
    <col min="93" max="93" width="10.28515625" style="399" hidden="1" customWidth="1"/>
    <col min="94" max="94" width="10.7109375" style="400" hidden="1" customWidth="1"/>
    <col min="95" max="95" width="14.42578125" style="398" hidden="1" customWidth="1"/>
    <col min="96" max="96" width="10.28515625" style="399" hidden="1" customWidth="1"/>
    <col min="97" max="97" width="10.7109375" style="400" hidden="1" customWidth="1"/>
    <col min="98" max="98" width="14.42578125" style="398" hidden="1" customWidth="1"/>
    <col min="99" max="99" width="10.28515625" style="399" hidden="1" customWidth="1"/>
    <col min="100" max="100" width="10.7109375" style="400" hidden="1" customWidth="1"/>
    <col min="101" max="101" width="14.42578125" style="398" hidden="1" customWidth="1"/>
    <col min="102" max="102" width="10.28515625" style="399" hidden="1" customWidth="1"/>
    <col min="103" max="103" width="10.7109375" style="400" hidden="1" customWidth="1"/>
    <col min="104" max="104" width="14.42578125" style="398" hidden="1" customWidth="1"/>
    <col min="105" max="105" width="10.28515625" style="399" hidden="1" customWidth="1"/>
    <col min="106" max="106" width="10.7109375" style="400" hidden="1" customWidth="1"/>
    <col min="107" max="107" width="14.42578125" style="398" hidden="1" customWidth="1"/>
    <col min="108" max="108" width="10.28515625" style="399" hidden="1" customWidth="1"/>
    <col min="109" max="109" width="10.7109375" style="400" hidden="1" customWidth="1"/>
    <col min="110" max="110" width="14.42578125" style="398" hidden="1" customWidth="1"/>
    <col min="111" max="111" width="10.28515625" style="399" hidden="1" customWidth="1"/>
    <col min="112" max="112" width="10.7109375" style="400" hidden="1" customWidth="1"/>
    <col min="113" max="113" width="14.42578125" style="398" hidden="1" customWidth="1"/>
    <col min="114" max="114" width="10.28515625" style="399" hidden="1" customWidth="1"/>
    <col min="115" max="115" width="10.7109375" style="400" hidden="1" customWidth="1"/>
    <col min="116" max="116" width="14.42578125" style="398" hidden="1" customWidth="1"/>
    <col min="117" max="117" width="10.28515625" style="399" hidden="1" customWidth="1"/>
    <col min="118" max="118" width="10.7109375" style="400" hidden="1" customWidth="1"/>
    <col min="119" max="119" width="14.42578125" style="398" hidden="1" customWidth="1"/>
    <col min="120" max="120" width="10.28515625" style="399" hidden="1" customWidth="1"/>
    <col min="121" max="121" width="10.7109375" style="400" hidden="1" customWidth="1"/>
    <col min="122" max="122" width="14.42578125" style="398" hidden="1" customWidth="1"/>
    <col min="123" max="123" width="10.28515625" style="399" hidden="1" customWidth="1"/>
    <col min="124" max="124" width="10.7109375" style="400" hidden="1" customWidth="1"/>
    <col min="125" max="125" width="14.42578125" style="398" hidden="1" customWidth="1"/>
    <col min="126" max="126" width="10.28515625" style="399" hidden="1" customWidth="1"/>
    <col min="127" max="127" width="10.7109375" style="400" hidden="1" customWidth="1"/>
    <col min="128" max="128" width="14.42578125" style="398" hidden="1" customWidth="1"/>
    <col min="129" max="129" width="10.28515625" style="399" hidden="1" customWidth="1"/>
    <col min="130" max="130" width="10.7109375" style="400" hidden="1" customWidth="1"/>
    <col min="131" max="131" width="2.7109375" style="400" customWidth="1"/>
    <col min="132" max="132" width="18.42578125" style="400" customWidth="1"/>
    <col min="133" max="133" width="15.42578125" style="400" hidden="1" customWidth="1"/>
    <col min="134" max="134" width="14.140625" style="400" bestFit="1" customWidth="1"/>
    <col min="135" max="135" width="17.7109375" style="400" bestFit="1" customWidth="1"/>
    <col min="136" max="136" width="2.7109375" style="400" customWidth="1"/>
    <col min="137" max="137" width="15.42578125" style="400" hidden="1" customWidth="1"/>
    <col min="138" max="138" width="14.42578125" style="400" hidden="1" customWidth="1"/>
    <col min="139" max="139" width="12.42578125" style="400" hidden="1" customWidth="1"/>
    <col min="140" max="140" width="2.7109375" style="400" hidden="1" customWidth="1"/>
    <col min="141" max="141" width="17.5703125" style="400" bestFit="1" customWidth="1"/>
    <col min="142" max="142" width="15.42578125" style="400" hidden="1" customWidth="1"/>
    <col min="143" max="143" width="14.140625" style="400" bestFit="1" customWidth="1"/>
    <col min="144" max="144" width="18" style="400" bestFit="1" customWidth="1"/>
    <col min="145" max="145" width="25.28515625" style="400" customWidth="1"/>
    <col min="146" max="146" width="21.140625" style="400" bestFit="1" customWidth="1"/>
    <col min="147" max="147" width="23.140625" style="400" bestFit="1" customWidth="1"/>
    <col min="148" max="16384" width="9.140625" style="400"/>
  </cols>
  <sheetData>
    <row r="1" spans="1:147" s="201" customFormat="1">
      <c r="A1" s="200" t="s">
        <v>0</v>
      </c>
      <c r="B1" s="212"/>
      <c r="C1" s="392"/>
      <c r="E1" s="212"/>
      <c r="F1" s="392"/>
      <c r="H1" s="212"/>
      <c r="I1" s="392"/>
      <c r="K1" s="212"/>
      <c r="L1" s="392"/>
      <c r="N1" s="212"/>
      <c r="O1" s="392"/>
      <c r="Q1" s="212"/>
      <c r="R1" s="392"/>
      <c r="T1" s="212"/>
      <c r="U1" s="392"/>
      <c r="W1" s="212"/>
      <c r="X1" s="392"/>
      <c r="Z1" s="212"/>
      <c r="AA1" s="392"/>
      <c r="AC1" s="212"/>
      <c r="AD1" s="392"/>
      <c r="AF1" s="212"/>
      <c r="AG1" s="392"/>
      <c r="AI1" s="212"/>
      <c r="AJ1" s="392"/>
      <c r="AL1" s="212"/>
      <c r="AM1" s="392"/>
      <c r="AO1" s="212"/>
      <c r="AP1" s="392"/>
      <c r="AR1" s="212"/>
      <c r="AS1" s="392"/>
      <c r="AU1" s="212"/>
      <c r="AV1" s="392"/>
      <c r="AX1" s="212"/>
      <c r="AY1" s="392"/>
      <c r="BA1" s="212"/>
      <c r="BB1" s="392"/>
      <c r="BD1" s="212"/>
      <c r="BE1" s="392"/>
      <c r="BG1" s="212"/>
      <c r="BH1" s="392"/>
      <c r="BJ1" s="212"/>
      <c r="BK1" s="392"/>
      <c r="BM1" s="212"/>
      <c r="BN1" s="392"/>
      <c r="BP1" s="212"/>
      <c r="BQ1" s="392"/>
      <c r="BS1" s="212"/>
      <c r="BT1" s="392"/>
      <c r="BV1" s="212"/>
      <c r="BW1" s="392"/>
      <c r="BY1" s="212"/>
      <c r="BZ1" s="392"/>
      <c r="CB1" s="212"/>
      <c r="CC1" s="392"/>
      <c r="CE1" s="212"/>
      <c r="CF1" s="392"/>
      <c r="CH1" s="212"/>
      <c r="CI1" s="392"/>
      <c r="CK1" s="212"/>
      <c r="CL1" s="392"/>
      <c r="CN1" s="212"/>
      <c r="CO1" s="392"/>
      <c r="CQ1" s="212"/>
      <c r="CR1" s="392"/>
      <c r="CT1" s="212"/>
      <c r="CU1" s="392"/>
      <c r="CW1" s="212"/>
      <c r="CX1" s="392"/>
      <c r="CZ1" s="212"/>
      <c r="DA1" s="392"/>
      <c r="DC1" s="212"/>
      <c r="DD1" s="392"/>
      <c r="DF1" s="212"/>
      <c r="DG1" s="392"/>
      <c r="DI1" s="212"/>
      <c r="DJ1" s="392"/>
      <c r="DL1" s="212"/>
      <c r="DM1" s="392"/>
      <c r="DO1" s="212"/>
      <c r="DP1" s="392"/>
      <c r="DR1" s="212"/>
      <c r="DS1" s="392"/>
      <c r="DU1" s="212"/>
      <c r="DV1" s="392"/>
      <c r="DX1" s="212"/>
      <c r="DY1" s="392"/>
      <c r="DZ1" s="198"/>
      <c r="ED1" s="202"/>
      <c r="EE1" s="393" t="s">
        <v>118</v>
      </c>
      <c r="EI1" s="202" t="s">
        <v>59</v>
      </c>
      <c r="EM1" s="202"/>
      <c r="EN1" s="202" t="s">
        <v>120</v>
      </c>
      <c r="EO1" s="200" t="s">
        <v>121</v>
      </c>
      <c r="EP1" s="200" t="s">
        <v>122</v>
      </c>
      <c r="EQ1" s="200" t="s">
        <v>123</v>
      </c>
    </row>
    <row r="2" spans="1:147" s="201" customFormat="1">
      <c r="A2" s="200" t="s">
        <v>49</v>
      </c>
      <c r="B2" s="212"/>
      <c r="C2" s="392"/>
      <c r="E2" s="204"/>
      <c r="F2" s="392"/>
      <c r="G2" s="202"/>
      <c r="H2" s="212"/>
      <c r="I2" s="392"/>
      <c r="K2" s="212"/>
      <c r="L2" s="392"/>
      <c r="N2" s="212"/>
      <c r="O2" s="392"/>
      <c r="Q2" s="212"/>
      <c r="R2" s="392"/>
      <c r="T2" s="212"/>
      <c r="U2" s="392"/>
      <c r="W2" s="212"/>
      <c r="X2" s="392"/>
      <c r="Z2" s="212"/>
      <c r="AA2" s="392"/>
      <c r="AC2" s="212"/>
      <c r="AD2" s="392"/>
      <c r="AF2" s="212"/>
      <c r="AG2" s="392"/>
      <c r="AI2" s="212"/>
      <c r="AJ2" s="392"/>
      <c r="AL2" s="212"/>
      <c r="AM2" s="392"/>
      <c r="AO2" s="212"/>
      <c r="AP2" s="392"/>
      <c r="AR2" s="212"/>
      <c r="AS2" s="392"/>
      <c r="AU2" s="212"/>
      <c r="AV2" s="392"/>
      <c r="AX2" s="212"/>
      <c r="AY2" s="392"/>
      <c r="BA2" s="212"/>
      <c r="BB2" s="392"/>
      <c r="BD2" s="212"/>
      <c r="BE2" s="392"/>
      <c r="BG2" s="212"/>
      <c r="BH2" s="392"/>
      <c r="BJ2" s="212"/>
      <c r="BK2" s="392"/>
      <c r="BM2" s="212"/>
      <c r="BN2" s="392"/>
      <c r="BP2" s="212"/>
      <c r="BQ2" s="392"/>
      <c r="BS2" s="212"/>
      <c r="BT2" s="392"/>
      <c r="BV2" s="212"/>
      <c r="BW2" s="392"/>
      <c r="BY2" s="212"/>
      <c r="BZ2" s="392"/>
      <c r="CB2" s="212"/>
      <c r="CC2" s="392"/>
      <c r="CE2" s="212"/>
      <c r="CF2" s="392"/>
      <c r="CH2" s="212"/>
      <c r="CI2" s="392"/>
      <c r="CK2" s="212"/>
      <c r="CL2" s="392"/>
      <c r="CN2" s="212"/>
      <c r="CO2" s="392"/>
      <c r="CQ2" s="212"/>
      <c r="CR2" s="392"/>
      <c r="CT2" s="212"/>
      <c r="CU2" s="392"/>
      <c r="CW2" s="212"/>
      <c r="CX2" s="392"/>
      <c r="CZ2" s="212"/>
      <c r="DA2" s="392"/>
      <c r="DC2" s="212"/>
      <c r="DD2" s="392"/>
      <c r="DF2" s="212"/>
      <c r="DG2" s="392"/>
      <c r="DI2" s="212"/>
      <c r="DJ2" s="392"/>
      <c r="DL2" s="212"/>
      <c r="DM2" s="392"/>
      <c r="DO2" s="212"/>
      <c r="DP2" s="392"/>
      <c r="DR2" s="212"/>
      <c r="DS2" s="392"/>
      <c r="DU2" s="212"/>
      <c r="DV2" s="392"/>
      <c r="DX2" s="212"/>
      <c r="DY2" s="392"/>
      <c r="EB2" s="395" t="s">
        <v>51</v>
      </c>
      <c r="EC2" s="395"/>
      <c r="ED2" s="396"/>
      <c r="EE2" s="396">
        <f>EB42</f>
        <v>197225000</v>
      </c>
      <c r="EI2" s="396">
        <f>EG41</f>
        <v>0</v>
      </c>
      <c r="EM2" s="396"/>
      <c r="EN2" s="396">
        <f>EK42</f>
        <v>197225000</v>
      </c>
      <c r="EO2" s="212">
        <v>-99472.22</v>
      </c>
      <c r="EP2" s="212">
        <f>EN2+EO2</f>
        <v>197125527.78</v>
      </c>
      <c r="EQ2" s="212">
        <f>EE2+EO2</f>
        <v>197125527.78</v>
      </c>
    </row>
    <row r="3" spans="1:147" s="201" customFormat="1" ht="13.5" thickBot="1">
      <c r="A3" s="397" t="s">
        <v>205</v>
      </c>
      <c r="B3" s="212"/>
      <c r="C3" s="392"/>
      <c r="E3" s="204"/>
      <c r="F3" s="392"/>
      <c r="G3" s="202"/>
      <c r="H3" s="212"/>
      <c r="I3" s="392"/>
      <c r="K3" s="212"/>
      <c r="L3" s="392"/>
      <c r="N3" s="212"/>
      <c r="O3" s="392"/>
      <c r="Q3" s="212"/>
      <c r="R3" s="392"/>
      <c r="T3" s="212"/>
      <c r="U3" s="392"/>
      <c r="W3" s="212"/>
      <c r="X3" s="392"/>
      <c r="Z3" s="212"/>
      <c r="AA3" s="392"/>
      <c r="AC3" s="212"/>
      <c r="AD3" s="392"/>
      <c r="AF3" s="212"/>
      <c r="AG3" s="392"/>
      <c r="AI3" s="212"/>
      <c r="AJ3" s="392"/>
      <c r="AL3" s="212"/>
      <c r="AM3" s="392"/>
      <c r="AO3" s="212"/>
      <c r="AP3" s="392"/>
      <c r="AR3" s="212"/>
      <c r="AS3" s="392"/>
      <c r="AU3" s="212"/>
      <c r="AV3" s="392"/>
      <c r="AX3" s="212"/>
      <c r="AY3" s="392"/>
      <c r="BA3" s="212"/>
      <c r="BB3" s="392"/>
      <c r="BD3" s="212"/>
      <c r="BE3" s="392"/>
      <c r="BG3" s="212"/>
      <c r="BH3" s="392"/>
      <c r="BJ3" s="212"/>
      <c r="BK3" s="392"/>
      <c r="BM3" s="212"/>
      <c r="BN3" s="392"/>
      <c r="BP3" s="212"/>
      <c r="BQ3" s="392"/>
      <c r="BS3" s="212"/>
      <c r="BT3" s="392"/>
      <c r="BV3" s="212"/>
      <c r="BW3" s="392"/>
      <c r="BY3" s="212"/>
      <c r="BZ3" s="392"/>
      <c r="CB3" s="212"/>
      <c r="CC3" s="392"/>
      <c r="CE3" s="212"/>
      <c r="CF3" s="392"/>
      <c r="CH3" s="212"/>
      <c r="CI3" s="392"/>
      <c r="CK3" s="212"/>
      <c r="CL3" s="392"/>
      <c r="CN3" s="212"/>
      <c r="CO3" s="392"/>
      <c r="CQ3" s="212"/>
      <c r="CR3" s="392"/>
      <c r="CT3" s="212"/>
      <c r="CU3" s="392"/>
      <c r="CW3" s="212"/>
      <c r="CX3" s="392"/>
      <c r="CZ3" s="212"/>
      <c r="DA3" s="392"/>
      <c r="DC3" s="212"/>
      <c r="DD3" s="392"/>
      <c r="DF3" s="212"/>
      <c r="DG3" s="392"/>
      <c r="DI3" s="212"/>
      <c r="DJ3" s="392"/>
      <c r="DL3" s="212"/>
      <c r="DM3" s="392"/>
      <c r="DO3" s="212"/>
      <c r="DP3" s="392"/>
      <c r="DR3" s="212"/>
      <c r="DS3" s="392"/>
      <c r="DU3" s="212"/>
      <c r="DV3" s="392"/>
      <c r="DX3" s="212"/>
      <c r="DY3" s="392"/>
      <c r="EB3" s="395"/>
      <c r="EC3" s="395"/>
      <c r="ED3" s="396"/>
      <c r="EE3" s="396"/>
      <c r="EI3" s="396"/>
      <c r="EM3" s="396"/>
      <c r="EN3" s="396"/>
      <c r="EO3" s="212"/>
      <c r="EP3" s="212"/>
      <c r="EQ3" s="212"/>
    </row>
    <row r="4" spans="1:147" ht="13.5" thickTop="1">
      <c r="A4" s="397"/>
      <c r="E4" s="199" t="s">
        <v>50</v>
      </c>
      <c r="F4" s="401"/>
      <c r="G4" s="402"/>
      <c r="EB4" s="395" t="s">
        <v>52</v>
      </c>
      <c r="EC4" s="395"/>
      <c r="ED4" s="396"/>
      <c r="EE4" s="396">
        <f>AVERAGE(EB12:EB42)</f>
        <v>134465322.58064517</v>
      </c>
      <c r="EI4" s="396">
        <f>AVERAGE(EG12:EG41)</f>
        <v>0</v>
      </c>
      <c r="EM4" s="396"/>
      <c r="EN4" s="396">
        <f>AVERAGE(EK12:EK42)</f>
        <v>134465322.58064517</v>
      </c>
    </row>
    <row r="5" spans="1:147">
      <c r="D5" s="395"/>
      <c r="E5" s="403" t="s">
        <v>51</v>
      </c>
      <c r="F5" s="396"/>
      <c r="G5" s="404">
        <f>EQ2</f>
        <v>197125527.78</v>
      </c>
      <c r="AI5" s="200"/>
      <c r="EB5" s="395" t="s">
        <v>53</v>
      </c>
      <c r="EC5" s="395"/>
      <c r="ED5" s="405"/>
      <c r="EE5" s="405">
        <f>IF(EE4=0,0,360*(AVERAGE(ED12:ED42)/EE4))</f>
        <v>2.8696952685966507E-2</v>
      </c>
      <c r="EI5" s="405">
        <f>IF(EI4=0,0,360*(AVERAGE(EH12:EH41)/EI4))</f>
        <v>0</v>
      </c>
      <c r="EM5" s="405"/>
      <c r="EN5" s="405">
        <f>IF(EN4=0,0,360*(AVERAGE(EM12:EM42)/EN4))</f>
        <v>2.8696952685966507E-2</v>
      </c>
      <c r="EO5" s="201" t="s">
        <v>199</v>
      </c>
      <c r="EQ5" s="202"/>
    </row>
    <row r="6" spans="1:147">
      <c r="D6" s="395"/>
      <c r="E6" s="403" t="s">
        <v>52</v>
      </c>
      <c r="F6" s="396"/>
      <c r="G6" s="404">
        <f>EE4</f>
        <v>134465322.58064517</v>
      </c>
      <c r="AI6" s="394"/>
      <c r="EB6" s="406" t="s">
        <v>57</v>
      </c>
      <c r="EC6" s="406"/>
      <c r="ED6" s="396"/>
      <c r="EE6" s="396">
        <f>MAX(EB12:EB42)</f>
        <v>198900000</v>
      </c>
      <c r="EI6" s="396">
        <f>MAX(EG12:EG41)</f>
        <v>0</v>
      </c>
      <c r="EM6" s="396"/>
      <c r="EN6" s="396">
        <f>MAX(EK12:EK42)</f>
        <v>198900000</v>
      </c>
    </row>
    <row r="7" spans="1:147">
      <c r="D7" s="395"/>
      <c r="E7" s="403" t="s">
        <v>53</v>
      </c>
      <c r="F7" s="396"/>
      <c r="G7" s="407">
        <f>EE5</f>
        <v>2.8696952685966507E-2</v>
      </c>
    </row>
    <row r="8" spans="1:147" ht="13.5" thickBot="1">
      <c r="D8" s="395"/>
      <c r="E8" s="408" t="s">
        <v>57</v>
      </c>
      <c r="F8" s="409"/>
      <c r="G8" s="410">
        <f>EE6</f>
        <v>198900000</v>
      </c>
      <c r="AI8" s="394"/>
      <c r="EB8" s="203" t="s">
        <v>54</v>
      </c>
      <c r="EC8" s="203"/>
      <c r="ED8" s="411"/>
      <c r="EE8" s="411"/>
      <c r="EG8" s="203" t="s">
        <v>55</v>
      </c>
      <c r="EH8" s="411"/>
      <c r="EI8" s="411"/>
      <c r="EJ8" s="412"/>
      <c r="EK8" s="203" t="s">
        <v>56</v>
      </c>
      <c r="EL8" s="203"/>
      <c r="EM8" s="411"/>
      <c r="EN8" s="411"/>
    </row>
    <row r="9" spans="1:147" ht="13.5" thickTop="1">
      <c r="AI9" s="204"/>
      <c r="AL9" s="204"/>
      <c r="AO9" s="204"/>
      <c r="AR9" s="204"/>
      <c r="AU9" s="204"/>
      <c r="AX9" s="204"/>
      <c r="BA9" s="204"/>
      <c r="BD9" s="204"/>
      <c r="BG9" s="204"/>
      <c r="BJ9" s="204"/>
      <c r="BM9" s="204" t="s">
        <v>112</v>
      </c>
      <c r="BP9" s="204" t="s">
        <v>112</v>
      </c>
      <c r="BS9" s="204" t="s">
        <v>112</v>
      </c>
      <c r="BV9" s="204" t="s">
        <v>112</v>
      </c>
      <c r="BY9" s="204" t="s">
        <v>112</v>
      </c>
      <c r="CB9" s="204" t="s">
        <v>112</v>
      </c>
      <c r="CE9" s="204" t="s">
        <v>112</v>
      </c>
      <c r="CH9" s="204" t="s">
        <v>112</v>
      </c>
      <c r="CK9" s="204" t="s">
        <v>112</v>
      </c>
      <c r="CN9" s="204" t="s">
        <v>112</v>
      </c>
      <c r="CQ9" s="204" t="s">
        <v>112</v>
      </c>
      <c r="CT9" s="204" t="s">
        <v>112</v>
      </c>
      <c r="CW9" s="204" t="s">
        <v>112</v>
      </c>
      <c r="CZ9" s="204" t="s">
        <v>112</v>
      </c>
      <c r="DC9" s="204" t="s">
        <v>112</v>
      </c>
      <c r="DF9" s="204" t="s">
        <v>112</v>
      </c>
      <c r="DI9" s="204" t="s">
        <v>112</v>
      </c>
      <c r="DL9" s="204" t="s">
        <v>112</v>
      </c>
      <c r="DO9" s="204" t="s">
        <v>112</v>
      </c>
      <c r="DR9" s="204" t="s">
        <v>112</v>
      </c>
      <c r="EB9" s="413"/>
      <c r="EC9" s="413"/>
      <c r="ED9" s="413"/>
      <c r="EE9" s="413" t="s">
        <v>58</v>
      </c>
      <c r="EG9" s="413"/>
      <c r="EH9" s="205" t="s">
        <v>59</v>
      </c>
      <c r="EI9" s="413" t="s">
        <v>58</v>
      </c>
      <c r="EJ9" s="413"/>
      <c r="EK9" s="202" t="s">
        <v>113</v>
      </c>
      <c r="EL9" s="202" t="s">
        <v>114</v>
      </c>
      <c r="EM9" s="205" t="s">
        <v>60</v>
      </c>
      <c r="EN9" s="413" t="s">
        <v>58</v>
      </c>
    </row>
    <row r="10" spans="1:147">
      <c r="B10" s="414" t="s">
        <v>61</v>
      </c>
      <c r="C10" s="415"/>
      <c r="D10" s="411"/>
      <c r="E10" s="414" t="s">
        <v>62</v>
      </c>
      <c r="F10" s="415"/>
      <c r="G10" s="411"/>
      <c r="H10" s="414" t="s">
        <v>63</v>
      </c>
      <c r="I10" s="415"/>
      <c r="J10" s="411"/>
      <c r="K10" s="414" t="s">
        <v>64</v>
      </c>
      <c r="L10" s="415"/>
      <c r="M10" s="411"/>
      <c r="N10" s="414" t="s">
        <v>65</v>
      </c>
      <c r="O10" s="415"/>
      <c r="P10" s="411"/>
      <c r="Q10" s="414" t="s">
        <v>66</v>
      </c>
      <c r="R10" s="415"/>
      <c r="S10" s="411"/>
      <c r="T10" s="414" t="s">
        <v>67</v>
      </c>
      <c r="U10" s="415"/>
      <c r="V10" s="411"/>
      <c r="W10" s="414" t="s">
        <v>68</v>
      </c>
      <c r="X10" s="415"/>
      <c r="Y10" s="411"/>
      <c r="Z10" s="414" t="s">
        <v>69</v>
      </c>
      <c r="AA10" s="415"/>
      <c r="AB10" s="411"/>
      <c r="AC10" s="206" t="s">
        <v>70</v>
      </c>
      <c r="AD10" s="415"/>
      <c r="AE10" s="411"/>
      <c r="AF10" s="206" t="s">
        <v>71</v>
      </c>
      <c r="AG10" s="415"/>
      <c r="AH10" s="411"/>
      <c r="AI10" s="414" t="s">
        <v>72</v>
      </c>
      <c r="AJ10" s="415"/>
      <c r="AK10" s="411"/>
      <c r="AL10" s="414" t="s">
        <v>73</v>
      </c>
      <c r="AM10" s="415"/>
      <c r="AN10" s="411"/>
      <c r="AO10" s="414" t="s">
        <v>74</v>
      </c>
      <c r="AP10" s="415"/>
      <c r="AQ10" s="411"/>
      <c r="AR10" s="414" t="s">
        <v>75</v>
      </c>
      <c r="AS10" s="415"/>
      <c r="AT10" s="411"/>
      <c r="AU10" s="414" t="s">
        <v>76</v>
      </c>
      <c r="AV10" s="415"/>
      <c r="AW10" s="411"/>
      <c r="AX10" s="414" t="s">
        <v>77</v>
      </c>
      <c r="AY10" s="415"/>
      <c r="AZ10" s="411"/>
      <c r="BA10" s="414" t="s">
        <v>78</v>
      </c>
      <c r="BB10" s="415"/>
      <c r="BC10" s="411"/>
      <c r="BD10" s="414" t="s">
        <v>79</v>
      </c>
      <c r="BE10" s="415"/>
      <c r="BF10" s="411"/>
      <c r="BG10" s="414" t="s">
        <v>80</v>
      </c>
      <c r="BH10" s="415"/>
      <c r="BI10" s="411"/>
      <c r="BJ10" s="414" t="s">
        <v>81</v>
      </c>
      <c r="BK10" s="415"/>
      <c r="BL10" s="411"/>
      <c r="BM10" s="414" t="s">
        <v>82</v>
      </c>
      <c r="BN10" s="415"/>
      <c r="BO10" s="411"/>
      <c r="BP10" s="414" t="s">
        <v>83</v>
      </c>
      <c r="BQ10" s="415"/>
      <c r="BR10" s="411"/>
      <c r="BS10" s="414" t="s">
        <v>84</v>
      </c>
      <c r="BT10" s="415"/>
      <c r="BU10" s="411"/>
      <c r="BV10" s="414" t="s">
        <v>85</v>
      </c>
      <c r="BW10" s="415"/>
      <c r="BX10" s="411"/>
      <c r="BY10" s="414" t="s">
        <v>86</v>
      </c>
      <c r="BZ10" s="415"/>
      <c r="CA10" s="411"/>
      <c r="CB10" s="414" t="s">
        <v>87</v>
      </c>
      <c r="CC10" s="415"/>
      <c r="CD10" s="411"/>
      <c r="CE10" s="414" t="s">
        <v>88</v>
      </c>
      <c r="CF10" s="415"/>
      <c r="CG10" s="411"/>
      <c r="CH10" s="414" t="s">
        <v>89</v>
      </c>
      <c r="CI10" s="415"/>
      <c r="CJ10" s="411"/>
      <c r="CK10" s="414" t="s">
        <v>90</v>
      </c>
      <c r="CL10" s="415"/>
      <c r="CM10" s="411"/>
      <c r="CN10" s="414" t="s">
        <v>91</v>
      </c>
      <c r="CO10" s="415"/>
      <c r="CP10" s="411"/>
      <c r="CQ10" s="414" t="s">
        <v>92</v>
      </c>
      <c r="CR10" s="415"/>
      <c r="CS10" s="411"/>
      <c r="CT10" s="414" t="s">
        <v>93</v>
      </c>
      <c r="CU10" s="415"/>
      <c r="CV10" s="411"/>
      <c r="CW10" s="414" t="s">
        <v>94</v>
      </c>
      <c r="CX10" s="415"/>
      <c r="CY10" s="411"/>
      <c r="CZ10" s="414" t="s">
        <v>95</v>
      </c>
      <c r="DA10" s="415"/>
      <c r="DB10" s="411"/>
      <c r="DC10" s="414" t="s">
        <v>96</v>
      </c>
      <c r="DD10" s="415"/>
      <c r="DE10" s="411"/>
      <c r="DF10" s="414" t="s">
        <v>97</v>
      </c>
      <c r="DG10" s="415"/>
      <c r="DH10" s="411"/>
      <c r="DI10" s="414" t="s">
        <v>98</v>
      </c>
      <c r="DJ10" s="415"/>
      <c r="DK10" s="411"/>
      <c r="DL10" s="414" t="s">
        <v>99</v>
      </c>
      <c r="DM10" s="415"/>
      <c r="DN10" s="411"/>
      <c r="DO10" s="414" t="s">
        <v>100</v>
      </c>
      <c r="DP10" s="415"/>
      <c r="DQ10" s="411"/>
      <c r="DR10" s="414" t="s">
        <v>101</v>
      </c>
      <c r="DS10" s="415"/>
      <c r="DT10" s="411"/>
      <c r="DU10" s="414" t="s">
        <v>102</v>
      </c>
      <c r="DV10" s="415"/>
      <c r="DW10" s="411"/>
      <c r="DX10" s="207" t="s">
        <v>115</v>
      </c>
      <c r="DY10" s="415"/>
      <c r="DZ10" s="411"/>
      <c r="EA10" s="412"/>
      <c r="EB10" s="202" t="s">
        <v>116</v>
      </c>
      <c r="EC10" s="202" t="s">
        <v>117</v>
      </c>
      <c r="ED10" s="413" t="s">
        <v>103</v>
      </c>
      <c r="EE10" s="413" t="s">
        <v>104</v>
      </c>
      <c r="EG10" s="205" t="s">
        <v>105</v>
      </c>
      <c r="EH10" s="413" t="s">
        <v>103</v>
      </c>
      <c r="EI10" s="413" t="s">
        <v>104</v>
      </c>
      <c r="EJ10" s="413"/>
      <c r="EK10" s="205" t="s">
        <v>60</v>
      </c>
      <c r="EL10" s="205" t="s">
        <v>60</v>
      </c>
      <c r="EM10" s="413" t="s">
        <v>103</v>
      </c>
      <c r="EN10" s="413" t="s">
        <v>104</v>
      </c>
    </row>
    <row r="11" spans="1:147">
      <c r="A11" s="413" t="s">
        <v>106</v>
      </c>
      <c r="B11" s="208" t="s">
        <v>107</v>
      </c>
      <c r="C11" s="209" t="s">
        <v>108</v>
      </c>
      <c r="D11" s="210" t="s">
        <v>109</v>
      </c>
      <c r="E11" s="208" t="s">
        <v>107</v>
      </c>
      <c r="F11" s="209" t="s">
        <v>108</v>
      </c>
      <c r="G11" s="210" t="s">
        <v>109</v>
      </c>
      <c r="H11" s="208" t="s">
        <v>107</v>
      </c>
      <c r="I11" s="209" t="s">
        <v>108</v>
      </c>
      <c r="J11" s="210" t="s">
        <v>109</v>
      </c>
      <c r="K11" s="208" t="s">
        <v>107</v>
      </c>
      <c r="L11" s="209" t="s">
        <v>108</v>
      </c>
      <c r="M11" s="210" t="s">
        <v>109</v>
      </c>
      <c r="N11" s="208" t="s">
        <v>107</v>
      </c>
      <c r="O11" s="209" t="s">
        <v>108</v>
      </c>
      <c r="P11" s="210" t="s">
        <v>109</v>
      </c>
      <c r="Q11" s="208" t="s">
        <v>107</v>
      </c>
      <c r="R11" s="209" t="s">
        <v>108</v>
      </c>
      <c r="S11" s="210" t="s">
        <v>109</v>
      </c>
      <c r="T11" s="208" t="s">
        <v>107</v>
      </c>
      <c r="U11" s="209" t="s">
        <v>108</v>
      </c>
      <c r="V11" s="210" t="s">
        <v>109</v>
      </c>
      <c r="W11" s="208" t="s">
        <v>107</v>
      </c>
      <c r="X11" s="209" t="s">
        <v>108</v>
      </c>
      <c r="Y11" s="210" t="s">
        <v>109</v>
      </c>
      <c r="Z11" s="208" t="s">
        <v>107</v>
      </c>
      <c r="AA11" s="209" t="s">
        <v>108</v>
      </c>
      <c r="AB11" s="210" t="s">
        <v>109</v>
      </c>
      <c r="AC11" s="208" t="s">
        <v>107</v>
      </c>
      <c r="AD11" s="209" t="s">
        <v>108</v>
      </c>
      <c r="AE11" s="210" t="s">
        <v>109</v>
      </c>
      <c r="AF11" s="208" t="s">
        <v>107</v>
      </c>
      <c r="AG11" s="209" t="s">
        <v>108</v>
      </c>
      <c r="AH11" s="210" t="s">
        <v>109</v>
      </c>
      <c r="AI11" s="208" t="s">
        <v>107</v>
      </c>
      <c r="AJ11" s="209" t="s">
        <v>108</v>
      </c>
      <c r="AK11" s="210" t="s">
        <v>109</v>
      </c>
      <c r="AL11" s="208" t="s">
        <v>107</v>
      </c>
      <c r="AM11" s="209" t="s">
        <v>108</v>
      </c>
      <c r="AN11" s="210" t="s">
        <v>109</v>
      </c>
      <c r="AO11" s="208" t="s">
        <v>107</v>
      </c>
      <c r="AP11" s="209" t="s">
        <v>108</v>
      </c>
      <c r="AQ11" s="210" t="s">
        <v>109</v>
      </c>
      <c r="AR11" s="208" t="s">
        <v>107</v>
      </c>
      <c r="AS11" s="209" t="s">
        <v>108</v>
      </c>
      <c r="AT11" s="210" t="s">
        <v>109</v>
      </c>
      <c r="AU11" s="208" t="s">
        <v>107</v>
      </c>
      <c r="AV11" s="209" t="s">
        <v>108</v>
      </c>
      <c r="AW11" s="210" t="s">
        <v>109</v>
      </c>
      <c r="AX11" s="208" t="s">
        <v>107</v>
      </c>
      <c r="AY11" s="209" t="s">
        <v>108</v>
      </c>
      <c r="AZ11" s="210" t="s">
        <v>109</v>
      </c>
      <c r="BA11" s="208" t="s">
        <v>107</v>
      </c>
      <c r="BB11" s="209" t="s">
        <v>108</v>
      </c>
      <c r="BC11" s="210" t="s">
        <v>109</v>
      </c>
      <c r="BD11" s="208" t="s">
        <v>107</v>
      </c>
      <c r="BE11" s="209" t="s">
        <v>108</v>
      </c>
      <c r="BF11" s="210" t="s">
        <v>109</v>
      </c>
      <c r="BG11" s="208" t="s">
        <v>107</v>
      </c>
      <c r="BH11" s="209" t="s">
        <v>108</v>
      </c>
      <c r="BI11" s="210" t="s">
        <v>109</v>
      </c>
      <c r="BJ11" s="208" t="s">
        <v>107</v>
      </c>
      <c r="BK11" s="209" t="s">
        <v>108</v>
      </c>
      <c r="BL11" s="210" t="s">
        <v>109</v>
      </c>
      <c r="BM11" s="208" t="s">
        <v>107</v>
      </c>
      <c r="BN11" s="209" t="s">
        <v>108</v>
      </c>
      <c r="BO11" s="210" t="s">
        <v>109</v>
      </c>
      <c r="BP11" s="208" t="s">
        <v>107</v>
      </c>
      <c r="BQ11" s="209" t="s">
        <v>108</v>
      </c>
      <c r="BR11" s="210" t="s">
        <v>109</v>
      </c>
      <c r="BS11" s="208" t="s">
        <v>107</v>
      </c>
      <c r="BT11" s="209" t="s">
        <v>108</v>
      </c>
      <c r="BU11" s="210" t="s">
        <v>109</v>
      </c>
      <c r="BV11" s="208" t="s">
        <v>107</v>
      </c>
      <c r="BW11" s="209" t="s">
        <v>108</v>
      </c>
      <c r="BX11" s="210" t="s">
        <v>109</v>
      </c>
      <c r="BY11" s="208" t="s">
        <v>107</v>
      </c>
      <c r="BZ11" s="209" t="s">
        <v>108</v>
      </c>
      <c r="CA11" s="210" t="s">
        <v>109</v>
      </c>
      <c r="CB11" s="208" t="s">
        <v>107</v>
      </c>
      <c r="CC11" s="209" t="s">
        <v>108</v>
      </c>
      <c r="CD11" s="210" t="s">
        <v>109</v>
      </c>
      <c r="CE11" s="208" t="s">
        <v>107</v>
      </c>
      <c r="CF11" s="209" t="s">
        <v>108</v>
      </c>
      <c r="CG11" s="210" t="s">
        <v>109</v>
      </c>
      <c r="CH11" s="208" t="s">
        <v>107</v>
      </c>
      <c r="CI11" s="209" t="s">
        <v>108</v>
      </c>
      <c r="CJ11" s="210" t="s">
        <v>109</v>
      </c>
      <c r="CK11" s="208" t="s">
        <v>107</v>
      </c>
      <c r="CL11" s="209" t="s">
        <v>108</v>
      </c>
      <c r="CM11" s="210" t="s">
        <v>109</v>
      </c>
      <c r="CN11" s="208" t="s">
        <v>107</v>
      </c>
      <c r="CO11" s="209" t="s">
        <v>108</v>
      </c>
      <c r="CP11" s="210" t="s">
        <v>109</v>
      </c>
      <c r="CQ11" s="208" t="s">
        <v>107</v>
      </c>
      <c r="CR11" s="209" t="s">
        <v>108</v>
      </c>
      <c r="CS11" s="210" t="s">
        <v>109</v>
      </c>
      <c r="CT11" s="208" t="s">
        <v>107</v>
      </c>
      <c r="CU11" s="209" t="s">
        <v>108</v>
      </c>
      <c r="CV11" s="210" t="s">
        <v>109</v>
      </c>
      <c r="CW11" s="208" t="s">
        <v>107</v>
      </c>
      <c r="CX11" s="209" t="s">
        <v>108</v>
      </c>
      <c r="CY11" s="210" t="s">
        <v>109</v>
      </c>
      <c r="CZ11" s="208" t="s">
        <v>107</v>
      </c>
      <c r="DA11" s="209" t="s">
        <v>108</v>
      </c>
      <c r="DB11" s="210" t="s">
        <v>109</v>
      </c>
      <c r="DC11" s="208" t="s">
        <v>107</v>
      </c>
      <c r="DD11" s="209" t="s">
        <v>108</v>
      </c>
      <c r="DE11" s="210" t="s">
        <v>109</v>
      </c>
      <c r="DF11" s="208" t="s">
        <v>107</v>
      </c>
      <c r="DG11" s="209" t="s">
        <v>108</v>
      </c>
      <c r="DH11" s="210" t="s">
        <v>109</v>
      </c>
      <c r="DI11" s="208" t="s">
        <v>107</v>
      </c>
      <c r="DJ11" s="209" t="s">
        <v>108</v>
      </c>
      <c r="DK11" s="210" t="s">
        <v>109</v>
      </c>
      <c r="DL11" s="208" t="s">
        <v>107</v>
      </c>
      <c r="DM11" s="209" t="s">
        <v>108</v>
      </c>
      <c r="DN11" s="210" t="s">
        <v>109</v>
      </c>
      <c r="DO11" s="208" t="s">
        <v>107</v>
      </c>
      <c r="DP11" s="209" t="s">
        <v>108</v>
      </c>
      <c r="DQ11" s="210" t="s">
        <v>109</v>
      </c>
      <c r="DR11" s="208" t="s">
        <v>107</v>
      </c>
      <c r="DS11" s="209" t="s">
        <v>108</v>
      </c>
      <c r="DT11" s="210" t="s">
        <v>109</v>
      </c>
      <c r="DU11" s="208" t="s">
        <v>107</v>
      </c>
      <c r="DV11" s="209" t="s">
        <v>108</v>
      </c>
      <c r="DW11" s="210" t="s">
        <v>109</v>
      </c>
      <c r="DX11" s="208" t="s">
        <v>107</v>
      </c>
      <c r="DY11" s="209"/>
      <c r="DZ11" s="210"/>
      <c r="EA11" s="210"/>
      <c r="EB11" s="210" t="s">
        <v>110</v>
      </c>
      <c r="EC11" s="210" t="s">
        <v>110</v>
      </c>
      <c r="ED11" s="210" t="s">
        <v>109</v>
      </c>
      <c r="EE11" s="211" t="s">
        <v>108</v>
      </c>
      <c r="EG11" s="210" t="s">
        <v>110</v>
      </c>
      <c r="EH11" s="210" t="s">
        <v>109</v>
      </c>
      <c r="EI11" s="211" t="s">
        <v>108</v>
      </c>
      <c r="EJ11" s="211"/>
      <c r="EK11" s="210" t="s">
        <v>110</v>
      </c>
      <c r="EL11" s="210" t="s">
        <v>110</v>
      </c>
      <c r="EM11" s="210" t="s">
        <v>109</v>
      </c>
      <c r="EN11" s="211" t="s">
        <v>108</v>
      </c>
    </row>
    <row r="12" spans="1:147">
      <c r="A12" s="416">
        <v>43466</v>
      </c>
      <c r="D12" s="398">
        <f>(B12*C12)/360</f>
        <v>0</v>
      </c>
      <c r="G12" s="398">
        <f>(E12*F12)/360</f>
        <v>0</v>
      </c>
      <c r="J12" s="398">
        <f>(H12*I12)/360</f>
        <v>0</v>
      </c>
      <c r="M12" s="398">
        <f>(K12*L12)/360</f>
        <v>0</v>
      </c>
      <c r="P12" s="398">
        <f>(N12*O12)/360</f>
        <v>0</v>
      </c>
      <c r="S12" s="398">
        <f>(Q12*R12)/360</f>
        <v>0</v>
      </c>
      <c r="V12" s="398">
        <f>(T12*U12)/360</f>
        <v>0</v>
      </c>
      <c r="Y12" s="398">
        <f>(W12*X12)/360</f>
        <v>0</v>
      </c>
      <c r="AB12" s="398">
        <f>(Z12*AA12)/360</f>
        <v>0</v>
      </c>
      <c r="AE12" s="398">
        <v>0</v>
      </c>
      <c r="AH12" s="398">
        <v>0</v>
      </c>
      <c r="AI12" s="417">
        <f>49600000</f>
        <v>49600000</v>
      </c>
      <c r="AJ12" s="418">
        <v>2.75E-2</v>
      </c>
      <c r="AK12" s="398">
        <f>(AI12*AJ12)/360</f>
        <v>3788.8888888888887</v>
      </c>
      <c r="AL12" s="417">
        <f t="shared" ref="AL12:AL25" si="0">5000000</f>
        <v>5000000</v>
      </c>
      <c r="AM12" s="418">
        <v>2.8000000000000001E-2</v>
      </c>
      <c r="AN12" s="398">
        <f>(AL12*AM12)/360</f>
        <v>388.88888888888891</v>
      </c>
      <c r="AO12" s="417"/>
      <c r="AP12" s="418"/>
      <c r="AQ12" s="398">
        <f>(AO12*AP12)/360</f>
        <v>0</v>
      </c>
      <c r="AR12" s="417"/>
      <c r="AS12" s="418"/>
      <c r="AT12" s="398">
        <f>(AR12*AS12)/360</f>
        <v>0</v>
      </c>
      <c r="AW12" s="398">
        <f>(AU12*AV12)/360</f>
        <v>0</v>
      </c>
      <c r="AZ12" s="398">
        <f>(AX12*AY12)/360</f>
        <v>0</v>
      </c>
      <c r="BC12" s="398">
        <f>(BA12*BB12)/360</f>
        <v>0</v>
      </c>
      <c r="BF12" s="398">
        <f>(BD12*BE12)/360</f>
        <v>0</v>
      </c>
      <c r="BI12" s="398">
        <f>(BG12*BH12)/360</f>
        <v>0</v>
      </c>
      <c r="BL12" s="398">
        <f>(BJ12*BK12)/360</f>
        <v>0</v>
      </c>
      <c r="BO12" s="398">
        <f>(BM12*BN12)/360</f>
        <v>0</v>
      </c>
      <c r="BR12" s="398">
        <f>(BP12*BQ12)/360</f>
        <v>0</v>
      </c>
      <c r="BU12" s="398">
        <f>(BS12*BT12)/360</f>
        <v>0</v>
      </c>
      <c r="BX12" s="398">
        <f>(BV12*BW12)/360</f>
        <v>0</v>
      </c>
      <c r="CA12" s="398">
        <f>(BY12*BZ12)/360</f>
        <v>0</v>
      </c>
      <c r="CD12" s="398">
        <f>(CB12*CC12)/360</f>
        <v>0</v>
      </c>
      <c r="CG12" s="398">
        <f>(CE12*CF12)/360</f>
        <v>0</v>
      </c>
      <c r="CJ12" s="398">
        <f>(CH12*CI12)/360</f>
        <v>0</v>
      </c>
      <c r="CM12" s="398">
        <f>(CK12*CL12)/360</f>
        <v>0</v>
      </c>
      <c r="CP12" s="398">
        <f>(CN12*CO12)/360</f>
        <v>0</v>
      </c>
      <c r="CS12" s="398">
        <f>(CQ12*CR12)/360</f>
        <v>0</v>
      </c>
      <c r="CV12" s="398">
        <f>(CT12*CU12)/360</f>
        <v>0</v>
      </c>
      <c r="CY12" s="398">
        <f>(CW12*CX12)/360</f>
        <v>0</v>
      </c>
      <c r="DB12" s="398">
        <f>(CZ12*DA12)/360</f>
        <v>0</v>
      </c>
      <c r="DE12" s="398">
        <f>(DC12*DD12)/360</f>
        <v>0</v>
      </c>
      <c r="DH12" s="398">
        <f>(DF12*DG12)/360</f>
        <v>0</v>
      </c>
      <c r="DK12" s="398">
        <f>(DI12*DJ12)/360</f>
        <v>0</v>
      </c>
      <c r="DN12" s="398">
        <f>(DL12*DM12)/360</f>
        <v>0</v>
      </c>
      <c r="DQ12" s="398">
        <f>(DO12*DP12)/360</f>
        <v>0</v>
      </c>
      <c r="DT12" s="398">
        <f>(DR12*DS12)/360</f>
        <v>0</v>
      </c>
      <c r="DW12" s="398">
        <f>(DU12*DV12)/360</f>
        <v>0</v>
      </c>
      <c r="DZ12" s="398"/>
      <c r="EA12" s="398"/>
      <c r="EB12" s="212">
        <f>B12+E12+H12+K12+N12+Q12+T12+W12+Z12+AC12+AF12+AL12+AO12+AR12+AU12+AX12+BA12+BD12+BG12+DU12+AI12+DR12+DO12+DL12+DI12+DF12+DC12+CZ12+CW12+CT12+CQ12+CN12+CK12+CH12+CE12+CB12+BY12+BV12+BS12+BP12+BM12+BJ12</f>
        <v>54600000</v>
      </c>
      <c r="EC12" s="212">
        <f>EB12-EK12+EL12</f>
        <v>0</v>
      </c>
      <c r="ED12" s="398">
        <f>D12+G12+J12+M12+P12+S12+V12+Y12+AB12+AE12+AH12+AK12+AN12+AQ12+AT12+AW12+AZ12+BC12+BF12+BI12+DW12+DT12+DQ12+DN12+DK12+DH12+DE12+DB12+CY12+CV12+CS12+CP12+CM12+CJ12+CG12+CD12+CA12+BX12+BU12+BR12+BO12+BL12</f>
        <v>4177.7777777777774</v>
      </c>
      <c r="EE12" s="399">
        <f>IF(EB12&lt;&gt;0,((ED12/EB12)*360),0)</f>
        <v>2.7545787545787546E-2</v>
      </c>
      <c r="EG12" s="212">
        <f>Q12+T12+W12+Z12+AC12+AF12</f>
        <v>0</v>
      </c>
      <c r="EH12" s="398">
        <f>S12+V12+Y12+AB12+AE12+AH12</f>
        <v>0</v>
      </c>
      <c r="EI12" s="399">
        <f>IF(EG12&lt;&gt;0,((EH12/EG12)*360),0)</f>
        <v>0</v>
      </c>
      <c r="EJ12" s="399"/>
      <c r="EK12" s="212">
        <f>DR12+DL12+DI12+DF12+DC12+CZ12+CW12+CT12+CQ12+CN12+CK12+CH12+CE12+CB12+BY12+BV12+BS12+BP12+BM12+BJ12+BG12+BD12+BA12+AX12+AU12+AR12+AO12+AL12+AI12+DO12</f>
        <v>54600000</v>
      </c>
      <c r="EL12" s="212">
        <f>DX12</f>
        <v>0</v>
      </c>
      <c r="EM12" s="212">
        <f>DT12+DQ12+DN12+DK12+DH12+DE12+DB12+CY12+CV12+CS12+CP12+CM12+CJ12+CG12+CD12+CA12+BX12+BU12+BR12+BO12+BL12+BI12+BF12+BC12+AZ12+AW12+AT12+AQ12+AN12+AK12</f>
        <v>4177.7777777777774</v>
      </c>
      <c r="EN12" s="399">
        <f>IF(EK12&lt;&gt;0,((EM12/EK12)*360),0)</f>
        <v>2.7545787545787546E-2</v>
      </c>
    </row>
    <row r="13" spans="1:147">
      <c r="A13" s="416">
        <f>1+A12</f>
        <v>43467</v>
      </c>
      <c r="D13" s="398">
        <f t="shared" ref="D13:D42" si="1">(B13*C13)/360</f>
        <v>0</v>
      </c>
      <c r="G13" s="398">
        <f t="shared" ref="G13:G42" si="2">(E13*F13)/360</f>
        <v>0</v>
      </c>
      <c r="J13" s="398">
        <f t="shared" ref="J13:J42" si="3">(H13*I13)/360</f>
        <v>0</v>
      </c>
      <c r="M13" s="398">
        <f t="shared" ref="M13:M42" si="4">(K13*L13)/360</f>
        <v>0</v>
      </c>
      <c r="P13" s="398">
        <f t="shared" ref="P13:P42" si="5">(N13*O13)/360</f>
        <v>0</v>
      </c>
      <c r="S13" s="398">
        <f t="shared" ref="S13:S42" si="6">(Q13*R13)/360</f>
        <v>0</v>
      </c>
      <c r="V13" s="398">
        <f t="shared" ref="V13:V42" si="7">(T13*U13)/360</f>
        <v>0</v>
      </c>
      <c r="Y13" s="398">
        <f t="shared" ref="Y13:Y42" si="8">(W13*X13)/360</f>
        <v>0</v>
      </c>
      <c r="AB13" s="398">
        <f t="shared" ref="AB13:AB42" si="9">(Z13*AA13)/360</f>
        <v>0</v>
      </c>
      <c r="AE13" s="398">
        <v>0</v>
      </c>
      <c r="AH13" s="398">
        <v>0</v>
      </c>
      <c r="AI13" s="417">
        <f>48025000</f>
        <v>48025000</v>
      </c>
      <c r="AJ13" s="418">
        <v>2.75E-2</v>
      </c>
      <c r="AK13" s="398">
        <f t="shared" ref="AK13:AK42" si="10">(AI13*AJ13)/360</f>
        <v>3668.5763888888887</v>
      </c>
      <c r="AL13" s="417">
        <f t="shared" si="0"/>
        <v>5000000</v>
      </c>
      <c r="AM13" s="418">
        <v>2.8000000000000001E-2</v>
      </c>
      <c r="AN13" s="398">
        <f t="shared" ref="AN13:AN42" si="11">(AL13*AM13)/360</f>
        <v>388.88888888888891</v>
      </c>
      <c r="AO13" s="417"/>
      <c r="AP13" s="418"/>
      <c r="AQ13" s="398">
        <f t="shared" ref="AQ13:AQ42" si="12">(AO13*AP13)/360</f>
        <v>0</v>
      </c>
      <c r="AR13" s="417"/>
      <c r="AS13" s="418"/>
      <c r="AT13" s="398">
        <f t="shared" ref="AT13:AT42" si="13">(AR13*AS13)/360</f>
        <v>0</v>
      </c>
      <c r="AW13" s="398">
        <f t="shared" ref="AW13:AW42" si="14">(AU13*AV13)/360</f>
        <v>0</v>
      </c>
      <c r="AZ13" s="398">
        <f t="shared" ref="AZ13:AZ42" si="15">(AX13*AY13)/360</f>
        <v>0</v>
      </c>
      <c r="BC13" s="398">
        <f t="shared" ref="BC13:BC42" si="16">(BA13*BB13)/360</f>
        <v>0</v>
      </c>
      <c r="BF13" s="398">
        <f t="shared" ref="BF13:BF42" si="17">(BD13*BE13)/360</f>
        <v>0</v>
      </c>
      <c r="BI13" s="398">
        <f t="shared" ref="BI13:BI42" si="18">(BG13*BH13)/360</f>
        <v>0</v>
      </c>
      <c r="BL13" s="398">
        <f t="shared" ref="BL13:BL42" si="19">(BJ13*BK13)/360</f>
        <v>0</v>
      </c>
      <c r="BO13" s="398">
        <f t="shared" ref="BO13:BO42" si="20">(BM13*BN13)/360</f>
        <v>0</v>
      </c>
      <c r="BR13" s="398">
        <f t="shared" ref="BR13:BR42" si="21">(BP13*BQ13)/360</f>
        <v>0</v>
      </c>
      <c r="BU13" s="398">
        <f t="shared" ref="BU13:BU42" si="22">(BS13*BT13)/360</f>
        <v>0</v>
      </c>
      <c r="BX13" s="398">
        <f t="shared" ref="BX13:BX42" si="23">(BV13*BW13)/360</f>
        <v>0</v>
      </c>
      <c r="CA13" s="398">
        <f t="shared" ref="CA13:CA42" si="24">(BY13*BZ13)/360</f>
        <v>0</v>
      </c>
      <c r="CD13" s="398">
        <f t="shared" ref="CD13:CD42" si="25">(CB13*CC13)/360</f>
        <v>0</v>
      </c>
      <c r="CG13" s="398">
        <f t="shared" ref="CG13:CG42" si="26">(CE13*CF13)/360</f>
        <v>0</v>
      </c>
      <c r="CJ13" s="398">
        <f t="shared" ref="CJ13:CJ42" si="27">(CH13*CI13)/360</f>
        <v>0</v>
      </c>
      <c r="CM13" s="398">
        <f t="shared" ref="CM13:CM42" si="28">(CK13*CL13)/360</f>
        <v>0</v>
      </c>
      <c r="CP13" s="398">
        <f t="shared" ref="CP13:CP42" si="29">(CN13*CO13)/360</f>
        <v>0</v>
      </c>
      <c r="CS13" s="398">
        <f t="shared" ref="CS13:CS42" si="30">(CQ13*CR13)/360</f>
        <v>0</v>
      </c>
      <c r="CV13" s="398">
        <f t="shared" ref="CV13:CV42" si="31">(CT13*CU13)/360</f>
        <v>0</v>
      </c>
      <c r="CY13" s="398">
        <f t="shared" ref="CY13:CY42" si="32">(CW13*CX13)/360</f>
        <v>0</v>
      </c>
      <c r="DB13" s="398">
        <f t="shared" ref="DB13:DB42" si="33">(CZ13*DA13)/360</f>
        <v>0</v>
      </c>
      <c r="DE13" s="398">
        <f t="shared" ref="DE13:DE42" si="34">(DC13*DD13)/360</f>
        <v>0</v>
      </c>
      <c r="DH13" s="398">
        <f t="shared" ref="DH13:DH42" si="35">(DF13*DG13)/360</f>
        <v>0</v>
      </c>
      <c r="DK13" s="398">
        <f t="shared" ref="DK13:DK42" si="36">(DI13*DJ13)/360</f>
        <v>0</v>
      </c>
      <c r="DN13" s="398">
        <f t="shared" ref="DN13:DN42" si="37">(DL13*DM13)/360</f>
        <v>0</v>
      </c>
      <c r="DQ13" s="398">
        <f t="shared" ref="DQ13:DQ42" si="38">(DO13*DP13)/360</f>
        <v>0</v>
      </c>
      <c r="DT13" s="398">
        <f t="shared" ref="DT13:DT42" si="39">(DR13*DS13)/360</f>
        <v>0</v>
      </c>
      <c r="DW13" s="398">
        <f t="shared" ref="DW13:DW42" si="40">(DU13*DV13)/360</f>
        <v>0</v>
      </c>
      <c r="DZ13" s="398"/>
      <c r="EA13" s="398"/>
      <c r="EB13" s="212">
        <f t="shared" ref="EB13:EB42" si="41">B13+E13+H13+K13+N13+Q13+T13+W13+Z13+AC13+AF13+AL13+AO13+AR13+AU13+AX13+BA13+BD13+BG13+DU13+AI13+DR13+DO13+DL13+DI13+DF13+DC13+CZ13+CW13+CT13+CQ13+CN13+CK13+CH13+CE13+CB13+BY13+BV13+BS13+BP13+BM13+BJ13</f>
        <v>53025000</v>
      </c>
      <c r="EC13" s="212">
        <f t="shared" ref="EC13:EC42" si="42">EB13-EK13+EL13</f>
        <v>0</v>
      </c>
      <c r="ED13" s="398">
        <f t="shared" ref="ED13:ED42" si="43">D13+G13+J13+M13+P13+S13+V13+Y13+AB13+AE13+AH13+AK13+AN13+AQ13+AT13+AW13+AZ13+BC13+BF13+BI13+DW13+DT13+DQ13+DN13+DK13+DH13+DE13+DB13+CY13+CV13+CS13+CP13+CM13+CJ13+CG13+CD13+CA13+BX13+BU13+BR13+BO13+BL13</f>
        <v>4057.4652777777774</v>
      </c>
      <c r="EE13" s="399">
        <f t="shared" ref="EE13:EE42" si="44">IF(EB13&lt;&gt;0,((ED13/EB13)*360),0)</f>
        <v>2.7547147571900046E-2</v>
      </c>
      <c r="EG13" s="212">
        <f t="shared" ref="EG13:EG42" si="45">Q13+T13+W13+Z13+AC13+AF13</f>
        <v>0</v>
      </c>
      <c r="EH13" s="398">
        <f t="shared" ref="EH13:EH42" si="46">S13+V13+Y13+AB13+AE13+AH13</f>
        <v>0</v>
      </c>
      <c r="EI13" s="399">
        <f t="shared" ref="EI13:EI42" si="47">IF(EG13&lt;&gt;0,((EH13/EG13)*360),0)</f>
        <v>0</v>
      </c>
      <c r="EJ13" s="399"/>
      <c r="EK13" s="212">
        <f t="shared" ref="EK13:EK42" si="48">DR13+DL13+DI13+DF13+DC13+CZ13+CW13+CT13+CQ13+CN13+CK13+CH13+CE13+CB13+BY13+BV13+BS13+BP13+BM13+BJ13+BG13+BD13+BA13+AX13+AU13+AR13+AO13+AL13+AI13+DO13</f>
        <v>53025000</v>
      </c>
      <c r="EL13" s="212">
        <f t="shared" ref="EL13:EL42" si="49">DX13</f>
        <v>0</v>
      </c>
      <c r="EM13" s="212">
        <f t="shared" ref="EM13:EM42" si="50">DT13+DQ13+DN13+DK13+DH13+DE13+DB13+CY13+CV13+CS13+CP13+CM13+CJ13+CG13+CD13+CA13+BX13+BU13+BR13+BO13+BL13+BI13+BF13+BC13+AZ13+AW13+AT13+AQ13+AN13+AK13</f>
        <v>4057.4652777777774</v>
      </c>
      <c r="EN13" s="399">
        <f t="shared" ref="EN13:EN42" si="51">IF(EK13&lt;&gt;0,((EM13/EK13)*360),0)</f>
        <v>2.7547147571900046E-2</v>
      </c>
    </row>
    <row r="14" spans="1:147">
      <c r="A14" s="416">
        <f t="shared" ref="A14:A42" si="52">1+A13</f>
        <v>43468</v>
      </c>
      <c r="D14" s="398">
        <f t="shared" si="1"/>
        <v>0</v>
      </c>
      <c r="G14" s="398">
        <f t="shared" si="2"/>
        <v>0</v>
      </c>
      <c r="J14" s="398">
        <f t="shared" si="3"/>
        <v>0</v>
      </c>
      <c r="M14" s="398">
        <f t="shared" si="4"/>
        <v>0</v>
      </c>
      <c r="P14" s="398">
        <f t="shared" si="5"/>
        <v>0</v>
      </c>
      <c r="S14" s="398">
        <f t="shared" si="6"/>
        <v>0</v>
      </c>
      <c r="V14" s="398">
        <f t="shared" si="7"/>
        <v>0</v>
      </c>
      <c r="Y14" s="398">
        <f t="shared" si="8"/>
        <v>0</v>
      </c>
      <c r="AB14" s="398">
        <f t="shared" si="9"/>
        <v>0</v>
      </c>
      <c r="AE14" s="398">
        <v>0</v>
      </c>
      <c r="AH14" s="398">
        <v>0</v>
      </c>
      <c r="AI14" s="417">
        <f>52875000</f>
        <v>52875000</v>
      </c>
      <c r="AJ14" s="418">
        <v>2.75E-2</v>
      </c>
      <c r="AK14" s="398">
        <f t="shared" si="10"/>
        <v>4039.0625</v>
      </c>
      <c r="AL14" s="417">
        <f t="shared" si="0"/>
        <v>5000000</v>
      </c>
      <c r="AM14" s="418">
        <v>2.8000000000000001E-2</v>
      </c>
      <c r="AN14" s="398">
        <f t="shared" si="11"/>
        <v>388.88888888888891</v>
      </c>
      <c r="AO14" s="417"/>
      <c r="AP14" s="418"/>
      <c r="AQ14" s="398">
        <f t="shared" si="12"/>
        <v>0</v>
      </c>
      <c r="AR14" s="417"/>
      <c r="AS14" s="418"/>
      <c r="AT14" s="398">
        <f t="shared" si="13"/>
        <v>0</v>
      </c>
      <c r="AW14" s="398">
        <f t="shared" si="14"/>
        <v>0</v>
      </c>
      <c r="AZ14" s="398">
        <f t="shared" si="15"/>
        <v>0</v>
      </c>
      <c r="BC14" s="398">
        <f t="shared" si="16"/>
        <v>0</v>
      </c>
      <c r="BF14" s="398">
        <f t="shared" si="17"/>
        <v>0</v>
      </c>
      <c r="BI14" s="398">
        <f t="shared" si="18"/>
        <v>0</v>
      </c>
      <c r="BL14" s="398">
        <f t="shared" si="19"/>
        <v>0</v>
      </c>
      <c r="BO14" s="398">
        <f t="shared" si="20"/>
        <v>0</v>
      </c>
      <c r="BR14" s="398">
        <f t="shared" si="21"/>
        <v>0</v>
      </c>
      <c r="BU14" s="398">
        <f t="shared" si="22"/>
        <v>0</v>
      </c>
      <c r="BX14" s="398">
        <f t="shared" si="23"/>
        <v>0</v>
      </c>
      <c r="CA14" s="398">
        <f t="shared" si="24"/>
        <v>0</v>
      </c>
      <c r="CD14" s="398">
        <f t="shared" si="25"/>
        <v>0</v>
      </c>
      <c r="CG14" s="398">
        <f t="shared" si="26"/>
        <v>0</v>
      </c>
      <c r="CJ14" s="398">
        <f t="shared" si="27"/>
        <v>0</v>
      </c>
      <c r="CM14" s="398">
        <f t="shared" si="28"/>
        <v>0</v>
      </c>
      <c r="CP14" s="398">
        <f t="shared" si="29"/>
        <v>0</v>
      </c>
      <c r="CS14" s="398">
        <f t="shared" si="30"/>
        <v>0</v>
      </c>
      <c r="CV14" s="398">
        <f t="shared" si="31"/>
        <v>0</v>
      </c>
      <c r="CY14" s="398">
        <f t="shared" si="32"/>
        <v>0</v>
      </c>
      <c r="DB14" s="398">
        <f t="shared" si="33"/>
        <v>0</v>
      </c>
      <c r="DE14" s="398">
        <f t="shared" si="34"/>
        <v>0</v>
      </c>
      <c r="DH14" s="398">
        <f t="shared" si="35"/>
        <v>0</v>
      </c>
      <c r="DK14" s="398">
        <f t="shared" si="36"/>
        <v>0</v>
      </c>
      <c r="DN14" s="398">
        <f t="shared" si="37"/>
        <v>0</v>
      </c>
      <c r="DQ14" s="398">
        <f t="shared" si="38"/>
        <v>0</v>
      </c>
      <c r="DT14" s="398">
        <f t="shared" si="39"/>
        <v>0</v>
      </c>
      <c r="DW14" s="398">
        <f t="shared" si="40"/>
        <v>0</v>
      </c>
      <c r="DZ14" s="398"/>
      <c r="EA14" s="398"/>
      <c r="EB14" s="212">
        <f t="shared" si="41"/>
        <v>57875000</v>
      </c>
      <c r="EC14" s="212">
        <f t="shared" si="42"/>
        <v>0</v>
      </c>
      <c r="ED14" s="398">
        <f t="shared" si="43"/>
        <v>4427.9513888888887</v>
      </c>
      <c r="EE14" s="399">
        <f t="shared" si="44"/>
        <v>2.7543196544276456E-2</v>
      </c>
      <c r="EG14" s="212">
        <f t="shared" si="45"/>
        <v>0</v>
      </c>
      <c r="EH14" s="398">
        <f t="shared" si="46"/>
        <v>0</v>
      </c>
      <c r="EI14" s="399">
        <f t="shared" si="47"/>
        <v>0</v>
      </c>
      <c r="EJ14" s="399"/>
      <c r="EK14" s="212">
        <f t="shared" si="48"/>
        <v>57875000</v>
      </c>
      <c r="EL14" s="212">
        <f t="shared" si="49"/>
        <v>0</v>
      </c>
      <c r="EM14" s="212">
        <f t="shared" si="50"/>
        <v>4427.9513888888887</v>
      </c>
      <c r="EN14" s="399">
        <f t="shared" si="51"/>
        <v>2.7543196544276456E-2</v>
      </c>
    </row>
    <row r="15" spans="1:147">
      <c r="A15" s="416">
        <f t="shared" si="52"/>
        <v>43469</v>
      </c>
      <c r="D15" s="398">
        <f t="shared" si="1"/>
        <v>0</v>
      </c>
      <c r="G15" s="398">
        <f t="shared" si="2"/>
        <v>0</v>
      </c>
      <c r="J15" s="398">
        <f t="shared" si="3"/>
        <v>0</v>
      </c>
      <c r="M15" s="398">
        <f t="shared" si="4"/>
        <v>0</v>
      </c>
      <c r="P15" s="398">
        <f t="shared" si="5"/>
        <v>0</v>
      </c>
      <c r="S15" s="398">
        <f t="shared" si="6"/>
        <v>0</v>
      </c>
      <c r="V15" s="398">
        <f t="shared" si="7"/>
        <v>0</v>
      </c>
      <c r="Y15" s="398">
        <f t="shared" si="8"/>
        <v>0</v>
      </c>
      <c r="AB15" s="398">
        <f t="shared" si="9"/>
        <v>0</v>
      </c>
      <c r="AE15" s="398">
        <v>0</v>
      </c>
      <c r="AH15" s="398">
        <v>0</v>
      </c>
      <c r="AI15" s="417">
        <f>26125000</f>
        <v>26125000</v>
      </c>
      <c r="AJ15" s="418">
        <v>2.75E-2</v>
      </c>
      <c r="AK15" s="398">
        <f t="shared" si="10"/>
        <v>1995.6597222222222</v>
      </c>
      <c r="AL15" s="417">
        <f t="shared" si="0"/>
        <v>5000000</v>
      </c>
      <c r="AM15" s="418">
        <v>2.8000000000000001E-2</v>
      </c>
      <c r="AN15" s="398">
        <f t="shared" si="11"/>
        <v>388.88888888888891</v>
      </c>
      <c r="AO15" s="417">
        <f t="shared" ref="AO15:AO42" si="53">50000000</f>
        <v>50000000</v>
      </c>
      <c r="AP15" s="418">
        <v>2.9700000000000001E-2</v>
      </c>
      <c r="AQ15" s="398">
        <f t="shared" si="12"/>
        <v>4125</v>
      </c>
      <c r="AR15" s="417"/>
      <c r="AS15" s="418"/>
      <c r="AT15" s="398">
        <f t="shared" si="13"/>
        <v>0</v>
      </c>
      <c r="AW15" s="398">
        <f t="shared" si="14"/>
        <v>0</v>
      </c>
      <c r="AZ15" s="398">
        <f t="shared" si="15"/>
        <v>0</v>
      </c>
      <c r="BC15" s="398">
        <f t="shared" si="16"/>
        <v>0</v>
      </c>
      <c r="BF15" s="398">
        <f t="shared" si="17"/>
        <v>0</v>
      </c>
      <c r="BI15" s="398">
        <f t="shared" si="18"/>
        <v>0</v>
      </c>
      <c r="BL15" s="398">
        <f t="shared" si="19"/>
        <v>0</v>
      </c>
      <c r="BO15" s="398">
        <f t="shared" si="20"/>
        <v>0</v>
      </c>
      <c r="BR15" s="398">
        <f t="shared" si="21"/>
        <v>0</v>
      </c>
      <c r="BU15" s="398">
        <f t="shared" si="22"/>
        <v>0</v>
      </c>
      <c r="BX15" s="398">
        <f t="shared" si="23"/>
        <v>0</v>
      </c>
      <c r="CA15" s="398">
        <f t="shared" si="24"/>
        <v>0</v>
      </c>
      <c r="CD15" s="398">
        <f t="shared" si="25"/>
        <v>0</v>
      </c>
      <c r="CG15" s="398">
        <f t="shared" si="26"/>
        <v>0</v>
      </c>
      <c r="CJ15" s="398">
        <f t="shared" si="27"/>
        <v>0</v>
      </c>
      <c r="CM15" s="398">
        <f t="shared" si="28"/>
        <v>0</v>
      </c>
      <c r="CP15" s="398">
        <f t="shared" si="29"/>
        <v>0</v>
      </c>
      <c r="CS15" s="398">
        <f t="shared" si="30"/>
        <v>0</v>
      </c>
      <c r="CV15" s="398">
        <f t="shared" si="31"/>
        <v>0</v>
      </c>
      <c r="CY15" s="398">
        <f t="shared" si="32"/>
        <v>0</v>
      </c>
      <c r="DB15" s="398">
        <f t="shared" si="33"/>
        <v>0</v>
      </c>
      <c r="DE15" s="398">
        <f t="shared" si="34"/>
        <v>0</v>
      </c>
      <c r="DH15" s="398">
        <f t="shared" si="35"/>
        <v>0</v>
      </c>
      <c r="DK15" s="398">
        <f t="shared" si="36"/>
        <v>0</v>
      </c>
      <c r="DN15" s="398">
        <f t="shared" si="37"/>
        <v>0</v>
      </c>
      <c r="DQ15" s="398">
        <f t="shared" si="38"/>
        <v>0</v>
      </c>
      <c r="DT15" s="398">
        <f t="shared" si="39"/>
        <v>0</v>
      </c>
      <c r="DW15" s="398">
        <f t="shared" si="40"/>
        <v>0</v>
      </c>
      <c r="DZ15" s="398"/>
      <c r="EA15" s="398"/>
      <c r="EB15" s="212">
        <f t="shared" si="41"/>
        <v>81125000</v>
      </c>
      <c r="EC15" s="212">
        <f t="shared" si="42"/>
        <v>0</v>
      </c>
      <c r="ED15" s="398">
        <f t="shared" si="43"/>
        <v>6509.5486111111113</v>
      </c>
      <c r="EE15" s="399">
        <f t="shared" si="44"/>
        <v>2.8886748844375965E-2</v>
      </c>
      <c r="EG15" s="212">
        <f t="shared" si="45"/>
        <v>0</v>
      </c>
      <c r="EH15" s="398">
        <f t="shared" si="46"/>
        <v>0</v>
      </c>
      <c r="EI15" s="399">
        <f t="shared" si="47"/>
        <v>0</v>
      </c>
      <c r="EJ15" s="399"/>
      <c r="EK15" s="212">
        <f t="shared" si="48"/>
        <v>81125000</v>
      </c>
      <c r="EL15" s="212">
        <f t="shared" si="49"/>
        <v>0</v>
      </c>
      <c r="EM15" s="212">
        <f t="shared" si="50"/>
        <v>6509.5486111111113</v>
      </c>
      <c r="EN15" s="399">
        <f t="shared" si="51"/>
        <v>2.8886748844375965E-2</v>
      </c>
    </row>
    <row r="16" spans="1:147">
      <c r="A16" s="416">
        <f t="shared" si="52"/>
        <v>43470</v>
      </c>
      <c r="D16" s="398">
        <f t="shared" si="1"/>
        <v>0</v>
      </c>
      <c r="G16" s="398">
        <f t="shared" si="2"/>
        <v>0</v>
      </c>
      <c r="J16" s="398">
        <f t="shared" si="3"/>
        <v>0</v>
      </c>
      <c r="M16" s="398">
        <f t="shared" si="4"/>
        <v>0</v>
      </c>
      <c r="P16" s="398">
        <f t="shared" si="5"/>
        <v>0</v>
      </c>
      <c r="S16" s="398">
        <f t="shared" si="6"/>
        <v>0</v>
      </c>
      <c r="V16" s="398">
        <f t="shared" si="7"/>
        <v>0</v>
      </c>
      <c r="Y16" s="398">
        <f t="shared" si="8"/>
        <v>0</v>
      </c>
      <c r="AB16" s="398">
        <f t="shared" si="9"/>
        <v>0</v>
      </c>
      <c r="AE16" s="398">
        <v>0</v>
      </c>
      <c r="AH16" s="398">
        <v>0</v>
      </c>
      <c r="AI16" s="417">
        <f>26125000</f>
        <v>26125000</v>
      </c>
      <c r="AJ16" s="418">
        <v>2.75E-2</v>
      </c>
      <c r="AK16" s="398">
        <f t="shared" si="10"/>
        <v>1995.6597222222222</v>
      </c>
      <c r="AL16" s="417">
        <f t="shared" si="0"/>
        <v>5000000</v>
      </c>
      <c r="AM16" s="418">
        <v>2.8000000000000001E-2</v>
      </c>
      <c r="AN16" s="398">
        <f t="shared" si="11"/>
        <v>388.88888888888891</v>
      </c>
      <c r="AO16" s="417">
        <f t="shared" si="53"/>
        <v>50000000</v>
      </c>
      <c r="AP16" s="418">
        <v>2.9700000000000001E-2</v>
      </c>
      <c r="AQ16" s="398">
        <f t="shared" si="12"/>
        <v>4125</v>
      </c>
      <c r="AR16" s="417"/>
      <c r="AS16" s="418"/>
      <c r="AT16" s="398">
        <f t="shared" si="13"/>
        <v>0</v>
      </c>
      <c r="AW16" s="398">
        <f t="shared" si="14"/>
        <v>0</v>
      </c>
      <c r="AZ16" s="398">
        <f t="shared" si="15"/>
        <v>0</v>
      </c>
      <c r="BC16" s="398">
        <f t="shared" si="16"/>
        <v>0</v>
      </c>
      <c r="BF16" s="398">
        <f t="shared" si="17"/>
        <v>0</v>
      </c>
      <c r="BI16" s="398">
        <f t="shared" si="18"/>
        <v>0</v>
      </c>
      <c r="BL16" s="398">
        <f t="shared" si="19"/>
        <v>0</v>
      </c>
      <c r="BO16" s="398">
        <f t="shared" si="20"/>
        <v>0</v>
      </c>
      <c r="BR16" s="398">
        <f t="shared" si="21"/>
        <v>0</v>
      </c>
      <c r="BU16" s="398">
        <f t="shared" si="22"/>
        <v>0</v>
      </c>
      <c r="BX16" s="398">
        <f t="shared" si="23"/>
        <v>0</v>
      </c>
      <c r="CA16" s="398">
        <f t="shared" si="24"/>
        <v>0</v>
      </c>
      <c r="CD16" s="398">
        <f t="shared" si="25"/>
        <v>0</v>
      </c>
      <c r="CG16" s="398">
        <f t="shared" si="26"/>
        <v>0</v>
      </c>
      <c r="CJ16" s="398">
        <f t="shared" si="27"/>
        <v>0</v>
      </c>
      <c r="CM16" s="398">
        <f t="shared" si="28"/>
        <v>0</v>
      </c>
      <c r="CP16" s="398">
        <f t="shared" si="29"/>
        <v>0</v>
      </c>
      <c r="CS16" s="398">
        <f t="shared" si="30"/>
        <v>0</v>
      </c>
      <c r="CV16" s="398">
        <f t="shared" si="31"/>
        <v>0</v>
      </c>
      <c r="CY16" s="398">
        <f t="shared" si="32"/>
        <v>0</v>
      </c>
      <c r="DB16" s="398">
        <f t="shared" si="33"/>
        <v>0</v>
      </c>
      <c r="DE16" s="398">
        <f t="shared" si="34"/>
        <v>0</v>
      </c>
      <c r="DH16" s="398">
        <f t="shared" si="35"/>
        <v>0</v>
      </c>
      <c r="DK16" s="398">
        <f t="shared" si="36"/>
        <v>0</v>
      </c>
      <c r="DN16" s="398">
        <f t="shared" si="37"/>
        <v>0</v>
      </c>
      <c r="DQ16" s="398">
        <f t="shared" si="38"/>
        <v>0</v>
      </c>
      <c r="DT16" s="398">
        <f t="shared" si="39"/>
        <v>0</v>
      </c>
      <c r="DW16" s="398">
        <f t="shared" si="40"/>
        <v>0</v>
      </c>
      <c r="DZ16" s="398"/>
      <c r="EA16" s="398"/>
      <c r="EB16" s="212">
        <f t="shared" si="41"/>
        <v>81125000</v>
      </c>
      <c r="EC16" s="212">
        <f t="shared" si="42"/>
        <v>0</v>
      </c>
      <c r="ED16" s="398">
        <f t="shared" si="43"/>
        <v>6509.5486111111113</v>
      </c>
      <c r="EE16" s="399">
        <f t="shared" si="44"/>
        <v>2.8886748844375965E-2</v>
      </c>
      <c r="EG16" s="212">
        <f t="shared" si="45"/>
        <v>0</v>
      </c>
      <c r="EH16" s="398">
        <f t="shared" si="46"/>
        <v>0</v>
      </c>
      <c r="EI16" s="399">
        <f t="shared" si="47"/>
        <v>0</v>
      </c>
      <c r="EJ16" s="399"/>
      <c r="EK16" s="212">
        <f t="shared" si="48"/>
        <v>81125000</v>
      </c>
      <c r="EL16" s="212">
        <f t="shared" si="49"/>
        <v>0</v>
      </c>
      <c r="EM16" s="212">
        <f t="shared" si="50"/>
        <v>6509.5486111111113</v>
      </c>
      <c r="EN16" s="399">
        <f t="shared" si="51"/>
        <v>2.8886748844375965E-2</v>
      </c>
    </row>
    <row r="17" spans="1:144">
      <c r="A17" s="416">
        <f t="shared" si="52"/>
        <v>43471</v>
      </c>
      <c r="D17" s="398">
        <f t="shared" si="1"/>
        <v>0</v>
      </c>
      <c r="G17" s="398">
        <f t="shared" si="2"/>
        <v>0</v>
      </c>
      <c r="J17" s="398">
        <f t="shared" si="3"/>
        <v>0</v>
      </c>
      <c r="M17" s="398">
        <f t="shared" si="4"/>
        <v>0</v>
      </c>
      <c r="P17" s="398">
        <f t="shared" si="5"/>
        <v>0</v>
      </c>
      <c r="S17" s="398">
        <f t="shared" si="6"/>
        <v>0</v>
      </c>
      <c r="V17" s="398">
        <f t="shared" si="7"/>
        <v>0</v>
      </c>
      <c r="Y17" s="398">
        <f t="shared" si="8"/>
        <v>0</v>
      </c>
      <c r="AB17" s="398">
        <f t="shared" si="9"/>
        <v>0</v>
      </c>
      <c r="AE17" s="398">
        <v>0</v>
      </c>
      <c r="AH17" s="398">
        <v>0</v>
      </c>
      <c r="AI17" s="417">
        <f>26125000</f>
        <v>26125000</v>
      </c>
      <c r="AJ17" s="418">
        <v>2.75E-2</v>
      </c>
      <c r="AK17" s="398">
        <f t="shared" si="10"/>
        <v>1995.6597222222222</v>
      </c>
      <c r="AL17" s="417">
        <f t="shared" si="0"/>
        <v>5000000</v>
      </c>
      <c r="AM17" s="418">
        <v>2.8000000000000001E-2</v>
      </c>
      <c r="AN17" s="398">
        <f t="shared" si="11"/>
        <v>388.88888888888891</v>
      </c>
      <c r="AO17" s="417">
        <f t="shared" si="53"/>
        <v>50000000</v>
      </c>
      <c r="AP17" s="418">
        <v>2.9700000000000001E-2</v>
      </c>
      <c r="AQ17" s="398">
        <f t="shared" si="12"/>
        <v>4125</v>
      </c>
      <c r="AR17" s="417"/>
      <c r="AS17" s="418"/>
      <c r="AT17" s="398">
        <f t="shared" si="13"/>
        <v>0</v>
      </c>
      <c r="AW17" s="398">
        <f t="shared" si="14"/>
        <v>0</v>
      </c>
      <c r="AZ17" s="398">
        <f t="shared" si="15"/>
        <v>0</v>
      </c>
      <c r="BC17" s="398">
        <f t="shared" si="16"/>
        <v>0</v>
      </c>
      <c r="BF17" s="398">
        <f t="shared" si="17"/>
        <v>0</v>
      </c>
      <c r="BI17" s="398">
        <f t="shared" si="18"/>
        <v>0</v>
      </c>
      <c r="BL17" s="398">
        <f t="shared" si="19"/>
        <v>0</v>
      </c>
      <c r="BO17" s="398">
        <f t="shared" si="20"/>
        <v>0</v>
      </c>
      <c r="BR17" s="398">
        <f t="shared" si="21"/>
        <v>0</v>
      </c>
      <c r="BU17" s="398">
        <f t="shared" si="22"/>
        <v>0</v>
      </c>
      <c r="BX17" s="398">
        <f t="shared" si="23"/>
        <v>0</v>
      </c>
      <c r="CA17" s="398">
        <f t="shared" si="24"/>
        <v>0</v>
      </c>
      <c r="CD17" s="398">
        <f t="shared" si="25"/>
        <v>0</v>
      </c>
      <c r="CG17" s="398">
        <f t="shared" si="26"/>
        <v>0</v>
      </c>
      <c r="CJ17" s="398">
        <f t="shared" si="27"/>
        <v>0</v>
      </c>
      <c r="CM17" s="398">
        <f t="shared" si="28"/>
        <v>0</v>
      </c>
      <c r="CP17" s="398">
        <f t="shared" si="29"/>
        <v>0</v>
      </c>
      <c r="CS17" s="398">
        <f t="shared" si="30"/>
        <v>0</v>
      </c>
      <c r="CV17" s="398">
        <f t="shared" si="31"/>
        <v>0</v>
      </c>
      <c r="CY17" s="398">
        <f t="shared" si="32"/>
        <v>0</v>
      </c>
      <c r="DB17" s="398">
        <f t="shared" si="33"/>
        <v>0</v>
      </c>
      <c r="DE17" s="398">
        <f t="shared" si="34"/>
        <v>0</v>
      </c>
      <c r="DH17" s="398">
        <f t="shared" si="35"/>
        <v>0</v>
      </c>
      <c r="DK17" s="398">
        <f t="shared" si="36"/>
        <v>0</v>
      </c>
      <c r="DN17" s="398">
        <f t="shared" si="37"/>
        <v>0</v>
      </c>
      <c r="DQ17" s="398">
        <f t="shared" si="38"/>
        <v>0</v>
      </c>
      <c r="DT17" s="398">
        <f t="shared" si="39"/>
        <v>0</v>
      </c>
      <c r="DW17" s="398">
        <f t="shared" si="40"/>
        <v>0</v>
      </c>
      <c r="DZ17" s="398"/>
      <c r="EA17" s="398"/>
      <c r="EB17" s="212">
        <f t="shared" si="41"/>
        <v>81125000</v>
      </c>
      <c r="EC17" s="212">
        <f t="shared" si="42"/>
        <v>0</v>
      </c>
      <c r="ED17" s="398">
        <f t="shared" si="43"/>
        <v>6509.5486111111113</v>
      </c>
      <c r="EE17" s="399">
        <f t="shared" si="44"/>
        <v>2.8886748844375965E-2</v>
      </c>
      <c r="EG17" s="212">
        <f t="shared" si="45"/>
        <v>0</v>
      </c>
      <c r="EH17" s="398">
        <f t="shared" si="46"/>
        <v>0</v>
      </c>
      <c r="EI17" s="399">
        <f t="shared" si="47"/>
        <v>0</v>
      </c>
      <c r="EJ17" s="399"/>
      <c r="EK17" s="212">
        <f t="shared" si="48"/>
        <v>81125000</v>
      </c>
      <c r="EL17" s="212">
        <f t="shared" si="49"/>
        <v>0</v>
      </c>
      <c r="EM17" s="212">
        <f t="shared" si="50"/>
        <v>6509.5486111111113</v>
      </c>
      <c r="EN17" s="399">
        <f t="shared" si="51"/>
        <v>2.8886748844375965E-2</v>
      </c>
    </row>
    <row r="18" spans="1:144">
      <c r="A18" s="416">
        <f t="shared" si="52"/>
        <v>43472</v>
      </c>
      <c r="D18" s="398">
        <f t="shared" si="1"/>
        <v>0</v>
      </c>
      <c r="G18" s="398">
        <f t="shared" si="2"/>
        <v>0</v>
      </c>
      <c r="J18" s="398">
        <f t="shared" si="3"/>
        <v>0</v>
      </c>
      <c r="M18" s="398">
        <f t="shared" si="4"/>
        <v>0</v>
      </c>
      <c r="P18" s="398">
        <f t="shared" si="5"/>
        <v>0</v>
      </c>
      <c r="S18" s="398">
        <f t="shared" si="6"/>
        <v>0</v>
      </c>
      <c r="V18" s="398">
        <f t="shared" si="7"/>
        <v>0</v>
      </c>
      <c r="Y18" s="398">
        <f t="shared" si="8"/>
        <v>0</v>
      </c>
      <c r="AB18" s="398">
        <f t="shared" si="9"/>
        <v>0</v>
      </c>
      <c r="AE18" s="398">
        <v>0</v>
      </c>
      <c r="AH18" s="398">
        <v>0</v>
      </c>
      <c r="AI18" s="417">
        <f>38425000</f>
        <v>38425000</v>
      </c>
      <c r="AJ18" s="418">
        <v>2.7300000000000001E-2</v>
      </c>
      <c r="AK18" s="398">
        <f t="shared" si="10"/>
        <v>2913.8958333333335</v>
      </c>
      <c r="AL18" s="417">
        <f t="shared" si="0"/>
        <v>5000000</v>
      </c>
      <c r="AM18" s="418">
        <v>2.8000000000000001E-2</v>
      </c>
      <c r="AN18" s="398">
        <f t="shared" si="11"/>
        <v>388.88888888888891</v>
      </c>
      <c r="AO18" s="417">
        <f t="shared" si="53"/>
        <v>50000000</v>
      </c>
      <c r="AP18" s="418">
        <v>2.9700000000000001E-2</v>
      </c>
      <c r="AQ18" s="398">
        <f t="shared" si="12"/>
        <v>4125</v>
      </c>
      <c r="AR18" s="417"/>
      <c r="AS18" s="418"/>
      <c r="AT18" s="398">
        <f t="shared" si="13"/>
        <v>0</v>
      </c>
      <c r="AW18" s="398">
        <f t="shared" si="14"/>
        <v>0</v>
      </c>
      <c r="AZ18" s="398">
        <f t="shared" si="15"/>
        <v>0</v>
      </c>
      <c r="BC18" s="398">
        <f t="shared" si="16"/>
        <v>0</v>
      </c>
      <c r="BF18" s="398">
        <f t="shared" si="17"/>
        <v>0</v>
      </c>
      <c r="BI18" s="398">
        <f t="shared" si="18"/>
        <v>0</v>
      </c>
      <c r="BL18" s="398">
        <f t="shared" si="19"/>
        <v>0</v>
      </c>
      <c r="BO18" s="398">
        <f t="shared" si="20"/>
        <v>0</v>
      </c>
      <c r="BR18" s="398">
        <f t="shared" si="21"/>
        <v>0</v>
      </c>
      <c r="BU18" s="398">
        <f t="shared" si="22"/>
        <v>0</v>
      </c>
      <c r="BX18" s="398">
        <f t="shared" si="23"/>
        <v>0</v>
      </c>
      <c r="CA18" s="398">
        <f t="shared" si="24"/>
        <v>0</v>
      </c>
      <c r="CD18" s="398">
        <f t="shared" si="25"/>
        <v>0</v>
      </c>
      <c r="CG18" s="398">
        <f t="shared" si="26"/>
        <v>0</v>
      </c>
      <c r="CJ18" s="398">
        <f t="shared" si="27"/>
        <v>0</v>
      </c>
      <c r="CM18" s="398">
        <f t="shared" si="28"/>
        <v>0</v>
      </c>
      <c r="CP18" s="398">
        <f t="shared" si="29"/>
        <v>0</v>
      </c>
      <c r="CS18" s="398">
        <f t="shared" si="30"/>
        <v>0</v>
      </c>
      <c r="CV18" s="398">
        <f t="shared" si="31"/>
        <v>0</v>
      </c>
      <c r="CY18" s="398">
        <f t="shared" si="32"/>
        <v>0</v>
      </c>
      <c r="DB18" s="398">
        <f t="shared" si="33"/>
        <v>0</v>
      </c>
      <c r="DE18" s="398">
        <f t="shared" si="34"/>
        <v>0</v>
      </c>
      <c r="DH18" s="398">
        <f t="shared" si="35"/>
        <v>0</v>
      </c>
      <c r="DK18" s="398">
        <f t="shared" si="36"/>
        <v>0</v>
      </c>
      <c r="DN18" s="398">
        <f t="shared" si="37"/>
        <v>0</v>
      </c>
      <c r="DQ18" s="398">
        <f t="shared" si="38"/>
        <v>0</v>
      </c>
      <c r="DT18" s="398">
        <f t="shared" si="39"/>
        <v>0</v>
      </c>
      <c r="DW18" s="398">
        <f t="shared" si="40"/>
        <v>0</v>
      </c>
      <c r="DZ18" s="398"/>
      <c r="EA18" s="398"/>
      <c r="EB18" s="212">
        <f t="shared" si="41"/>
        <v>93425000</v>
      </c>
      <c r="EC18" s="212">
        <f t="shared" si="42"/>
        <v>0</v>
      </c>
      <c r="ED18" s="398">
        <f t="shared" si="43"/>
        <v>7427.7847222222226</v>
      </c>
      <c r="EE18" s="399">
        <f t="shared" si="44"/>
        <v>2.8621915975381322E-2</v>
      </c>
      <c r="EG18" s="212">
        <f t="shared" si="45"/>
        <v>0</v>
      </c>
      <c r="EH18" s="398">
        <f t="shared" si="46"/>
        <v>0</v>
      </c>
      <c r="EI18" s="399">
        <f t="shared" si="47"/>
        <v>0</v>
      </c>
      <c r="EJ18" s="399"/>
      <c r="EK18" s="212">
        <f t="shared" si="48"/>
        <v>93425000</v>
      </c>
      <c r="EL18" s="212">
        <f t="shared" si="49"/>
        <v>0</v>
      </c>
      <c r="EM18" s="212">
        <f t="shared" si="50"/>
        <v>7427.7847222222226</v>
      </c>
      <c r="EN18" s="399">
        <f t="shared" si="51"/>
        <v>2.8621915975381322E-2</v>
      </c>
    </row>
    <row r="19" spans="1:144">
      <c r="A19" s="416">
        <f t="shared" si="52"/>
        <v>43473</v>
      </c>
      <c r="D19" s="398">
        <f t="shared" si="1"/>
        <v>0</v>
      </c>
      <c r="G19" s="398">
        <f t="shared" si="2"/>
        <v>0</v>
      </c>
      <c r="J19" s="398">
        <f t="shared" si="3"/>
        <v>0</v>
      </c>
      <c r="M19" s="398">
        <f t="shared" si="4"/>
        <v>0</v>
      </c>
      <c r="P19" s="398">
        <f t="shared" si="5"/>
        <v>0</v>
      </c>
      <c r="S19" s="398">
        <f t="shared" si="6"/>
        <v>0</v>
      </c>
      <c r="V19" s="398">
        <f t="shared" si="7"/>
        <v>0</v>
      </c>
      <c r="Y19" s="398">
        <f t="shared" si="8"/>
        <v>0</v>
      </c>
      <c r="AB19" s="398">
        <f t="shared" si="9"/>
        <v>0</v>
      </c>
      <c r="AE19" s="398">
        <v>0</v>
      </c>
      <c r="AH19" s="398">
        <v>0</v>
      </c>
      <c r="AI19" s="417">
        <f>38275000</f>
        <v>38275000</v>
      </c>
      <c r="AJ19" s="418">
        <v>2.7199999999999998E-2</v>
      </c>
      <c r="AK19" s="398">
        <f t="shared" si="10"/>
        <v>2891.8888888888887</v>
      </c>
      <c r="AL19" s="417">
        <f t="shared" si="0"/>
        <v>5000000</v>
      </c>
      <c r="AM19" s="418">
        <v>2.8000000000000001E-2</v>
      </c>
      <c r="AN19" s="398">
        <f t="shared" si="11"/>
        <v>388.88888888888891</v>
      </c>
      <c r="AO19" s="417">
        <f t="shared" si="53"/>
        <v>50000000</v>
      </c>
      <c r="AP19" s="418">
        <v>2.9700000000000001E-2</v>
      </c>
      <c r="AQ19" s="398">
        <f t="shared" si="12"/>
        <v>4125</v>
      </c>
      <c r="AR19" s="417"/>
      <c r="AS19" s="418"/>
      <c r="AT19" s="398">
        <f t="shared" si="13"/>
        <v>0</v>
      </c>
      <c r="AW19" s="398">
        <f t="shared" si="14"/>
        <v>0</v>
      </c>
      <c r="AZ19" s="398">
        <f t="shared" si="15"/>
        <v>0</v>
      </c>
      <c r="BC19" s="398">
        <f t="shared" si="16"/>
        <v>0</v>
      </c>
      <c r="BF19" s="398">
        <f t="shared" si="17"/>
        <v>0</v>
      </c>
      <c r="BI19" s="398">
        <f t="shared" si="18"/>
        <v>0</v>
      </c>
      <c r="BL19" s="398">
        <f t="shared" si="19"/>
        <v>0</v>
      </c>
      <c r="BO19" s="398">
        <f t="shared" si="20"/>
        <v>0</v>
      </c>
      <c r="BR19" s="398">
        <f t="shared" si="21"/>
        <v>0</v>
      </c>
      <c r="BU19" s="398">
        <f t="shared" si="22"/>
        <v>0</v>
      </c>
      <c r="BX19" s="398">
        <f t="shared" si="23"/>
        <v>0</v>
      </c>
      <c r="CA19" s="398">
        <f t="shared" si="24"/>
        <v>0</v>
      </c>
      <c r="CD19" s="398">
        <f t="shared" si="25"/>
        <v>0</v>
      </c>
      <c r="CG19" s="398">
        <f t="shared" si="26"/>
        <v>0</v>
      </c>
      <c r="CJ19" s="398">
        <f t="shared" si="27"/>
        <v>0</v>
      </c>
      <c r="CM19" s="398">
        <f t="shared" si="28"/>
        <v>0</v>
      </c>
      <c r="CP19" s="398">
        <f t="shared" si="29"/>
        <v>0</v>
      </c>
      <c r="CS19" s="398">
        <f t="shared" si="30"/>
        <v>0</v>
      </c>
      <c r="CV19" s="398">
        <f t="shared" si="31"/>
        <v>0</v>
      </c>
      <c r="CY19" s="398">
        <f t="shared" si="32"/>
        <v>0</v>
      </c>
      <c r="DB19" s="398">
        <f t="shared" si="33"/>
        <v>0</v>
      </c>
      <c r="DE19" s="398">
        <f t="shared" si="34"/>
        <v>0</v>
      </c>
      <c r="DH19" s="398">
        <f t="shared" si="35"/>
        <v>0</v>
      </c>
      <c r="DK19" s="398">
        <f t="shared" si="36"/>
        <v>0</v>
      </c>
      <c r="DN19" s="398">
        <f t="shared" si="37"/>
        <v>0</v>
      </c>
      <c r="DQ19" s="398">
        <f t="shared" si="38"/>
        <v>0</v>
      </c>
      <c r="DT19" s="398">
        <f t="shared" si="39"/>
        <v>0</v>
      </c>
      <c r="DW19" s="398">
        <f t="shared" si="40"/>
        <v>0</v>
      </c>
      <c r="DZ19" s="398"/>
      <c r="EA19" s="398"/>
      <c r="EB19" s="212">
        <f t="shared" si="41"/>
        <v>93275000</v>
      </c>
      <c r="EC19" s="212">
        <f t="shared" si="42"/>
        <v>0</v>
      </c>
      <c r="ED19" s="398">
        <f t="shared" si="43"/>
        <v>7405.7777777777774</v>
      </c>
      <c r="EE19" s="399">
        <f t="shared" si="44"/>
        <v>2.8583007236665771E-2</v>
      </c>
      <c r="EG19" s="212">
        <f t="shared" si="45"/>
        <v>0</v>
      </c>
      <c r="EH19" s="398">
        <f t="shared" si="46"/>
        <v>0</v>
      </c>
      <c r="EI19" s="399">
        <f t="shared" si="47"/>
        <v>0</v>
      </c>
      <c r="EJ19" s="399"/>
      <c r="EK19" s="212">
        <f t="shared" si="48"/>
        <v>93275000</v>
      </c>
      <c r="EL19" s="212">
        <f t="shared" si="49"/>
        <v>0</v>
      </c>
      <c r="EM19" s="212">
        <f t="shared" si="50"/>
        <v>7405.7777777777774</v>
      </c>
      <c r="EN19" s="399">
        <f t="shared" si="51"/>
        <v>2.8583007236665771E-2</v>
      </c>
    </row>
    <row r="20" spans="1:144">
      <c r="A20" s="416">
        <f t="shared" si="52"/>
        <v>43474</v>
      </c>
      <c r="D20" s="398">
        <f t="shared" si="1"/>
        <v>0</v>
      </c>
      <c r="G20" s="398">
        <f t="shared" si="2"/>
        <v>0</v>
      </c>
      <c r="J20" s="398">
        <f t="shared" si="3"/>
        <v>0</v>
      </c>
      <c r="M20" s="398">
        <f t="shared" si="4"/>
        <v>0</v>
      </c>
      <c r="P20" s="398">
        <f t="shared" si="5"/>
        <v>0</v>
      </c>
      <c r="S20" s="398">
        <f t="shared" si="6"/>
        <v>0</v>
      </c>
      <c r="V20" s="398">
        <f t="shared" si="7"/>
        <v>0</v>
      </c>
      <c r="Y20" s="398">
        <f t="shared" si="8"/>
        <v>0</v>
      </c>
      <c r="AB20" s="398">
        <f t="shared" si="9"/>
        <v>0</v>
      </c>
      <c r="AE20" s="398">
        <v>0</v>
      </c>
      <c r="AH20" s="398">
        <v>0</v>
      </c>
      <c r="AI20" s="417">
        <f>41875000</f>
        <v>41875000</v>
      </c>
      <c r="AJ20" s="418">
        <v>2.7E-2</v>
      </c>
      <c r="AK20" s="398">
        <f t="shared" si="10"/>
        <v>3140.625</v>
      </c>
      <c r="AL20" s="417">
        <f t="shared" si="0"/>
        <v>5000000</v>
      </c>
      <c r="AM20" s="418">
        <v>2.8000000000000001E-2</v>
      </c>
      <c r="AN20" s="398">
        <f t="shared" si="11"/>
        <v>388.88888888888891</v>
      </c>
      <c r="AO20" s="417">
        <f t="shared" si="53"/>
        <v>50000000</v>
      </c>
      <c r="AP20" s="418">
        <v>2.9700000000000001E-2</v>
      </c>
      <c r="AQ20" s="398">
        <f t="shared" si="12"/>
        <v>4125</v>
      </c>
      <c r="AR20" s="417"/>
      <c r="AS20" s="418"/>
      <c r="AT20" s="398">
        <f t="shared" si="13"/>
        <v>0</v>
      </c>
      <c r="AW20" s="398">
        <f t="shared" si="14"/>
        <v>0</v>
      </c>
      <c r="AZ20" s="398">
        <f t="shared" si="15"/>
        <v>0</v>
      </c>
      <c r="BC20" s="398">
        <f t="shared" si="16"/>
        <v>0</v>
      </c>
      <c r="BF20" s="398">
        <f t="shared" si="17"/>
        <v>0</v>
      </c>
      <c r="BI20" s="398">
        <f t="shared" si="18"/>
        <v>0</v>
      </c>
      <c r="BL20" s="398">
        <f t="shared" si="19"/>
        <v>0</v>
      </c>
      <c r="BO20" s="398">
        <f t="shared" si="20"/>
        <v>0</v>
      </c>
      <c r="BR20" s="398">
        <f t="shared" si="21"/>
        <v>0</v>
      </c>
      <c r="BU20" s="398">
        <f t="shared" si="22"/>
        <v>0</v>
      </c>
      <c r="BX20" s="398">
        <f t="shared" si="23"/>
        <v>0</v>
      </c>
      <c r="CA20" s="398">
        <f t="shared" si="24"/>
        <v>0</v>
      </c>
      <c r="CD20" s="398">
        <f t="shared" si="25"/>
        <v>0</v>
      </c>
      <c r="CG20" s="398">
        <f t="shared" si="26"/>
        <v>0</v>
      </c>
      <c r="CJ20" s="398">
        <f t="shared" si="27"/>
        <v>0</v>
      </c>
      <c r="CM20" s="398">
        <f t="shared" si="28"/>
        <v>0</v>
      </c>
      <c r="CP20" s="398">
        <f t="shared" si="29"/>
        <v>0</v>
      </c>
      <c r="CS20" s="398">
        <f t="shared" si="30"/>
        <v>0</v>
      </c>
      <c r="CV20" s="398">
        <f t="shared" si="31"/>
        <v>0</v>
      </c>
      <c r="CY20" s="398">
        <f t="shared" si="32"/>
        <v>0</v>
      </c>
      <c r="DB20" s="398">
        <f t="shared" si="33"/>
        <v>0</v>
      </c>
      <c r="DE20" s="398">
        <f t="shared" si="34"/>
        <v>0</v>
      </c>
      <c r="DH20" s="398">
        <f t="shared" si="35"/>
        <v>0</v>
      </c>
      <c r="DK20" s="398">
        <f t="shared" si="36"/>
        <v>0</v>
      </c>
      <c r="DN20" s="398">
        <f t="shared" si="37"/>
        <v>0</v>
      </c>
      <c r="DQ20" s="398">
        <f t="shared" si="38"/>
        <v>0</v>
      </c>
      <c r="DT20" s="398">
        <f t="shared" si="39"/>
        <v>0</v>
      </c>
      <c r="DW20" s="398">
        <f t="shared" si="40"/>
        <v>0</v>
      </c>
      <c r="DZ20" s="398"/>
      <c r="EA20" s="398"/>
      <c r="EB20" s="212">
        <f t="shared" si="41"/>
        <v>96875000</v>
      </c>
      <c r="EC20" s="212">
        <f t="shared" si="42"/>
        <v>0</v>
      </c>
      <c r="ED20" s="398">
        <f t="shared" si="43"/>
        <v>7654.5138888888887</v>
      </c>
      <c r="EE20" s="399">
        <f t="shared" si="44"/>
        <v>2.8445161290322582E-2</v>
      </c>
      <c r="EG20" s="212">
        <f t="shared" si="45"/>
        <v>0</v>
      </c>
      <c r="EH20" s="398">
        <f t="shared" si="46"/>
        <v>0</v>
      </c>
      <c r="EI20" s="399">
        <f t="shared" si="47"/>
        <v>0</v>
      </c>
      <c r="EJ20" s="399"/>
      <c r="EK20" s="212">
        <f t="shared" si="48"/>
        <v>96875000</v>
      </c>
      <c r="EL20" s="212">
        <f t="shared" si="49"/>
        <v>0</v>
      </c>
      <c r="EM20" s="212">
        <f t="shared" si="50"/>
        <v>7654.5138888888887</v>
      </c>
      <c r="EN20" s="399">
        <f t="shared" si="51"/>
        <v>2.8445161290322582E-2</v>
      </c>
    </row>
    <row r="21" spans="1:144">
      <c r="A21" s="416">
        <f t="shared" si="52"/>
        <v>43475</v>
      </c>
      <c r="D21" s="398">
        <f t="shared" si="1"/>
        <v>0</v>
      </c>
      <c r="G21" s="398">
        <f t="shared" si="2"/>
        <v>0</v>
      </c>
      <c r="J21" s="398">
        <f t="shared" si="3"/>
        <v>0</v>
      </c>
      <c r="M21" s="398">
        <f t="shared" si="4"/>
        <v>0</v>
      </c>
      <c r="P21" s="398">
        <f t="shared" si="5"/>
        <v>0</v>
      </c>
      <c r="S21" s="398">
        <f t="shared" si="6"/>
        <v>0</v>
      </c>
      <c r="V21" s="398">
        <f t="shared" si="7"/>
        <v>0</v>
      </c>
      <c r="Y21" s="398">
        <f t="shared" si="8"/>
        <v>0</v>
      </c>
      <c r="AB21" s="398">
        <f t="shared" si="9"/>
        <v>0</v>
      </c>
      <c r="AE21" s="398">
        <v>0</v>
      </c>
      <c r="AH21" s="398">
        <v>0</v>
      </c>
      <c r="AI21" s="417">
        <f>37400000</f>
        <v>37400000</v>
      </c>
      <c r="AJ21" s="418">
        <v>2.7E-2</v>
      </c>
      <c r="AK21" s="398">
        <f t="shared" si="10"/>
        <v>2805</v>
      </c>
      <c r="AL21" s="417">
        <f t="shared" si="0"/>
        <v>5000000</v>
      </c>
      <c r="AM21" s="418">
        <v>2.8000000000000001E-2</v>
      </c>
      <c r="AN21" s="398">
        <f t="shared" si="11"/>
        <v>388.88888888888891</v>
      </c>
      <c r="AO21" s="417">
        <f t="shared" si="53"/>
        <v>50000000</v>
      </c>
      <c r="AP21" s="418">
        <v>2.9700000000000001E-2</v>
      </c>
      <c r="AQ21" s="398">
        <f t="shared" si="12"/>
        <v>4125</v>
      </c>
      <c r="AR21" s="417"/>
      <c r="AS21" s="418"/>
      <c r="AT21" s="398">
        <f t="shared" si="13"/>
        <v>0</v>
      </c>
      <c r="AW21" s="398">
        <f t="shared" si="14"/>
        <v>0</v>
      </c>
      <c r="AZ21" s="398">
        <f t="shared" si="15"/>
        <v>0</v>
      </c>
      <c r="BC21" s="398">
        <f t="shared" si="16"/>
        <v>0</v>
      </c>
      <c r="BF21" s="398">
        <f t="shared" si="17"/>
        <v>0</v>
      </c>
      <c r="BI21" s="398">
        <f t="shared" si="18"/>
        <v>0</v>
      </c>
      <c r="BL21" s="398">
        <f t="shared" si="19"/>
        <v>0</v>
      </c>
      <c r="BO21" s="398">
        <f t="shared" si="20"/>
        <v>0</v>
      </c>
      <c r="BR21" s="398">
        <f t="shared" si="21"/>
        <v>0</v>
      </c>
      <c r="BU21" s="398">
        <f t="shared" si="22"/>
        <v>0</v>
      </c>
      <c r="BX21" s="398">
        <f t="shared" si="23"/>
        <v>0</v>
      </c>
      <c r="CA21" s="398">
        <f t="shared" si="24"/>
        <v>0</v>
      </c>
      <c r="CD21" s="398">
        <f t="shared" si="25"/>
        <v>0</v>
      </c>
      <c r="CG21" s="398">
        <f t="shared" si="26"/>
        <v>0</v>
      </c>
      <c r="CJ21" s="398">
        <f t="shared" si="27"/>
        <v>0</v>
      </c>
      <c r="CM21" s="398">
        <f t="shared" si="28"/>
        <v>0</v>
      </c>
      <c r="CP21" s="398">
        <f t="shared" si="29"/>
        <v>0</v>
      </c>
      <c r="CS21" s="398">
        <f t="shared" si="30"/>
        <v>0</v>
      </c>
      <c r="CV21" s="398">
        <f t="shared" si="31"/>
        <v>0</v>
      </c>
      <c r="CY21" s="398">
        <f t="shared" si="32"/>
        <v>0</v>
      </c>
      <c r="DB21" s="398">
        <f t="shared" si="33"/>
        <v>0</v>
      </c>
      <c r="DE21" s="398">
        <f t="shared" si="34"/>
        <v>0</v>
      </c>
      <c r="DH21" s="398">
        <f t="shared" si="35"/>
        <v>0</v>
      </c>
      <c r="DK21" s="398">
        <f t="shared" si="36"/>
        <v>0</v>
      </c>
      <c r="DN21" s="398">
        <f t="shared" si="37"/>
        <v>0</v>
      </c>
      <c r="DQ21" s="398">
        <f t="shared" si="38"/>
        <v>0</v>
      </c>
      <c r="DT21" s="398">
        <f t="shared" si="39"/>
        <v>0</v>
      </c>
      <c r="DW21" s="398">
        <f t="shared" si="40"/>
        <v>0</v>
      </c>
      <c r="DZ21" s="398"/>
      <c r="EA21" s="398"/>
      <c r="EB21" s="212">
        <f t="shared" si="41"/>
        <v>92400000</v>
      </c>
      <c r="EC21" s="212">
        <f t="shared" si="42"/>
        <v>0</v>
      </c>
      <c r="ED21" s="398">
        <f t="shared" si="43"/>
        <v>7318.8888888888887</v>
      </c>
      <c r="EE21" s="399">
        <f t="shared" si="44"/>
        <v>2.8515151515151518E-2</v>
      </c>
      <c r="EG21" s="212">
        <f t="shared" si="45"/>
        <v>0</v>
      </c>
      <c r="EH21" s="398">
        <f t="shared" si="46"/>
        <v>0</v>
      </c>
      <c r="EI21" s="399">
        <f t="shared" si="47"/>
        <v>0</v>
      </c>
      <c r="EJ21" s="399"/>
      <c r="EK21" s="212">
        <f t="shared" si="48"/>
        <v>92400000</v>
      </c>
      <c r="EL21" s="212">
        <f t="shared" si="49"/>
        <v>0</v>
      </c>
      <c r="EM21" s="212">
        <f t="shared" si="50"/>
        <v>7318.8888888888887</v>
      </c>
      <c r="EN21" s="399">
        <f t="shared" si="51"/>
        <v>2.8515151515151518E-2</v>
      </c>
    </row>
    <row r="22" spans="1:144">
      <c r="A22" s="416">
        <f t="shared" si="52"/>
        <v>43476</v>
      </c>
      <c r="D22" s="398">
        <f t="shared" si="1"/>
        <v>0</v>
      </c>
      <c r="G22" s="398">
        <f t="shared" si="2"/>
        <v>0</v>
      </c>
      <c r="J22" s="398">
        <f t="shared" si="3"/>
        <v>0</v>
      </c>
      <c r="M22" s="398">
        <f t="shared" si="4"/>
        <v>0</v>
      </c>
      <c r="P22" s="398">
        <f t="shared" si="5"/>
        <v>0</v>
      </c>
      <c r="S22" s="398">
        <f t="shared" si="6"/>
        <v>0</v>
      </c>
      <c r="V22" s="398">
        <f t="shared" si="7"/>
        <v>0</v>
      </c>
      <c r="Y22" s="398">
        <f t="shared" si="8"/>
        <v>0</v>
      </c>
      <c r="AB22" s="398">
        <f t="shared" si="9"/>
        <v>0</v>
      </c>
      <c r="AE22" s="398">
        <v>0</v>
      </c>
      <c r="AH22" s="398">
        <v>0</v>
      </c>
      <c r="AI22" s="417">
        <f>31575000</f>
        <v>31575000</v>
      </c>
      <c r="AJ22" s="418">
        <v>2.7E-2</v>
      </c>
      <c r="AK22" s="398">
        <f t="shared" si="10"/>
        <v>2368.125</v>
      </c>
      <c r="AL22" s="417">
        <f t="shared" si="0"/>
        <v>5000000</v>
      </c>
      <c r="AM22" s="418">
        <v>2.8000000000000001E-2</v>
      </c>
      <c r="AN22" s="398">
        <f t="shared" si="11"/>
        <v>388.88888888888891</v>
      </c>
      <c r="AO22" s="417">
        <f t="shared" si="53"/>
        <v>50000000</v>
      </c>
      <c r="AP22" s="418">
        <v>2.9700000000000001E-2</v>
      </c>
      <c r="AQ22" s="398">
        <f t="shared" si="12"/>
        <v>4125</v>
      </c>
      <c r="AR22" s="417"/>
      <c r="AS22" s="418"/>
      <c r="AT22" s="398">
        <f t="shared" si="13"/>
        <v>0</v>
      </c>
      <c r="AW22" s="398">
        <f t="shared" si="14"/>
        <v>0</v>
      </c>
      <c r="AZ22" s="398">
        <f t="shared" si="15"/>
        <v>0</v>
      </c>
      <c r="BC22" s="398">
        <f t="shared" si="16"/>
        <v>0</v>
      </c>
      <c r="BF22" s="398">
        <f t="shared" si="17"/>
        <v>0</v>
      </c>
      <c r="BI22" s="398">
        <f t="shared" si="18"/>
        <v>0</v>
      </c>
      <c r="BL22" s="398">
        <f t="shared" si="19"/>
        <v>0</v>
      </c>
      <c r="BO22" s="398">
        <f t="shared" si="20"/>
        <v>0</v>
      </c>
      <c r="BR22" s="398">
        <f t="shared" si="21"/>
        <v>0</v>
      </c>
      <c r="BU22" s="398">
        <f t="shared" si="22"/>
        <v>0</v>
      </c>
      <c r="BX22" s="398">
        <f t="shared" si="23"/>
        <v>0</v>
      </c>
      <c r="CA22" s="398">
        <f t="shared" si="24"/>
        <v>0</v>
      </c>
      <c r="CD22" s="398">
        <f t="shared" si="25"/>
        <v>0</v>
      </c>
      <c r="CG22" s="398">
        <f t="shared" si="26"/>
        <v>0</v>
      </c>
      <c r="CJ22" s="398">
        <f t="shared" si="27"/>
        <v>0</v>
      </c>
      <c r="CM22" s="398">
        <f t="shared" si="28"/>
        <v>0</v>
      </c>
      <c r="CP22" s="398">
        <f t="shared" si="29"/>
        <v>0</v>
      </c>
      <c r="CS22" s="398">
        <f t="shared" si="30"/>
        <v>0</v>
      </c>
      <c r="CV22" s="398">
        <f t="shared" si="31"/>
        <v>0</v>
      </c>
      <c r="CY22" s="398">
        <f t="shared" si="32"/>
        <v>0</v>
      </c>
      <c r="DB22" s="398">
        <f t="shared" si="33"/>
        <v>0</v>
      </c>
      <c r="DE22" s="398">
        <f t="shared" si="34"/>
        <v>0</v>
      </c>
      <c r="DH22" s="398">
        <f t="shared" si="35"/>
        <v>0</v>
      </c>
      <c r="DK22" s="398">
        <f t="shared" si="36"/>
        <v>0</v>
      </c>
      <c r="DN22" s="398">
        <f t="shared" si="37"/>
        <v>0</v>
      </c>
      <c r="DQ22" s="398">
        <f t="shared" si="38"/>
        <v>0</v>
      </c>
      <c r="DT22" s="398">
        <f t="shared" si="39"/>
        <v>0</v>
      </c>
      <c r="DW22" s="398">
        <f t="shared" si="40"/>
        <v>0</v>
      </c>
      <c r="DZ22" s="398"/>
      <c r="EA22" s="398"/>
      <c r="EB22" s="212">
        <f t="shared" si="41"/>
        <v>86575000</v>
      </c>
      <c r="EC22" s="212">
        <f t="shared" si="42"/>
        <v>0</v>
      </c>
      <c r="ED22" s="398">
        <f t="shared" si="43"/>
        <v>6882.0138888888887</v>
      </c>
      <c r="EE22" s="399">
        <f t="shared" si="44"/>
        <v>2.8617095004331503E-2</v>
      </c>
      <c r="EG22" s="212">
        <f t="shared" si="45"/>
        <v>0</v>
      </c>
      <c r="EH22" s="398">
        <f t="shared" si="46"/>
        <v>0</v>
      </c>
      <c r="EI22" s="399">
        <f t="shared" si="47"/>
        <v>0</v>
      </c>
      <c r="EJ22" s="399"/>
      <c r="EK22" s="212">
        <f t="shared" si="48"/>
        <v>86575000</v>
      </c>
      <c r="EL22" s="212">
        <f t="shared" si="49"/>
        <v>0</v>
      </c>
      <c r="EM22" s="212">
        <f t="shared" si="50"/>
        <v>6882.0138888888887</v>
      </c>
      <c r="EN22" s="399">
        <f t="shared" si="51"/>
        <v>2.8617095004331503E-2</v>
      </c>
    </row>
    <row r="23" spans="1:144">
      <c r="A23" s="416">
        <f t="shared" si="52"/>
        <v>43477</v>
      </c>
      <c r="D23" s="398">
        <f t="shared" si="1"/>
        <v>0</v>
      </c>
      <c r="G23" s="398">
        <f t="shared" si="2"/>
        <v>0</v>
      </c>
      <c r="J23" s="398">
        <f t="shared" si="3"/>
        <v>0</v>
      </c>
      <c r="M23" s="398">
        <f t="shared" si="4"/>
        <v>0</v>
      </c>
      <c r="P23" s="398">
        <f t="shared" si="5"/>
        <v>0</v>
      </c>
      <c r="S23" s="398">
        <f t="shared" si="6"/>
        <v>0</v>
      </c>
      <c r="V23" s="398">
        <f t="shared" si="7"/>
        <v>0</v>
      </c>
      <c r="Y23" s="398">
        <f t="shared" si="8"/>
        <v>0</v>
      </c>
      <c r="AB23" s="398">
        <f t="shared" si="9"/>
        <v>0</v>
      </c>
      <c r="AE23" s="398">
        <v>0</v>
      </c>
      <c r="AH23" s="398">
        <v>0</v>
      </c>
      <c r="AI23" s="417">
        <f>31575000</f>
        <v>31575000</v>
      </c>
      <c r="AJ23" s="418">
        <v>2.7E-2</v>
      </c>
      <c r="AK23" s="398">
        <f t="shared" si="10"/>
        <v>2368.125</v>
      </c>
      <c r="AL23" s="417">
        <f t="shared" si="0"/>
        <v>5000000</v>
      </c>
      <c r="AM23" s="418">
        <v>2.8000000000000001E-2</v>
      </c>
      <c r="AN23" s="398">
        <f t="shared" si="11"/>
        <v>388.88888888888891</v>
      </c>
      <c r="AO23" s="417">
        <f t="shared" si="53"/>
        <v>50000000</v>
      </c>
      <c r="AP23" s="418">
        <v>2.9700000000000001E-2</v>
      </c>
      <c r="AQ23" s="398">
        <f t="shared" si="12"/>
        <v>4125</v>
      </c>
      <c r="AR23" s="417"/>
      <c r="AS23" s="418"/>
      <c r="AT23" s="398">
        <f t="shared" si="13"/>
        <v>0</v>
      </c>
      <c r="AW23" s="398">
        <f t="shared" si="14"/>
        <v>0</v>
      </c>
      <c r="AZ23" s="398">
        <f t="shared" si="15"/>
        <v>0</v>
      </c>
      <c r="BC23" s="398">
        <f t="shared" si="16"/>
        <v>0</v>
      </c>
      <c r="BF23" s="398">
        <f t="shared" si="17"/>
        <v>0</v>
      </c>
      <c r="BI23" s="398">
        <f t="shared" si="18"/>
        <v>0</v>
      </c>
      <c r="BL23" s="398">
        <f t="shared" si="19"/>
        <v>0</v>
      </c>
      <c r="BO23" s="398">
        <f t="shared" si="20"/>
        <v>0</v>
      </c>
      <c r="BR23" s="398">
        <f t="shared" si="21"/>
        <v>0</v>
      </c>
      <c r="BU23" s="398">
        <f t="shared" si="22"/>
        <v>0</v>
      </c>
      <c r="BX23" s="398">
        <f t="shared" si="23"/>
        <v>0</v>
      </c>
      <c r="CA23" s="398">
        <f t="shared" si="24"/>
        <v>0</v>
      </c>
      <c r="CD23" s="398">
        <f t="shared" si="25"/>
        <v>0</v>
      </c>
      <c r="CG23" s="398">
        <f t="shared" si="26"/>
        <v>0</v>
      </c>
      <c r="CJ23" s="398">
        <f t="shared" si="27"/>
        <v>0</v>
      </c>
      <c r="CM23" s="398">
        <f t="shared" si="28"/>
        <v>0</v>
      </c>
      <c r="CP23" s="398">
        <f t="shared" si="29"/>
        <v>0</v>
      </c>
      <c r="CS23" s="398">
        <f t="shared" si="30"/>
        <v>0</v>
      </c>
      <c r="CV23" s="398">
        <f t="shared" si="31"/>
        <v>0</v>
      </c>
      <c r="CY23" s="398">
        <f t="shared" si="32"/>
        <v>0</v>
      </c>
      <c r="DB23" s="398">
        <f t="shared" si="33"/>
        <v>0</v>
      </c>
      <c r="DE23" s="398">
        <f t="shared" si="34"/>
        <v>0</v>
      </c>
      <c r="DH23" s="398">
        <f t="shared" si="35"/>
        <v>0</v>
      </c>
      <c r="DK23" s="398">
        <f t="shared" si="36"/>
        <v>0</v>
      </c>
      <c r="DN23" s="398">
        <f t="shared" si="37"/>
        <v>0</v>
      </c>
      <c r="DQ23" s="398">
        <f t="shared" si="38"/>
        <v>0</v>
      </c>
      <c r="DT23" s="398">
        <f t="shared" si="39"/>
        <v>0</v>
      </c>
      <c r="DW23" s="398">
        <f t="shared" si="40"/>
        <v>0</v>
      </c>
      <c r="DZ23" s="398"/>
      <c r="EA23" s="398"/>
      <c r="EB23" s="212">
        <f t="shared" si="41"/>
        <v>86575000</v>
      </c>
      <c r="EC23" s="212">
        <f t="shared" si="42"/>
        <v>0</v>
      </c>
      <c r="ED23" s="398">
        <f t="shared" si="43"/>
        <v>6882.0138888888887</v>
      </c>
      <c r="EE23" s="399">
        <f t="shared" si="44"/>
        <v>2.8617095004331503E-2</v>
      </c>
      <c r="EG23" s="212">
        <f t="shared" si="45"/>
        <v>0</v>
      </c>
      <c r="EH23" s="398">
        <f t="shared" si="46"/>
        <v>0</v>
      </c>
      <c r="EI23" s="399">
        <f t="shared" si="47"/>
        <v>0</v>
      </c>
      <c r="EJ23" s="399"/>
      <c r="EK23" s="212">
        <f t="shared" si="48"/>
        <v>86575000</v>
      </c>
      <c r="EL23" s="212">
        <f t="shared" si="49"/>
        <v>0</v>
      </c>
      <c r="EM23" s="212">
        <f t="shared" si="50"/>
        <v>6882.0138888888887</v>
      </c>
      <c r="EN23" s="399">
        <f t="shared" si="51"/>
        <v>2.8617095004331503E-2</v>
      </c>
    </row>
    <row r="24" spans="1:144">
      <c r="A24" s="416">
        <f t="shared" si="52"/>
        <v>43478</v>
      </c>
      <c r="D24" s="398">
        <f t="shared" si="1"/>
        <v>0</v>
      </c>
      <c r="G24" s="398">
        <f t="shared" si="2"/>
        <v>0</v>
      </c>
      <c r="J24" s="398">
        <f t="shared" si="3"/>
        <v>0</v>
      </c>
      <c r="M24" s="398">
        <f t="shared" si="4"/>
        <v>0</v>
      </c>
      <c r="P24" s="398">
        <f t="shared" si="5"/>
        <v>0</v>
      </c>
      <c r="S24" s="398">
        <f t="shared" si="6"/>
        <v>0</v>
      </c>
      <c r="V24" s="398">
        <f t="shared" si="7"/>
        <v>0</v>
      </c>
      <c r="Y24" s="398">
        <f t="shared" si="8"/>
        <v>0</v>
      </c>
      <c r="AB24" s="398">
        <f t="shared" si="9"/>
        <v>0</v>
      </c>
      <c r="AE24" s="398">
        <v>0</v>
      </c>
      <c r="AH24" s="398">
        <v>0</v>
      </c>
      <c r="AI24" s="417">
        <f>31575000</f>
        <v>31575000</v>
      </c>
      <c r="AJ24" s="418">
        <v>2.7E-2</v>
      </c>
      <c r="AK24" s="398">
        <f t="shared" si="10"/>
        <v>2368.125</v>
      </c>
      <c r="AL24" s="417">
        <f t="shared" si="0"/>
        <v>5000000</v>
      </c>
      <c r="AM24" s="418">
        <v>2.8000000000000001E-2</v>
      </c>
      <c r="AN24" s="398">
        <f t="shared" si="11"/>
        <v>388.88888888888891</v>
      </c>
      <c r="AO24" s="417">
        <f t="shared" si="53"/>
        <v>50000000</v>
      </c>
      <c r="AP24" s="418">
        <v>2.9700000000000001E-2</v>
      </c>
      <c r="AQ24" s="398">
        <f t="shared" si="12"/>
        <v>4125</v>
      </c>
      <c r="AR24" s="417"/>
      <c r="AS24" s="418"/>
      <c r="AT24" s="398">
        <f t="shared" si="13"/>
        <v>0</v>
      </c>
      <c r="AW24" s="398">
        <f t="shared" si="14"/>
        <v>0</v>
      </c>
      <c r="AZ24" s="398">
        <f t="shared" si="15"/>
        <v>0</v>
      </c>
      <c r="BC24" s="398">
        <f t="shared" si="16"/>
        <v>0</v>
      </c>
      <c r="BF24" s="398">
        <f t="shared" si="17"/>
        <v>0</v>
      </c>
      <c r="BI24" s="398">
        <f t="shared" si="18"/>
        <v>0</v>
      </c>
      <c r="BL24" s="398">
        <f t="shared" si="19"/>
        <v>0</v>
      </c>
      <c r="BO24" s="398">
        <f t="shared" si="20"/>
        <v>0</v>
      </c>
      <c r="BR24" s="398">
        <f t="shared" si="21"/>
        <v>0</v>
      </c>
      <c r="BU24" s="398">
        <f t="shared" si="22"/>
        <v>0</v>
      </c>
      <c r="BX24" s="398">
        <f t="shared" si="23"/>
        <v>0</v>
      </c>
      <c r="CA24" s="398">
        <f t="shared" si="24"/>
        <v>0</v>
      </c>
      <c r="CD24" s="398">
        <f t="shared" si="25"/>
        <v>0</v>
      </c>
      <c r="CG24" s="398">
        <f t="shared" si="26"/>
        <v>0</v>
      </c>
      <c r="CJ24" s="398">
        <f t="shared" si="27"/>
        <v>0</v>
      </c>
      <c r="CM24" s="398">
        <f t="shared" si="28"/>
        <v>0</v>
      </c>
      <c r="CP24" s="398">
        <f t="shared" si="29"/>
        <v>0</v>
      </c>
      <c r="CS24" s="398">
        <f t="shared" si="30"/>
        <v>0</v>
      </c>
      <c r="CV24" s="398">
        <f t="shared" si="31"/>
        <v>0</v>
      </c>
      <c r="CY24" s="398">
        <f t="shared" si="32"/>
        <v>0</v>
      </c>
      <c r="DB24" s="398">
        <f t="shared" si="33"/>
        <v>0</v>
      </c>
      <c r="DE24" s="398">
        <f t="shared" si="34"/>
        <v>0</v>
      </c>
      <c r="DH24" s="398">
        <f t="shared" si="35"/>
        <v>0</v>
      </c>
      <c r="DK24" s="398">
        <f t="shared" si="36"/>
        <v>0</v>
      </c>
      <c r="DN24" s="398">
        <f t="shared" si="37"/>
        <v>0</v>
      </c>
      <c r="DQ24" s="398">
        <f t="shared" si="38"/>
        <v>0</v>
      </c>
      <c r="DT24" s="398">
        <f t="shared" si="39"/>
        <v>0</v>
      </c>
      <c r="DW24" s="398">
        <f t="shared" si="40"/>
        <v>0</v>
      </c>
      <c r="DZ24" s="398"/>
      <c r="EA24" s="398"/>
      <c r="EB24" s="212">
        <f t="shared" si="41"/>
        <v>86575000</v>
      </c>
      <c r="EC24" s="212">
        <f t="shared" si="42"/>
        <v>0</v>
      </c>
      <c r="ED24" s="398">
        <f t="shared" si="43"/>
        <v>6882.0138888888887</v>
      </c>
      <c r="EE24" s="399">
        <f t="shared" si="44"/>
        <v>2.8617095004331503E-2</v>
      </c>
      <c r="EG24" s="212">
        <f t="shared" si="45"/>
        <v>0</v>
      </c>
      <c r="EH24" s="398">
        <f t="shared" si="46"/>
        <v>0</v>
      </c>
      <c r="EI24" s="399">
        <f t="shared" si="47"/>
        <v>0</v>
      </c>
      <c r="EJ24" s="399"/>
      <c r="EK24" s="212">
        <f t="shared" si="48"/>
        <v>86575000</v>
      </c>
      <c r="EL24" s="212">
        <f t="shared" si="49"/>
        <v>0</v>
      </c>
      <c r="EM24" s="212">
        <f t="shared" si="50"/>
        <v>6882.0138888888887</v>
      </c>
      <c r="EN24" s="399">
        <f t="shared" si="51"/>
        <v>2.8617095004331503E-2</v>
      </c>
    </row>
    <row r="25" spans="1:144">
      <c r="A25" s="416">
        <f t="shared" si="52"/>
        <v>43479</v>
      </c>
      <c r="D25" s="398">
        <f t="shared" si="1"/>
        <v>0</v>
      </c>
      <c r="G25" s="398">
        <f t="shared" si="2"/>
        <v>0</v>
      </c>
      <c r="J25" s="398">
        <f t="shared" si="3"/>
        <v>0</v>
      </c>
      <c r="M25" s="398">
        <f t="shared" si="4"/>
        <v>0</v>
      </c>
      <c r="P25" s="398">
        <f t="shared" si="5"/>
        <v>0</v>
      </c>
      <c r="S25" s="398">
        <f t="shared" si="6"/>
        <v>0</v>
      </c>
      <c r="V25" s="398">
        <f t="shared" si="7"/>
        <v>0</v>
      </c>
      <c r="Y25" s="398">
        <f t="shared" si="8"/>
        <v>0</v>
      </c>
      <c r="AB25" s="398">
        <f t="shared" si="9"/>
        <v>0</v>
      </c>
      <c r="AE25" s="398">
        <v>0</v>
      </c>
      <c r="AH25" s="398">
        <v>0</v>
      </c>
      <c r="AI25" s="417">
        <f>37225000</f>
        <v>37225000</v>
      </c>
      <c r="AJ25" s="418">
        <v>2.7E-2</v>
      </c>
      <c r="AK25" s="398">
        <f t="shared" si="10"/>
        <v>2791.875</v>
      </c>
      <c r="AL25" s="417">
        <f t="shared" si="0"/>
        <v>5000000</v>
      </c>
      <c r="AM25" s="418">
        <v>2.8000000000000001E-2</v>
      </c>
      <c r="AN25" s="398">
        <f t="shared" si="11"/>
        <v>388.88888888888891</v>
      </c>
      <c r="AO25" s="417">
        <f t="shared" si="53"/>
        <v>50000000</v>
      </c>
      <c r="AP25" s="418">
        <v>2.9700000000000001E-2</v>
      </c>
      <c r="AQ25" s="398">
        <f t="shared" si="12"/>
        <v>4125</v>
      </c>
      <c r="AR25" s="417">
        <f t="shared" ref="AR25:AR42" si="54">50000000</f>
        <v>50000000</v>
      </c>
      <c r="AS25" s="418">
        <v>2.9499999999999998E-2</v>
      </c>
      <c r="AT25" s="398">
        <f t="shared" si="13"/>
        <v>4097.2222222222226</v>
      </c>
      <c r="AW25" s="398">
        <f t="shared" si="14"/>
        <v>0</v>
      </c>
      <c r="AZ25" s="398">
        <f t="shared" si="15"/>
        <v>0</v>
      </c>
      <c r="BC25" s="398">
        <f t="shared" si="16"/>
        <v>0</v>
      </c>
      <c r="BF25" s="398">
        <f t="shared" si="17"/>
        <v>0</v>
      </c>
      <c r="BI25" s="398">
        <f t="shared" si="18"/>
        <v>0</v>
      </c>
      <c r="BL25" s="398">
        <f t="shared" si="19"/>
        <v>0</v>
      </c>
      <c r="BO25" s="398">
        <f t="shared" si="20"/>
        <v>0</v>
      </c>
      <c r="BR25" s="398">
        <f t="shared" si="21"/>
        <v>0</v>
      </c>
      <c r="BU25" s="398">
        <f t="shared" si="22"/>
        <v>0</v>
      </c>
      <c r="BX25" s="398">
        <f t="shared" si="23"/>
        <v>0</v>
      </c>
      <c r="CA25" s="398">
        <f t="shared" si="24"/>
        <v>0</v>
      </c>
      <c r="CD25" s="398">
        <f t="shared" si="25"/>
        <v>0</v>
      </c>
      <c r="CG25" s="398">
        <f t="shared" si="26"/>
        <v>0</v>
      </c>
      <c r="CJ25" s="398">
        <f t="shared" si="27"/>
        <v>0</v>
      </c>
      <c r="CM25" s="398">
        <f t="shared" si="28"/>
        <v>0</v>
      </c>
      <c r="CP25" s="398">
        <f t="shared" si="29"/>
        <v>0</v>
      </c>
      <c r="CS25" s="398">
        <f t="shared" si="30"/>
        <v>0</v>
      </c>
      <c r="CV25" s="398">
        <f t="shared" si="31"/>
        <v>0</v>
      </c>
      <c r="CY25" s="398">
        <f t="shared" si="32"/>
        <v>0</v>
      </c>
      <c r="DB25" s="398">
        <f t="shared" si="33"/>
        <v>0</v>
      </c>
      <c r="DE25" s="398">
        <f t="shared" si="34"/>
        <v>0</v>
      </c>
      <c r="DH25" s="398">
        <f t="shared" si="35"/>
        <v>0</v>
      </c>
      <c r="DK25" s="398">
        <f t="shared" si="36"/>
        <v>0</v>
      </c>
      <c r="DN25" s="398">
        <f t="shared" si="37"/>
        <v>0</v>
      </c>
      <c r="DQ25" s="398">
        <f t="shared" si="38"/>
        <v>0</v>
      </c>
      <c r="DT25" s="398">
        <f t="shared" si="39"/>
        <v>0</v>
      </c>
      <c r="DW25" s="398">
        <f t="shared" si="40"/>
        <v>0</v>
      </c>
      <c r="DZ25" s="398"/>
      <c r="EA25" s="398"/>
      <c r="EB25" s="212">
        <f t="shared" si="41"/>
        <v>142225000</v>
      </c>
      <c r="EC25" s="212">
        <f t="shared" si="42"/>
        <v>0</v>
      </c>
      <c r="ED25" s="398">
        <f t="shared" si="43"/>
        <v>11402.986111111111</v>
      </c>
      <c r="EE25" s="399">
        <f t="shared" si="44"/>
        <v>2.8863244858498855E-2</v>
      </c>
      <c r="EG25" s="212">
        <f t="shared" si="45"/>
        <v>0</v>
      </c>
      <c r="EH25" s="398">
        <f t="shared" si="46"/>
        <v>0</v>
      </c>
      <c r="EI25" s="399">
        <f t="shared" si="47"/>
        <v>0</v>
      </c>
      <c r="EJ25" s="399"/>
      <c r="EK25" s="212">
        <f t="shared" si="48"/>
        <v>142225000</v>
      </c>
      <c r="EL25" s="212">
        <f t="shared" si="49"/>
        <v>0</v>
      </c>
      <c r="EM25" s="212">
        <f t="shared" si="50"/>
        <v>11402.986111111111</v>
      </c>
      <c r="EN25" s="399">
        <f t="shared" si="51"/>
        <v>2.8863244858498855E-2</v>
      </c>
    </row>
    <row r="26" spans="1:144">
      <c r="A26" s="416">
        <f t="shared" si="52"/>
        <v>43480</v>
      </c>
      <c r="D26" s="398">
        <f t="shared" si="1"/>
        <v>0</v>
      </c>
      <c r="G26" s="398">
        <f t="shared" si="2"/>
        <v>0</v>
      </c>
      <c r="J26" s="398">
        <f t="shared" si="3"/>
        <v>0</v>
      </c>
      <c r="M26" s="398">
        <f t="shared" si="4"/>
        <v>0</v>
      </c>
      <c r="P26" s="398">
        <f t="shared" si="5"/>
        <v>0</v>
      </c>
      <c r="S26" s="398">
        <f t="shared" si="6"/>
        <v>0</v>
      </c>
      <c r="V26" s="398">
        <f t="shared" si="7"/>
        <v>0</v>
      </c>
      <c r="Y26" s="398">
        <f t="shared" si="8"/>
        <v>0</v>
      </c>
      <c r="AB26" s="398">
        <f t="shared" si="9"/>
        <v>0</v>
      </c>
      <c r="AE26" s="398">
        <v>0</v>
      </c>
      <c r="AH26" s="398">
        <v>0</v>
      </c>
      <c r="AI26" s="417">
        <f>76000000</f>
        <v>76000000</v>
      </c>
      <c r="AJ26" s="418">
        <v>2.7E-2</v>
      </c>
      <c r="AK26" s="398">
        <f t="shared" si="10"/>
        <v>5700</v>
      </c>
      <c r="AL26" s="417"/>
      <c r="AM26" s="418"/>
      <c r="AN26" s="398">
        <f t="shared" si="11"/>
        <v>0</v>
      </c>
      <c r="AO26" s="417">
        <f t="shared" si="53"/>
        <v>50000000</v>
      </c>
      <c r="AP26" s="418">
        <v>2.9700000000000001E-2</v>
      </c>
      <c r="AQ26" s="398">
        <f t="shared" si="12"/>
        <v>4125</v>
      </c>
      <c r="AR26" s="417">
        <f t="shared" si="54"/>
        <v>50000000</v>
      </c>
      <c r="AS26" s="418">
        <v>2.9499999999999998E-2</v>
      </c>
      <c r="AT26" s="398">
        <f t="shared" si="13"/>
        <v>4097.2222222222226</v>
      </c>
      <c r="AW26" s="398">
        <f t="shared" si="14"/>
        <v>0</v>
      </c>
      <c r="AZ26" s="398">
        <f t="shared" si="15"/>
        <v>0</v>
      </c>
      <c r="BC26" s="398">
        <f t="shared" si="16"/>
        <v>0</v>
      </c>
      <c r="BF26" s="398">
        <f t="shared" si="17"/>
        <v>0</v>
      </c>
      <c r="BI26" s="398">
        <f t="shared" si="18"/>
        <v>0</v>
      </c>
      <c r="BL26" s="398">
        <f t="shared" si="19"/>
        <v>0</v>
      </c>
      <c r="BO26" s="398">
        <f t="shared" si="20"/>
        <v>0</v>
      </c>
      <c r="BR26" s="398">
        <f t="shared" si="21"/>
        <v>0</v>
      </c>
      <c r="BU26" s="398">
        <f t="shared" si="22"/>
        <v>0</v>
      </c>
      <c r="BX26" s="398">
        <f t="shared" si="23"/>
        <v>0</v>
      </c>
      <c r="CA26" s="398">
        <f t="shared" si="24"/>
        <v>0</v>
      </c>
      <c r="CD26" s="398">
        <f t="shared" si="25"/>
        <v>0</v>
      </c>
      <c r="CG26" s="398">
        <f t="shared" si="26"/>
        <v>0</v>
      </c>
      <c r="CJ26" s="398">
        <f t="shared" si="27"/>
        <v>0</v>
      </c>
      <c r="CM26" s="398">
        <f t="shared" si="28"/>
        <v>0</v>
      </c>
      <c r="CP26" s="398">
        <f t="shared" si="29"/>
        <v>0</v>
      </c>
      <c r="CS26" s="398">
        <f t="shared" si="30"/>
        <v>0</v>
      </c>
      <c r="CV26" s="398">
        <f t="shared" si="31"/>
        <v>0</v>
      </c>
      <c r="CY26" s="398">
        <f t="shared" si="32"/>
        <v>0</v>
      </c>
      <c r="DB26" s="398">
        <f t="shared" si="33"/>
        <v>0</v>
      </c>
      <c r="DE26" s="398">
        <f t="shared" si="34"/>
        <v>0</v>
      </c>
      <c r="DH26" s="398">
        <f t="shared" si="35"/>
        <v>0</v>
      </c>
      <c r="DK26" s="398">
        <f t="shared" si="36"/>
        <v>0</v>
      </c>
      <c r="DN26" s="398">
        <f t="shared" si="37"/>
        <v>0</v>
      </c>
      <c r="DQ26" s="398">
        <f t="shared" si="38"/>
        <v>0</v>
      </c>
      <c r="DT26" s="398">
        <f t="shared" si="39"/>
        <v>0</v>
      </c>
      <c r="DW26" s="398">
        <f t="shared" si="40"/>
        <v>0</v>
      </c>
      <c r="DZ26" s="398"/>
      <c r="EA26" s="398"/>
      <c r="EB26" s="212">
        <f t="shared" si="41"/>
        <v>176000000</v>
      </c>
      <c r="EC26" s="212">
        <f t="shared" si="42"/>
        <v>0</v>
      </c>
      <c r="ED26" s="398">
        <f t="shared" si="43"/>
        <v>13922.222222222223</v>
      </c>
      <c r="EE26" s="399">
        <f t="shared" si="44"/>
        <v>2.8477272727272726E-2</v>
      </c>
      <c r="EG26" s="212">
        <f t="shared" si="45"/>
        <v>0</v>
      </c>
      <c r="EH26" s="398">
        <f t="shared" si="46"/>
        <v>0</v>
      </c>
      <c r="EI26" s="399">
        <f t="shared" si="47"/>
        <v>0</v>
      </c>
      <c r="EJ26" s="399"/>
      <c r="EK26" s="212">
        <f t="shared" si="48"/>
        <v>176000000</v>
      </c>
      <c r="EL26" s="212">
        <f t="shared" si="49"/>
        <v>0</v>
      </c>
      <c r="EM26" s="212">
        <f t="shared" si="50"/>
        <v>13922.222222222223</v>
      </c>
      <c r="EN26" s="399">
        <f t="shared" si="51"/>
        <v>2.8477272727272726E-2</v>
      </c>
    </row>
    <row r="27" spans="1:144">
      <c r="A27" s="416">
        <f t="shared" si="52"/>
        <v>43481</v>
      </c>
      <c r="D27" s="398">
        <f t="shared" si="1"/>
        <v>0</v>
      </c>
      <c r="G27" s="398">
        <f t="shared" si="2"/>
        <v>0</v>
      </c>
      <c r="J27" s="398">
        <f t="shared" si="3"/>
        <v>0</v>
      </c>
      <c r="M27" s="398">
        <f t="shared" si="4"/>
        <v>0</v>
      </c>
      <c r="P27" s="398">
        <f t="shared" si="5"/>
        <v>0</v>
      </c>
      <c r="S27" s="398">
        <f t="shared" si="6"/>
        <v>0</v>
      </c>
      <c r="V27" s="398">
        <f t="shared" si="7"/>
        <v>0</v>
      </c>
      <c r="Y27" s="398">
        <f t="shared" si="8"/>
        <v>0</v>
      </c>
      <c r="AB27" s="398">
        <f t="shared" si="9"/>
        <v>0</v>
      </c>
      <c r="AE27" s="398">
        <v>0</v>
      </c>
      <c r="AH27" s="398">
        <v>0</v>
      </c>
      <c r="AI27" s="417">
        <f>66450000</f>
        <v>66450000</v>
      </c>
      <c r="AJ27" s="418">
        <v>2.7E-2</v>
      </c>
      <c r="AK27" s="398">
        <f t="shared" si="10"/>
        <v>4983.75</v>
      </c>
      <c r="AL27" s="417"/>
      <c r="AM27" s="418"/>
      <c r="AN27" s="398">
        <f t="shared" si="11"/>
        <v>0</v>
      </c>
      <c r="AO27" s="417">
        <f t="shared" si="53"/>
        <v>50000000</v>
      </c>
      <c r="AP27" s="418">
        <v>2.9700000000000001E-2</v>
      </c>
      <c r="AQ27" s="398">
        <f t="shared" si="12"/>
        <v>4125</v>
      </c>
      <c r="AR27" s="417">
        <f t="shared" si="54"/>
        <v>50000000</v>
      </c>
      <c r="AS27" s="418">
        <v>2.9499999999999998E-2</v>
      </c>
      <c r="AT27" s="398">
        <f t="shared" si="13"/>
        <v>4097.2222222222226</v>
      </c>
      <c r="AW27" s="398">
        <f t="shared" si="14"/>
        <v>0</v>
      </c>
      <c r="AZ27" s="398">
        <f t="shared" si="15"/>
        <v>0</v>
      </c>
      <c r="BC27" s="398">
        <f t="shared" si="16"/>
        <v>0</v>
      </c>
      <c r="BF27" s="398">
        <f t="shared" si="17"/>
        <v>0</v>
      </c>
      <c r="BI27" s="398">
        <f t="shared" si="18"/>
        <v>0</v>
      </c>
      <c r="BL27" s="398">
        <f t="shared" si="19"/>
        <v>0</v>
      </c>
      <c r="BO27" s="398">
        <f t="shared" si="20"/>
        <v>0</v>
      </c>
      <c r="BR27" s="398">
        <f t="shared" si="21"/>
        <v>0</v>
      </c>
      <c r="BU27" s="398">
        <f t="shared" si="22"/>
        <v>0</v>
      </c>
      <c r="BX27" s="398">
        <f t="shared" si="23"/>
        <v>0</v>
      </c>
      <c r="CA27" s="398">
        <f t="shared" si="24"/>
        <v>0</v>
      </c>
      <c r="CD27" s="398">
        <f t="shared" si="25"/>
        <v>0</v>
      </c>
      <c r="CG27" s="398">
        <f t="shared" si="26"/>
        <v>0</v>
      </c>
      <c r="CJ27" s="398">
        <f t="shared" si="27"/>
        <v>0</v>
      </c>
      <c r="CM27" s="398">
        <f t="shared" si="28"/>
        <v>0</v>
      </c>
      <c r="CP27" s="398">
        <f t="shared" si="29"/>
        <v>0</v>
      </c>
      <c r="CS27" s="398">
        <f t="shared" si="30"/>
        <v>0</v>
      </c>
      <c r="CV27" s="398">
        <f t="shared" si="31"/>
        <v>0</v>
      </c>
      <c r="CY27" s="398">
        <f t="shared" si="32"/>
        <v>0</v>
      </c>
      <c r="DB27" s="398">
        <f t="shared" si="33"/>
        <v>0</v>
      </c>
      <c r="DE27" s="398">
        <f t="shared" si="34"/>
        <v>0</v>
      </c>
      <c r="DH27" s="398">
        <f t="shared" si="35"/>
        <v>0</v>
      </c>
      <c r="DK27" s="398">
        <f t="shared" si="36"/>
        <v>0</v>
      </c>
      <c r="DN27" s="398">
        <f t="shared" si="37"/>
        <v>0</v>
      </c>
      <c r="DQ27" s="398">
        <f t="shared" si="38"/>
        <v>0</v>
      </c>
      <c r="DT27" s="398">
        <f t="shared" si="39"/>
        <v>0</v>
      </c>
      <c r="DW27" s="398">
        <f t="shared" si="40"/>
        <v>0</v>
      </c>
      <c r="DZ27" s="398"/>
      <c r="EA27" s="398"/>
      <c r="EB27" s="212">
        <f t="shared" si="41"/>
        <v>166450000</v>
      </c>
      <c r="EC27" s="212">
        <f t="shared" si="42"/>
        <v>0</v>
      </c>
      <c r="ED27" s="398">
        <f t="shared" si="43"/>
        <v>13205.972222222223</v>
      </c>
      <c r="EE27" s="399">
        <f t="shared" si="44"/>
        <v>2.856203063983178E-2</v>
      </c>
      <c r="EG27" s="212">
        <f t="shared" si="45"/>
        <v>0</v>
      </c>
      <c r="EH27" s="398">
        <f t="shared" si="46"/>
        <v>0</v>
      </c>
      <c r="EI27" s="399">
        <f t="shared" si="47"/>
        <v>0</v>
      </c>
      <c r="EJ27" s="399"/>
      <c r="EK27" s="212">
        <f t="shared" si="48"/>
        <v>166450000</v>
      </c>
      <c r="EL27" s="212">
        <f t="shared" si="49"/>
        <v>0</v>
      </c>
      <c r="EM27" s="212">
        <f t="shared" si="50"/>
        <v>13205.972222222223</v>
      </c>
      <c r="EN27" s="399">
        <f t="shared" si="51"/>
        <v>2.856203063983178E-2</v>
      </c>
    </row>
    <row r="28" spans="1:144">
      <c r="A28" s="416">
        <f t="shared" si="52"/>
        <v>43482</v>
      </c>
      <c r="D28" s="398">
        <f t="shared" si="1"/>
        <v>0</v>
      </c>
      <c r="G28" s="398">
        <f t="shared" si="2"/>
        <v>0</v>
      </c>
      <c r="J28" s="398">
        <f t="shared" si="3"/>
        <v>0</v>
      </c>
      <c r="M28" s="398">
        <f t="shared" si="4"/>
        <v>0</v>
      </c>
      <c r="P28" s="398">
        <f t="shared" si="5"/>
        <v>0</v>
      </c>
      <c r="S28" s="398">
        <f t="shared" si="6"/>
        <v>0</v>
      </c>
      <c r="V28" s="398">
        <f t="shared" si="7"/>
        <v>0</v>
      </c>
      <c r="Y28" s="398">
        <f t="shared" si="8"/>
        <v>0</v>
      </c>
      <c r="AB28" s="398">
        <f t="shared" si="9"/>
        <v>0</v>
      </c>
      <c r="AE28" s="398">
        <v>0</v>
      </c>
      <c r="AH28" s="398">
        <v>0</v>
      </c>
      <c r="AI28" s="417">
        <f>53475000</f>
        <v>53475000</v>
      </c>
      <c r="AJ28" s="418">
        <v>2.7E-2</v>
      </c>
      <c r="AK28" s="398">
        <f t="shared" si="10"/>
        <v>4010.625</v>
      </c>
      <c r="AL28" s="417"/>
      <c r="AM28" s="418"/>
      <c r="AN28" s="398">
        <f t="shared" si="11"/>
        <v>0</v>
      </c>
      <c r="AO28" s="417">
        <f t="shared" si="53"/>
        <v>50000000</v>
      </c>
      <c r="AP28" s="418">
        <v>2.9700000000000001E-2</v>
      </c>
      <c r="AQ28" s="398">
        <f t="shared" si="12"/>
        <v>4125</v>
      </c>
      <c r="AR28" s="417">
        <f t="shared" si="54"/>
        <v>50000000</v>
      </c>
      <c r="AS28" s="418">
        <v>2.9499999999999998E-2</v>
      </c>
      <c r="AT28" s="398">
        <f t="shared" si="13"/>
        <v>4097.2222222222226</v>
      </c>
      <c r="AW28" s="398">
        <f t="shared" si="14"/>
        <v>0</v>
      </c>
      <c r="AZ28" s="398">
        <f t="shared" si="15"/>
        <v>0</v>
      </c>
      <c r="BC28" s="398">
        <f t="shared" si="16"/>
        <v>0</v>
      </c>
      <c r="BF28" s="398">
        <f t="shared" si="17"/>
        <v>0</v>
      </c>
      <c r="BI28" s="398">
        <f t="shared" si="18"/>
        <v>0</v>
      </c>
      <c r="BL28" s="398">
        <f t="shared" si="19"/>
        <v>0</v>
      </c>
      <c r="BO28" s="398">
        <f t="shared" si="20"/>
        <v>0</v>
      </c>
      <c r="BR28" s="398">
        <f t="shared" si="21"/>
        <v>0</v>
      </c>
      <c r="BU28" s="398">
        <f t="shared" si="22"/>
        <v>0</v>
      </c>
      <c r="BX28" s="398">
        <f t="shared" si="23"/>
        <v>0</v>
      </c>
      <c r="CA28" s="398">
        <f t="shared" si="24"/>
        <v>0</v>
      </c>
      <c r="CD28" s="398">
        <f t="shared" si="25"/>
        <v>0</v>
      </c>
      <c r="CG28" s="398">
        <f t="shared" si="26"/>
        <v>0</v>
      </c>
      <c r="CJ28" s="398">
        <f t="shared" si="27"/>
        <v>0</v>
      </c>
      <c r="CM28" s="398">
        <f t="shared" si="28"/>
        <v>0</v>
      </c>
      <c r="CP28" s="398">
        <f t="shared" si="29"/>
        <v>0</v>
      </c>
      <c r="CS28" s="398">
        <f t="shared" si="30"/>
        <v>0</v>
      </c>
      <c r="CV28" s="398">
        <f t="shared" si="31"/>
        <v>0</v>
      </c>
      <c r="CY28" s="398">
        <f t="shared" si="32"/>
        <v>0</v>
      </c>
      <c r="DB28" s="398">
        <f t="shared" si="33"/>
        <v>0</v>
      </c>
      <c r="DE28" s="398">
        <f t="shared" si="34"/>
        <v>0</v>
      </c>
      <c r="DH28" s="398">
        <f t="shared" si="35"/>
        <v>0</v>
      </c>
      <c r="DK28" s="398">
        <f t="shared" si="36"/>
        <v>0</v>
      </c>
      <c r="DN28" s="398">
        <f t="shared" si="37"/>
        <v>0</v>
      </c>
      <c r="DQ28" s="398">
        <f t="shared" si="38"/>
        <v>0</v>
      </c>
      <c r="DT28" s="398">
        <f t="shared" si="39"/>
        <v>0</v>
      </c>
      <c r="DW28" s="398">
        <f t="shared" si="40"/>
        <v>0</v>
      </c>
      <c r="DZ28" s="398"/>
      <c r="EA28" s="398"/>
      <c r="EB28" s="212">
        <f t="shared" si="41"/>
        <v>153475000</v>
      </c>
      <c r="EC28" s="212">
        <f t="shared" si="42"/>
        <v>0</v>
      </c>
      <c r="ED28" s="398">
        <f t="shared" si="43"/>
        <v>12232.847222222223</v>
      </c>
      <c r="EE28" s="399">
        <f t="shared" si="44"/>
        <v>2.8694086984850955E-2</v>
      </c>
      <c r="EG28" s="212">
        <f t="shared" si="45"/>
        <v>0</v>
      </c>
      <c r="EH28" s="398">
        <f t="shared" si="46"/>
        <v>0</v>
      </c>
      <c r="EI28" s="399">
        <f t="shared" si="47"/>
        <v>0</v>
      </c>
      <c r="EJ28" s="399"/>
      <c r="EK28" s="212">
        <f t="shared" si="48"/>
        <v>153475000</v>
      </c>
      <c r="EL28" s="212">
        <f t="shared" si="49"/>
        <v>0</v>
      </c>
      <c r="EM28" s="212">
        <f t="shared" si="50"/>
        <v>12232.847222222223</v>
      </c>
      <c r="EN28" s="399">
        <f t="shared" si="51"/>
        <v>2.8694086984850955E-2</v>
      </c>
    </row>
    <row r="29" spans="1:144">
      <c r="A29" s="416">
        <f t="shared" si="52"/>
        <v>43483</v>
      </c>
      <c r="D29" s="398">
        <f t="shared" si="1"/>
        <v>0</v>
      </c>
      <c r="G29" s="398">
        <f t="shared" si="2"/>
        <v>0</v>
      </c>
      <c r="J29" s="398">
        <f t="shared" si="3"/>
        <v>0</v>
      </c>
      <c r="M29" s="398">
        <f t="shared" si="4"/>
        <v>0</v>
      </c>
      <c r="P29" s="398">
        <f t="shared" si="5"/>
        <v>0</v>
      </c>
      <c r="S29" s="398">
        <f t="shared" si="6"/>
        <v>0</v>
      </c>
      <c r="V29" s="398">
        <f t="shared" si="7"/>
        <v>0</v>
      </c>
      <c r="Y29" s="398">
        <f t="shared" si="8"/>
        <v>0</v>
      </c>
      <c r="AB29" s="398">
        <f t="shared" si="9"/>
        <v>0</v>
      </c>
      <c r="AE29" s="398">
        <v>0</v>
      </c>
      <c r="AH29" s="398">
        <v>0</v>
      </c>
      <c r="AI29" s="417">
        <f>33875000</f>
        <v>33875000</v>
      </c>
      <c r="AJ29" s="418">
        <v>2.7E-2</v>
      </c>
      <c r="AK29" s="398">
        <f t="shared" si="10"/>
        <v>2540.625</v>
      </c>
      <c r="AL29" s="417">
        <f t="shared" ref="AL29:AL42" si="55">30000000</f>
        <v>30000000</v>
      </c>
      <c r="AM29" s="418">
        <v>2.9000000000000001E-2</v>
      </c>
      <c r="AN29" s="398">
        <f t="shared" si="11"/>
        <v>2416.6666666666665</v>
      </c>
      <c r="AO29" s="417">
        <f t="shared" si="53"/>
        <v>50000000</v>
      </c>
      <c r="AP29" s="418">
        <v>2.9700000000000001E-2</v>
      </c>
      <c r="AQ29" s="398">
        <f t="shared" si="12"/>
        <v>4125</v>
      </c>
      <c r="AR29" s="417">
        <f t="shared" si="54"/>
        <v>50000000</v>
      </c>
      <c r="AS29" s="418">
        <v>2.9499999999999998E-2</v>
      </c>
      <c r="AT29" s="398">
        <f t="shared" si="13"/>
        <v>4097.2222222222226</v>
      </c>
      <c r="AW29" s="398">
        <f t="shared" si="14"/>
        <v>0</v>
      </c>
      <c r="AZ29" s="398">
        <f t="shared" si="15"/>
        <v>0</v>
      </c>
      <c r="BC29" s="398">
        <f t="shared" si="16"/>
        <v>0</v>
      </c>
      <c r="BF29" s="398">
        <f t="shared" si="17"/>
        <v>0</v>
      </c>
      <c r="BI29" s="398">
        <f t="shared" si="18"/>
        <v>0</v>
      </c>
      <c r="BL29" s="398">
        <f t="shared" si="19"/>
        <v>0</v>
      </c>
      <c r="BO29" s="398">
        <f t="shared" si="20"/>
        <v>0</v>
      </c>
      <c r="BR29" s="398">
        <f t="shared" si="21"/>
        <v>0</v>
      </c>
      <c r="BU29" s="398">
        <f t="shared" si="22"/>
        <v>0</v>
      </c>
      <c r="BX29" s="398">
        <f t="shared" si="23"/>
        <v>0</v>
      </c>
      <c r="CA29" s="398">
        <f t="shared" si="24"/>
        <v>0</v>
      </c>
      <c r="CD29" s="398">
        <f t="shared" si="25"/>
        <v>0</v>
      </c>
      <c r="CG29" s="398">
        <f t="shared" si="26"/>
        <v>0</v>
      </c>
      <c r="CJ29" s="398">
        <f t="shared" si="27"/>
        <v>0</v>
      </c>
      <c r="CM29" s="398">
        <f t="shared" si="28"/>
        <v>0</v>
      </c>
      <c r="CP29" s="398">
        <f t="shared" si="29"/>
        <v>0</v>
      </c>
      <c r="CS29" s="398">
        <f t="shared" si="30"/>
        <v>0</v>
      </c>
      <c r="CV29" s="398">
        <f t="shared" si="31"/>
        <v>0</v>
      </c>
      <c r="CY29" s="398">
        <f t="shared" si="32"/>
        <v>0</v>
      </c>
      <c r="DB29" s="398">
        <f t="shared" si="33"/>
        <v>0</v>
      </c>
      <c r="DE29" s="398">
        <f t="shared" si="34"/>
        <v>0</v>
      </c>
      <c r="DH29" s="398">
        <f t="shared" si="35"/>
        <v>0</v>
      </c>
      <c r="DK29" s="398">
        <f t="shared" si="36"/>
        <v>0</v>
      </c>
      <c r="DN29" s="398">
        <f t="shared" si="37"/>
        <v>0</v>
      </c>
      <c r="DQ29" s="398">
        <f t="shared" si="38"/>
        <v>0</v>
      </c>
      <c r="DT29" s="398">
        <f t="shared" si="39"/>
        <v>0</v>
      </c>
      <c r="DW29" s="398">
        <f t="shared" si="40"/>
        <v>0</v>
      </c>
      <c r="DZ29" s="398"/>
      <c r="EA29" s="398"/>
      <c r="EB29" s="212">
        <f t="shared" si="41"/>
        <v>163875000</v>
      </c>
      <c r="EC29" s="212">
        <f t="shared" si="42"/>
        <v>0</v>
      </c>
      <c r="ED29" s="398">
        <f t="shared" si="43"/>
        <v>13179.513888888889</v>
      </c>
      <c r="EE29" s="399">
        <f t="shared" si="44"/>
        <v>2.8952707856598016E-2</v>
      </c>
      <c r="EG29" s="212">
        <f t="shared" si="45"/>
        <v>0</v>
      </c>
      <c r="EH29" s="398">
        <f t="shared" si="46"/>
        <v>0</v>
      </c>
      <c r="EI29" s="399">
        <f t="shared" si="47"/>
        <v>0</v>
      </c>
      <c r="EJ29" s="399"/>
      <c r="EK29" s="212">
        <f t="shared" si="48"/>
        <v>163875000</v>
      </c>
      <c r="EL29" s="212">
        <f t="shared" si="49"/>
        <v>0</v>
      </c>
      <c r="EM29" s="212">
        <f t="shared" si="50"/>
        <v>13179.513888888889</v>
      </c>
      <c r="EN29" s="399">
        <f t="shared" si="51"/>
        <v>2.8952707856598016E-2</v>
      </c>
    </row>
    <row r="30" spans="1:144">
      <c r="A30" s="416">
        <f t="shared" si="52"/>
        <v>43484</v>
      </c>
      <c r="D30" s="398">
        <f t="shared" si="1"/>
        <v>0</v>
      </c>
      <c r="G30" s="398">
        <f t="shared" si="2"/>
        <v>0</v>
      </c>
      <c r="J30" s="398">
        <f t="shared" si="3"/>
        <v>0</v>
      </c>
      <c r="M30" s="398">
        <f t="shared" si="4"/>
        <v>0</v>
      </c>
      <c r="P30" s="398">
        <f t="shared" si="5"/>
        <v>0</v>
      </c>
      <c r="S30" s="398">
        <f t="shared" si="6"/>
        <v>0</v>
      </c>
      <c r="V30" s="398">
        <f t="shared" si="7"/>
        <v>0</v>
      </c>
      <c r="Y30" s="398">
        <f t="shared" si="8"/>
        <v>0</v>
      </c>
      <c r="AB30" s="398">
        <f t="shared" si="9"/>
        <v>0</v>
      </c>
      <c r="AE30" s="398">
        <v>0</v>
      </c>
      <c r="AH30" s="398">
        <v>0</v>
      </c>
      <c r="AI30" s="417">
        <f>33875000</f>
        <v>33875000</v>
      </c>
      <c r="AJ30" s="418">
        <v>2.7E-2</v>
      </c>
      <c r="AK30" s="398">
        <f t="shared" si="10"/>
        <v>2540.625</v>
      </c>
      <c r="AL30" s="417">
        <f t="shared" si="55"/>
        <v>30000000</v>
      </c>
      <c r="AM30" s="418">
        <v>2.9000000000000001E-2</v>
      </c>
      <c r="AN30" s="398">
        <f t="shared" si="11"/>
        <v>2416.6666666666665</v>
      </c>
      <c r="AO30" s="417">
        <f t="shared" si="53"/>
        <v>50000000</v>
      </c>
      <c r="AP30" s="418">
        <v>2.9700000000000001E-2</v>
      </c>
      <c r="AQ30" s="398">
        <f t="shared" si="12"/>
        <v>4125</v>
      </c>
      <c r="AR30" s="417">
        <f t="shared" si="54"/>
        <v>50000000</v>
      </c>
      <c r="AS30" s="418">
        <v>2.9499999999999998E-2</v>
      </c>
      <c r="AT30" s="398">
        <f t="shared" si="13"/>
        <v>4097.2222222222226</v>
      </c>
      <c r="AW30" s="398">
        <f t="shared" si="14"/>
        <v>0</v>
      </c>
      <c r="AZ30" s="398">
        <f t="shared" si="15"/>
        <v>0</v>
      </c>
      <c r="BC30" s="398">
        <f t="shared" si="16"/>
        <v>0</v>
      </c>
      <c r="BF30" s="398">
        <f t="shared" si="17"/>
        <v>0</v>
      </c>
      <c r="BI30" s="398">
        <f t="shared" si="18"/>
        <v>0</v>
      </c>
      <c r="BL30" s="398">
        <f t="shared" si="19"/>
        <v>0</v>
      </c>
      <c r="BO30" s="398">
        <f t="shared" si="20"/>
        <v>0</v>
      </c>
      <c r="BR30" s="398">
        <f t="shared" si="21"/>
        <v>0</v>
      </c>
      <c r="BU30" s="398">
        <f t="shared" si="22"/>
        <v>0</v>
      </c>
      <c r="BX30" s="398">
        <f t="shared" si="23"/>
        <v>0</v>
      </c>
      <c r="CA30" s="398">
        <f t="shared" si="24"/>
        <v>0</v>
      </c>
      <c r="CD30" s="398">
        <f t="shared" si="25"/>
        <v>0</v>
      </c>
      <c r="CG30" s="398">
        <f t="shared" si="26"/>
        <v>0</v>
      </c>
      <c r="CJ30" s="398">
        <f t="shared" si="27"/>
        <v>0</v>
      </c>
      <c r="CM30" s="398">
        <f t="shared" si="28"/>
        <v>0</v>
      </c>
      <c r="CP30" s="398">
        <f t="shared" si="29"/>
        <v>0</v>
      </c>
      <c r="CS30" s="398">
        <f t="shared" si="30"/>
        <v>0</v>
      </c>
      <c r="CV30" s="398">
        <f t="shared" si="31"/>
        <v>0</v>
      </c>
      <c r="CY30" s="398">
        <f t="shared" si="32"/>
        <v>0</v>
      </c>
      <c r="DB30" s="398">
        <f t="shared" si="33"/>
        <v>0</v>
      </c>
      <c r="DE30" s="398">
        <f t="shared" si="34"/>
        <v>0</v>
      </c>
      <c r="DH30" s="398">
        <f t="shared" si="35"/>
        <v>0</v>
      </c>
      <c r="DK30" s="398">
        <f t="shared" si="36"/>
        <v>0</v>
      </c>
      <c r="DN30" s="398">
        <f t="shared" si="37"/>
        <v>0</v>
      </c>
      <c r="DQ30" s="398">
        <f t="shared" si="38"/>
        <v>0</v>
      </c>
      <c r="DT30" s="398">
        <f t="shared" si="39"/>
        <v>0</v>
      </c>
      <c r="DW30" s="398">
        <f t="shared" si="40"/>
        <v>0</v>
      </c>
      <c r="DZ30" s="398"/>
      <c r="EA30" s="398"/>
      <c r="EB30" s="212">
        <f t="shared" si="41"/>
        <v>163875000</v>
      </c>
      <c r="EC30" s="212">
        <f t="shared" si="42"/>
        <v>0</v>
      </c>
      <c r="ED30" s="398">
        <f t="shared" si="43"/>
        <v>13179.513888888889</v>
      </c>
      <c r="EE30" s="399">
        <f t="shared" si="44"/>
        <v>2.8952707856598016E-2</v>
      </c>
      <c r="EG30" s="212">
        <f t="shared" si="45"/>
        <v>0</v>
      </c>
      <c r="EH30" s="398">
        <f t="shared" si="46"/>
        <v>0</v>
      </c>
      <c r="EI30" s="399">
        <f t="shared" si="47"/>
        <v>0</v>
      </c>
      <c r="EJ30" s="399"/>
      <c r="EK30" s="212">
        <f t="shared" si="48"/>
        <v>163875000</v>
      </c>
      <c r="EL30" s="212">
        <f t="shared" si="49"/>
        <v>0</v>
      </c>
      <c r="EM30" s="212">
        <f t="shared" si="50"/>
        <v>13179.513888888889</v>
      </c>
      <c r="EN30" s="399">
        <f t="shared" si="51"/>
        <v>2.8952707856598016E-2</v>
      </c>
    </row>
    <row r="31" spans="1:144">
      <c r="A31" s="416">
        <f t="shared" si="52"/>
        <v>43485</v>
      </c>
      <c r="D31" s="398">
        <f t="shared" si="1"/>
        <v>0</v>
      </c>
      <c r="G31" s="398">
        <f t="shared" si="2"/>
        <v>0</v>
      </c>
      <c r="J31" s="398">
        <f t="shared" si="3"/>
        <v>0</v>
      </c>
      <c r="M31" s="398">
        <f t="shared" si="4"/>
        <v>0</v>
      </c>
      <c r="P31" s="398">
        <f t="shared" si="5"/>
        <v>0</v>
      </c>
      <c r="S31" s="398">
        <f t="shared" si="6"/>
        <v>0</v>
      </c>
      <c r="V31" s="398">
        <f t="shared" si="7"/>
        <v>0</v>
      </c>
      <c r="Y31" s="398">
        <f t="shared" si="8"/>
        <v>0</v>
      </c>
      <c r="AB31" s="398">
        <f t="shared" si="9"/>
        <v>0</v>
      </c>
      <c r="AE31" s="398">
        <v>0</v>
      </c>
      <c r="AH31" s="398">
        <v>0</v>
      </c>
      <c r="AI31" s="417">
        <f>33875000</f>
        <v>33875000</v>
      </c>
      <c r="AJ31" s="418">
        <v>2.7E-2</v>
      </c>
      <c r="AK31" s="398">
        <f t="shared" si="10"/>
        <v>2540.625</v>
      </c>
      <c r="AL31" s="417">
        <f t="shared" si="55"/>
        <v>30000000</v>
      </c>
      <c r="AM31" s="418">
        <v>2.9000000000000001E-2</v>
      </c>
      <c r="AN31" s="398">
        <f t="shared" si="11"/>
        <v>2416.6666666666665</v>
      </c>
      <c r="AO31" s="417">
        <f t="shared" si="53"/>
        <v>50000000</v>
      </c>
      <c r="AP31" s="418">
        <v>2.9700000000000001E-2</v>
      </c>
      <c r="AQ31" s="398">
        <f t="shared" si="12"/>
        <v>4125</v>
      </c>
      <c r="AR31" s="417">
        <f t="shared" si="54"/>
        <v>50000000</v>
      </c>
      <c r="AS31" s="418">
        <v>2.9499999999999998E-2</v>
      </c>
      <c r="AT31" s="398">
        <f t="shared" si="13"/>
        <v>4097.2222222222226</v>
      </c>
      <c r="AW31" s="398">
        <f t="shared" si="14"/>
        <v>0</v>
      </c>
      <c r="AZ31" s="398">
        <f t="shared" si="15"/>
        <v>0</v>
      </c>
      <c r="BC31" s="398">
        <f t="shared" si="16"/>
        <v>0</v>
      </c>
      <c r="BF31" s="398">
        <f t="shared" si="17"/>
        <v>0</v>
      </c>
      <c r="BI31" s="398">
        <f t="shared" si="18"/>
        <v>0</v>
      </c>
      <c r="BL31" s="398">
        <f t="shared" si="19"/>
        <v>0</v>
      </c>
      <c r="BO31" s="398">
        <f t="shared" si="20"/>
        <v>0</v>
      </c>
      <c r="BR31" s="398">
        <f t="shared" si="21"/>
        <v>0</v>
      </c>
      <c r="BU31" s="398">
        <f t="shared" si="22"/>
        <v>0</v>
      </c>
      <c r="BX31" s="398">
        <f t="shared" si="23"/>
        <v>0</v>
      </c>
      <c r="CA31" s="398">
        <f t="shared" si="24"/>
        <v>0</v>
      </c>
      <c r="CD31" s="398">
        <f t="shared" si="25"/>
        <v>0</v>
      </c>
      <c r="CG31" s="398">
        <f t="shared" si="26"/>
        <v>0</v>
      </c>
      <c r="CJ31" s="398">
        <f t="shared" si="27"/>
        <v>0</v>
      </c>
      <c r="CM31" s="398">
        <f t="shared" si="28"/>
        <v>0</v>
      </c>
      <c r="CP31" s="398">
        <f t="shared" si="29"/>
        <v>0</v>
      </c>
      <c r="CS31" s="398">
        <f t="shared" si="30"/>
        <v>0</v>
      </c>
      <c r="CV31" s="398">
        <f t="shared" si="31"/>
        <v>0</v>
      </c>
      <c r="CY31" s="398">
        <f t="shared" si="32"/>
        <v>0</v>
      </c>
      <c r="DB31" s="398">
        <f t="shared" si="33"/>
        <v>0</v>
      </c>
      <c r="DE31" s="398">
        <f t="shared" si="34"/>
        <v>0</v>
      </c>
      <c r="DH31" s="398">
        <f t="shared" si="35"/>
        <v>0</v>
      </c>
      <c r="DK31" s="398">
        <f t="shared" si="36"/>
        <v>0</v>
      </c>
      <c r="DN31" s="398">
        <f t="shared" si="37"/>
        <v>0</v>
      </c>
      <c r="DQ31" s="398">
        <f t="shared" si="38"/>
        <v>0</v>
      </c>
      <c r="DT31" s="398">
        <f t="shared" si="39"/>
        <v>0</v>
      </c>
      <c r="DW31" s="398">
        <f t="shared" si="40"/>
        <v>0</v>
      </c>
      <c r="DZ31" s="398"/>
      <c r="EA31" s="398"/>
      <c r="EB31" s="212">
        <f t="shared" si="41"/>
        <v>163875000</v>
      </c>
      <c r="EC31" s="212">
        <f t="shared" si="42"/>
        <v>0</v>
      </c>
      <c r="ED31" s="398">
        <f t="shared" si="43"/>
        <v>13179.513888888889</v>
      </c>
      <c r="EE31" s="399">
        <f t="shared" si="44"/>
        <v>2.8952707856598016E-2</v>
      </c>
      <c r="EG31" s="212">
        <f t="shared" si="45"/>
        <v>0</v>
      </c>
      <c r="EH31" s="398">
        <f t="shared" si="46"/>
        <v>0</v>
      </c>
      <c r="EI31" s="399">
        <f t="shared" si="47"/>
        <v>0</v>
      </c>
      <c r="EJ31" s="399"/>
      <c r="EK31" s="212">
        <f t="shared" si="48"/>
        <v>163875000</v>
      </c>
      <c r="EL31" s="212">
        <f t="shared" si="49"/>
        <v>0</v>
      </c>
      <c r="EM31" s="212">
        <f t="shared" si="50"/>
        <v>13179.513888888889</v>
      </c>
      <c r="EN31" s="399">
        <f t="shared" si="51"/>
        <v>2.8952707856598016E-2</v>
      </c>
    </row>
    <row r="32" spans="1:144">
      <c r="A32" s="416">
        <f t="shared" si="52"/>
        <v>43486</v>
      </c>
      <c r="D32" s="398">
        <f t="shared" si="1"/>
        <v>0</v>
      </c>
      <c r="G32" s="398">
        <f t="shared" si="2"/>
        <v>0</v>
      </c>
      <c r="J32" s="398">
        <f t="shared" si="3"/>
        <v>0</v>
      </c>
      <c r="M32" s="398">
        <f t="shared" si="4"/>
        <v>0</v>
      </c>
      <c r="P32" s="398">
        <f t="shared" si="5"/>
        <v>0</v>
      </c>
      <c r="S32" s="398">
        <f t="shared" si="6"/>
        <v>0</v>
      </c>
      <c r="V32" s="398">
        <f t="shared" si="7"/>
        <v>0</v>
      </c>
      <c r="Y32" s="398">
        <f t="shared" si="8"/>
        <v>0</v>
      </c>
      <c r="AB32" s="398">
        <f t="shared" si="9"/>
        <v>0</v>
      </c>
      <c r="AE32" s="398">
        <v>0</v>
      </c>
      <c r="AH32" s="398">
        <v>0</v>
      </c>
      <c r="AI32" s="417">
        <f>33875000</f>
        <v>33875000</v>
      </c>
      <c r="AJ32" s="418">
        <v>2.7E-2</v>
      </c>
      <c r="AK32" s="398">
        <f t="shared" si="10"/>
        <v>2540.625</v>
      </c>
      <c r="AL32" s="417">
        <f t="shared" si="55"/>
        <v>30000000</v>
      </c>
      <c r="AM32" s="418">
        <v>2.9000000000000001E-2</v>
      </c>
      <c r="AN32" s="398">
        <f t="shared" si="11"/>
        <v>2416.6666666666665</v>
      </c>
      <c r="AO32" s="417">
        <f t="shared" si="53"/>
        <v>50000000</v>
      </c>
      <c r="AP32" s="418">
        <v>2.9700000000000001E-2</v>
      </c>
      <c r="AQ32" s="398">
        <f t="shared" si="12"/>
        <v>4125</v>
      </c>
      <c r="AR32" s="417">
        <f t="shared" si="54"/>
        <v>50000000</v>
      </c>
      <c r="AS32" s="418">
        <v>2.9499999999999998E-2</v>
      </c>
      <c r="AT32" s="398">
        <f t="shared" si="13"/>
        <v>4097.2222222222226</v>
      </c>
      <c r="AW32" s="398">
        <f t="shared" si="14"/>
        <v>0</v>
      </c>
      <c r="AZ32" s="398">
        <f t="shared" si="15"/>
        <v>0</v>
      </c>
      <c r="BC32" s="398">
        <f t="shared" si="16"/>
        <v>0</v>
      </c>
      <c r="BF32" s="398">
        <f t="shared" si="17"/>
        <v>0</v>
      </c>
      <c r="BI32" s="398">
        <f t="shared" si="18"/>
        <v>0</v>
      </c>
      <c r="BL32" s="398">
        <f t="shared" si="19"/>
        <v>0</v>
      </c>
      <c r="BO32" s="398">
        <f t="shared" si="20"/>
        <v>0</v>
      </c>
      <c r="BR32" s="398">
        <f t="shared" si="21"/>
        <v>0</v>
      </c>
      <c r="BU32" s="398">
        <f t="shared" si="22"/>
        <v>0</v>
      </c>
      <c r="BX32" s="398">
        <f t="shared" si="23"/>
        <v>0</v>
      </c>
      <c r="CA32" s="398">
        <f t="shared" si="24"/>
        <v>0</v>
      </c>
      <c r="CD32" s="398">
        <f t="shared" si="25"/>
        <v>0</v>
      </c>
      <c r="CG32" s="398">
        <f t="shared" si="26"/>
        <v>0</v>
      </c>
      <c r="CJ32" s="398">
        <f t="shared" si="27"/>
        <v>0</v>
      </c>
      <c r="CM32" s="398">
        <f t="shared" si="28"/>
        <v>0</v>
      </c>
      <c r="CP32" s="398">
        <f t="shared" si="29"/>
        <v>0</v>
      </c>
      <c r="CS32" s="398">
        <f t="shared" si="30"/>
        <v>0</v>
      </c>
      <c r="CV32" s="398">
        <f t="shared" si="31"/>
        <v>0</v>
      </c>
      <c r="CY32" s="398">
        <f t="shared" si="32"/>
        <v>0</v>
      </c>
      <c r="DB32" s="398">
        <f t="shared" si="33"/>
        <v>0</v>
      </c>
      <c r="DE32" s="398">
        <f t="shared" si="34"/>
        <v>0</v>
      </c>
      <c r="DH32" s="398">
        <f t="shared" si="35"/>
        <v>0</v>
      </c>
      <c r="DK32" s="398">
        <f t="shared" si="36"/>
        <v>0</v>
      </c>
      <c r="DN32" s="398">
        <f t="shared" si="37"/>
        <v>0</v>
      </c>
      <c r="DQ32" s="398">
        <f t="shared" si="38"/>
        <v>0</v>
      </c>
      <c r="DT32" s="398">
        <f t="shared" si="39"/>
        <v>0</v>
      </c>
      <c r="DW32" s="398">
        <f t="shared" si="40"/>
        <v>0</v>
      </c>
      <c r="DZ32" s="398"/>
      <c r="EA32" s="398"/>
      <c r="EB32" s="212">
        <f t="shared" si="41"/>
        <v>163875000</v>
      </c>
      <c r="EC32" s="212">
        <f t="shared" si="42"/>
        <v>0</v>
      </c>
      <c r="ED32" s="398">
        <f t="shared" si="43"/>
        <v>13179.513888888889</v>
      </c>
      <c r="EE32" s="399">
        <f t="shared" si="44"/>
        <v>2.8952707856598016E-2</v>
      </c>
      <c r="EG32" s="212">
        <f t="shared" si="45"/>
        <v>0</v>
      </c>
      <c r="EH32" s="398">
        <f t="shared" si="46"/>
        <v>0</v>
      </c>
      <c r="EI32" s="399">
        <f t="shared" si="47"/>
        <v>0</v>
      </c>
      <c r="EJ32" s="399"/>
      <c r="EK32" s="212">
        <f t="shared" si="48"/>
        <v>163875000</v>
      </c>
      <c r="EL32" s="212">
        <f t="shared" si="49"/>
        <v>0</v>
      </c>
      <c r="EM32" s="212">
        <f t="shared" si="50"/>
        <v>13179.513888888889</v>
      </c>
      <c r="EN32" s="399">
        <f t="shared" si="51"/>
        <v>2.8952707856598016E-2</v>
      </c>
    </row>
    <row r="33" spans="1:144">
      <c r="A33" s="416">
        <f t="shared" si="52"/>
        <v>43487</v>
      </c>
      <c r="D33" s="398">
        <f t="shared" si="1"/>
        <v>0</v>
      </c>
      <c r="G33" s="398">
        <f t="shared" si="2"/>
        <v>0</v>
      </c>
      <c r="J33" s="398">
        <f t="shared" si="3"/>
        <v>0</v>
      </c>
      <c r="M33" s="398">
        <f t="shared" si="4"/>
        <v>0</v>
      </c>
      <c r="P33" s="398">
        <f t="shared" si="5"/>
        <v>0</v>
      </c>
      <c r="S33" s="398">
        <f t="shared" si="6"/>
        <v>0</v>
      </c>
      <c r="V33" s="398">
        <f t="shared" si="7"/>
        <v>0</v>
      </c>
      <c r="Y33" s="398">
        <f t="shared" si="8"/>
        <v>0</v>
      </c>
      <c r="AB33" s="398">
        <f t="shared" si="9"/>
        <v>0</v>
      </c>
      <c r="AE33" s="398">
        <v>0</v>
      </c>
      <c r="AH33" s="398">
        <v>0</v>
      </c>
      <c r="AI33" s="417">
        <f>65900000</f>
        <v>65900000</v>
      </c>
      <c r="AJ33" s="418">
        <v>2.7E-2</v>
      </c>
      <c r="AK33" s="398">
        <f t="shared" si="10"/>
        <v>4942.5</v>
      </c>
      <c r="AL33" s="417">
        <f t="shared" si="55"/>
        <v>30000000</v>
      </c>
      <c r="AM33" s="418">
        <v>2.9000000000000001E-2</v>
      </c>
      <c r="AN33" s="398">
        <f t="shared" si="11"/>
        <v>2416.6666666666665</v>
      </c>
      <c r="AO33" s="417">
        <f t="shared" si="53"/>
        <v>50000000</v>
      </c>
      <c r="AP33" s="418">
        <v>2.9700000000000001E-2</v>
      </c>
      <c r="AQ33" s="398">
        <f t="shared" si="12"/>
        <v>4125</v>
      </c>
      <c r="AR33" s="417">
        <f t="shared" si="54"/>
        <v>50000000</v>
      </c>
      <c r="AS33" s="418">
        <v>2.9499999999999998E-2</v>
      </c>
      <c r="AT33" s="398">
        <f t="shared" si="13"/>
        <v>4097.2222222222226</v>
      </c>
      <c r="AW33" s="398">
        <f t="shared" si="14"/>
        <v>0</v>
      </c>
      <c r="AZ33" s="398">
        <f t="shared" si="15"/>
        <v>0</v>
      </c>
      <c r="BC33" s="398">
        <f t="shared" si="16"/>
        <v>0</v>
      </c>
      <c r="BF33" s="398">
        <f t="shared" si="17"/>
        <v>0</v>
      </c>
      <c r="BI33" s="398">
        <f t="shared" si="18"/>
        <v>0</v>
      </c>
      <c r="BL33" s="398">
        <f t="shared" si="19"/>
        <v>0</v>
      </c>
      <c r="BO33" s="398">
        <f t="shared" si="20"/>
        <v>0</v>
      </c>
      <c r="BR33" s="398">
        <f t="shared" si="21"/>
        <v>0</v>
      </c>
      <c r="BU33" s="398">
        <f t="shared" si="22"/>
        <v>0</v>
      </c>
      <c r="BX33" s="398">
        <f t="shared" si="23"/>
        <v>0</v>
      </c>
      <c r="CA33" s="398">
        <f t="shared" si="24"/>
        <v>0</v>
      </c>
      <c r="CD33" s="398">
        <f t="shared" si="25"/>
        <v>0</v>
      </c>
      <c r="CG33" s="398">
        <f t="shared" si="26"/>
        <v>0</v>
      </c>
      <c r="CJ33" s="398">
        <f t="shared" si="27"/>
        <v>0</v>
      </c>
      <c r="CM33" s="398">
        <f t="shared" si="28"/>
        <v>0</v>
      </c>
      <c r="CP33" s="398">
        <f t="shared" si="29"/>
        <v>0</v>
      </c>
      <c r="CS33" s="398">
        <f t="shared" si="30"/>
        <v>0</v>
      </c>
      <c r="CV33" s="398">
        <f t="shared" si="31"/>
        <v>0</v>
      </c>
      <c r="CY33" s="398">
        <f t="shared" si="32"/>
        <v>0</v>
      </c>
      <c r="DB33" s="398">
        <f t="shared" si="33"/>
        <v>0</v>
      </c>
      <c r="DE33" s="398">
        <f t="shared" si="34"/>
        <v>0</v>
      </c>
      <c r="DH33" s="398">
        <f t="shared" si="35"/>
        <v>0</v>
      </c>
      <c r="DK33" s="398">
        <f t="shared" si="36"/>
        <v>0</v>
      </c>
      <c r="DN33" s="398">
        <f t="shared" si="37"/>
        <v>0</v>
      </c>
      <c r="DQ33" s="398">
        <f t="shared" si="38"/>
        <v>0</v>
      </c>
      <c r="DT33" s="398">
        <f t="shared" si="39"/>
        <v>0</v>
      </c>
      <c r="DW33" s="398">
        <f t="shared" si="40"/>
        <v>0</v>
      </c>
      <c r="DZ33" s="398"/>
      <c r="EA33" s="398"/>
      <c r="EB33" s="212">
        <f t="shared" si="41"/>
        <v>195900000</v>
      </c>
      <c r="EC33" s="212">
        <f t="shared" si="42"/>
        <v>0</v>
      </c>
      <c r="ED33" s="398">
        <f t="shared" si="43"/>
        <v>15581.388888888889</v>
      </c>
      <c r="EE33" s="399">
        <f t="shared" si="44"/>
        <v>2.8633486472690147E-2</v>
      </c>
      <c r="EG33" s="212">
        <f t="shared" si="45"/>
        <v>0</v>
      </c>
      <c r="EH33" s="398">
        <f t="shared" si="46"/>
        <v>0</v>
      </c>
      <c r="EI33" s="399">
        <f t="shared" si="47"/>
        <v>0</v>
      </c>
      <c r="EJ33" s="399"/>
      <c r="EK33" s="212">
        <f t="shared" si="48"/>
        <v>195900000</v>
      </c>
      <c r="EL33" s="212">
        <f t="shared" si="49"/>
        <v>0</v>
      </c>
      <c r="EM33" s="212">
        <f t="shared" si="50"/>
        <v>15581.388888888889</v>
      </c>
      <c r="EN33" s="399">
        <f t="shared" si="51"/>
        <v>2.8633486472690147E-2</v>
      </c>
    </row>
    <row r="34" spans="1:144">
      <c r="A34" s="416">
        <f t="shared" si="52"/>
        <v>43488</v>
      </c>
      <c r="D34" s="398">
        <f t="shared" si="1"/>
        <v>0</v>
      </c>
      <c r="G34" s="398">
        <f t="shared" si="2"/>
        <v>0</v>
      </c>
      <c r="J34" s="398">
        <f t="shared" si="3"/>
        <v>0</v>
      </c>
      <c r="M34" s="398">
        <f t="shared" si="4"/>
        <v>0</v>
      </c>
      <c r="P34" s="398">
        <f t="shared" si="5"/>
        <v>0</v>
      </c>
      <c r="S34" s="398">
        <f t="shared" si="6"/>
        <v>0</v>
      </c>
      <c r="V34" s="398">
        <f t="shared" si="7"/>
        <v>0</v>
      </c>
      <c r="Y34" s="398">
        <f t="shared" si="8"/>
        <v>0</v>
      </c>
      <c r="AB34" s="398">
        <f t="shared" si="9"/>
        <v>0</v>
      </c>
      <c r="AE34" s="398">
        <v>0</v>
      </c>
      <c r="AH34" s="398">
        <v>0</v>
      </c>
      <c r="AI34" s="417">
        <f>52625000</f>
        <v>52625000</v>
      </c>
      <c r="AJ34" s="418">
        <v>2.7E-2</v>
      </c>
      <c r="AK34" s="398">
        <f t="shared" si="10"/>
        <v>3946.875</v>
      </c>
      <c r="AL34" s="417">
        <f t="shared" si="55"/>
        <v>30000000</v>
      </c>
      <c r="AM34" s="418">
        <v>2.9000000000000001E-2</v>
      </c>
      <c r="AN34" s="398">
        <f t="shared" si="11"/>
        <v>2416.6666666666665</v>
      </c>
      <c r="AO34" s="417">
        <f t="shared" si="53"/>
        <v>50000000</v>
      </c>
      <c r="AP34" s="418">
        <v>2.9700000000000001E-2</v>
      </c>
      <c r="AQ34" s="398">
        <f t="shared" si="12"/>
        <v>4125</v>
      </c>
      <c r="AR34" s="417">
        <f t="shared" si="54"/>
        <v>50000000</v>
      </c>
      <c r="AS34" s="418">
        <v>2.9499999999999998E-2</v>
      </c>
      <c r="AT34" s="398">
        <f t="shared" si="13"/>
        <v>4097.2222222222226</v>
      </c>
      <c r="AW34" s="398">
        <f t="shared" si="14"/>
        <v>0</v>
      </c>
      <c r="AZ34" s="398">
        <f t="shared" si="15"/>
        <v>0</v>
      </c>
      <c r="BC34" s="398">
        <f t="shared" si="16"/>
        <v>0</v>
      </c>
      <c r="BF34" s="398">
        <f t="shared" si="17"/>
        <v>0</v>
      </c>
      <c r="BI34" s="398">
        <f t="shared" si="18"/>
        <v>0</v>
      </c>
      <c r="BL34" s="398">
        <f t="shared" si="19"/>
        <v>0</v>
      </c>
      <c r="BO34" s="398">
        <f t="shared" si="20"/>
        <v>0</v>
      </c>
      <c r="BR34" s="398">
        <f t="shared" si="21"/>
        <v>0</v>
      </c>
      <c r="BU34" s="398">
        <f t="shared" si="22"/>
        <v>0</v>
      </c>
      <c r="BX34" s="398">
        <f t="shared" si="23"/>
        <v>0</v>
      </c>
      <c r="CA34" s="398">
        <f t="shared" si="24"/>
        <v>0</v>
      </c>
      <c r="CD34" s="398">
        <f t="shared" si="25"/>
        <v>0</v>
      </c>
      <c r="CG34" s="398">
        <f t="shared" si="26"/>
        <v>0</v>
      </c>
      <c r="CJ34" s="398">
        <f t="shared" si="27"/>
        <v>0</v>
      </c>
      <c r="CM34" s="398">
        <f t="shared" si="28"/>
        <v>0</v>
      </c>
      <c r="CP34" s="398">
        <f t="shared" si="29"/>
        <v>0</v>
      </c>
      <c r="CS34" s="398">
        <f t="shared" si="30"/>
        <v>0</v>
      </c>
      <c r="CV34" s="398">
        <f t="shared" si="31"/>
        <v>0</v>
      </c>
      <c r="CY34" s="398">
        <f t="shared" si="32"/>
        <v>0</v>
      </c>
      <c r="DB34" s="398">
        <f t="shared" si="33"/>
        <v>0</v>
      </c>
      <c r="DE34" s="398">
        <f t="shared" si="34"/>
        <v>0</v>
      </c>
      <c r="DH34" s="398">
        <f t="shared" si="35"/>
        <v>0</v>
      </c>
      <c r="DK34" s="398">
        <f t="shared" si="36"/>
        <v>0</v>
      </c>
      <c r="DN34" s="398">
        <f t="shared" si="37"/>
        <v>0</v>
      </c>
      <c r="DQ34" s="398">
        <f t="shared" si="38"/>
        <v>0</v>
      </c>
      <c r="DT34" s="398">
        <f t="shared" si="39"/>
        <v>0</v>
      </c>
      <c r="DW34" s="398">
        <f t="shared" si="40"/>
        <v>0</v>
      </c>
      <c r="DZ34" s="398"/>
      <c r="EA34" s="398"/>
      <c r="EB34" s="212">
        <f t="shared" si="41"/>
        <v>182625000</v>
      </c>
      <c r="EC34" s="212">
        <f t="shared" si="42"/>
        <v>0</v>
      </c>
      <c r="ED34" s="398">
        <f t="shared" si="43"/>
        <v>14585.763888888889</v>
      </c>
      <c r="EE34" s="399">
        <f t="shared" si="44"/>
        <v>2.8752224503764544E-2</v>
      </c>
      <c r="EG34" s="212">
        <f t="shared" si="45"/>
        <v>0</v>
      </c>
      <c r="EH34" s="398">
        <f t="shared" si="46"/>
        <v>0</v>
      </c>
      <c r="EI34" s="399">
        <f t="shared" si="47"/>
        <v>0</v>
      </c>
      <c r="EJ34" s="399"/>
      <c r="EK34" s="212">
        <f t="shared" si="48"/>
        <v>182625000</v>
      </c>
      <c r="EL34" s="212">
        <f t="shared" si="49"/>
        <v>0</v>
      </c>
      <c r="EM34" s="212">
        <f t="shared" si="50"/>
        <v>14585.763888888889</v>
      </c>
      <c r="EN34" s="399">
        <f t="shared" si="51"/>
        <v>2.8752224503764544E-2</v>
      </c>
    </row>
    <row r="35" spans="1:144">
      <c r="A35" s="416">
        <f t="shared" si="52"/>
        <v>43489</v>
      </c>
      <c r="D35" s="398">
        <f t="shared" si="1"/>
        <v>0</v>
      </c>
      <c r="G35" s="398">
        <f t="shared" si="2"/>
        <v>0</v>
      </c>
      <c r="J35" s="398">
        <f t="shared" si="3"/>
        <v>0</v>
      </c>
      <c r="M35" s="398">
        <f t="shared" si="4"/>
        <v>0</v>
      </c>
      <c r="P35" s="398">
        <f t="shared" si="5"/>
        <v>0</v>
      </c>
      <c r="S35" s="398">
        <f t="shared" si="6"/>
        <v>0</v>
      </c>
      <c r="V35" s="398">
        <f t="shared" si="7"/>
        <v>0</v>
      </c>
      <c r="Y35" s="398">
        <f t="shared" si="8"/>
        <v>0</v>
      </c>
      <c r="AB35" s="398">
        <f t="shared" si="9"/>
        <v>0</v>
      </c>
      <c r="AE35" s="398">
        <v>0</v>
      </c>
      <c r="AH35" s="398">
        <v>0</v>
      </c>
      <c r="AI35" s="417">
        <f>34300000</f>
        <v>34300000</v>
      </c>
      <c r="AJ35" s="418">
        <v>2.7E-2</v>
      </c>
      <c r="AK35" s="398">
        <f t="shared" si="10"/>
        <v>2572.5</v>
      </c>
      <c r="AL35" s="417">
        <f t="shared" si="55"/>
        <v>30000000</v>
      </c>
      <c r="AM35" s="418">
        <v>2.9000000000000001E-2</v>
      </c>
      <c r="AN35" s="398">
        <f t="shared" si="11"/>
        <v>2416.6666666666665</v>
      </c>
      <c r="AO35" s="417">
        <f t="shared" si="53"/>
        <v>50000000</v>
      </c>
      <c r="AP35" s="418">
        <v>2.9700000000000001E-2</v>
      </c>
      <c r="AQ35" s="398">
        <f t="shared" si="12"/>
        <v>4125</v>
      </c>
      <c r="AR35" s="417">
        <f t="shared" si="54"/>
        <v>50000000</v>
      </c>
      <c r="AS35" s="418">
        <v>2.9499999999999998E-2</v>
      </c>
      <c r="AT35" s="398">
        <f t="shared" si="13"/>
        <v>4097.2222222222226</v>
      </c>
      <c r="AW35" s="398">
        <f t="shared" si="14"/>
        <v>0</v>
      </c>
      <c r="AZ35" s="398">
        <f t="shared" si="15"/>
        <v>0</v>
      </c>
      <c r="BC35" s="398">
        <f t="shared" si="16"/>
        <v>0</v>
      </c>
      <c r="BF35" s="398">
        <f t="shared" si="17"/>
        <v>0</v>
      </c>
      <c r="BI35" s="398">
        <f t="shared" si="18"/>
        <v>0</v>
      </c>
      <c r="BL35" s="398">
        <f t="shared" si="19"/>
        <v>0</v>
      </c>
      <c r="BO35" s="398">
        <f t="shared" si="20"/>
        <v>0</v>
      </c>
      <c r="BR35" s="398">
        <f t="shared" si="21"/>
        <v>0</v>
      </c>
      <c r="BU35" s="398">
        <f t="shared" si="22"/>
        <v>0</v>
      </c>
      <c r="BX35" s="398">
        <f t="shared" si="23"/>
        <v>0</v>
      </c>
      <c r="CA35" s="398">
        <f t="shared" si="24"/>
        <v>0</v>
      </c>
      <c r="CD35" s="398">
        <f t="shared" si="25"/>
        <v>0</v>
      </c>
      <c r="CG35" s="398">
        <f t="shared" si="26"/>
        <v>0</v>
      </c>
      <c r="CJ35" s="398">
        <f t="shared" si="27"/>
        <v>0</v>
      </c>
      <c r="CM35" s="398">
        <f t="shared" si="28"/>
        <v>0</v>
      </c>
      <c r="CP35" s="398">
        <f t="shared" si="29"/>
        <v>0</v>
      </c>
      <c r="CS35" s="398">
        <f t="shared" si="30"/>
        <v>0</v>
      </c>
      <c r="CV35" s="398">
        <f t="shared" si="31"/>
        <v>0</v>
      </c>
      <c r="CY35" s="398">
        <f t="shared" si="32"/>
        <v>0</v>
      </c>
      <c r="DB35" s="398">
        <f t="shared" si="33"/>
        <v>0</v>
      </c>
      <c r="DE35" s="398">
        <f t="shared" si="34"/>
        <v>0</v>
      </c>
      <c r="DH35" s="398">
        <f t="shared" si="35"/>
        <v>0</v>
      </c>
      <c r="DK35" s="398">
        <f t="shared" si="36"/>
        <v>0</v>
      </c>
      <c r="DN35" s="398">
        <f t="shared" si="37"/>
        <v>0</v>
      </c>
      <c r="DQ35" s="398">
        <f t="shared" si="38"/>
        <v>0</v>
      </c>
      <c r="DT35" s="398">
        <f t="shared" si="39"/>
        <v>0</v>
      </c>
      <c r="DW35" s="398">
        <f t="shared" si="40"/>
        <v>0</v>
      </c>
      <c r="DZ35" s="398"/>
      <c r="EA35" s="398"/>
      <c r="EB35" s="212">
        <f t="shared" si="41"/>
        <v>164300000</v>
      </c>
      <c r="EC35" s="212">
        <f t="shared" si="42"/>
        <v>0</v>
      </c>
      <c r="ED35" s="398">
        <f t="shared" si="43"/>
        <v>13211.388888888889</v>
      </c>
      <c r="EE35" s="399">
        <f t="shared" si="44"/>
        <v>2.8947656725502133E-2</v>
      </c>
      <c r="EG35" s="212">
        <f t="shared" si="45"/>
        <v>0</v>
      </c>
      <c r="EH35" s="398">
        <f t="shared" si="46"/>
        <v>0</v>
      </c>
      <c r="EI35" s="399">
        <f t="shared" si="47"/>
        <v>0</v>
      </c>
      <c r="EJ35" s="399"/>
      <c r="EK35" s="212">
        <f t="shared" si="48"/>
        <v>164300000</v>
      </c>
      <c r="EL35" s="212">
        <f t="shared" si="49"/>
        <v>0</v>
      </c>
      <c r="EM35" s="212">
        <f t="shared" si="50"/>
        <v>13211.388888888889</v>
      </c>
      <c r="EN35" s="399">
        <f t="shared" si="51"/>
        <v>2.8947656725502133E-2</v>
      </c>
    </row>
    <row r="36" spans="1:144">
      <c r="A36" s="416">
        <f t="shared" si="52"/>
        <v>43490</v>
      </c>
      <c r="D36" s="398">
        <f t="shared" si="1"/>
        <v>0</v>
      </c>
      <c r="G36" s="398">
        <f t="shared" si="2"/>
        <v>0</v>
      </c>
      <c r="J36" s="398">
        <f t="shared" si="3"/>
        <v>0</v>
      </c>
      <c r="M36" s="398">
        <f t="shared" si="4"/>
        <v>0</v>
      </c>
      <c r="P36" s="398">
        <f t="shared" si="5"/>
        <v>0</v>
      </c>
      <c r="S36" s="398">
        <f t="shared" si="6"/>
        <v>0</v>
      </c>
      <c r="V36" s="398">
        <f t="shared" si="7"/>
        <v>0</v>
      </c>
      <c r="Y36" s="398">
        <f t="shared" si="8"/>
        <v>0</v>
      </c>
      <c r="AB36" s="398">
        <f t="shared" si="9"/>
        <v>0</v>
      </c>
      <c r="AE36" s="398">
        <v>0</v>
      </c>
      <c r="AH36" s="398">
        <v>0</v>
      </c>
      <c r="AI36" s="417">
        <f>42425000+175000</f>
        <v>42600000</v>
      </c>
      <c r="AJ36" s="418">
        <v>2.7E-2</v>
      </c>
      <c r="AK36" s="398">
        <f t="shared" si="10"/>
        <v>3195</v>
      </c>
      <c r="AL36" s="417">
        <f t="shared" si="55"/>
        <v>30000000</v>
      </c>
      <c r="AM36" s="418">
        <v>2.9000000000000001E-2</v>
      </c>
      <c r="AN36" s="398">
        <f t="shared" si="11"/>
        <v>2416.6666666666665</v>
      </c>
      <c r="AO36" s="417">
        <f t="shared" si="53"/>
        <v>50000000</v>
      </c>
      <c r="AP36" s="418">
        <v>2.9700000000000001E-2</v>
      </c>
      <c r="AQ36" s="398">
        <f t="shared" si="12"/>
        <v>4125</v>
      </c>
      <c r="AR36" s="417">
        <f t="shared" si="54"/>
        <v>50000000</v>
      </c>
      <c r="AS36" s="418">
        <v>2.9499999999999998E-2</v>
      </c>
      <c r="AT36" s="398">
        <f t="shared" si="13"/>
        <v>4097.2222222222226</v>
      </c>
      <c r="AW36" s="398">
        <f t="shared" si="14"/>
        <v>0</v>
      </c>
      <c r="AZ36" s="398">
        <f t="shared" si="15"/>
        <v>0</v>
      </c>
      <c r="BC36" s="398">
        <f t="shared" si="16"/>
        <v>0</v>
      </c>
      <c r="BF36" s="398">
        <f t="shared" si="17"/>
        <v>0</v>
      </c>
      <c r="BI36" s="398">
        <f t="shared" si="18"/>
        <v>0</v>
      </c>
      <c r="BL36" s="398">
        <f t="shared" si="19"/>
        <v>0</v>
      </c>
      <c r="BO36" s="398">
        <f t="shared" si="20"/>
        <v>0</v>
      </c>
      <c r="BR36" s="398">
        <f t="shared" si="21"/>
        <v>0</v>
      </c>
      <c r="BU36" s="398">
        <f t="shared" si="22"/>
        <v>0</v>
      </c>
      <c r="BX36" s="398">
        <f t="shared" si="23"/>
        <v>0</v>
      </c>
      <c r="CA36" s="398">
        <f t="shared" si="24"/>
        <v>0</v>
      </c>
      <c r="CD36" s="398">
        <f t="shared" si="25"/>
        <v>0</v>
      </c>
      <c r="CG36" s="398">
        <f t="shared" si="26"/>
        <v>0</v>
      </c>
      <c r="CJ36" s="398">
        <f t="shared" si="27"/>
        <v>0</v>
      </c>
      <c r="CM36" s="398">
        <f t="shared" si="28"/>
        <v>0</v>
      </c>
      <c r="CP36" s="398">
        <f t="shared" si="29"/>
        <v>0</v>
      </c>
      <c r="CS36" s="398">
        <f t="shared" si="30"/>
        <v>0</v>
      </c>
      <c r="CV36" s="398">
        <f t="shared" si="31"/>
        <v>0</v>
      </c>
      <c r="CY36" s="398">
        <f t="shared" si="32"/>
        <v>0</v>
      </c>
      <c r="DB36" s="398">
        <f t="shared" si="33"/>
        <v>0</v>
      </c>
      <c r="DE36" s="398">
        <f t="shared" si="34"/>
        <v>0</v>
      </c>
      <c r="DH36" s="398">
        <f t="shared" si="35"/>
        <v>0</v>
      </c>
      <c r="DK36" s="398">
        <f t="shared" si="36"/>
        <v>0</v>
      </c>
      <c r="DN36" s="398">
        <f t="shared" si="37"/>
        <v>0</v>
      </c>
      <c r="DQ36" s="398">
        <f t="shared" si="38"/>
        <v>0</v>
      </c>
      <c r="DT36" s="398">
        <f t="shared" si="39"/>
        <v>0</v>
      </c>
      <c r="DW36" s="398">
        <f t="shared" si="40"/>
        <v>0</v>
      </c>
      <c r="DZ36" s="398"/>
      <c r="EA36" s="398"/>
      <c r="EB36" s="212">
        <f t="shared" si="41"/>
        <v>172600000</v>
      </c>
      <c r="EC36" s="212">
        <f t="shared" si="42"/>
        <v>0</v>
      </c>
      <c r="ED36" s="398">
        <f t="shared" si="43"/>
        <v>13833.888888888889</v>
      </c>
      <c r="EE36" s="399">
        <f t="shared" si="44"/>
        <v>2.8853997682502897E-2</v>
      </c>
      <c r="EG36" s="212">
        <f t="shared" si="45"/>
        <v>0</v>
      </c>
      <c r="EH36" s="398">
        <f t="shared" si="46"/>
        <v>0</v>
      </c>
      <c r="EI36" s="399">
        <f t="shared" si="47"/>
        <v>0</v>
      </c>
      <c r="EJ36" s="399"/>
      <c r="EK36" s="212">
        <f t="shared" si="48"/>
        <v>172600000</v>
      </c>
      <c r="EL36" s="212">
        <f t="shared" si="49"/>
        <v>0</v>
      </c>
      <c r="EM36" s="212">
        <f t="shared" si="50"/>
        <v>13833.888888888889</v>
      </c>
      <c r="EN36" s="399">
        <f t="shared" si="51"/>
        <v>2.8853997682502897E-2</v>
      </c>
    </row>
    <row r="37" spans="1:144">
      <c r="A37" s="416">
        <f t="shared" si="52"/>
        <v>43491</v>
      </c>
      <c r="D37" s="398">
        <f t="shared" si="1"/>
        <v>0</v>
      </c>
      <c r="G37" s="398">
        <f t="shared" si="2"/>
        <v>0</v>
      </c>
      <c r="J37" s="398">
        <f t="shared" si="3"/>
        <v>0</v>
      </c>
      <c r="M37" s="398">
        <f t="shared" si="4"/>
        <v>0</v>
      </c>
      <c r="P37" s="398">
        <f t="shared" si="5"/>
        <v>0</v>
      </c>
      <c r="S37" s="398">
        <f t="shared" si="6"/>
        <v>0</v>
      </c>
      <c r="V37" s="398">
        <f t="shared" si="7"/>
        <v>0</v>
      </c>
      <c r="Y37" s="398">
        <f t="shared" si="8"/>
        <v>0</v>
      </c>
      <c r="AB37" s="398">
        <f t="shared" si="9"/>
        <v>0</v>
      </c>
      <c r="AE37" s="398">
        <v>0</v>
      </c>
      <c r="AH37" s="398">
        <v>0</v>
      </c>
      <c r="AI37" s="417">
        <f>42425000+175000</f>
        <v>42600000</v>
      </c>
      <c r="AJ37" s="418">
        <v>2.7E-2</v>
      </c>
      <c r="AK37" s="398">
        <f t="shared" si="10"/>
        <v>3195</v>
      </c>
      <c r="AL37" s="417">
        <f t="shared" si="55"/>
        <v>30000000</v>
      </c>
      <c r="AM37" s="418">
        <v>2.9000000000000001E-2</v>
      </c>
      <c r="AN37" s="398">
        <f t="shared" si="11"/>
        <v>2416.6666666666665</v>
      </c>
      <c r="AO37" s="417">
        <f t="shared" si="53"/>
        <v>50000000</v>
      </c>
      <c r="AP37" s="418">
        <v>2.9700000000000001E-2</v>
      </c>
      <c r="AQ37" s="398">
        <f t="shared" si="12"/>
        <v>4125</v>
      </c>
      <c r="AR37" s="417">
        <f t="shared" si="54"/>
        <v>50000000</v>
      </c>
      <c r="AS37" s="418">
        <v>2.9499999999999998E-2</v>
      </c>
      <c r="AT37" s="398">
        <f t="shared" si="13"/>
        <v>4097.2222222222226</v>
      </c>
      <c r="AW37" s="398">
        <f t="shared" si="14"/>
        <v>0</v>
      </c>
      <c r="AZ37" s="398">
        <f t="shared" si="15"/>
        <v>0</v>
      </c>
      <c r="BC37" s="398">
        <f t="shared" si="16"/>
        <v>0</v>
      </c>
      <c r="BF37" s="398">
        <f t="shared" si="17"/>
        <v>0</v>
      </c>
      <c r="BI37" s="398">
        <f t="shared" si="18"/>
        <v>0</v>
      </c>
      <c r="BL37" s="398">
        <f t="shared" si="19"/>
        <v>0</v>
      </c>
      <c r="BO37" s="398">
        <f t="shared" si="20"/>
        <v>0</v>
      </c>
      <c r="BR37" s="398">
        <f t="shared" si="21"/>
        <v>0</v>
      </c>
      <c r="BU37" s="398">
        <f t="shared" si="22"/>
        <v>0</v>
      </c>
      <c r="BX37" s="398">
        <f t="shared" si="23"/>
        <v>0</v>
      </c>
      <c r="CA37" s="398">
        <f t="shared" si="24"/>
        <v>0</v>
      </c>
      <c r="CD37" s="398">
        <f t="shared" si="25"/>
        <v>0</v>
      </c>
      <c r="CG37" s="398">
        <f t="shared" si="26"/>
        <v>0</v>
      </c>
      <c r="CJ37" s="398">
        <f t="shared" si="27"/>
        <v>0</v>
      </c>
      <c r="CM37" s="398">
        <f t="shared" si="28"/>
        <v>0</v>
      </c>
      <c r="CP37" s="398">
        <f t="shared" si="29"/>
        <v>0</v>
      </c>
      <c r="CS37" s="398">
        <f t="shared" si="30"/>
        <v>0</v>
      </c>
      <c r="CV37" s="398">
        <f t="shared" si="31"/>
        <v>0</v>
      </c>
      <c r="CY37" s="398">
        <f t="shared" si="32"/>
        <v>0</v>
      </c>
      <c r="DB37" s="398">
        <f t="shared" si="33"/>
        <v>0</v>
      </c>
      <c r="DE37" s="398">
        <f t="shared" si="34"/>
        <v>0</v>
      </c>
      <c r="DH37" s="398">
        <f t="shared" si="35"/>
        <v>0</v>
      </c>
      <c r="DK37" s="398">
        <f t="shared" si="36"/>
        <v>0</v>
      </c>
      <c r="DN37" s="398">
        <f t="shared" si="37"/>
        <v>0</v>
      </c>
      <c r="DQ37" s="398">
        <f t="shared" si="38"/>
        <v>0</v>
      </c>
      <c r="DT37" s="398">
        <f t="shared" si="39"/>
        <v>0</v>
      </c>
      <c r="DW37" s="398">
        <f t="shared" si="40"/>
        <v>0</v>
      </c>
      <c r="DZ37" s="398"/>
      <c r="EA37" s="398"/>
      <c r="EB37" s="212">
        <f t="shared" si="41"/>
        <v>172600000</v>
      </c>
      <c r="EC37" s="212">
        <f t="shared" si="42"/>
        <v>0</v>
      </c>
      <c r="ED37" s="398">
        <f t="shared" si="43"/>
        <v>13833.888888888889</v>
      </c>
      <c r="EE37" s="399">
        <f t="shared" si="44"/>
        <v>2.8853997682502897E-2</v>
      </c>
      <c r="EG37" s="212">
        <f t="shared" si="45"/>
        <v>0</v>
      </c>
      <c r="EH37" s="398">
        <f t="shared" si="46"/>
        <v>0</v>
      </c>
      <c r="EI37" s="399">
        <f t="shared" si="47"/>
        <v>0</v>
      </c>
      <c r="EJ37" s="399"/>
      <c r="EK37" s="212">
        <f t="shared" si="48"/>
        <v>172600000</v>
      </c>
      <c r="EL37" s="212">
        <f t="shared" si="49"/>
        <v>0</v>
      </c>
      <c r="EM37" s="212">
        <f t="shared" si="50"/>
        <v>13833.888888888889</v>
      </c>
      <c r="EN37" s="399">
        <f t="shared" si="51"/>
        <v>2.8853997682502897E-2</v>
      </c>
    </row>
    <row r="38" spans="1:144">
      <c r="A38" s="416">
        <f t="shared" si="52"/>
        <v>43492</v>
      </c>
      <c r="D38" s="398">
        <f t="shared" si="1"/>
        <v>0</v>
      </c>
      <c r="G38" s="398">
        <f t="shared" si="2"/>
        <v>0</v>
      </c>
      <c r="J38" s="398">
        <f t="shared" si="3"/>
        <v>0</v>
      </c>
      <c r="M38" s="398">
        <f t="shared" si="4"/>
        <v>0</v>
      </c>
      <c r="P38" s="398">
        <f t="shared" si="5"/>
        <v>0</v>
      </c>
      <c r="S38" s="398">
        <f t="shared" si="6"/>
        <v>0</v>
      </c>
      <c r="V38" s="398">
        <f t="shared" si="7"/>
        <v>0</v>
      </c>
      <c r="Y38" s="398">
        <f t="shared" si="8"/>
        <v>0</v>
      </c>
      <c r="AB38" s="398">
        <f t="shared" si="9"/>
        <v>0</v>
      </c>
      <c r="AE38" s="398">
        <v>0</v>
      </c>
      <c r="AH38" s="398">
        <v>0</v>
      </c>
      <c r="AI38" s="417">
        <f>42425000+175000</f>
        <v>42600000</v>
      </c>
      <c r="AJ38" s="418">
        <v>2.7E-2</v>
      </c>
      <c r="AK38" s="398">
        <f t="shared" si="10"/>
        <v>3195</v>
      </c>
      <c r="AL38" s="417">
        <f t="shared" si="55"/>
        <v>30000000</v>
      </c>
      <c r="AM38" s="418">
        <v>2.9000000000000001E-2</v>
      </c>
      <c r="AN38" s="398">
        <f t="shared" si="11"/>
        <v>2416.6666666666665</v>
      </c>
      <c r="AO38" s="417">
        <f t="shared" si="53"/>
        <v>50000000</v>
      </c>
      <c r="AP38" s="418">
        <v>2.9700000000000001E-2</v>
      </c>
      <c r="AQ38" s="398">
        <f t="shared" si="12"/>
        <v>4125</v>
      </c>
      <c r="AR38" s="417">
        <f t="shared" si="54"/>
        <v>50000000</v>
      </c>
      <c r="AS38" s="418">
        <v>2.9499999999999998E-2</v>
      </c>
      <c r="AT38" s="398">
        <f t="shared" si="13"/>
        <v>4097.2222222222226</v>
      </c>
      <c r="AW38" s="398">
        <f t="shared" si="14"/>
        <v>0</v>
      </c>
      <c r="AZ38" s="398">
        <f t="shared" si="15"/>
        <v>0</v>
      </c>
      <c r="BC38" s="398">
        <f t="shared" si="16"/>
        <v>0</v>
      </c>
      <c r="BF38" s="398">
        <f t="shared" si="17"/>
        <v>0</v>
      </c>
      <c r="BI38" s="398">
        <f t="shared" si="18"/>
        <v>0</v>
      </c>
      <c r="BL38" s="398">
        <f t="shared" si="19"/>
        <v>0</v>
      </c>
      <c r="BO38" s="398">
        <f t="shared" si="20"/>
        <v>0</v>
      </c>
      <c r="BR38" s="398">
        <f t="shared" si="21"/>
        <v>0</v>
      </c>
      <c r="BU38" s="398">
        <f t="shared" si="22"/>
        <v>0</v>
      </c>
      <c r="BX38" s="398">
        <f t="shared" si="23"/>
        <v>0</v>
      </c>
      <c r="CA38" s="398">
        <f t="shared" si="24"/>
        <v>0</v>
      </c>
      <c r="CD38" s="398">
        <f t="shared" si="25"/>
        <v>0</v>
      </c>
      <c r="CG38" s="398">
        <f t="shared" si="26"/>
        <v>0</v>
      </c>
      <c r="CJ38" s="398">
        <f t="shared" si="27"/>
        <v>0</v>
      </c>
      <c r="CM38" s="398">
        <f t="shared" si="28"/>
        <v>0</v>
      </c>
      <c r="CP38" s="398">
        <f t="shared" si="29"/>
        <v>0</v>
      </c>
      <c r="CS38" s="398">
        <f t="shared" si="30"/>
        <v>0</v>
      </c>
      <c r="CV38" s="398">
        <f t="shared" si="31"/>
        <v>0</v>
      </c>
      <c r="CY38" s="398">
        <f t="shared" si="32"/>
        <v>0</v>
      </c>
      <c r="DB38" s="398">
        <f t="shared" si="33"/>
        <v>0</v>
      </c>
      <c r="DE38" s="398">
        <f t="shared" si="34"/>
        <v>0</v>
      </c>
      <c r="DH38" s="398">
        <f t="shared" si="35"/>
        <v>0</v>
      </c>
      <c r="DK38" s="398">
        <f t="shared" si="36"/>
        <v>0</v>
      </c>
      <c r="DN38" s="398">
        <f t="shared" si="37"/>
        <v>0</v>
      </c>
      <c r="DQ38" s="398">
        <f t="shared" si="38"/>
        <v>0</v>
      </c>
      <c r="DT38" s="398">
        <f t="shared" si="39"/>
        <v>0</v>
      </c>
      <c r="DW38" s="398">
        <f t="shared" si="40"/>
        <v>0</v>
      </c>
      <c r="DZ38" s="398"/>
      <c r="EA38" s="398"/>
      <c r="EB38" s="212">
        <f t="shared" si="41"/>
        <v>172600000</v>
      </c>
      <c r="EC38" s="212">
        <f t="shared" si="42"/>
        <v>0</v>
      </c>
      <c r="ED38" s="398">
        <f t="shared" si="43"/>
        <v>13833.888888888889</v>
      </c>
      <c r="EE38" s="399">
        <f t="shared" si="44"/>
        <v>2.8853997682502897E-2</v>
      </c>
      <c r="EG38" s="212">
        <f t="shared" si="45"/>
        <v>0</v>
      </c>
      <c r="EH38" s="398">
        <f t="shared" si="46"/>
        <v>0</v>
      </c>
      <c r="EI38" s="399">
        <f t="shared" si="47"/>
        <v>0</v>
      </c>
      <c r="EJ38" s="399"/>
      <c r="EK38" s="212">
        <f t="shared" si="48"/>
        <v>172600000</v>
      </c>
      <c r="EL38" s="212">
        <f t="shared" si="49"/>
        <v>0</v>
      </c>
      <c r="EM38" s="212">
        <f t="shared" si="50"/>
        <v>13833.888888888889</v>
      </c>
      <c r="EN38" s="399">
        <f t="shared" si="51"/>
        <v>2.8853997682502897E-2</v>
      </c>
    </row>
    <row r="39" spans="1:144">
      <c r="A39" s="416">
        <f t="shared" si="52"/>
        <v>43493</v>
      </c>
      <c r="D39" s="398">
        <f t="shared" si="1"/>
        <v>0</v>
      </c>
      <c r="G39" s="398">
        <f t="shared" si="2"/>
        <v>0</v>
      </c>
      <c r="J39" s="398">
        <f t="shared" si="3"/>
        <v>0</v>
      </c>
      <c r="M39" s="398">
        <f t="shared" si="4"/>
        <v>0</v>
      </c>
      <c r="P39" s="398">
        <f t="shared" si="5"/>
        <v>0</v>
      </c>
      <c r="S39" s="398">
        <f t="shared" si="6"/>
        <v>0</v>
      </c>
      <c r="V39" s="398">
        <f t="shared" si="7"/>
        <v>0</v>
      </c>
      <c r="Y39" s="398">
        <f t="shared" si="8"/>
        <v>0</v>
      </c>
      <c r="AB39" s="398">
        <f t="shared" si="9"/>
        <v>0</v>
      </c>
      <c r="AE39" s="398">
        <v>0</v>
      </c>
      <c r="AH39" s="398">
        <v>0</v>
      </c>
      <c r="AI39" s="417">
        <f>62400000</f>
        <v>62400000</v>
      </c>
      <c r="AJ39" s="418">
        <v>2.7E-2</v>
      </c>
      <c r="AK39" s="398">
        <f t="shared" si="10"/>
        <v>4680</v>
      </c>
      <c r="AL39" s="417">
        <f t="shared" si="55"/>
        <v>30000000</v>
      </c>
      <c r="AM39" s="418">
        <v>2.9000000000000001E-2</v>
      </c>
      <c r="AN39" s="398">
        <f t="shared" si="11"/>
        <v>2416.6666666666665</v>
      </c>
      <c r="AO39" s="417">
        <f t="shared" si="53"/>
        <v>50000000</v>
      </c>
      <c r="AP39" s="418">
        <v>2.9700000000000001E-2</v>
      </c>
      <c r="AQ39" s="398">
        <f t="shared" si="12"/>
        <v>4125</v>
      </c>
      <c r="AR39" s="417">
        <f t="shared" si="54"/>
        <v>50000000</v>
      </c>
      <c r="AS39" s="418">
        <v>2.9499999999999998E-2</v>
      </c>
      <c r="AT39" s="398">
        <f t="shared" si="13"/>
        <v>4097.2222222222226</v>
      </c>
      <c r="AW39" s="398">
        <f t="shared" si="14"/>
        <v>0</v>
      </c>
      <c r="AZ39" s="398">
        <f t="shared" si="15"/>
        <v>0</v>
      </c>
      <c r="BC39" s="398">
        <f t="shared" si="16"/>
        <v>0</v>
      </c>
      <c r="BF39" s="398">
        <f t="shared" si="17"/>
        <v>0</v>
      </c>
      <c r="BI39" s="398">
        <f t="shared" si="18"/>
        <v>0</v>
      </c>
      <c r="BL39" s="398">
        <f t="shared" si="19"/>
        <v>0</v>
      </c>
      <c r="BO39" s="398">
        <f t="shared" si="20"/>
        <v>0</v>
      </c>
      <c r="BR39" s="398">
        <f t="shared" si="21"/>
        <v>0</v>
      </c>
      <c r="BU39" s="398">
        <f t="shared" si="22"/>
        <v>0</v>
      </c>
      <c r="BX39" s="398">
        <f t="shared" si="23"/>
        <v>0</v>
      </c>
      <c r="CA39" s="398">
        <f t="shared" si="24"/>
        <v>0</v>
      </c>
      <c r="CD39" s="398">
        <f t="shared" si="25"/>
        <v>0</v>
      </c>
      <c r="CG39" s="398">
        <f t="shared" si="26"/>
        <v>0</v>
      </c>
      <c r="CJ39" s="398">
        <f t="shared" si="27"/>
        <v>0</v>
      </c>
      <c r="CM39" s="398">
        <f t="shared" si="28"/>
        <v>0</v>
      </c>
      <c r="CP39" s="398">
        <f t="shared" si="29"/>
        <v>0</v>
      </c>
      <c r="CS39" s="398">
        <f t="shared" si="30"/>
        <v>0</v>
      </c>
      <c r="CV39" s="398">
        <f t="shared" si="31"/>
        <v>0</v>
      </c>
      <c r="CY39" s="398">
        <f t="shared" si="32"/>
        <v>0</v>
      </c>
      <c r="DB39" s="398">
        <f t="shared" si="33"/>
        <v>0</v>
      </c>
      <c r="DE39" s="398">
        <f t="shared" si="34"/>
        <v>0</v>
      </c>
      <c r="DH39" s="398">
        <f t="shared" si="35"/>
        <v>0</v>
      </c>
      <c r="DK39" s="398">
        <f t="shared" si="36"/>
        <v>0</v>
      </c>
      <c r="DN39" s="398">
        <f t="shared" si="37"/>
        <v>0</v>
      </c>
      <c r="DQ39" s="398">
        <f t="shared" si="38"/>
        <v>0</v>
      </c>
      <c r="DT39" s="398">
        <f t="shared" si="39"/>
        <v>0</v>
      </c>
      <c r="DW39" s="398">
        <f t="shared" si="40"/>
        <v>0</v>
      </c>
      <c r="DZ39" s="398"/>
      <c r="EA39" s="398"/>
      <c r="EB39" s="212">
        <f t="shared" si="41"/>
        <v>192400000</v>
      </c>
      <c r="EC39" s="212">
        <f t="shared" si="42"/>
        <v>0</v>
      </c>
      <c r="ED39" s="398">
        <f t="shared" si="43"/>
        <v>15318.888888888889</v>
      </c>
      <c r="EE39" s="399">
        <f t="shared" si="44"/>
        <v>2.8663201663201663E-2</v>
      </c>
      <c r="EG39" s="212">
        <f t="shared" si="45"/>
        <v>0</v>
      </c>
      <c r="EH39" s="398">
        <f t="shared" si="46"/>
        <v>0</v>
      </c>
      <c r="EI39" s="399">
        <f t="shared" si="47"/>
        <v>0</v>
      </c>
      <c r="EJ39" s="399"/>
      <c r="EK39" s="212">
        <f t="shared" si="48"/>
        <v>192400000</v>
      </c>
      <c r="EL39" s="212">
        <f t="shared" si="49"/>
        <v>0</v>
      </c>
      <c r="EM39" s="212">
        <f t="shared" si="50"/>
        <v>15318.888888888889</v>
      </c>
      <c r="EN39" s="399">
        <f t="shared" si="51"/>
        <v>2.8663201663201663E-2</v>
      </c>
    </row>
    <row r="40" spans="1:144">
      <c r="A40" s="416">
        <f t="shared" si="52"/>
        <v>43494</v>
      </c>
      <c r="D40" s="398">
        <f t="shared" si="1"/>
        <v>0</v>
      </c>
      <c r="G40" s="398">
        <f t="shared" si="2"/>
        <v>0</v>
      </c>
      <c r="J40" s="398">
        <f t="shared" si="3"/>
        <v>0</v>
      </c>
      <c r="M40" s="398">
        <f t="shared" si="4"/>
        <v>0</v>
      </c>
      <c r="P40" s="398">
        <f t="shared" si="5"/>
        <v>0</v>
      </c>
      <c r="S40" s="398">
        <f t="shared" si="6"/>
        <v>0</v>
      </c>
      <c r="V40" s="398">
        <f t="shared" si="7"/>
        <v>0</v>
      </c>
      <c r="Y40" s="398">
        <f t="shared" si="8"/>
        <v>0</v>
      </c>
      <c r="AB40" s="398">
        <f t="shared" si="9"/>
        <v>0</v>
      </c>
      <c r="AE40" s="398">
        <v>0</v>
      </c>
      <c r="AH40" s="398">
        <v>0</v>
      </c>
      <c r="AI40" s="417">
        <f>51050000</f>
        <v>51050000</v>
      </c>
      <c r="AJ40" s="418">
        <v>2.7E-2</v>
      </c>
      <c r="AK40" s="398">
        <f t="shared" si="10"/>
        <v>3828.75</v>
      </c>
      <c r="AL40" s="417">
        <f t="shared" si="55"/>
        <v>30000000</v>
      </c>
      <c r="AM40" s="418">
        <v>2.9000000000000001E-2</v>
      </c>
      <c r="AN40" s="398">
        <f t="shared" si="11"/>
        <v>2416.6666666666665</v>
      </c>
      <c r="AO40" s="417">
        <f t="shared" si="53"/>
        <v>50000000</v>
      </c>
      <c r="AP40" s="418">
        <v>2.9700000000000001E-2</v>
      </c>
      <c r="AQ40" s="398">
        <f t="shared" si="12"/>
        <v>4125</v>
      </c>
      <c r="AR40" s="417">
        <f t="shared" si="54"/>
        <v>50000000</v>
      </c>
      <c r="AS40" s="418">
        <v>2.9499999999999998E-2</v>
      </c>
      <c r="AT40" s="398">
        <f t="shared" si="13"/>
        <v>4097.2222222222226</v>
      </c>
      <c r="AW40" s="398">
        <f t="shared" si="14"/>
        <v>0</v>
      </c>
      <c r="AZ40" s="398">
        <f t="shared" si="15"/>
        <v>0</v>
      </c>
      <c r="BC40" s="398">
        <f t="shared" si="16"/>
        <v>0</v>
      </c>
      <c r="BF40" s="398">
        <f t="shared" si="17"/>
        <v>0</v>
      </c>
      <c r="BI40" s="398">
        <f t="shared" si="18"/>
        <v>0</v>
      </c>
      <c r="BL40" s="398">
        <f t="shared" si="19"/>
        <v>0</v>
      </c>
      <c r="BO40" s="398">
        <f t="shared" si="20"/>
        <v>0</v>
      </c>
      <c r="BR40" s="398">
        <f t="shared" si="21"/>
        <v>0</v>
      </c>
      <c r="BU40" s="398">
        <f t="shared" si="22"/>
        <v>0</v>
      </c>
      <c r="BX40" s="398">
        <f t="shared" si="23"/>
        <v>0</v>
      </c>
      <c r="CA40" s="398">
        <f t="shared" si="24"/>
        <v>0</v>
      </c>
      <c r="CD40" s="398">
        <f t="shared" si="25"/>
        <v>0</v>
      </c>
      <c r="CG40" s="398">
        <f t="shared" si="26"/>
        <v>0</v>
      </c>
      <c r="CJ40" s="398">
        <f t="shared" si="27"/>
        <v>0</v>
      </c>
      <c r="CM40" s="398">
        <f t="shared" si="28"/>
        <v>0</v>
      </c>
      <c r="CP40" s="398">
        <f t="shared" si="29"/>
        <v>0</v>
      </c>
      <c r="CS40" s="398">
        <f t="shared" si="30"/>
        <v>0</v>
      </c>
      <c r="CV40" s="398">
        <f t="shared" si="31"/>
        <v>0</v>
      </c>
      <c r="CY40" s="398">
        <f t="shared" si="32"/>
        <v>0</v>
      </c>
      <c r="DB40" s="398">
        <f t="shared" si="33"/>
        <v>0</v>
      </c>
      <c r="DE40" s="398">
        <f t="shared" si="34"/>
        <v>0</v>
      </c>
      <c r="DH40" s="398">
        <f t="shared" si="35"/>
        <v>0</v>
      </c>
      <c r="DK40" s="398">
        <f t="shared" si="36"/>
        <v>0</v>
      </c>
      <c r="DN40" s="398">
        <f t="shared" si="37"/>
        <v>0</v>
      </c>
      <c r="DQ40" s="398">
        <f t="shared" si="38"/>
        <v>0</v>
      </c>
      <c r="DT40" s="398">
        <f t="shared" si="39"/>
        <v>0</v>
      </c>
      <c r="DW40" s="398">
        <f t="shared" si="40"/>
        <v>0</v>
      </c>
      <c r="DZ40" s="398"/>
      <c r="EA40" s="398"/>
      <c r="EB40" s="212">
        <f t="shared" si="41"/>
        <v>181050000</v>
      </c>
      <c r="EC40" s="212">
        <f t="shared" si="42"/>
        <v>0</v>
      </c>
      <c r="ED40" s="398">
        <f t="shared" si="43"/>
        <v>14467.638888888889</v>
      </c>
      <c r="EE40" s="399">
        <f t="shared" si="44"/>
        <v>2.8767467550400438E-2</v>
      </c>
      <c r="EG40" s="212">
        <f t="shared" si="45"/>
        <v>0</v>
      </c>
      <c r="EH40" s="398">
        <f t="shared" si="46"/>
        <v>0</v>
      </c>
      <c r="EI40" s="399">
        <f t="shared" si="47"/>
        <v>0</v>
      </c>
      <c r="EJ40" s="399"/>
      <c r="EK40" s="212">
        <f t="shared" si="48"/>
        <v>181050000</v>
      </c>
      <c r="EL40" s="212">
        <f t="shared" si="49"/>
        <v>0</v>
      </c>
      <c r="EM40" s="212">
        <f t="shared" si="50"/>
        <v>14467.638888888889</v>
      </c>
      <c r="EN40" s="399">
        <f t="shared" si="51"/>
        <v>2.8767467550400438E-2</v>
      </c>
    </row>
    <row r="41" spans="1:144">
      <c r="A41" s="416">
        <f t="shared" si="52"/>
        <v>43495</v>
      </c>
      <c r="D41" s="398">
        <f t="shared" si="1"/>
        <v>0</v>
      </c>
      <c r="G41" s="398">
        <f t="shared" si="2"/>
        <v>0</v>
      </c>
      <c r="J41" s="398">
        <f t="shared" si="3"/>
        <v>0</v>
      </c>
      <c r="M41" s="398">
        <f t="shared" si="4"/>
        <v>0</v>
      </c>
      <c r="P41" s="398">
        <f t="shared" si="5"/>
        <v>0</v>
      </c>
      <c r="S41" s="398">
        <f t="shared" si="6"/>
        <v>0</v>
      </c>
      <c r="V41" s="398">
        <f t="shared" si="7"/>
        <v>0</v>
      </c>
      <c r="Y41" s="398">
        <f t="shared" si="8"/>
        <v>0</v>
      </c>
      <c r="AB41" s="398">
        <f t="shared" si="9"/>
        <v>0</v>
      </c>
      <c r="AE41" s="398">
        <v>0</v>
      </c>
      <c r="AH41" s="398">
        <v>0</v>
      </c>
      <c r="AI41" s="417">
        <f>68900000</f>
        <v>68900000</v>
      </c>
      <c r="AJ41" s="418">
        <v>2.7E-2</v>
      </c>
      <c r="AK41" s="398">
        <f t="shared" si="10"/>
        <v>5167.5</v>
      </c>
      <c r="AL41" s="417">
        <f t="shared" si="55"/>
        <v>30000000</v>
      </c>
      <c r="AM41" s="418">
        <v>2.9000000000000001E-2</v>
      </c>
      <c r="AN41" s="398">
        <f t="shared" si="11"/>
        <v>2416.6666666666665</v>
      </c>
      <c r="AO41" s="417">
        <f t="shared" si="53"/>
        <v>50000000</v>
      </c>
      <c r="AP41" s="418">
        <v>2.9700000000000001E-2</v>
      </c>
      <c r="AQ41" s="398">
        <f t="shared" si="12"/>
        <v>4125</v>
      </c>
      <c r="AR41" s="417">
        <f t="shared" si="54"/>
        <v>50000000</v>
      </c>
      <c r="AS41" s="418">
        <v>2.9499999999999998E-2</v>
      </c>
      <c r="AT41" s="398">
        <f t="shared" si="13"/>
        <v>4097.2222222222226</v>
      </c>
      <c r="AW41" s="398">
        <f t="shared" si="14"/>
        <v>0</v>
      </c>
      <c r="AZ41" s="398">
        <f t="shared" si="15"/>
        <v>0</v>
      </c>
      <c r="BC41" s="398">
        <f t="shared" si="16"/>
        <v>0</v>
      </c>
      <c r="BF41" s="398">
        <f t="shared" si="17"/>
        <v>0</v>
      </c>
      <c r="BI41" s="398">
        <f t="shared" si="18"/>
        <v>0</v>
      </c>
      <c r="BL41" s="398">
        <f t="shared" si="19"/>
        <v>0</v>
      </c>
      <c r="BO41" s="398">
        <f t="shared" si="20"/>
        <v>0</v>
      </c>
      <c r="BR41" s="398">
        <f t="shared" si="21"/>
        <v>0</v>
      </c>
      <c r="BU41" s="398">
        <f t="shared" si="22"/>
        <v>0</v>
      </c>
      <c r="BX41" s="398">
        <f t="shared" si="23"/>
        <v>0</v>
      </c>
      <c r="CA41" s="398">
        <f t="shared" si="24"/>
        <v>0</v>
      </c>
      <c r="CD41" s="398">
        <f t="shared" si="25"/>
        <v>0</v>
      </c>
      <c r="CG41" s="398">
        <f t="shared" si="26"/>
        <v>0</v>
      </c>
      <c r="CJ41" s="398">
        <f t="shared" si="27"/>
        <v>0</v>
      </c>
      <c r="CM41" s="398">
        <f t="shared" si="28"/>
        <v>0</v>
      </c>
      <c r="CP41" s="398">
        <f t="shared" si="29"/>
        <v>0</v>
      </c>
      <c r="CS41" s="398">
        <f t="shared" si="30"/>
        <v>0</v>
      </c>
      <c r="CV41" s="398">
        <f t="shared" si="31"/>
        <v>0</v>
      </c>
      <c r="CY41" s="398">
        <f t="shared" si="32"/>
        <v>0</v>
      </c>
      <c r="DB41" s="398">
        <f t="shared" si="33"/>
        <v>0</v>
      </c>
      <c r="DE41" s="398">
        <f t="shared" si="34"/>
        <v>0</v>
      </c>
      <c r="DH41" s="398">
        <f t="shared" si="35"/>
        <v>0</v>
      </c>
      <c r="DK41" s="398">
        <f t="shared" si="36"/>
        <v>0</v>
      </c>
      <c r="DN41" s="398">
        <f t="shared" si="37"/>
        <v>0</v>
      </c>
      <c r="DQ41" s="398">
        <f t="shared" si="38"/>
        <v>0</v>
      </c>
      <c r="DT41" s="398">
        <f t="shared" si="39"/>
        <v>0</v>
      </c>
      <c r="DW41" s="398">
        <f t="shared" si="40"/>
        <v>0</v>
      </c>
      <c r="DZ41" s="396"/>
      <c r="EA41" s="398"/>
      <c r="EB41" s="212">
        <f t="shared" si="41"/>
        <v>198900000</v>
      </c>
      <c r="EC41" s="212">
        <f t="shared" si="42"/>
        <v>0</v>
      </c>
      <c r="ED41" s="398">
        <f t="shared" si="43"/>
        <v>15806.388888888889</v>
      </c>
      <c r="EE41" s="399">
        <f t="shared" si="44"/>
        <v>2.8608848667672198E-2</v>
      </c>
      <c r="EG41" s="212">
        <f t="shared" si="45"/>
        <v>0</v>
      </c>
      <c r="EH41" s="398">
        <f t="shared" si="46"/>
        <v>0</v>
      </c>
      <c r="EI41" s="399">
        <f t="shared" si="47"/>
        <v>0</v>
      </c>
      <c r="EJ41" s="399"/>
      <c r="EK41" s="212">
        <f t="shared" si="48"/>
        <v>198900000</v>
      </c>
      <c r="EL41" s="212">
        <f t="shared" si="49"/>
        <v>0</v>
      </c>
      <c r="EM41" s="212">
        <f t="shared" si="50"/>
        <v>15806.388888888889</v>
      </c>
      <c r="EN41" s="399">
        <f t="shared" si="51"/>
        <v>2.8608848667672198E-2</v>
      </c>
    </row>
    <row r="42" spans="1:144">
      <c r="A42" s="416">
        <f t="shared" si="52"/>
        <v>43496</v>
      </c>
      <c r="D42" s="398">
        <f t="shared" si="1"/>
        <v>0</v>
      </c>
      <c r="G42" s="398">
        <f t="shared" si="2"/>
        <v>0</v>
      </c>
      <c r="J42" s="398">
        <f t="shared" si="3"/>
        <v>0</v>
      </c>
      <c r="M42" s="398">
        <f t="shared" si="4"/>
        <v>0</v>
      </c>
      <c r="P42" s="398">
        <f t="shared" si="5"/>
        <v>0</v>
      </c>
      <c r="S42" s="398">
        <f t="shared" si="6"/>
        <v>0</v>
      </c>
      <c r="V42" s="398">
        <f t="shared" si="7"/>
        <v>0</v>
      </c>
      <c r="Y42" s="398">
        <f t="shared" si="8"/>
        <v>0</v>
      </c>
      <c r="AB42" s="398">
        <f t="shared" si="9"/>
        <v>0</v>
      </c>
      <c r="AE42" s="398">
        <v>0</v>
      </c>
      <c r="AH42" s="398">
        <v>0</v>
      </c>
      <c r="AI42" s="417">
        <f>67225000</f>
        <v>67225000</v>
      </c>
      <c r="AJ42" s="418">
        <v>2.7E-2</v>
      </c>
      <c r="AK42" s="398">
        <f t="shared" si="10"/>
        <v>5041.875</v>
      </c>
      <c r="AL42" s="417">
        <f t="shared" si="55"/>
        <v>30000000</v>
      </c>
      <c r="AM42" s="418">
        <v>2.9000000000000001E-2</v>
      </c>
      <c r="AN42" s="398">
        <f t="shared" si="11"/>
        <v>2416.6666666666665</v>
      </c>
      <c r="AO42" s="417">
        <f t="shared" si="53"/>
        <v>50000000</v>
      </c>
      <c r="AP42" s="418">
        <v>2.9700000000000001E-2</v>
      </c>
      <c r="AQ42" s="398">
        <f t="shared" si="12"/>
        <v>4125</v>
      </c>
      <c r="AR42" s="417">
        <f t="shared" si="54"/>
        <v>50000000</v>
      </c>
      <c r="AS42" s="418">
        <v>2.9499999999999998E-2</v>
      </c>
      <c r="AT42" s="398">
        <f t="shared" si="13"/>
        <v>4097.2222222222226</v>
      </c>
      <c r="AW42" s="398">
        <f t="shared" si="14"/>
        <v>0</v>
      </c>
      <c r="AZ42" s="398">
        <f t="shared" si="15"/>
        <v>0</v>
      </c>
      <c r="BC42" s="398">
        <f t="shared" si="16"/>
        <v>0</v>
      </c>
      <c r="BF42" s="398">
        <f t="shared" si="17"/>
        <v>0</v>
      </c>
      <c r="BI42" s="398">
        <f t="shared" si="18"/>
        <v>0</v>
      </c>
      <c r="BL42" s="398">
        <f t="shared" si="19"/>
        <v>0</v>
      </c>
      <c r="BO42" s="398">
        <f t="shared" si="20"/>
        <v>0</v>
      </c>
      <c r="BR42" s="398">
        <f t="shared" si="21"/>
        <v>0</v>
      </c>
      <c r="BU42" s="398">
        <f t="shared" si="22"/>
        <v>0</v>
      </c>
      <c r="BX42" s="398">
        <f t="shared" si="23"/>
        <v>0</v>
      </c>
      <c r="CA42" s="398">
        <f t="shared" si="24"/>
        <v>0</v>
      </c>
      <c r="CD42" s="398">
        <f t="shared" si="25"/>
        <v>0</v>
      </c>
      <c r="CG42" s="398">
        <f t="shared" si="26"/>
        <v>0</v>
      </c>
      <c r="CJ42" s="398">
        <f t="shared" si="27"/>
        <v>0</v>
      </c>
      <c r="CM42" s="398">
        <f t="shared" si="28"/>
        <v>0</v>
      </c>
      <c r="CP42" s="398">
        <f t="shared" si="29"/>
        <v>0</v>
      </c>
      <c r="CS42" s="398">
        <f t="shared" si="30"/>
        <v>0</v>
      </c>
      <c r="CV42" s="398">
        <f t="shared" si="31"/>
        <v>0</v>
      </c>
      <c r="CY42" s="398">
        <f t="shared" si="32"/>
        <v>0</v>
      </c>
      <c r="DB42" s="398">
        <f t="shared" si="33"/>
        <v>0</v>
      </c>
      <c r="DE42" s="398">
        <f t="shared" si="34"/>
        <v>0</v>
      </c>
      <c r="DH42" s="398">
        <f t="shared" si="35"/>
        <v>0</v>
      </c>
      <c r="DK42" s="398">
        <f t="shared" si="36"/>
        <v>0</v>
      </c>
      <c r="DN42" s="398">
        <f t="shared" si="37"/>
        <v>0</v>
      </c>
      <c r="DQ42" s="398">
        <f t="shared" si="38"/>
        <v>0</v>
      </c>
      <c r="DT42" s="398">
        <f t="shared" si="39"/>
        <v>0</v>
      </c>
      <c r="DW42" s="398">
        <f t="shared" si="40"/>
        <v>0</v>
      </c>
      <c r="DZ42" s="396"/>
      <c r="EA42" s="398"/>
      <c r="EB42" s="212">
        <f t="shared" si="41"/>
        <v>197225000</v>
      </c>
      <c r="EC42" s="212">
        <f t="shared" si="42"/>
        <v>0</v>
      </c>
      <c r="ED42" s="398">
        <f t="shared" si="43"/>
        <v>15680.763888888889</v>
      </c>
      <c r="EE42" s="399">
        <f t="shared" si="44"/>
        <v>2.8622512358980858E-2</v>
      </c>
      <c r="EG42" s="212">
        <f t="shared" si="45"/>
        <v>0</v>
      </c>
      <c r="EH42" s="398">
        <f t="shared" si="46"/>
        <v>0</v>
      </c>
      <c r="EI42" s="399">
        <f t="shared" si="47"/>
        <v>0</v>
      </c>
      <c r="EJ42" s="399"/>
      <c r="EK42" s="212">
        <f t="shared" si="48"/>
        <v>197225000</v>
      </c>
      <c r="EL42" s="212">
        <f t="shared" si="49"/>
        <v>0</v>
      </c>
      <c r="EM42" s="212">
        <f t="shared" si="50"/>
        <v>15680.763888888889</v>
      </c>
      <c r="EN42" s="399">
        <f t="shared" si="51"/>
        <v>2.8622512358980858E-2</v>
      </c>
    </row>
    <row r="43" spans="1:144">
      <c r="A43" s="213" t="s">
        <v>13</v>
      </c>
      <c r="D43" s="420">
        <f>SUM(D12:D42)</f>
        <v>0</v>
      </c>
      <c r="G43" s="420">
        <f>SUM(G12:G42)</f>
        <v>0</v>
      </c>
      <c r="J43" s="420">
        <f>SUM(J12:J42)</f>
        <v>0</v>
      </c>
      <c r="M43" s="420">
        <f>SUM(M12:M42)</f>
        <v>0</v>
      </c>
      <c r="P43" s="420">
        <f>SUM(P12:P42)</f>
        <v>0</v>
      </c>
      <c r="S43" s="420">
        <f>SUM(S12:S42)</f>
        <v>0</v>
      </c>
      <c r="V43" s="420">
        <f>SUM(V12:V42)</f>
        <v>0</v>
      </c>
      <c r="Y43" s="420">
        <f>SUM(Y12:Y42)</f>
        <v>0</v>
      </c>
      <c r="AB43" s="420">
        <f>SUM(AB12:AB42)</f>
        <v>0</v>
      </c>
      <c r="AE43" s="420">
        <f>SUM(AE12:AE42)</f>
        <v>0</v>
      </c>
      <c r="AH43" s="420">
        <f>SUM(AH12:AH42)</f>
        <v>0</v>
      </c>
      <c r="AK43" s="420">
        <f>SUM(AK12:AK42)</f>
        <v>103753.04166666666</v>
      </c>
      <c r="AN43" s="420">
        <f>SUM(AN12:AN42)</f>
        <v>39277.777777777774</v>
      </c>
      <c r="AQ43" s="420">
        <f>SUM(AQ12:AQ42)</f>
        <v>115500</v>
      </c>
      <c r="AT43" s="420">
        <f>SUM(AT12:AT42)</f>
        <v>73749.999999999971</v>
      </c>
      <c r="AW43" s="420">
        <f>SUM(AW12:AW42)</f>
        <v>0</v>
      </c>
      <c r="AZ43" s="420">
        <f>SUM(AZ12:AZ42)</f>
        <v>0</v>
      </c>
      <c r="BC43" s="420">
        <f>SUM(BC12:BC42)</f>
        <v>0</v>
      </c>
      <c r="BF43" s="420">
        <f>SUM(BF12:BF42)</f>
        <v>0</v>
      </c>
      <c r="BI43" s="420">
        <f>SUM(BI12:BI42)</f>
        <v>0</v>
      </c>
      <c r="BL43" s="420">
        <f>SUM(BL12:BL42)</f>
        <v>0</v>
      </c>
      <c r="BO43" s="420">
        <f>SUM(BO12:BO42)</f>
        <v>0</v>
      </c>
      <c r="BR43" s="420">
        <f>SUM(BR12:BR42)</f>
        <v>0</v>
      </c>
      <c r="BU43" s="420">
        <f>SUM(BU12:BU42)</f>
        <v>0</v>
      </c>
      <c r="BX43" s="420">
        <f>SUM(BX12:BX42)</f>
        <v>0</v>
      </c>
      <c r="CA43" s="420">
        <f>SUM(CA12:CA42)</f>
        <v>0</v>
      </c>
      <c r="CD43" s="420">
        <f>SUM(CD12:CD42)</f>
        <v>0</v>
      </c>
      <c r="CG43" s="420">
        <f>SUM(CG12:CG42)</f>
        <v>0</v>
      </c>
      <c r="CJ43" s="420">
        <f>SUM(CJ12:CJ42)</f>
        <v>0</v>
      </c>
      <c r="CM43" s="420">
        <f>SUM(CM12:CM42)</f>
        <v>0</v>
      </c>
      <c r="CP43" s="420">
        <f>SUM(CP12:CP42)</f>
        <v>0</v>
      </c>
      <c r="CS43" s="420">
        <f>SUM(CS12:CS42)</f>
        <v>0</v>
      </c>
      <c r="CV43" s="420">
        <f>SUM(CV12:CV42)</f>
        <v>0</v>
      </c>
      <c r="CY43" s="420">
        <f>SUM(CY12:CY42)</f>
        <v>0</v>
      </c>
      <c r="DB43" s="420">
        <f>SUM(DB12:DB42)</f>
        <v>0</v>
      </c>
      <c r="DE43" s="420">
        <f>SUM(DE12:DE42)</f>
        <v>0</v>
      </c>
      <c r="DH43" s="420">
        <f>SUM(DH12:DH42)</f>
        <v>0</v>
      </c>
      <c r="DK43" s="420">
        <f>SUM(DK12:DK42)</f>
        <v>0</v>
      </c>
      <c r="DN43" s="420">
        <f>SUM(DN12:DN42)</f>
        <v>0</v>
      </c>
      <c r="DQ43" s="420">
        <f>SUM(DQ12:DQ42)</f>
        <v>0</v>
      </c>
      <c r="DT43" s="420">
        <f>SUM(DT12:DT42)</f>
        <v>0</v>
      </c>
      <c r="DW43" s="420">
        <f>SUM(DW12:DW42)</f>
        <v>0</v>
      </c>
      <c r="DZ43" s="396"/>
      <c r="EA43" s="396"/>
      <c r="EB43" s="398"/>
      <c r="EC43" s="398"/>
      <c r="ED43" s="420">
        <f>SUM(ED12:ED42)</f>
        <v>332280.81944444426</v>
      </c>
      <c r="EE43" s="399"/>
      <c r="EG43" s="398"/>
      <c r="EH43" s="420">
        <f>SUM(EH12:EH42)</f>
        <v>0</v>
      </c>
      <c r="EI43" s="399"/>
      <c r="EJ43" s="399"/>
      <c r="EK43" s="398"/>
      <c r="EL43" s="398"/>
      <c r="EM43" s="420">
        <f>SUM(EM12:EM42)</f>
        <v>332280.81944444426</v>
      </c>
      <c r="EN43" s="399"/>
    </row>
    <row r="45" spans="1:144">
      <c r="EM45" s="419"/>
    </row>
    <row r="46" spans="1:144">
      <c r="EM46" s="419"/>
    </row>
    <row r="47" spans="1:144">
      <c r="EM47" s="398"/>
    </row>
    <row r="48" spans="1:144">
      <c r="EM48" s="398"/>
    </row>
    <row r="51" spans="143:143">
      <c r="EM51" s="419"/>
    </row>
    <row r="52" spans="143:143">
      <c r="EM52" s="398"/>
    </row>
  </sheetData>
  <pageMargins left="0.7" right="0.7" top="0.75" bottom="0.75" header="0.3" footer="0.3"/>
  <pageSetup scale="53" fitToHeight="0" orientation="landscape" r:id="rId1"/>
  <headerFooter>
    <oddFooter>&amp;CSchedule MA-TU&amp;RJanuary 2019 &amp;P of &amp;N
Confidential
4 CSR 240-2.090(9(A).2(D).II)</oddFooter>
  </headerFooter>
  <colBreaks count="1" manualBreakCount="1">
    <brk id="131" max="42"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5"/>
  <sheetViews>
    <sheetView zoomScale="80" zoomScaleNormal="80" workbookViewId="0">
      <selection activeCell="E31" sqref="E31"/>
    </sheetView>
  </sheetViews>
  <sheetFormatPr defaultColWidth="9.140625" defaultRowHeight="12.75"/>
  <cols>
    <col min="1" max="1" width="14.7109375" style="428" bestFit="1" customWidth="1"/>
    <col min="2" max="2" width="15.5703125" style="426" hidden="1" customWidth="1"/>
    <col min="3" max="3" width="15.42578125" style="427" hidden="1" customWidth="1"/>
    <col min="4" max="4" width="15.42578125" style="428" hidden="1" customWidth="1"/>
    <col min="5" max="5" width="22.28515625" style="426" bestFit="1" customWidth="1"/>
    <col min="6" max="6" width="4.85546875" style="427" bestFit="1" customWidth="1"/>
    <col min="7" max="7" width="18.7109375" style="428" customWidth="1"/>
    <col min="8" max="8" width="15.42578125" style="426" hidden="1" customWidth="1"/>
    <col min="9" max="9" width="10.28515625" style="427" hidden="1" customWidth="1"/>
    <col min="10" max="10" width="13.42578125" style="428" hidden="1" customWidth="1"/>
    <col min="11" max="11" width="14.42578125" style="426" hidden="1" customWidth="1"/>
    <col min="12" max="12" width="10.28515625" style="427" hidden="1" customWidth="1"/>
    <col min="13" max="13" width="11.7109375" style="428" hidden="1" customWidth="1"/>
    <col min="14" max="14" width="14.42578125" style="426" hidden="1" customWidth="1"/>
    <col min="15" max="15" width="10.28515625" style="427" hidden="1" customWidth="1"/>
    <col min="16" max="16" width="11.7109375" style="428" hidden="1" customWidth="1"/>
    <col min="17" max="17" width="15.42578125" style="426" hidden="1" customWidth="1"/>
    <col min="18" max="18" width="10.28515625" style="427" hidden="1" customWidth="1"/>
    <col min="19" max="19" width="11.7109375" style="428" hidden="1" customWidth="1"/>
    <col min="20" max="20" width="15.42578125" style="426" hidden="1" customWidth="1"/>
    <col min="21" max="21" width="10.28515625" style="427" hidden="1" customWidth="1"/>
    <col min="22" max="22" width="11.7109375" style="428" hidden="1" customWidth="1"/>
    <col min="23" max="23" width="15.42578125" style="426" hidden="1" customWidth="1"/>
    <col min="24" max="24" width="10.28515625" style="427" hidden="1" customWidth="1"/>
    <col min="25" max="25" width="11.7109375" style="428" hidden="1" customWidth="1"/>
    <col min="26" max="26" width="15.42578125" style="426" hidden="1" customWidth="1"/>
    <col min="27" max="27" width="10.28515625" style="427" hidden="1" customWidth="1"/>
    <col min="28" max="28" width="11.7109375" style="428" hidden="1" customWidth="1"/>
    <col min="29" max="29" width="15.42578125" style="426" hidden="1" customWidth="1"/>
    <col min="30" max="30" width="10.28515625" style="427" hidden="1" customWidth="1"/>
    <col min="31" max="31" width="11.7109375" style="428" hidden="1" customWidth="1"/>
    <col min="32" max="32" width="14.42578125" style="426" hidden="1" customWidth="1"/>
    <col min="33" max="33" width="10.28515625" style="427" hidden="1" customWidth="1"/>
    <col min="34" max="34" width="10.7109375" style="428" hidden="1" customWidth="1"/>
    <col min="35" max="35" width="14.42578125" style="426" customWidth="1"/>
    <col min="36" max="36" width="12.140625" style="427" bestFit="1" customWidth="1"/>
    <col min="37" max="37" width="13.85546875" style="428" bestFit="1" customWidth="1"/>
    <col min="38" max="38" width="14.42578125" style="426" customWidth="1"/>
    <col min="39" max="39" width="12.140625" style="427" bestFit="1" customWidth="1"/>
    <col min="40" max="40" width="13.140625" style="428" bestFit="1" customWidth="1"/>
    <col min="41" max="41" width="15.5703125" style="426" bestFit="1" customWidth="1"/>
    <col min="42" max="42" width="12.42578125" style="427" bestFit="1" customWidth="1"/>
    <col min="43" max="43" width="13.140625" style="428" bestFit="1" customWidth="1"/>
    <col min="44" max="44" width="15.5703125" style="426" bestFit="1" customWidth="1"/>
    <col min="45" max="45" width="12.140625" style="427" bestFit="1" customWidth="1"/>
    <col min="46" max="46" width="13.140625" style="428" bestFit="1" customWidth="1"/>
    <col min="47" max="47" width="14.42578125" style="426" customWidth="1"/>
    <col min="48" max="48" width="12.140625" style="427" bestFit="1" customWidth="1"/>
    <col min="49" max="49" width="13.85546875" style="428" bestFit="1" customWidth="1"/>
    <col min="50" max="50" width="14.42578125" style="426" customWidth="1"/>
    <col min="51" max="51" width="12.140625" style="427" bestFit="1" customWidth="1"/>
    <col min="52" max="52" width="13.140625" style="428" bestFit="1" customWidth="1"/>
    <col min="53" max="53" width="14.42578125" style="426" hidden="1" customWidth="1"/>
    <col min="54" max="54" width="10.28515625" style="427" hidden="1" customWidth="1"/>
    <col min="55" max="55" width="10.7109375" style="428" hidden="1" customWidth="1"/>
    <col min="56" max="56" width="14.42578125" style="426" hidden="1" customWidth="1"/>
    <col min="57" max="57" width="10.28515625" style="427" hidden="1" customWidth="1"/>
    <col min="58" max="58" width="10.7109375" style="428" hidden="1" customWidth="1"/>
    <col min="59" max="59" width="14.42578125" style="426" hidden="1" customWidth="1"/>
    <col min="60" max="60" width="10.28515625" style="427" hidden="1" customWidth="1"/>
    <col min="61" max="61" width="10.7109375" style="428" hidden="1" customWidth="1"/>
    <col min="62" max="62" width="14.42578125" style="426" hidden="1" customWidth="1"/>
    <col min="63" max="63" width="10.28515625" style="427" hidden="1" customWidth="1"/>
    <col min="64" max="64" width="10.7109375" style="428" hidden="1" customWidth="1"/>
    <col min="65" max="65" width="14.42578125" style="426" hidden="1" customWidth="1"/>
    <col min="66" max="66" width="10.28515625" style="427" hidden="1" customWidth="1"/>
    <col min="67" max="67" width="10.7109375" style="428" hidden="1" customWidth="1"/>
    <col min="68" max="68" width="14.42578125" style="426" hidden="1" customWidth="1"/>
    <col min="69" max="69" width="10.28515625" style="427" hidden="1" customWidth="1"/>
    <col min="70" max="70" width="10.7109375" style="428" hidden="1" customWidth="1"/>
    <col min="71" max="71" width="14.42578125" style="426" hidden="1" customWidth="1"/>
    <col min="72" max="72" width="10.28515625" style="427" hidden="1" customWidth="1"/>
    <col min="73" max="73" width="10.7109375" style="428" hidden="1" customWidth="1"/>
    <col min="74" max="74" width="14.42578125" style="426" hidden="1" customWidth="1"/>
    <col min="75" max="75" width="10.28515625" style="427" hidden="1" customWidth="1"/>
    <col min="76" max="76" width="10.7109375" style="428" hidden="1" customWidth="1"/>
    <col min="77" max="77" width="14.42578125" style="426" hidden="1" customWidth="1"/>
    <col min="78" max="78" width="10.28515625" style="427" hidden="1" customWidth="1"/>
    <col min="79" max="79" width="10.7109375" style="428" hidden="1" customWidth="1"/>
    <col min="80" max="80" width="14.42578125" style="426" hidden="1" customWidth="1"/>
    <col min="81" max="81" width="10.28515625" style="427" hidden="1" customWidth="1"/>
    <col min="82" max="82" width="10.7109375" style="428" hidden="1" customWidth="1"/>
    <col min="83" max="83" width="14.42578125" style="426" hidden="1" customWidth="1"/>
    <col min="84" max="84" width="10.28515625" style="427" hidden="1" customWidth="1"/>
    <col min="85" max="85" width="10.7109375" style="428" hidden="1" customWidth="1"/>
    <col min="86" max="86" width="14.42578125" style="426" hidden="1" customWidth="1"/>
    <col min="87" max="87" width="10.28515625" style="427" hidden="1" customWidth="1"/>
    <col min="88" max="88" width="10.7109375" style="428" hidden="1" customWidth="1"/>
    <col min="89" max="89" width="14.42578125" style="426" hidden="1" customWidth="1"/>
    <col min="90" max="90" width="10.28515625" style="427" hidden="1" customWidth="1"/>
    <col min="91" max="91" width="10.7109375" style="428" hidden="1" customWidth="1"/>
    <col min="92" max="92" width="14.42578125" style="426" hidden="1" customWidth="1"/>
    <col min="93" max="93" width="10.28515625" style="427" hidden="1" customWidth="1"/>
    <col min="94" max="94" width="10.7109375" style="428" hidden="1" customWidth="1"/>
    <col min="95" max="95" width="14.42578125" style="426" hidden="1" customWidth="1"/>
    <col min="96" max="96" width="10.28515625" style="427" hidden="1" customWidth="1"/>
    <col min="97" max="97" width="10.7109375" style="428" hidden="1" customWidth="1"/>
    <col min="98" max="98" width="14.42578125" style="426" hidden="1" customWidth="1"/>
    <col min="99" max="99" width="10.28515625" style="427" hidden="1" customWidth="1"/>
    <col min="100" max="100" width="10.7109375" style="428" hidden="1" customWidth="1"/>
    <col min="101" max="101" width="14.42578125" style="426" hidden="1" customWidth="1"/>
    <col min="102" max="102" width="10.28515625" style="427" hidden="1" customWidth="1"/>
    <col min="103" max="103" width="10.7109375" style="428" hidden="1" customWidth="1"/>
    <col min="104" max="104" width="14.42578125" style="426" hidden="1" customWidth="1"/>
    <col min="105" max="105" width="10.28515625" style="427" hidden="1" customWidth="1"/>
    <col min="106" max="106" width="10.7109375" style="428" hidden="1" customWidth="1"/>
    <col min="107" max="107" width="14.42578125" style="426" hidden="1" customWidth="1"/>
    <col min="108" max="108" width="10.28515625" style="427" hidden="1" customWidth="1"/>
    <col min="109" max="109" width="10.7109375" style="428" hidden="1" customWidth="1"/>
    <col min="110" max="110" width="14.42578125" style="426" hidden="1" customWidth="1"/>
    <col min="111" max="111" width="10.28515625" style="427" hidden="1" customWidth="1"/>
    <col min="112" max="112" width="10.7109375" style="428" hidden="1" customWidth="1"/>
    <col min="113" max="113" width="14.42578125" style="426" hidden="1" customWidth="1"/>
    <col min="114" max="114" width="10.28515625" style="427" hidden="1" customWidth="1"/>
    <col min="115" max="115" width="10.7109375" style="428" hidden="1" customWidth="1"/>
    <col min="116" max="116" width="14.42578125" style="426" hidden="1" customWidth="1"/>
    <col min="117" max="117" width="10.28515625" style="427" hidden="1" customWidth="1"/>
    <col min="118" max="118" width="10.7109375" style="428" hidden="1" customWidth="1"/>
    <col min="119" max="119" width="14.42578125" style="426" hidden="1" customWidth="1"/>
    <col min="120" max="120" width="10.28515625" style="427" hidden="1" customWidth="1"/>
    <col min="121" max="121" width="10.7109375" style="428" hidden="1" customWidth="1"/>
    <col min="122" max="122" width="14.42578125" style="426" hidden="1" customWidth="1"/>
    <col min="123" max="123" width="10.28515625" style="427" hidden="1" customWidth="1"/>
    <col min="124" max="124" width="10.7109375" style="428" hidden="1" customWidth="1"/>
    <col min="125" max="125" width="14.42578125" style="426" hidden="1" customWidth="1"/>
    <col min="126" max="126" width="10.28515625" style="427" hidden="1" customWidth="1"/>
    <col min="127" max="127" width="10.7109375" style="428" hidden="1" customWidth="1"/>
    <col min="128" max="128" width="14.42578125" style="426" hidden="1" customWidth="1"/>
    <col min="129" max="129" width="10.28515625" style="427" hidden="1" customWidth="1"/>
    <col min="130" max="130" width="10.7109375" style="428" hidden="1" customWidth="1"/>
    <col min="131" max="131" width="2.7109375" style="428" customWidth="1"/>
    <col min="132" max="132" width="17.85546875" style="428" customWidth="1"/>
    <col min="133" max="133" width="15.42578125" style="428" hidden="1" customWidth="1"/>
    <col min="134" max="134" width="15" style="428" bestFit="1" customWidth="1"/>
    <col min="135" max="135" width="22.140625" style="428" bestFit="1" customWidth="1"/>
    <col min="136" max="136" width="2.7109375" style="428" customWidth="1"/>
    <col min="137" max="137" width="15.42578125" style="428" hidden="1" customWidth="1"/>
    <col min="138" max="138" width="14.42578125" style="428" hidden="1" customWidth="1"/>
    <col min="139" max="139" width="12.42578125" style="428" hidden="1" customWidth="1"/>
    <col min="140" max="140" width="2.7109375" style="428" hidden="1" customWidth="1"/>
    <col min="141" max="141" width="18.140625" style="428" bestFit="1" customWidth="1"/>
    <col min="142" max="142" width="15.42578125" style="428" hidden="1" customWidth="1"/>
    <col min="143" max="143" width="15" style="428" bestFit="1" customWidth="1"/>
    <col min="144" max="144" width="18.5703125" style="428" bestFit="1" customWidth="1"/>
    <col min="145" max="145" width="43" style="428" bestFit="1" customWidth="1"/>
    <col min="146" max="146" width="19.85546875" style="428" bestFit="1" customWidth="1"/>
    <col min="147" max="147" width="29.28515625" style="428" customWidth="1"/>
    <col min="148" max="16384" width="9.140625" style="428"/>
  </cols>
  <sheetData>
    <row r="1" spans="1:147" s="217" customFormat="1">
      <c r="A1" s="216" t="s">
        <v>0</v>
      </c>
      <c r="B1" s="228"/>
      <c r="C1" s="421"/>
      <c r="E1" s="228"/>
      <c r="F1" s="421"/>
      <c r="H1" s="228"/>
      <c r="I1" s="421"/>
      <c r="K1" s="228"/>
      <c r="L1" s="421"/>
      <c r="N1" s="228"/>
      <c r="O1" s="421"/>
      <c r="Q1" s="228"/>
      <c r="R1" s="421"/>
      <c r="T1" s="228"/>
      <c r="U1" s="421"/>
      <c r="W1" s="228"/>
      <c r="X1" s="421"/>
      <c r="Z1" s="228"/>
      <c r="AA1" s="421"/>
      <c r="AC1" s="228"/>
      <c r="AD1" s="421"/>
      <c r="AF1" s="228"/>
      <c r="AG1" s="421"/>
      <c r="AI1" s="228"/>
      <c r="AJ1" s="421"/>
      <c r="AL1" s="228"/>
      <c r="AM1" s="421"/>
      <c r="AO1" s="228"/>
      <c r="AP1" s="421"/>
      <c r="AR1" s="228"/>
      <c r="AS1" s="421"/>
      <c r="AU1" s="228"/>
      <c r="AV1" s="421"/>
      <c r="AX1" s="228"/>
      <c r="AY1" s="421"/>
      <c r="BA1" s="228"/>
      <c r="BB1" s="421"/>
      <c r="BD1" s="228"/>
      <c r="BE1" s="421"/>
      <c r="BG1" s="228"/>
      <c r="BH1" s="421"/>
      <c r="BJ1" s="228"/>
      <c r="BK1" s="421"/>
      <c r="BM1" s="228"/>
      <c r="BN1" s="421"/>
      <c r="BP1" s="228"/>
      <c r="BQ1" s="421"/>
      <c r="BS1" s="228"/>
      <c r="BT1" s="421"/>
      <c r="BV1" s="228"/>
      <c r="BW1" s="421"/>
      <c r="BY1" s="228"/>
      <c r="BZ1" s="421"/>
      <c r="CB1" s="228"/>
      <c r="CC1" s="421"/>
      <c r="CE1" s="228"/>
      <c r="CF1" s="421"/>
      <c r="CH1" s="228"/>
      <c r="CI1" s="421"/>
      <c r="CK1" s="228"/>
      <c r="CL1" s="421"/>
      <c r="CN1" s="228"/>
      <c r="CO1" s="421"/>
      <c r="CQ1" s="228"/>
      <c r="CR1" s="421"/>
      <c r="CT1" s="228"/>
      <c r="CU1" s="421"/>
      <c r="CW1" s="228"/>
      <c r="CX1" s="421"/>
      <c r="CZ1" s="228"/>
      <c r="DA1" s="421"/>
      <c r="DC1" s="228"/>
      <c r="DD1" s="421"/>
      <c r="DF1" s="228"/>
      <c r="DG1" s="421"/>
      <c r="DI1" s="228"/>
      <c r="DJ1" s="421"/>
      <c r="DL1" s="228"/>
      <c r="DM1" s="421"/>
      <c r="DO1" s="228"/>
      <c r="DP1" s="421"/>
      <c r="DR1" s="228"/>
      <c r="DS1" s="421"/>
      <c r="DU1" s="228"/>
      <c r="DV1" s="421"/>
      <c r="DX1" s="228"/>
      <c r="DY1" s="421"/>
      <c r="DZ1" s="214"/>
      <c r="ED1" s="218"/>
      <c r="EE1" s="422" t="s">
        <v>118</v>
      </c>
      <c r="EI1" s="218" t="s">
        <v>59</v>
      </c>
      <c r="EM1" s="218"/>
      <c r="EN1" s="218" t="s">
        <v>120</v>
      </c>
      <c r="EO1" s="216" t="s">
        <v>121</v>
      </c>
      <c r="EP1" s="216" t="s">
        <v>122</v>
      </c>
      <c r="EQ1" s="216" t="s">
        <v>123</v>
      </c>
    </row>
    <row r="2" spans="1:147" s="217" customFormat="1">
      <c r="A2" s="216" t="s">
        <v>49</v>
      </c>
      <c r="B2" s="228"/>
      <c r="C2" s="421"/>
      <c r="E2" s="220"/>
      <c r="F2" s="421"/>
      <c r="G2" s="218"/>
      <c r="H2" s="228"/>
      <c r="I2" s="421"/>
      <c r="K2" s="228"/>
      <c r="L2" s="421"/>
      <c r="N2" s="228"/>
      <c r="O2" s="421"/>
      <c r="Q2" s="228"/>
      <c r="R2" s="421"/>
      <c r="T2" s="228"/>
      <c r="U2" s="421"/>
      <c r="W2" s="228"/>
      <c r="X2" s="421"/>
      <c r="Z2" s="228"/>
      <c r="AA2" s="421"/>
      <c r="AC2" s="228"/>
      <c r="AD2" s="421"/>
      <c r="AF2" s="228"/>
      <c r="AG2" s="421"/>
      <c r="AI2" s="228"/>
      <c r="AJ2" s="421"/>
      <c r="AL2" s="228"/>
      <c r="AM2" s="421"/>
      <c r="AO2" s="228"/>
      <c r="AP2" s="421"/>
      <c r="AR2" s="228"/>
      <c r="AS2" s="421"/>
      <c r="AU2" s="228"/>
      <c r="AV2" s="421"/>
      <c r="AX2" s="228"/>
      <c r="AY2" s="421"/>
      <c r="BA2" s="228"/>
      <c r="BB2" s="421"/>
      <c r="BD2" s="228"/>
      <c r="BE2" s="421"/>
      <c r="BG2" s="228"/>
      <c r="BH2" s="421"/>
      <c r="BJ2" s="228"/>
      <c r="BK2" s="421"/>
      <c r="BM2" s="228"/>
      <c r="BN2" s="421"/>
      <c r="BP2" s="228"/>
      <c r="BQ2" s="421"/>
      <c r="BS2" s="228"/>
      <c r="BT2" s="421"/>
      <c r="BV2" s="228"/>
      <c r="BW2" s="421"/>
      <c r="BY2" s="228"/>
      <c r="BZ2" s="421"/>
      <c r="CB2" s="228"/>
      <c r="CC2" s="421"/>
      <c r="CE2" s="228"/>
      <c r="CF2" s="421"/>
      <c r="CH2" s="228"/>
      <c r="CI2" s="421"/>
      <c r="CK2" s="228"/>
      <c r="CL2" s="421"/>
      <c r="CN2" s="228"/>
      <c r="CO2" s="421"/>
      <c r="CQ2" s="228"/>
      <c r="CR2" s="421"/>
      <c r="CT2" s="228"/>
      <c r="CU2" s="421"/>
      <c r="CW2" s="228"/>
      <c r="CX2" s="421"/>
      <c r="CZ2" s="228"/>
      <c r="DA2" s="421"/>
      <c r="DC2" s="228"/>
      <c r="DD2" s="421"/>
      <c r="DF2" s="228"/>
      <c r="DG2" s="421"/>
      <c r="DI2" s="228"/>
      <c r="DJ2" s="421"/>
      <c r="DL2" s="228"/>
      <c r="DM2" s="421"/>
      <c r="DO2" s="228"/>
      <c r="DP2" s="421"/>
      <c r="DR2" s="228"/>
      <c r="DS2" s="421"/>
      <c r="DU2" s="228"/>
      <c r="DV2" s="421"/>
      <c r="DX2" s="228"/>
      <c r="DY2" s="421"/>
      <c r="EB2" s="423" t="s">
        <v>51</v>
      </c>
      <c r="EC2" s="423"/>
      <c r="ED2" s="424"/>
      <c r="EE2" s="424">
        <f>EB39</f>
        <v>495025000</v>
      </c>
      <c r="EI2" s="424">
        <f>EG41</f>
        <v>0</v>
      </c>
      <c r="EM2" s="424"/>
      <c r="EN2" s="424">
        <f>EK39</f>
        <v>495025000</v>
      </c>
      <c r="EO2" s="228">
        <v>0</v>
      </c>
      <c r="EP2" s="228">
        <v>-173840.28</v>
      </c>
      <c r="EQ2" s="228">
        <f>EE2+EO2</f>
        <v>495025000</v>
      </c>
    </row>
    <row r="3" spans="1:147" s="217" customFormat="1" ht="13.5" thickBot="1">
      <c r="A3" s="425" t="s">
        <v>206</v>
      </c>
      <c r="B3" s="228"/>
      <c r="C3" s="421"/>
      <c r="E3" s="220"/>
      <c r="F3" s="421"/>
      <c r="G3" s="218"/>
      <c r="H3" s="228"/>
      <c r="I3" s="421"/>
      <c r="K3" s="228"/>
      <c r="L3" s="421"/>
      <c r="N3" s="228"/>
      <c r="O3" s="421"/>
      <c r="Q3" s="228"/>
      <c r="R3" s="421"/>
      <c r="T3" s="228"/>
      <c r="U3" s="421"/>
      <c r="W3" s="228"/>
      <c r="X3" s="421"/>
      <c r="Z3" s="228"/>
      <c r="AA3" s="421"/>
      <c r="AC3" s="228"/>
      <c r="AD3" s="421"/>
      <c r="AF3" s="228"/>
      <c r="AG3" s="421"/>
      <c r="AI3" s="228"/>
      <c r="AJ3" s="421"/>
      <c r="AL3" s="228"/>
      <c r="AM3" s="421"/>
      <c r="AO3" s="228"/>
      <c r="AP3" s="421"/>
      <c r="AR3" s="228"/>
      <c r="AS3" s="421"/>
      <c r="AU3" s="228"/>
      <c r="AV3" s="421"/>
      <c r="AX3" s="228"/>
      <c r="AY3" s="421"/>
      <c r="BA3" s="228"/>
      <c r="BB3" s="421"/>
      <c r="BD3" s="228"/>
      <c r="BE3" s="421"/>
      <c r="BG3" s="228"/>
      <c r="BH3" s="421"/>
      <c r="BJ3" s="228"/>
      <c r="BK3" s="421"/>
      <c r="BM3" s="228"/>
      <c r="BN3" s="421"/>
      <c r="BP3" s="228"/>
      <c r="BQ3" s="421"/>
      <c r="BS3" s="228"/>
      <c r="BT3" s="421"/>
      <c r="BV3" s="228"/>
      <c r="BW3" s="421"/>
      <c r="BY3" s="228"/>
      <c r="BZ3" s="421"/>
      <c r="CB3" s="228"/>
      <c r="CC3" s="421"/>
      <c r="CE3" s="228"/>
      <c r="CF3" s="421"/>
      <c r="CH3" s="228"/>
      <c r="CI3" s="421"/>
      <c r="CK3" s="228"/>
      <c r="CL3" s="421"/>
      <c r="CN3" s="228"/>
      <c r="CO3" s="421"/>
      <c r="CQ3" s="228"/>
      <c r="CR3" s="421"/>
      <c r="CT3" s="228"/>
      <c r="CU3" s="421"/>
      <c r="CW3" s="228"/>
      <c r="CX3" s="421"/>
      <c r="CZ3" s="228"/>
      <c r="DA3" s="421"/>
      <c r="DC3" s="228"/>
      <c r="DD3" s="421"/>
      <c r="DF3" s="228"/>
      <c r="DG3" s="421"/>
      <c r="DI3" s="228"/>
      <c r="DJ3" s="421"/>
      <c r="DL3" s="228"/>
      <c r="DM3" s="421"/>
      <c r="DO3" s="228"/>
      <c r="DP3" s="421"/>
      <c r="DR3" s="228"/>
      <c r="DS3" s="421"/>
      <c r="DU3" s="228"/>
      <c r="DV3" s="421"/>
      <c r="DX3" s="228"/>
      <c r="DY3" s="421"/>
      <c r="EB3" s="423"/>
      <c r="EC3" s="423"/>
      <c r="ED3" s="424"/>
      <c r="EE3" s="424"/>
      <c r="EI3" s="424"/>
      <c r="EM3" s="424"/>
      <c r="EN3" s="424"/>
      <c r="EO3" s="228"/>
      <c r="EP3" s="228"/>
      <c r="EQ3" s="228"/>
    </row>
    <row r="4" spans="1:147" ht="13.5" thickTop="1">
      <c r="A4" s="425"/>
      <c r="E4" s="215" t="s">
        <v>50</v>
      </c>
      <c r="F4" s="429"/>
      <c r="G4" s="430"/>
      <c r="EB4" s="423" t="s">
        <v>52</v>
      </c>
      <c r="EC4" s="423"/>
      <c r="ED4" s="424"/>
      <c r="EE4" s="424">
        <f>AVERAGE(EB12:EB39)</f>
        <v>510842857.14285713</v>
      </c>
      <c r="EI4" s="424">
        <f>AVERAGE(EG12:EG41)</f>
        <v>0</v>
      </c>
      <c r="EM4" s="424"/>
      <c r="EN4" s="424">
        <f>AVERAGE(EK12:EK39)</f>
        <v>510842857.14285713</v>
      </c>
    </row>
    <row r="5" spans="1:147">
      <c r="D5" s="423"/>
      <c r="E5" s="431" t="s">
        <v>51</v>
      </c>
      <c r="F5" s="424"/>
      <c r="G5" s="432">
        <f>EQ2</f>
        <v>495025000</v>
      </c>
      <c r="AI5" s="216"/>
      <c r="EB5" s="423" t="s">
        <v>53</v>
      </c>
      <c r="EC5" s="423"/>
      <c r="ED5" s="433"/>
      <c r="EE5" s="433">
        <f>IF(EE4=0,0,360*(AVERAGE(ED12:ED39)/EE4))</f>
        <v>2.8403912301798138E-2</v>
      </c>
      <c r="EI5" s="433">
        <f>IF(EI4=0,0,360*(AVERAGE(EH12:EH41)/EI4))</f>
        <v>0</v>
      </c>
      <c r="EM5" s="433"/>
      <c r="EN5" s="433">
        <f>IF(EN4=0,0,360*(AVERAGE(EM12:EM39)/EN4))</f>
        <v>2.8403912301798138E-2</v>
      </c>
      <c r="EO5" s="217" t="s">
        <v>199</v>
      </c>
      <c r="EQ5" s="218"/>
    </row>
    <row r="6" spans="1:147">
      <c r="D6" s="423"/>
      <c r="E6" s="431" t="s">
        <v>52</v>
      </c>
      <c r="F6" s="424"/>
      <c r="G6" s="432">
        <f>EE4</f>
        <v>510842857.14285713</v>
      </c>
      <c r="AI6" s="434"/>
      <c r="EB6" s="435" t="s">
        <v>57</v>
      </c>
      <c r="EC6" s="435"/>
      <c r="ED6" s="424"/>
      <c r="EE6" s="424">
        <f>MAX(EB12:EB39)</f>
        <v>549375000</v>
      </c>
      <c r="EI6" s="424">
        <f>MAX(EG12:EG41)</f>
        <v>0</v>
      </c>
      <c r="EM6" s="424"/>
      <c r="EN6" s="424">
        <f>MAX(EK12:EK39)</f>
        <v>549375000</v>
      </c>
    </row>
    <row r="7" spans="1:147">
      <c r="D7" s="423"/>
      <c r="E7" s="431" t="s">
        <v>53</v>
      </c>
      <c r="F7" s="424"/>
      <c r="G7" s="436">
        <f>EE5</f>
        <v>2.8403912301798138E-2</v>
      </c>
    </row>
    <row r="8" spans="1:147" ht="13.5" thickBot="1">
      <c r="D8" s="423"/>
      <c r="E8" s="437" t="s">
        <v>57</v>
      </c>
      <c r="F8" s="438"/>
      <c r="G8" s="439">
        <f>EE6</f>
        <v>549375000</v>
      </c>
      <c r="AI8" s="434"/>
      <c r="EB8" s="219" t="s">
        <v>54</v>
      </c>
      <c r="EC8" s="219"/>
      <c r="ED8" s="440"/>
      <c r="EE8" s="440"/>
      <c r="EG8" s="219" t="s">
        <v>55</v>
      </c>
      <c r="EH8" s="440"/>
      <c r="EI8" s="440"/>
      <c r="EJ8" s="441"/>
      <c r="EK8" s="219" t="s">
        <v>56</v>
      </c>
      <c r="EL8" s="219"/>
      <c r="EM8" s="440"/>
      <c r="EN8" s="440"/>
    </row>
    <row r="9" spans="1:147" ht="13.5" thickTop="1">
      <c r="AI9" s="220"/>
      <c r="AL9" s="220"/>
      <c r="AO9" s="220"/>
      <c r="AR9" s="220"/>
      <c r="AU9" s="220"/>
      <c r="AX9" s="220"/>
      <c r="BA9" s="220"/>
      <c r="BD9" s="220"/>
      <c r="BG9" s="220"/>
      <c r="BJ9" s="220"/>
      <c r="BM9" s="220" t="s">
        <v>112</v>
      </c>
      <c r="BP9" s="220" t="s">
        <v>112</v>
      </c>
      <c r="BS9" s="220" t="s">
        <v>112</v>
      </c>
      <c r="BV9" s="220" t="s">
        <v>112</v>
      </c>
      <c r="BY9" s="220" t="s">
        <v>112</v>
      </c>
      <c r="CB9" s="220" t="s">
        <v>112</v>
      </c>
      <c r="CE9" s="220" t="s">
        <v>112</v>
      </c>
      <c r="CH9" s="220" t="s">
        <v>112</v>
      </c>
      <c r="CK9" s="220" t="s">
        <v>112</v>
      </c>
      <c r="CN9" s="220" t="s">
        <v>112</v>
      </c>
      <c r="CQ9" s="220" t="s">
        <v>112</v>
      </c>
      <c r="CT9" s="220" t="s">
        <v>112</v>
      </c>
      <c r="CW9" s="220" t="s">
        <v>112</v>
      </c>
      <c r="CZ9" s="220" t="s">
        <v>112</v>
      </c>
      <c r="DC9" s="220" t="s">
        <v>112</v>
      </c>
      <c r="DF9" s="220" t="s">
        <v>112</v>
      </c>
      <c r="DI9" s="220" t="s">
        <v>112</v>
      </c>
      <c r="DL9" s="220" t="s">
        <v>112</v>
      </c>
      <c r="DO9" s="220" t="s">
        <v>112</v>
      </c>
      <c r="DR9" s="220" t="s">
        <v>112</v>
      </c>
      <c r="EB9" s="442"/>
      <c r="EC9" s="442"/>
      <c r="ED9" s="442"/>
      <c r="EE9" s="442" t="s">
        <v>58</v>
      </c>
      <c r="EG9" s="442"/>
      <c r="EH9" s="221" t="s">
        <v>59</v>
      </c>
      <c r="EI9" s="442" t="s">
        <v>58</v>
      </c>
      <c r="EJ9" s="442"/>
      <c r="EK9" s="218" t="s">
        <v>113</v>
      </c>
      <c r="EL9" s="218" t="s">
        <v>114</v>
      </c>
      <c r="EM9" s="221" t="s">
        <v>60</v>
      </c>
      <c r="EN9" s="442" t="s">
        <v>58</v>
      </c>
    </row>
    <row r="10" spans="1:147">
      <c r="B10" s="443" t="s">
        <v>61</v>
      </c>
      <c r="C10" s="444"/>
      <c r="D10" s="440"/>
      <c r="E10" s="443" t="s">
        <v>62</v>
      </c>
      <c r="F10" s="444"/>
      <c r="G10" s="440"/>
      <c r="H10" s="443" t="s">
        <v>63</v>
      </c>
      <c r="I10" s="444"/>
      <c r="J10" s="440"/>
      <c r="K10" s="443" t="s">
        <v>64</v>
      </c>
      <c r="L10" s="444"/>
      <c r="M10" s="440"/>
      <c r="N10" s="443" t="s">
        <v>65</v>
      </c>
      <c r="O10" s="444"/>
      <c r="P10" s="440"/>
      <c r="Q10" s="443" t="s">
        <v>66</v>
      </c>
      <c r="R10" s="444"/>
      <c r="S10" s="440"/>
      <c r="T10" s="443" t="s">
        <v>67</v>
      </c>
      <c r="U10" s="444"/>
      <c r="V10" s="440"/>
      <c r="W10" s="443" t="s">
        <v>68</v>
      </c>
      <c r="X10" s="444"/>
      <c r="Y10" s="440"/>
      <c r="Z10" s="443" t="s">
        <v>69</v>
      </c>
      <c r="AA10" s="444"/>
      <c r="AB10" s="440"/>
      <c r="AC10" s="222" t="s">
        <v>70</v>
      </c>
      <c r="AD10" s="444"/>
      <c r="AE10" s="440"/>
      <c r="AF10" s="222" t="s">
        <v>71</v>
      </c>
      <c r="AG10" s="444"/>
      <c r="AH10" s="440"/>
      <c r="AI10" s="443" t="s">
        <v>72</v>
      </c>
      <c r="AJ10" s="444"/>
      <c r="AK10" s="440"/>
      <c r="AL10" s="443" t="s">
        <v>73</v>
      </c>
      <c r="AM10" s="444"/>
      <c r="AN10" s="440"/>
      <c r="AO10" s="443" t="s">
        <v>74</v>
      </c>
      <c r="AP10" s="444"/>
      <c r="AQ10" s="440"/>
      <c r="AR10" s="443" t="s">
        <v>75</v>
      </c>
      <c r="AS10" s="444"/>
      <c r="AT10" s="440"/>
      <c r="AU10" s="443" t="s">
        <v>76</v>
      </c>
      <c r="AV10" s="444"/>
      <c r="AW10" s="440"/>
      <c r="AX10" s="443" t="s">
        <v>77</v>
      </c>
      <c r="AY10" s="444"/>
      <c r="AZ10" s="440"/>
      <c r="BA10" s="443" t="s">
        <v>78</v>
      </c>
      <c r="BB10" s="444"/>
      <c r="BC10" s="440"/>
      <c r="BD10" s="443" t="s">
        <v>79</v>
      </c>
      <c r="BE10" s="444"/>
      <c r="BF10" s="440"/>
      <c r="BG10" s="443" t="s">
        <v>80</v>
      </c>
      <c r="BH10" s="444"/>
      <c r="BI10" s="440"/>
      <c r="BJ10" s="443" t="s">
        <v>81</v>
      </c>
      <c r="BK10" s="444"/>
      <c r="BL10" s="440"/>
      <c r="BM10" s="443" t="s">
        <v>82</v>
      </c>
      <c r="BN10" s="444"/>
      <c r="BO10" s="440"/>
      <c r="BP10" s="443" t="s">
        <v>83</v>
      </c>
      <c r="BQ10" s="444"/>
      <c r="BR10" s="440"/>
      <c r="BS10" s="443" t="s">
        <v>84</v>
      </c>
      <c r="BT10" s="444"/>
      <c r="BU10" s="440"/>
      <c r="BV10" s="443" t="s">
        <v>85</v>
      </c>
      <c r="BW10" s="444"/>
      <c r="BX10" s="440"/>
      <c r="BY10" s="443" t="s">
        <v>86</v>
      </c>
      <c r="BZ10" s="444"/>
      <c r="CA10" s="440"/>
      <c r="CB10" s="443" t="s">
        <v>87</v>
      </c>
      <c r="CC10" s="444"/>
      <c r="CD10" s="440"/>
      <c r="CE10" s="443" t="s">
        <v>88</v>
      </c>
      <c r="CF10" s="444"/>
      <c r="CG10" s="440"/>
      <c r="CH10" s="443" t="s">
        <v>89</v>
      </c>
      <c r="CI10" s="444"/>
      <c r="CJ10" s="440"/>
      <c r="CK10" s="443" t="s">
        <v>90</v>
      </c>
      <c r="CL10" s="444"/>
      <c r="CM10" s="440"/>
      <c r="CN10" s="443" t="s">
        <v>91</v>
      </c>
      <c r="CO10" s="444"/>
      <c r="CP10" s="440"/>
      <c r="CQ10" s="443" t="s">
        <v>92</v>
      </c>
      <c r="CR10" s="444"/>
      <c r="CS10" s="440"/>
      <c r="CT10" s="443" t="s">
        <v>93</v>
      </c>
      <c r="CU10" s="444"/>
      <c r="CV10" s="440"/>
      <c r="CW10" s="443" t="s">
        <v>94</v>
      </c>
      <c r="CX10" s="444"/>
      <c r="CY10" s="440"/>
      <c r="CZ10" s="443" t="s">
        <v>95</v>
      </c>
      <c r="DA10" s="444"/>
      <c r="DB10" s="440"/>
      <c r="DC10" s="443" t="s">
        <v>96</v>
      </c>
      <c r="DD10" s="444"/>
      <c r="DE10" s="440"/>
      <c r="DF10" s="443" t="s">
        <v>97</v>
      </c>
      <c r="DG10" s="444"/>
      <c r="DH10" s="440"/>
      <c r="DI10" s="443" t="s">
        <v>98</v>
      </c>
      <c r="DJ10" s="444"/>
      <c r="DK10" s="440"/>
      <c r="DL10" s="443" t="s">
        <v>99</v>
      </c>
      <c r="DM10" s="444"/>
      <c r="DN10" s="440"/>
      <c r="DO10" s="443" t="s">
        <v>100</v>
      </c>
      <c r="DP10" s="444"/>
      <c r="DQ10" s="440"/>
      <c r="DR10" s="443" t="s">
        <v>101</v>
      </c>
      <c r="DS10" s="444"/>
      <c r="DT10" s="440"/>
      <c r="DU10" s="443" t="s">
        <v>102</v>
      </c>
      <c r="DV10" s="444"/>
      <c r="DW10" s="440"/>
      <c r="DX10" s="223" t="s">
        <v>115</v>
      </c>
      <c r="DY10" s="444"/>
      <c r="DZ10" s="440"/>
      <c r="EA10" s="441"/>
      <c r="EB10" s="218" t="s">
        <v>116</v>
      </c>
      <c r="EC10" s="218" t="s">
        <v>117</v>
      </c>
      <c r="ED10" s="442" t="s">
        <v>103</v>
      </c>
      <c r="EE10" s="442" t="s">
        <v>104</v>
      </c>
      <c r="EG10" s="221" t="s">
        <v>105</v>
      </c>
      <c r="EH10" s="442" t="s">
        <v>103</v>
      </c>
      <c r="EI10" s="442" t="s">
        <v>104</v>
      </c>
      <c r="EJ10" s="442"/>
      <c r="EK10" s="221" t="s">
        <v>60</v>
      </c>
      <c r="EL10" s="221" t="s">
        <v>60</v>
      </c>
      <c r="EM10" s="442" t="s">
        <v>103</v>
      </c>
      <c r="EN10" s="442" t="s">
        <v>104</v>
      </c>
    </row>
    <row r="11" spans="1:147">
      <c r="A11" s="442" t="s">
        <v>106</v>
      </c>
      <c r="B11" s="224" t="s">
        <v>107</v>
      </c>
      <c r="C11" s="225" t="s">
        <v>108</v>
      </c>
      <c r="D11" s="226" t="s">
        <v>109</v>
      </c>
      <c r="E11" s="224" t="s">
        <v>107</v>
      </c>
      <c r="F11" s="225" t="s">
        <v>108</v>
      </c>
      <c r="G11" s="226" t="s">
        <v>109</v>
      </c>
      <c r="H11" s="224" t="s">
        <v>107</v>
      </c>
      <c r="I11" s="225" t="s">
        <v>108</v>
      </c>
      <c r="J11" s="226" t="s">
        <v>109</v>
      </c>
      <c r="K11" s="224" t="s">
        <v>107</v>
      </c>
      <c r="L11" s="225" t="s">
        <v>108</v>
      </c>
      <c r="M11" s="226" t="s">
        <v>109</v>
      </c>
      <c r="N11" s="224" t="s">
        <v>107</v>
      </c>
      <c r="O11" s="225" t="s">
        <v>108</v>
      </c>
      <c r="P11" s="226" t="s">
        <v>109</v>
      </c>
      <c r="Q11" s="224" t="s">
        <v>107</v>
      </c>
      <c r="R11" s="225" t="s">
        <v>108</v>
      </c>
      <c r="S11" s="226" t="s">
        <v>109</v>
      </c>
      <c r="T11" s="224" t="s">
        <v>107</v>
      </c>
      <c r="U11" s="225" t="s">
        <v>108</v>
      </c>
      <c r="V11" s="226" t="s">
        <v>109</v>
      </c>
      <c r="W11" s="224" t="s">
        <v>107</v>
      </c>
      <c r="X11" s="225" t="s">
        <v>108</v>
      </c>
      <c r="Y11" s="226" t="s">
        <v>109</v>
      </c>
      <c r="Z11" s="224" t="s">
        <v>107</v>
      </c>
      <c r="AA11" s="225" t="s">
        <v>108</v>
      </c>
      <c r="AB11" s="226" t="s">
        <v>109</v>
      </c>
      <c r="AC11" s="224" t="s">
        <v>107</v>
      </c>
      <c r="AD11" s="225" t="s">
        <v>108</v>
      </c>
      <c r="AE11" s="226" t="s">
        <v>109</v>
      </c>
      <c r="AF11" s="224" t="s">
        <v>107</v>
      </c>
      <c r="AG11" s="225" t="s">
        <v>108</v>
      </c>
      <c r="AH11" s="226" t="s">
        <v>109</v>
      </c>
      <c r="AI11" s="224" t="s">
        <v>107</v>
      </c>
      <c r="AJ11" s="225" t="s">
        <v>108</v>
      </c>
      <c r="AK11" s="226" t="s">
        <v>109</v>
      </c>
      <c r="AL11" s="224" t="s">
        <v>107</v>
      </c>
      <c r="AM11" s="225" t="s">
        <v>108</v>
      </c>
      <c r="AN11" s="226" t="s">
        <v>109</v>
      </c>
      <c r="AO11" s="224" t="s">
        <v>107</v>
      </c>
      <c r="AP11" s="225" t="s">
        <v>108</v>
      </c>
      <c r="AQ11" s="226" t="s">
        <v>109</v>
      </c>
      <c r="AR11" s="224" t="s">
        <v>107</v>
      </c>
      <c r="AS11" s="225" t="s">
        <v>108</v>
      </c>
      <c r="AT11" s="226" t="s">
        <v>109</v>
      </c>
      <c r="AU11" s="224" t="s">
        <v>107</v>
      </c>
      <c r="AV11" s="225" t="s">
        <v>108</v>
      </c>
      <c r="AW11" s="226" t="s">
        <v>109</v>
      </c>
      <c r="AX11" s="224" t="s">
        <v>107</v>
      </c>
      <c r="AY11" s="225" t="s">
        <v>108</v>
      </c>
      <c r="AZ11" s="226" t="s">
        <v>109</v>
      </c>
      <c r="BA11" s="224" t="s">
        <v>107</v>
      </c>
      <c r="BB11" s="225" t="s">
        <v>108</v>
      </c>
      <c r="BC11" s="226" t="s">
        <v>109</v>
      </c>
      <c r="BD11" s="224" t="s">
        <v>107</v>
      </c>
      <c r="BE11" s="225" t="s">
        <v>108</v>
      </c>
      <c r="BF11" s="226" t="s">
        <v>109</v>
      </c>
      <c r="BG11" s="224" t="s">
        <v>107</v>
      </c>
      <c r="BH11" s="225" t="s">
        <v>108</v>
      </c>
      <c r="BI11" s="226" t="s">
        <v>109</v>
      </c>
      <c r="BJ11" s="224" t="s">
        <v>107</v>
      </c>
      <c r="BK11" s="225" t="s">
        <v>108</v>
      </c>
      <c r="BL11" s="226" t="s">
        <v>109</v>
      </c>
      <c r="BM11" s="224" t="s">
        <v>107</v>
      </c>
      <c r="BN11" s="225" t="s">
        <v>108</v>
      </c>
      <c r="BO11" s="226" t="s">
        <v>109</v>
      </c>
      <c r="BP11" s="224" t="s">
        <v>107</v>
      </c>
      <c r="BQ11" s="225" t="s">
        <v>108</v>
      </c>
      <c r="BR11" s="226" t="s">
        <v>109</v>
      </c>
      <c r="BS11" s="224" t="s">
        <v>107</v>
      </c>
      <c r="BT11" s="225" t="s">
        <v>108</v>
      </c>
      <c r="BU11" s="226" t="s">
        <v>109</v>
      </c>
      <c r="BV11" s="224" t="s">
        <v>107</v>
      </c>
      <c r="BW11" s="225" t="s">
        <v>108</v>
      </c>
      <c r="BX11" s="226" t="s">
        <v>109</v>
      </c>
      <c r="BY11" s="224" t="s">
        <v>107</v>
      </c>
      <c r="BZ11" s="225" t="s">
        <v>108</v>
      </c>
      <c r="CA11" s="226" t="s">
        <v>109</v>
      </c>
      <c r="CB11" s="224" t="s">
        <v>107</v>
      </c>
      <c r="CC11" s="225" t="s">
        <v>108</v>
      </c>
      <c r="CD11" s="226" t="s">
        <v>109</v>
      </c>
      <c r="CE11" s="224" t="s">
        <v>107</v>
      </c>
      <c r="CF11" s="225" t="s">
        <v>108</v>
      </c>
      <c r="CG11" s="226" t="s">
        <v>109</v>
      </c>
      <c r="CH11" s="224" t="s">
        <v>107</v>
      </c>
      <c r="CI11" s="225" t="s">
        <v>108</v>
      </c>
      <c r="CJ11" s="226" t="s">
        <v>109</v>
      </c>
      <c r="CK11" s="224" t="s">
        <v>107</v>
      </c>
      <c r="CL11" s="225" t="s">
        <v>108</v>
      </c>
      <c r="CM11" s="226" t="s">
        <v>109</v>
      </c>
      <c r="CN11" s="224" t="s">
        <v>107</v>
      </c>
      <c r="CO11" s="225" t="s">
        <v>108</v>
      </c>
      <c r="CP11" s="226" t="s">
        <v>109</v>
      </c>
      <c r="CQ11" s="224" t="s">
        <v>107</v>
      </c>
      <c r="CR11" s="225" t="s">
        <v>108</v>
      </c>
      <c r="CS11" s="226" t="s">
        <v>109</v>
      </c>
      <c r="CT11" s="224" t="s">
        <v>107</v>
      </c>
      <c r="CU11" s="225" t="s">
        <v>108</v>
      </c>
      <c r="CV11" s="226" t="s">
        <v>109</v>
      </c>
      <c r="CW11" s="224" t="s">
        <v>107</v>
      </c>
      <c r="CX11" s="225" t="s">
        <v>108</v>
      </c>
      <c r="CY11" s="226" t="s">
        <v>109</v>
      </c>
      <c r="CZ11" s="224" t="s">
        <v>107</v>
      </c>
      <c r="DA11" s="225" t="s">
        <v>108</v>
      </c>
      <c r="DB11" s="226" t="s">
        <v>109</v>
      </c>
      <c r="DC11" s="224" t="s">
        <v>107</v>
      </c>
      <c r="DD11" s="225" t="s">
        <v>108</v>
      </c>
      <c r="DE11" s="226" t="s">
        <v>109</v>
      </c>
      <c r="DF11" s="224" t="s">
        <v>107</v>
      </c>
      <c r="DG11" s="225" t="s">
        <v>108</v>
      </c>
      <c r="DH11" s="226" t="s">
        <v>109</v>
      </c>
      <c r="DI11" s="224" t="s">
        <v>107</v>
      </c>
      <c r="DJ11" s="225" t="s">
        <v>108</v>
      </c>
      <c r="DK11" s="226" t="s">
        <v>109</v>
      </c>
      <c r="DL11" s="224" t="s">
        <v>107</v>
      </c>
      <c r="DM11" s="225" t="s">
        <v>108</v>
      </c>
      <c r="DN11" s="226" t="s">
        <v>109</v>
      </c>
      <c r="DO11" s="224" t="s">
        <v>107</v>
      </c>
      <c r="DP11" s="225" t="s">
        <v>108</v>
      </c>
      <c r="DQ11" s="226" t="s">
        <v>109</v>
      </c>
      <c r="DR11" s="224" t="s">
        <v>107</v>
      </c>
      <c r="DS11" s="225" t="s">
        <v>108</v>
      </c>
      <c r="DT11" s="226" t="s">
        <v>109</v>
      </c>
      <c r="DU11" s="224" t="s">
        <v>107</v>
      </c>
      <c r="DV11" s="225" t="s">
        <v>108</v>
      </c>
      <c r="DW11" s="226" t="s">
        <v>109</v>
      </c>
      <c r="DX11" s="224" t="s">
        <v>107</v>
      </c>
      <c r="DY11" s="225"/>
      <c r="DZ11" s="226"/>
      <c r="EA11" s="226"/>
      <c r="EB11" s="226" t="s">
        <v>110</v>
      </c>
      <c r="EC11" s="226" t="s">
        <v>110</v>
      </c>
      <c r="ED11" s="226" t="s">
        <v>109</v>
      </c>
      <c r="EE11" s="227" t="s">
        <v>108</v>
      </c>
      <c r="EG11" s="226" t="s">
        <v>110</v>
      </c>
      <c r="EH11" s="226" t="s">
        <v>109</v>
      </c>
      <c r="EI11" s="227" t="s">
        <v>108</v>
      </c>
      <c r="EJ11" s="227"/>
      <c r="EK11" s="226" t="s">
        <v>110</v>
      </c>
      <c r="EL11" s="226" t="s">
        <v>110</v>
      </c>
      <c r="EM11" s="226" t="s">
        <v>109</v>
      </c>
      <c r="EN11" s="227" t="s">
        <v>108</v>
      </c>
    </row>
    <row r="12" spans="1:147">
      <c r="A12" s="445">
        <v>43497</v>
      </c>
      <c r="D12" s="426">
        <f>(B12*C12)/360</f>
        <v>0</v>
      </c>
      <c r="G12" s="426">
        <f>(E12*F12)/360</f>
        <v>0</v>
      </c>
      <c r="J12" s="426">
        <f>(H12*I12)/360</f>
        <v>0</v>
      </c>
      <c r="M12" s="426">
        <f>(K12*L12)/360</f>
        <v>0</v>
      </c>
      <c r="P12" s="426">
        <f>(N12*O12)/360</f>
        <v>0</v>
      </c>
      <c r="S12" s="426">
        <f>(Q12*R12)/360</f>
        <v>0</v>
      </c>
      <c r="V12" s="426">
        <f>(T12*U12)/360</f>
        <v>0</v>
      </c>
      <c r="Y12" s="426">
        <f>(W12*X12)/360</f>
        <v>0</v>
      </c>
      <c r="AB12" s="426">
        <f>(Z12*AA12)/360</f>
        <v>0</v>
      </c>
      <c r="AE12" s="426">
        <v>0</v>
      </c>
      <c r="AH12" s="426">
        <v>0</v>
      </c>
      <c r="AI12" s="446">
        <f>44275000+100000</f>
        <v>44375000</v>
      </c>
      <c r="AJ12" s="447">
        <v>2.7E-2</v>
      </c>
      <c r="AK12" s="426">
        <f>(AI12*AJ12)/360</f>
        <v>3328.125</v>
      </c>
      <c r="AL12" s="446">
        <f t="shared" ref="AL12:AL25" si="0">30000000</f>
        <v>30000000</v>
      </c>
      <c r="AM12" s="447">
        <v>2.9000000000000001E-2</v>
      </c>
      <c r="AN12" s="426">
        <f>(AL12*AM12)/360</f>
        <v>2416.6666666666665</v>
      </c>
      <c r="AO12" s="446">
        <f t="shared" ref="AO12:AO24" si="1">50000000</f>
        <v>50000000</v>
      </c>
      <c r="AP12" s="447">
        <v>2.9499999999999998E-2</v>
      </c>
      <c r="AQ12" s="426">
        <f>(AO12*AP12)/360</f>
        <v>4097.2222222222226</v>
      </c>
      <c r="AR12" s="446">
        <f>50000000</f>
        <v>50000000</v>
      </c>
      <c r="AS12" s="447">
        <v>2.9700000000000001E-2</v>
      </c>
      <c r="AT12" s="426">
        <f>(AR12*AS12)/360</f>
        <v>4125</v>
      </c>
      <c r="AU12" s="446">
        <f t="shared" ref="AU12:AU39" si="2">130000000+125000000+120000000</f>
        <v>375000000</v>
      </c>
      <c r="AV12" s="447">
        <v>2.8500000000000001E-2</v>
      </c>
      <c r="AW12" s="426">
        <f>(AU12*AV12)/360</f>
        <v>29687.5</v>
      </c>
      <c r="AX12" s="446"/>
      <c r="AY12" s="447"/>
      <c r="AZ12" s="426">
        <f>(AX12*AY12)/360</f>
        <v>0</v>
      </c>
      <c r="BC12" s="426">
        <f>(BA12*BB12)/360</f>
        <v>0</v>
      </c>
      <c r="BF12" s="426">
        <f>(BD12*BE12)/360</f>
        <v>0</v>
      </c>
      <c r="BI12" s="426">
        <f>(BG12*BH12)/360</f>
        <v>0</v>
      </c>
      <c r="BL12" s="426">
        <f>(BJ12*BK12)/360</f>
        <v>0</v>
      </c>
      <c r="BO12" s="426">
        <f>(BM12*BN12)/360</f>
        <v>0</v>
      </c>
      <c r="BR12" s="426">
        <f>(BP12*BQ12)/360</f>
        <v>0</v>
      </c>
      <c r="BU12" s="426">
        <f>(BS12*BT12)/360</f>
        <v>0</v>
      </c>
      <c r="BX12" s="426">
        <f>(BV12*BW12)/360</f>
        <v>0</v>
      </c>
      <c r="CA12" s="426">
        <f>(BY12*BZ12)/360</f>
        <v>0</v>
      </c>
      <c r="CD12" s="426">
        <f>(CB12*CC12)/360</f>
        <v>0</v>
      </c>
      <c r="CG12" s="426">
        <f>(CE12*CF12)/360</f>
        <v>0</v>
      </c>
      <c r="CJ12" s="426">
        <f>(CH12*CI12)/360</f>
        <v>0</v>
      </c>
      <c r="CM12" s="426">
        <f>(CK12*CL12)/360</f>
        <v>0</v>
      </c>
      <c r="CP12" s="426">
        <f>(CN12*CO12)/360</f>
        <v>0</v>
      </c>
      <c r="CS12" s="426">
        <f>(CQ12*CR12)/360</f>
        <v>0</v>
      </c>
      <c r="CV12" s="426">
        <f>(CT12*CU12)/360</f>
        <v>0</v>
      </c>
      <c r="CY12" s="426">
        <f>(CW12*CX12)/360</f>
        <v>0</v>
      </c>
      <c r="DB12" s="426">
        <f>(CZ12*DA12)/360</f>
        <v>0</v>
      </c>
      <c r="DE12" s="426">
        <f>(DC12*DD12)/360</f>
        <v>0</v>
      </c>
      <c r="DH12" s="426">
        <f>(DF12*DG12)/360</f>
        <v>0</v>
      </c>
      <c r="DK12" s="426">
        <f>(DI12*DJ12)/360</f>
        <v>0</v>
      </c>
      <c r="DN12" s="426">
        <f>(DL12*DM12)/360</f>
        <v>0</v>
      </c>
      <c r="DQ12" s="426">
        <f>(DO12*DP12)/360</f>
        <v>0</v>
      </c>
      <c r="DT12" s="426">
        <f>(DR12*DS12)/360</f>
        <v>0</v>
      </c>
      <c r="DW12" s="426">
        <f>(DU12*DV12)/360</f>
        <v>0</v>
      </c>
      <c r="DZ12" s="426"/>
      <c r="EA12" s="426"/>
      <c r="EB12" s="228">
        <f>B12+E12+H12+K12+N12+Q12+T12+W12+Z12+AC12+AF12+AL12+AO12+AR12+AU12+AX12+BA12+BD12+BG12+DU12+AI12+DR12+DO12+DL12+DI12+DF12+DC12+CZ12+CW12+CT12+CQ12+CN12+CK12+CH12+CE12+CB12+BY12+BV12+BS12+BP12+BM12+BJ12</f>
        <v>549375000</v>
      </c>
      <c r="EC12" s="228">
        <f>EB12-EK12+EL12</f>
        <v>0</v>
      </c>
      <c r="ED12" s="426">
        <f>D12+G12+J12+M12+P12+S12+V12+Y12+AB12+AE12+AH12+AK12+AN12+AQ12+AT12+AW12+AZ12+BC12+BF12+BI12+DW12+DT12+DQ12+DN12+DK12+DH12+DE12+DB12+CY12+CV12+CS12+CP12+CM12+CJ12+CG12+CD12+CA12+BX12+BU12+BR12+BO12+BL12</f>
        <v>43654.513888888891</v>
      </c>
      <c r="EE12" s="427">
        <f>IF(EB12&lt;&gt;0,((ED12/EB12)*360),0)</f>
        <v>2.8606370875995449E-2</v>
      </c>
      <c r="EG12" s="228">
        <f>Q12+T12+W12+Z12+AC12+AF12</f>
        <v>0</v>
      </c>
      <c r="EH12" s="426">
        <f>S12+V12+Y12+AB12+AE12+AH12</f>
        <v>0</v>
      </c>
      <c r="EI12" s="427">
        <f>IF(EG12&lt;&gt;0,((EH12/EG12)*360),0)</f>
        <v>0</v>
      </c>
      <c r="EJ12" s="427"/>
      <c r="EK12" s="228">
        <f>DR12+DL12+DI12+DF12+DC12+CZ12+CW12+CT12+CQ12+CN12+CK12+CH12+CE12+CB12+BY12+BV12+BS12+BP12+BM12+BJ12+BG12+BD12+BA12+AX12+AU12+AR12+AO12+AL12+AI12+DO12</f>
        <v>549375000</v>
      </c>
      <c r="EL12" s="228">
        <f>DX12</f>
        <v>0</v>
      </c>
      <c r="EM12" s="228">
        <f>DT12+DQ12+DN12+DK12+DH12+DE12+DB12+CY12+CV12+CS12+CP12+CM12+CJ12+CG12+CD12+CA12+BX12+BU12+BR12+BO12+BL12+BI12+BF12+BC12+AZ12+AW12+AT12+AQ12+AN12+AK12</f>
        <v>43654.513888888883</v>
      </c>
      <c r="EN12" s="427">
        <f>IF(EK12&lt;&gt;0,((EM12/EK12)*360),0)</f>
        <v>2.8606370875995445E-2</v>
      </c>
      <c r="EP12" s="426"/>
    </row>
    <row r="13" spans="1:147">
      <c r="A13" s="445">
        <f>1+A12</f>
        <v>43498</v>
      </c>
      <c r="D13" s="426">
        <f t="shared" ref="D13:D39" si="3">(B13*C13)/360</f>
        <v>0</v>
      </c>
      <c r="G13" s="426">
        <f t="shared" ref="G13:G39" si="4">(E13*F13)/360</f>
        <v>0</v>
      </c>
      <c r="J13" s="426">
        <f t="shared" ref="J13:J39" si="5">(H13*I13)/360</f>
        <v>0</v>
      </c>
      <c r="M13" s="426">
        <f t="shared" ref="M13:M39" si="6">(K13*L13)/360</f>
        <v>0</v>
      </c>
      <c r="P13" s="426">
        <f t="shared" ref="P13:P39" si="7">(N13*O13)/360</f>
        <v>0</v>
      </c>
      <c r="S13" s="426">
        <f t="shared" ref="S13:S39" si="8">(Q13*R13)/360</f>
        <v>0</v>
      </c>
      <c r="V13" s="426">
        <f t="shared" ref="V13:V39" si="9">(T13*U13)/360</f>
        <v>0</v>
      </c>
      <c r="Y13" s="426">
        <f t="shared" ref="Y13:Y39" si="10">(W13*X13)/360</f>
        <v>0</v>
      </c>
      <c r="AB13" s="426">
        <f t="shared" ref="AB13:AB39" si="11">(Z13*AA13)/360</f>
        <v>0</v>
      </c>
      <c r="AE13" s="426">
        <v>0</v>
      </c>
      <c r="AH13" s="426">
        <v>0</v>
      </c>
      <c r="AI13" s="446">
        <f>44275000+100000</f>
        <v>44375000</v>
      </c>
      <c r="AJ13" s="447">
        <v>2.7E-2</v>
      </c>
      <c r="AK13" s="426">
        <f t="shared" ref="AK13:AK39" si="12">(AI13*AJ13)/360</f>
        <v>3328.125</v>
      </c>
      <c r="AL13" s="446">
        <f t="shared" si="0"/>
        <v>30000000</v>
      </c>
      <c r="AM13" s="447">
        <v>2.9000000000000001E-2</v>
      </c>
      <c r="AN13" s="426">
        <f t="shared" ref="AN13:AN39" si="13">(AL13*AM13)/360</f>
        <v>2416.6666666666665</v>
      </c>
      <c r="AO13" s="446">
        <f t="shared" si="1"/>
        <v>50000000</v>
      </c>
      <c r="AP13" s="447">
        <v>2.9499999999999998E-2</v>
      </c>
      <c r="AQ13" s="426">
        <f t="shared" ref="AQ13:AQ39" si="14">(AO13*AP13)/360</f>
        <v>4097.2222222222226</v>
      </c>
      <c r="AR13" s="446">
        <f>50000000</f>
        <v>50000000</v>
      </c>
      <c r="AS13" s="447">
        <v>2.9700000000000001E-2</v>
      </c>
      <c r="AT13" s="426">
        <f t="shared" ref="AT13:AT39" si="15">(AR13*AS13)/360</f>
        <v>4125</v>
      </c>
      <c r="AU13" s="446">
        <f t="shared" si="2"/>
        <v>375000000</v>
      </c>
      <c r="AV13" s="447">
        <v>2.8500000000000001E-2</v>
      </c>
      <c r="AW13" s="426">
        <f t="shared" ref="AW13:AW39" si="16">(AU13*AV13)/360</f>
        <v>29687.5</v>
      </c>
      <c r="AX13" s="446"/>
      <c r="AY13" s="447"/>
      <c r="AZ13" s="426">
        <f t="shared" ref="AZ13:AZ39" si="17">(AX13*AY13)/360</f>
        <v>0</v>
      </c>
      <c r="BC13" s="426">
        <f t="shared" ref="BC13:BC39" si="18">(BA13*BB13)/360</f>
        <v>0</v>
      </c>
      <c r="BF13" s="426">
        <f t="shared" ref="BF13:BF39" si="19">(BD13*BE13)/360</f>
        <v>0</v>
      </c>
      <c r="BI13" s="426">
        <f t="shared" ref="BI13:BI39" si="20">(BG13*BH13)/360</f>
        <v>0</v>
      </c>
      <c r="BL13" s="426">
        <f t="shared" ref="BL13:BL39" si="21">(BJ13*BK13)/360</f>
        <v>0</v>
      </c>
      <c r="BO13" s="426">
        <f t="shared" ref="BO13:BO39" si="22">(BM13*BN13)/360</f>
        <v>0</v>
      </c>
      <c r="BR13" s="426">
        <f t="shared" ref="BR13:BR39" si="23">(BP13*BQ13)/360</f>
        <v>0</v>
      </c>
      <c r="BU13" s="426">
        <f t="shared" ref="BU13:BU39" si="24">(BS13*BT13)/360</f>
        <v>0</v>
      </c>
      <c r="BX13" s="426">
        <f t="shared" ref="BX13:BX39" si="25">(BV13*BW13)/360</f>
        <v>0</v>
      </c>
      <c r="CA13" s="426">
        <f t="shared" ref="CA13:CA39" si="26">(BY13*BZ13)/360</f>
        <v>0</v>
      </c>
      <c r="CD13" s="426">
        <f t="shared" ref="CD13:CD39" si="27">(CB13*CC13)/360</f>
        <v>0</v>
      </c>
      <c r="CG13" s="426">
        <f t="shared" ref="CG13:CG39" si="28">(CE13*CF13)/360</f>
        <v>0</v>
      </c>
      <c r="CJ13" s="426">
        <f t="shared" ref="CJ13:CJ39" si="29">(CH13*CI13)/360</f>
        <v>0</v>
      </c>
      <c r="CM13" s="426">
        <f t="shared" ref="CM13:CM39" si="30">(CK13*CL13)/360</f>
        <v>0</v>
      </c>
      <c r="CP13" s="426">
        <f t="shared" ref="CP13:CP39" si="31">(CN13*CO13)/360</f>
        <v>0</v>
      </c>
      <c r="CS13" s="426">
        <f t="shared" ref="CS13:CS39" si="32">(CQ13*CR13)/360</f>
        <v>0</v>
      </c>
      <c r="CV13" s="426">
        <f t="shared" ref="CV13:CV39" si="33">(CT13*CU13)/360</f>
        <v>0</v>
      </c>
      <c r="CY13" s="426">
        <f t="shared" ref="CY13:CY39" si="34">(CW13*CX13)/360</f>
        <v>0</v>
      </c>
      <c r="DB13" s="426">
        <f t="shared" ref="DB13:DB39" si="35">(CZ13*DA13)/360</f>
        <v>0</v>
      </c>
      <c r="DE13" s="426">
        <f t="shared" ref="DE13:DE39" si="36">(DC13*DD13)/360</f>
        <v>0</v>
      </c>
      <c r="DH13" s="426">
        <f t="shared" ref="DH13:DH39" si="37">(DF13*DG13)/360</f>
        <v>0</v>
      </c>
      <c r="DK13" s="426">
        <f t="shared" ref="DK13:DK39" si="38">(DI13*DJ13)/360</f>
        <v>0</v>
      </c>
      <c r="DN13" s="426">
        <f t="shared" ref="DN13:DN39" si="39">(DL13*DM13)/360</f>
        <v>0</v>
      </c>
      <c r="DQ13" s="426">
        <f t="shared" ref="DQ13:DQ39" si="40">(DO13*DP13)/360</f>
        <v>0</v>
      </c>
      <c r="DT13" s="426">
        <f t="shared" ref="DT13:DT39" si="41">(DR13*DS13)/360</f>
        <v>0</v>
      </c>
      <c r="DW13" s="426">
        <f t="shared" ref="DW13:DW39" si="42">(DU13*DV13)/360</f>
        <v>0</v>
      </c>
      <c r="DZ13" s="426"/>
      <c r="EA13" s="426"/>
      <c r="EB13" s="228">
        <f t="shared" ref="EB13:EB39" si="43">B13+E13+H13+K13+N13+Q13+T13+W13+Z13+AC13+AF13+AL13+AO13+AR13+AU13+AX13+BA13+BD13+BG13+DU13+AI13+DR13+DO13+DL13+DI13+DF13+DC13+CZ13+CW13+CT13+CQ13+CN13+CK13+CH13+CE13+CB13+BY13+BV13+BS13+BP13+BM13+BJ13</f>
        <v>549375000</v>
      </c>
      <c r="EC13" s="228">
        <f t="shared" ref="EC13:EC39" si="44">EB13-EK13+EL13</f>
        <v>0</v>
      </c>
      <c r="ED13" s="426">
        <f t="shared" ref="ED13:ED39" si="45">D13+G13+J13+M13+P13+S13+V13+Y13+AB13+AE13+AH13+AK13+AN13+AQ13+AT13+AW13+AZ13+BC13+BF13+BI13+DW13+DT13+DQ13+DN13+DK13+DH13+DE13+DB13+CY13+CV13+CS13+CP13+CM13+CJ13+CG13+CD13+CA13+BX13+BU13+BR13+BO13+BL13</f>
        <v>43654.513888888891</v>
      </c>
      <c r="EE13" s="427">
        <f t="shared" ref="EE13:EE39" si="46">IF(EB13&lt;&gt;0,((ED13/EB13)*360),0)</f>
        <v>2.8606370875995449E-2</v>
      </c>
      <c r="EG13" s="228">
        <f t="shared" ref="EG13:EG39" si="47">Q13+T13+W13+Z13+AC13+AF13</f>
        <v>0</v>
      </c>
      <c r="EH13" s="426">
        <f t="shared" ref="EH13:EH39" si="48">S13+V13+Y13+AB13+AE13+AH13</f>
        <v>0</v>
      </c>
      <c r="EI13" s="427">
        <f t="shared" ref="EI13:EI39" si="49">IF(EG13&lt;&gt;0,((EH13/EG13)*360),0)</f>
        <v>0</v>
      </c>
      <c r="EJ13" s="427"/>
      <c r="EK13" s="228">
        <f t="shared" ref="EK13:EK39" si="50">DR13+DL13+DI13+DF13+DC13+CZ13+CW13+CT13+CQ13+CN13+CK13+CH13+CE13+CB13+BY13+BV13+BS13+BP13+BM13+BJ13+BG13+BD13+BA13+AX13+AU13+AR13+AO13+AL13+AI13+DO13</f>
        <v>549375000</v>
      </c>
      <c r="EL13" s="228">
        <f t="shared" ref="EL13:EL39" si="51">DX13</f>
        <v>0</v>
      </c>
      <c r="EM13" s="228">
        <f t="shared" ref="EM13:EM39" si="52">DT13+DQ13+DN13+DK13+DH13+DE13+DB13+CY13+CV13+CS13+CP13+CM13+CJ13+CG13+CD13+CA13+BX13+BU13+BR13+BO13+BL13+BI13+BF13+BC13+AZ13+AW13+AT13+AQ13+AN13+AK13</f>
        <v>43654.513888888883</v>
      </c>
      <c r="EN13" s="427">
        <f t="shared" ref="EN13:EN39" si="53">IF(EK13&lt;&gt;0,((EM13/EK13)*360),0)</f>
        <v>2.8606370875995445E-2</v>
      </c>
      <c r="EP13" s="426"/>
    </row>
    <row r="14" spans="1:147">
      <c r="A14" s="445">
        <f t="shared" ref="A14:A39" si="54">1+A13</f>
        <v>43499</v>
      </c>
      <c r="D14" s="426">
        <f t="shared" si="3"/>
        <v>0</v>
      </c>
      <c r="G14" s="426">
        <f t="shared" si="4"/>
        <v>0</v>
      </c>
      <c r="J14" s="426">
        <f t="shared" si="5"/>
        <v>0</v>
      </c>
      <c r="M14" s="426">
        <f t="shared" si="6"/>
        <v>0</v>
      </c>
      <c r="P14" s="426">
        <f t="shared" si="7"/>
        <v>0</v>
      </c>
      <c r="S14" s="426">
        <f t="shared" si="8"/>
        <v>0</v>
      </c>
      <c r="V14" s="426">
        <f t="shared" si="9"/>
        <v>0</v>
      </c>
      <c r="Y14" s="426">
        <f t="shared" si="10"/>
        <v>0</v>
      </c>
      <c r="AB14" s="426">
        <f t="shared" si="11"/>
        <v>0</v>
      </c>
      <c r="AE14" s="426">
        <v>0</v>
      </c>
      <c r="AH14" s="426">
        <v>0</v>
      </c>
      <c r="AI14" s="446">
        <f>44275000+100000</f>
        <v>44375000</v>
      </c>
      <c r="AJ14" s="447">
        <v>2.7E-2</v>
      </c>
      <c r="AK14" s="426">
        <f t="shared" si="12"/>
        <v>3328.125</v>
      </c>
      <c r="AL14" s="446">
        <f t="shared" si="0"/>
        <v>30000000</v>
      </c>
      <c r="AM14" s="447">
        <v>2.9000000000000001E-2</v>
      </c>
      <c r="AN14" s="426">
        <f t="shared" si="13"/>
        <v>2416.6666666666665</v>
      </c>
      <c r="AO14" s="446">
        <f t="shared" si="1"/>
        <v>50000000</v>
      </c>
      <c r="AP14" s="447">
        <v>2.9499999999999998E-2</v>
      </c>
      <c r="AQ14" s="426">
        <f t="shared" si="14"/>
        <v>4097.2222222222226</v>
      </c>
      <c r="AR14" s="446">
        <f>50000000</f>
        <v>50000000</v>
      </c>
      <c r="AS14" s="447">
        <v>2.9700000000000001E-2</v>
      </c>
      <c r="AT14" s="426">
        <f t="shared" si="15"/>
        <v>4125</v>
      </c>
      <c r="AU14" s="446">
        <f t="shared" si="2"/>
        <v>375000000</v>
      </c>
      <c r="AV14" s="447">
        <v>2.8500000000000001E-2</v>
      </c>
      <c r="AW14" s="426">
        <f t="shared" si="16"/>
        <v>29687.5</v>
      </c>
      <c r="AX14" s="446"/>
      <c r="AY14" s="447"/>
      <c r="AZ14" s="426">
        <f t="shared" si="17"/>
        <v>0</v>
      </c>
      <c r="BC14" s="426">
        <f t="shared" si="18"/>
        <v>0</v>
      </c>
      <c r="BF14" s="426">
        <f t="shared" si="19"/>
        <v>0</v>
      </c>
      <c r="BI14" s="426">
        <f t="shared" si="20"/>
        <v>0</v>
      </c>
      <c r="BL14" s="426">
        <f t="shared" si="21"/>
        <v>0</v>
      </c>
      <c r="BO14" s="426">
        <f t="shared" si="22"/>
        <v>0</v>
      </c>
      <c r="BR14" s="426">
        <f t="shared" si="23"/>
        <v>0</v>
      </c>
      <c r="BU14" s="426">
        <f t="shared" si="24"/>
        <v>0</v>
      </c>
      <c r="BX14" s="426">
        <f t="shared" si="25"/>
        <v>0</v>
      </c>
      <c r="CA14" s="426">
        <f t="shared" si="26"/>
        <v>0</v>
      </c>
      <c r="CD14" s="426">
        <f t="shared" si="27"/>
        <v>0</v>
      </c>
      <c r="CG14" s="426">
        <f t="shared" si="28"/>
        <v>0</v>
      </c>
      <c r="CJ14" s="426">
        <f t="shared" si="29"/>
        <v>0</v>
      </c>
      <c r="CM14" s="426">
        <f t="shared" si="30"/>
        <v>0</v>
      </c>
      <c r="CP14" s="426">
        <f t="shared" si="31"/>
        <v>0</v>
      </c>
      <c r="CS14" s="426">
        <f t="shared" si="32"/>
        <v>0</v>
      </c>
      <c r="CV14" s="426">
        <f t="shared" si="33"/>
        <v>0</v>
      </c>
      <c r="CY14" s="426">
        <f t="shared" si="34"/>
        <v>0</v>
      </c>
      <c r="DB14" s="426">
        <f t="shared" si="35"/>
        <v>0</v>
      </c>
      <c r="DE14" s="426">
        <f t="shared" si="36"/>
        <v>0</v>
      </c>
      <c r="DH14" s="426">
        <f t="shared" si="37"/>
        <v>0</v>
      </c>
      <c r="DK14" s="426">
        <f t="shared" si="38"/>
        <v>0</v>
      </c>
      <c r="DN14" s="426">
        <f t="shared" si="39"/>
        <v>0</v>
      </c>
      <c r="DQ14" s="426">
        <f t="shared" si="40"/>
        <v>0</v>
      </c>
      <c r="DT14" s="426">
        <f t="shared" si="41"/>
        <v>0</v>
      </c>
      <c r="DW14" s="426">
        <f t="shared" si="42"/>
        <v>0</v>
      </c>
      <c r="DZ14" s="426"/>
      <c r="EA14" s="426"/>
      <c r="EB14" s="228">
        <f t="shared" si="43"/>
        <v>549375000</v>
      </c>
      <c r="EC14" s="228">
        <f t="shared" si="44"/>
        <v>0</v>
      </c>
      <c r="ED14" s="426">
        <f t="shared" si="45"/>
        <v>43654.513888888891</v>
      </c>
      <c r="EE14" s="427">
        <f t="shared" si="46"/>
        <v>2.8606370875995449E-2</v>
      </c>
      <c r="EG14" s="228">
        <f t="shared" si="47"/>
        <v>0</v>
      </c>
      <c r="EH14" s="426">
        <f t="shared" si="48"/>
        <v>0</v>
      </c>
      <c r="EI14" s="427">
        <f t="shared" si="49"/>
        <v>0</v>
      </c>
      <c r="EJ14" s="427"/>
      <c r="EK14" s="228">
        <f t="shared" si="50"/>
        <v>549375000</v>
      </c>
      <c r="EL14" s="228">
        <f t="shared" si="51"/>
        <v>0</v>
      </c>
      <c r="EM14" s="228">
        <f t="shared" si="52"/>
        <v>43654.513888888883</v>
      </c>
      <c r="EN14" s="427">
        <f t="shared" si="53"/>
        <v>2.8606370875995445E-2</v>
      </c>
      <c r="EP14" s="426"/>
    </row>
    <row r="15" spans="1:147">
      <c r="A15" s="445">
        <f t="shared" si="54"/>
        <v>43500</v>
      </c>
      <c r="D15" s="426">
        <f t="shared" si="3"/>
        <v>0</v>
      </c>
      <c r="G15" s="426">
        <f t="shared" si="4"/>
        <v>0</v>
      </c>
      <c r="J15" s="426">
        <f t="shared" si="5"/>
        <v>0</v>
      </c>
      <c r="M15" s="426">
        <f t="shared" si="6"/>
        <v>0</v>
      </c>
      <c r="P15" s="426">
        <f t="shared" si="7"/>
        <v>0</v>
      </c>
      <c r="S15" s="426">
        <f t="shared" si="8"/>
        <v>0</v>
      </c>
      <c r="V15" s="426">
        <f t="shared" si="9"/>
        <v>0</v>
      </c>
      <c r="Y15" s="426">
        <f t="shared" si="10"/>
        <v>0</v>
      </c>
      <c r="AB15" s="426">
        <f t="shared" si="11"/>
        <v>0</v>
      </c>
      <c r="AE15" s="426">
        <v>0</v>
      </c>
      <c r="AH15" s="426">
        <v>0</v>
      </c>
      <c r="AI15" s="446">
        <f>93800000</f>
        <v>93800000</v>
      </c>
      <c r="AJ15" s="447">
        <v>2.7E-2</v>
      </c>
      <c r="AK15" s="426">
        <f t="shared" si="12"/>
        <v>7035</v>
      </c>
      <c r="AL15" s="446">
        <f t="shared" si="0"/>
        <v>30000000</v>
      </c>
      <c r="AM15" s="447">
        <v>2.9000000000000001E-2</v>
      </c>
      <c r="AN15" s="426">
        <f t="shared" si="13"/>
        <v>2416.6666666666665</v>
      </c>
      <c r="AO15" s="446">
        <f t="shared" si="1"/>
        <v>50000000</v>
      </c>
      <c r="AP15" s="447">
        <v>2.9499999999999998E-2</v>
      </c>
      <c r="AQ15" s="426">
        <f t="shared" si="14"/>
        <v>4097.2222222222226</v>
      </c>
      <c r="AR15" s="446"/>
      <c r="AS15" s="447"/>
      <c r="AT15" s="426">
        <f t="shared" si="15"/>
        <v>0</v>
      </c>
      <c r="AU15" s="446">
        <f t="shared" si="2"/>
        <v>375000000</v>
      </c>
      <c r="AV15" s="447">
        <v>2.8500000000000001E-2</v>
      </c>
      <c r="AW15" s="426">
        <f t="shared" si="16"/>
        <v>29687.5</v>
      </c>
      <c r="AX15" s="446"/>
      <c r="AY15" s="447"/>
      <c r="AZ15" s="426">
        <f t="shared" si="17"/>
        <v>0</v>
      </c>
      <c r="BC15" s="426">
        <f t="shared" si="18"/>
        <v>0</v>
      </c>
      <c r="BF15" s="426">
        <f t="shared" si="19"/>
        <v>0</v>
      </c>
      <c r="BI15" s="426">
        <f t="shared" si="20"/>
        <v>0</v>
      </c>
      <c r="BL15" s="426">
        <f t="shared" si="21"/>
        <v>0</v>
      </c>
      <c r="BO15" s="426">
        <f t="shared" si="22"/>
        <v>0</v>
      </c>
      <c r="BR15" s="426">
        <f t="shared" si="23"/>
        <v>0</v>
      </c>
      <c r="BU15" s="426">
        <f t="shared" si="24"/>
        <v>0</v>
      </c>
      <c r="BX15" s="426">
        <f t="shared" si="25"/>
        <v>0</v>
      </c>
      <c r="CA15" s="426">
        <f t="shared" si="26"/>
        <v>0</v>
      </c>
      <c r="CD15" s="426">
        <f t="shared" si="27"/>
        <v>0</v>
      </c>
      <c r="CG15" s="426">
        <f t="shared" si="28"/>
        <v>0</v>
      </c>
      <c r="CJ15" s="426">
        <f t="shared" si="29"/>
        <v>0</v>
      </c>
      <c r="CM15" s="426">
        <f t="shared" si="30"/>
        <v>0</v>
      </c>
      <c r="CP15" s="426">
        <f t="shared" si="31"/>
        <v>0</v>
      </c>
      <c r="CS15" s="426">
        <f t="shared" si="32"/>
        <v>0</v>
      </c>
      <c r="CV15" s="426">
        <f t="shared" si="33"/>
        <v>0</v>
      </c>
      <c r="CY15" s="426">
        <f t="shared" si="34"/>
        <v>0</v>
      </c>
      <c r="DB15" s="426">
        <f t="shared" si="35"/>
        <v>0</v>
      </c>
      <c r="DE15" s="426">
        <f t="shared" si="36"/>
        <v>0</v>
      </c>
      <c r="DH15" s="426">
        <f t="shared" si="37"/>
        <v>0</v>
      </c>
      <c r="DK15" s="426">
        <f t="shared" si="38"/>
        <v>0</v>
      </c>
      <c r="DN15" s="426">
        <f t="shared" si="39"/>
        <v>0</v>
      </c>
      <c r="DQ15" s="426">
        <f t="shared" si="40"/>
        <v>0</v>
      </c>
      <c r="DT15" s="426">
        <f t="shared" si="41"/>
        <v>0</v>
      </c>
      <c r="DW15" s="426">
        <f t="shared" si="42"/>
        <v>0</v>
      </c>
      <c r="DZ15" s="426"/>
      <c r="EA15" s="426"/>
      <c r="EB15" s="228">
        <f t="shared" si="43"/>
        <v>548800000</v>
      </c>
      <c r="EC15" s="228">
        <f t="shared" si="44"/>
        <v>0</v>
      </c>
      <c r="ED15" s="426">
        <f t="shared" si="45"/>
        <v>43236.388888888891</v>
      </c>
      <c r="EE15" s="427">
        <f t="shared" si="46"/>
        <v>2.8362062682215743E-2</v>
      </c>
      <c r="EG15" s="228">
        <f t="shared" si="47"/>
        <v>0</v>
      </c>
      <c r="EH15" s="426">
        <f t="shared" si="48"/>
        <v>0</v>
      </c>
      <c r="EI15" s="427">
        <f t="shared" si="49"/>
        <v>0</v>
      </c>
      <c r="EJ15" s="427"/>
      <c r="EK15" s="228">
        <f t="shared" si="50"/>
        <v>548800000</v>
      </c>
      <c r="EL15" s="228">
        <f t="shared" si="51"/>
        <v>0</v>
      </c>
      <c r="EM15" s="228">
        <f t="shared" si="52"/>
        <v>43236.388888888883</v>
      </c>
      <c r="EN15" s="427">
        <f t="shared" si="53"/>
        <v>2.8362062682215739E-2</v>
      </c>
      <c r="EP15" s="426"/>
    </row>
    <row r="16" spans="1:147">
      <c r="A16" s="445">
        <f t="shared" si="54"/>
        <v>43501</v>
      </c>
      <c r="D16" s="426">
        <f t="shared" si="3"/>
        <v>0</v>
      </c>
      <c r="G16" s="426">
        <f t="shared" si="4"/>
        <v>0</v>
      </c>
      <c r="J16" s="426">
        <f t="shared" si="5"/>
        <v>0</v>
      </c>
      <c r="M16" s="426">
        <f t="shared" si="6"/>
        <v>0</v>
      </c>
      <c r="P16" s="426">
        <f t="shared" si="7"/>
        <v>0</v>
      </c>
      <c r="S16" s="426">
        <f t="shared" si="8"/>
        <v>0</v>
      </c>
      <c r="V16" s="426">
        <f t="shared" si="9"/>
        <v>0</v>
      </c>
      <c r="Y16" s="426">
        <f t="shared" si="10"/>
        <v>0</v>
      </c>
      <c r="AB16" s="426">
        <f t="shared" si="11"/>
        <v>0</v>
      </c>
      <c r="AE16" s="426">
        <v>0</v>
      </c>
      <c r="AH16" s="426">
        <v>0</v>
      </c>
      <c r="AI16" s="446">
        <f>53700000</f>
        <v>53700000</v>
      </c>
      <c r="AJ16" s="447">
        <v>2.7E-2</v>
      </c>
      <c r="AK16" s="426">
        <f t="shared" si="12"/>
        <v>4027.5</v>
      </c>
      <c r="AL16" s="446">
        <f t="shared" si="0"/>
        <v>30000000</v>
      </c>
      <c r="AM16" s="447">
        <v>2.9000000000000001E-2</v>
      </c>
      <c r="AN16" s="426">
        <f t="shared" si="13"/>
        <v>2416.6666666666665</v>
      </c>
      <c r="AO16" s="446">
        <f t="shared" si="1"/>
        <v>50000000</v>
      </c>
      <c r="AP16" s="447">
        <v>2.9499999999999998E-2</v>
      </c>
      <c r="AQ16" s="426">
        <f t="shared" si="14"/>
        <v>4097.2222222222226</v>
      </c>
      <c r="AR16" s="446">
        <f t="shared" ref="AR16:AR39" si="55">30000000</f>
        <v>30000000</v>
      </c>
      <c r="AS16" s="447">
        <v>2.8299999999999999E-2</v>
      </c>
      <c r="AT16" s="426">
        <f t="shared" si="15"/>
        <v>2358.3333333333335</v>
      </c>
      <c r="AU16" s="446">
        <f t="shared" si="2"/>
        <v>375000000</v>
      </c>
      <c r="AV16" s="447">
        <v>2.8500000000000001E-2</v>
      </c>
      <c r="AW16" s="426">
        <f t="shared" si="16"/>
        <v>29687.5</v>
      </c>
      <c r="AX16" s="446"/>
      <c r="AY16" s="447"/>
      <c r="AZ16" s="426">
        <f t="shared" si="17"/>
        <v>0</v>
      </c>
      <c r="BC16" s="426">
        <f t="shared" si="18"/>
        <v>0</v>
      </c>
      <c r="BF16" s="426">
        <f t="shared" si="19"/>
        <v>0</v>
      </c>
      <c r="BI16" s="426">
        <f t="shared" si="20"/>
        <v>0</v>
      </c>
      <c r="BL16" s="426">
        <f t="shared" si="21"/>
        <v>0</v>
      </c>
      <c r="BO16" s="426">
        <f t="shared" si="22"/>
        <v>0</v>
      </c>
      <c r="BR16" s="426">
        <f t="shared" si="23"/>
        <v>0</v>
      </c>
      <c r="BU16" s="426">
        <f t="shared" si="24"/>
        <v>0</v>
      </c>
      <c r="BX16" s="426">
        <f t="shared" si="25"/>
        <v>0</v>
      </c>
      <c r="CA16" s="426">
        <f t="shared" si="26"/>
        <v>0</v>
      </c>
      <c r="CD16" s="426">
        <f t="shared" si="27"/>
        <v>0</v>
      </c>
      <c r="CG16" s="426">
        <f t="shared" si="28"/>
        <v>0</v>
      </c>
      <c r="CJ16" s="426">
        <f t="shared" si="29"/>
        <v>0</v>
      </c>
      <c r="CM16" s="426">
        <f t="shared" si="30"/>
        <v>0</v>
      </c>
      <c r="CP16" s="426">
        <f t="shared" si="31"/>
        <v>0</v>
      </c>
      <c r="CS16" s="426">
        <f t="shared" si="32"/>
        <v>0</v>
      </c>
      <c r="CV16" s="426">
        <f t="shared" si="33"/>
        <v>0</v>
      </c>
      <c r="CY16" s="426">
        <f t="shared" si="34"/>
        <v>0</v>
      </c>
      <c r="DB16" s="426">
        <f t="shared" si="35"/>
        <v>0</v>
      </c>
      <c r="DE16" s="426">
        <f t="shared" si="36"/>
        <v>0</v>
      </c>
      <c r="DH16" s="426">
        <f t="shared" si="37"/>
        <v>0</v>
      </c>
      <c r="DK16" s="426">
        <f t="shared" si="38"/>
        <v>0</v>
      </c>
      <c r="DN16" s="426">
        <f t="shared" si="39"/>
        <v>0</v>
      </c>
      <c r="DQ16" s="426">
        <f t="shared" si="40"/>
        <v>0</v>
      </c>
      <c r="DT16" s="426">
        <f t="shared" si="41"/>
        <v>0</v>
      </c>
      <c r="DW16" s="426">
        <f t="shared" si="42"/>
        <v>0</v>
      </c>
      <c r="DZ16" s="426"/>
      <c r="EA16" s="426"/>
      <c r="EB16" s="228">
        <f t="shared" si="43"/>
        <v>538700000</v>
      </c>
      <c r="EC16" s="228">
        <f t="shared" si="44"/>
        <v>0</v>
      </c>
      <c r="ED16" s="426">
        <f t="shared" si="45"/>
        <v>42587.222222222219</v>
      </c>
      <c r="EE16" s="427">
        <f t="shared" si="46"/>
        <v>2.8459996287358454E-2</v>
      </c>
      <c r="EG16" s="228">
        <f t="shared" si="47"/>
        <v>0</v>
      </c>
      <c r="EH16" s="426">
        <f t="shared" si="48"/>
        <v>0</v>
      </c>
      <c r="EI16" s="427">
        <f t="shared" si="49"/>
        <v>0</v>
      </c>
      <c r="EJ16" s="427"/>
      <c r="EK16" s="228">
        <f t="shared" si="50"/>
        <v>538700000</v>
      </c>
      <c r="EL16" s="228">
        <f t="shared" si="51"/>
        <v>0</v>
      </c>
      <c r="EM16" s="228">
        <f t="shared" si="52"/>
        <v>42587.222222222219</v>
      </c>
      <c r="EN16" s="427">
        <f t="shared" si="53"/>
        <v>2.8459996287358454E-2</v>
      </c>
      <c r="EP16" s="426"/>
    </row>
    <row r="17" spans="1:146">
      <c r="A17" s="445">
        <f t="shared" si="54"/>
        <v>43502</v>
      </c>
      <c r="D17" s="426">
        <f t="shared" si="3"/>
        <v>0</v>
      </c>
      <c r="G17" s="426">
        <f t="shared" si="4"/>
        <v>0</v>
      </c>
      <c r="J17" s="426">
        <f t="shared" si="5"/>
        <v>0</v>
      </c>
      <c r="M17" s="426">
        <f t="shared" si="6"/>
        <v>0</v>
      </c>
      <c r="P17" s="426">
        <f t="shared" si="7"/>
        <v>0</v>
      </c>
      <c r="S17" s="426">
        <f t="shared" si="8"/>
        <v>0</v>
      </c>
      <c r="V17" s="426">
        <f t="shared" si="9"/>
        <v>0</v>
      </c>
      <c r="Y17" s="426">
        <f t="shared" si="10"/>
        <v>0</v>
      </c>
      <c r="AB17" s="426">
        <f t="shared" si="11"/>
        <v>0</v>
      </c>
      <c r="AE17" s="426">
        <v>0</v>
      </c>
      <c r="AH17" s="426">
        <v>0</v>
      </c>
      <c r="AI17" s="446">
        <f>41750000</f>
        <v>41750000</v>
      </c>
      <c r="AJ17" s="447">
        <v>2.7E-2</v>
      </c>
      <c r="AK17" s="426">
        <f t="shared" si="12"/>
        <v>3131.25</v>
      </c>
      <c r="AL17" s="446">
        <f t="shared" si="0"/>
        <v>30000000</v>
      </c>
      <c r="AM17" s="447">
        <v>2.9000000000000001E-2</v>
      </c>
      <c r="AN17" s="426">
        <f t="shared" si="13"/>
        <v>2416.6666666666665</v>
      </c>
      <c r="AO17" s="446">
        <f t="shared" si="1"/>
        <v>50000000</v>
      </c>
      <c r="AP17" s="447">
        <v>2.9499999999999998E-2</v>
      </c>
      <c r="AQ17" s="426">
        <f t="shared" si="14"/>
        <v>4097.2222222222226</v>
      </c>
      <c r="AR17" s="446">
        <f t="shared" si="55"/>
        <v>30000000</v>
      </c>
      <c r="AS17" s="447">
        <v>2.8299999999999999E-2</v>
      </c>
      <c r="AT17" s="426">
        <f t="shared" si="15"/>
        <v>2358.3333333333335</v>
      </c>
      <c r="AU17" s="446">
        <f t="shared" si="2"/>
        <v>375000000</v>
      </c>
      <c r="AV17" s="447">
        <v>2.8500000000000001E-2</v>
      </c>
      <c r="AW17" s="426">
        <f t="shared" si="16"/>
        <v>29687.5</v>
      </c>
      <c r="AX17" s="446"/>
      <c r="AY17" s="447"/>
      <c r="AZ17" s="426">
        <f t="shared" si="17"/>
        <v>0</v>
      </c>
      <c r="BC17" s="426">
        <f t="shared" si="18"/>
        <v>0</v>
      </c>
      <c r="BF17" s="426">
        <f t="shared" si="19"/>
        <v>0</v>
      </c>
      <c r="BI17" s="426">
        <f t="shared" si="20"/>
        <v>0</v>
      </c>
      <c r="BL17" s="426">
        <f t="shared" si="21"/>
        <v>0</v>
      </c>
      <c r="BO17" s="426">
        <f t="shared" si="22"/>
        <v>0</v>
      </c>
      <c r="BR17" s="426">
        <f t="shared" si="23"/>
        <v>0</v>
      </c>
      <c r="BU17" s="426">
        <f t="shared" si="24"/>
        <v>0</v>
      </c>
      <c r="BX17" s="426">
        <f t="shared" si="25"/>
        <v>0</v>
      </c>
      <c r="CA17" s="426">
        <f t="shared" si="26"/>
        <v>0</v>
      </c>
      <c r="CD17" s="426">
        <f t="shared" si="27"/>
        <v>0</v>
      </c>
      <c r="CG17" s="426">
        <f t="shared" si="28"/>
        <v>0</v>
      </c>
      <c r="CJ17" s="426">
        <f t="shared" si="29"/>
        <v>0</v>
      </c>
      <c r="CM17" s="426">
        <f t="shared" si="30"/>
        <v>0</v>
      </c>
      <c r="CP17" s="426">
        <f t="shared" si="31"/>
        <v>0</v>
      </c>
      <c r="CS17" s="426">
        <f t="shared" si="32"/>
        <v>0</v>
      </c>
      <c r="CV17" s="426">
        <f t="shared" si="33"/>
        <v>0</v>
      </c>
      <c r="CY17" s="426">
        <f t="shared" si="34"/>
        <v>0</v>
      </c>
      <c r="DB17" s="426">
        <f t="shared" si="35"/>
        <v>0</v>
      </c>
      <c r="DE17" s="426">
        <f t="shared" si="36"/>
        <v>0</v>
      </c>
      <c r="DH17" s="426">
        <f t="shared" si="37"/>
        <v>0</v>
      </c>
      <c r="DK17" s="426">
        <f t="shared" si="38"/>
        <v>0</v>
      </c>
      <c r="DN17" s="426">
        <f t="shared" si="39"/>
        <v>0</v>
      </c>
      <c r="DQ17" s="426">
        <f t="shared" si="40"/>
        <v>0</v>
      </c>
      <c r="DT17" s="426">
        <f t="shared" si="41"/>
        <v>0</v>
      </c>
      <c r="DW17" s="426">
        <f t="shared" si="42"/>
        <v>0</v>
      </c>
      <c r="DZ17" s="426"/>
      <c r="EA17" s="426"/>
      <c r="EB17" s="228">
        <f t="shared" si="43"/>
        <v>526750000</v>
      </c>
      <c r="EC17" s="228">
        <f t="shared" si="44"/>
        <v>0</v>
      </c>
      <c r="ED17" s="426">
        <f t="shared" si="45"/>
        <v>41690.972222222219</v>
      </c>
      <c r="EE17" s="427">
        <f t="shared" si="46"/>
        <v>2.8493118177503555E-2</v>
      </c>
      <c r="EG17" s="228">
        <f t="shared" si="47"/>
        <v>0</v>
      </c>
      <c r="EH17" s="426">
        <f t="shared" si="48"/>
        <v>0</v>
      </c>
      <c r="EI17" s="427">
        <f t="shared" si="49"/>
        <v>0</v>
      </c>
      <c r="EJ17" s="427"/>
      <c r="EK17" s="228">
        <f t="shared" si="50"/>
        <v>526750000</v>
      </c>
      <c r="EL17" s="228">
        <f t="shared" si="51"/>
        <v>0</v>
      </c>
      <c r="EM17" s="228">
        <f t="shared" si="52"/>
        <v>41690.972222222219</v>
      </c>
      <c r="EN17" s="427">
        <f t="shared" si="53"/>
        <v>2.8493118177503555E-2</v>
      </c>
      <c r="EP17" s="426"/>
    </row>
    <row r="18" spans="1:146">
      <c r="A18" s="445">
        <f t="shared" si="54"/>
        <v>43503</v>
      </c>
      <c r="D18" s="426">
        <f t="shared" si="3"/>
        <v>0</v>
      </c>
      <c r="G18" s="426">
        <f t="shared" si="4"/>
        <v>0</v>
      </c>
      <c r="J18" s="426">
        <f t="shared" si="5"/>
        <v>0</v>
      </c>
      <c r="M18" s="426">
        <f t="shared" si="6"/>
        <v>0</v>
      </c>
      <c r="P18" s="426">
        <f t="shared" si="7"/>
        <v>0</v>
      </c>
      <c r="S18" s="426">
        <f t="shared" si="8"/>
        <v>0</v>
      </c>
      <c r="V18" s="426">
        <f t="shared" si="9"/>
        <v>0</v>
      </c>
      <c r="Y18" s="426">
        <f t="shared" si="10"/>
        <v>0</v>
      </c>
      <c r="AB18" s="426">
        <f t="shared" si="11"/>
        <v>0</v>
      </c>
      <c r="AE18" s="426">
        <v>0</v>
      </c>
      <c r="AH18" s="426">
        <v>0</v>
      </c>
      <c r="AI18" s="446">
        <v>25775000</v>
      </c>
      <c r="AJ18" s="447">
        <v>2.7E-2</v>
      </c>
      <c r="AK18" s="426">
        <f t="shared" si="12"/>
        <v>1933.125</v>
      </c>
      <c r="AL18" s="446">
        <f t="shared" si="0"/>
        <v>30000000</v>
      </c>
      <c r="AM18" s="447">
        <v>2.9000000000000001E-2</v>
      </c>
      <c r="AN18" s="426">
        <f t="shared" si="13"/>
        <v>2416.6666666666665</v>
      </c>
      <c r="AO18" s="446">
        <f t="shared" si="1"/>
        <v>50000000</v>
      </c>
      <c r="AP18" s="447">
        <v>2.9499999999999998E-2</v>
      </c>
      <c r="AQ18" s="426">
        <f t="shared" si="14"/>
        <v>4097.2222222222226</v>
      </c>
      <c r="AR18" s="446">
        <f t="shared" si="55"/>
        <v>30000000</v>
      </c>
      <c r="AS18" s="447">
        <v>2.8299999999999999E-2</v>
      </c>
      <c r="AT18" s="426">
        <f t="shared" si="15"/>
        <v>2358.3333333333335</v>
      </c>
      <c r="AU18" s="446">
        <f t="shared" si="2"/>
        <v>375000000</v>
      </c>
      <c r="AV18" s="447">
        <v>2.8500000000000001E-2</v>
      </c>
      <c r="AW18" s="426">
        <f t="shared" si="16"/>
        <v>29687.5</v>
      </c>
      <c r="AX18" s="446"/>
      <c r="AY18" s="447"/>
      <c r="AZ18" s="426">
        <f t="shared" si="17"/>
        <v>0</v>
      </c>
      <c r="BC18" s="426">
        <f t="shared" si="18"/>
        <v>0</v>
      </c>
      <c r="BF18" s="426">
        <f t="shared" si="19"/>
        <v>0</v>
      </c>
      <c r="BI18" s="426">
        <f t="shared" si="20"/>
        <v>0</v>
      </c>
      <c r="BL18" s="426">
        <f t="shared" si="21"/>
        <v>0</v>
      </c>
      <c r="BO18" s="426">
        <f t="shared" si="22"/>
        <v>0</v>
      </c>
      <c r="BR18" s="426">
        <f t="shared" si="23"/>
        <v>0</v>
      </c>
      <c r="BU18" s="426">
        <f t="shared" si="24"/>
        <v>0</v>
      </c>
      <c r="BX18" s="426">
        <f t="shared" si="25"/>
        <v>0</v>
      </c>
      <c r="CA18" s="426">
        <f t="shared" si="26"/>
        <v>0</v>
      </c>
      <c r="CD18" s="426">
        <f t="shared" si="27"/>
        <v>0</v>
      </c>
      <c r="CG18" s="426">
        <f t="shared" si="28"/>
        <v>0</v>
      </c>
      <c r="CJ18" s="426">
        <f t="shared" si="29"/>
        <v>0</v>
      </c>
      <c r="CM18" s="426">
        <f t="shared" si="30"/>
        <v>0</v>
      </c>
      <c r="CP18" s="426">
        <f t="shared" si="31"/>
        <v>0</v>
      </c>
      <c r="CS18" s="426">
        <f t="shared" si="32"/>
        <v>0</v>
      </c>
      <c r="CV18" s="426">
        <f t="shared" si="33"/>
        <v>0</v>
      </c>
      <c r="CY18" s="426">
        <f t="shared" si="34"/>
        <v>0</v>
      </c>
      <c r="DB18" s="426">
        <f t="shared" si="35"/>
        <v>0</v>
      </c>
      <c r="DE18" s="426">
        <f t="shared" si="36"/>
        <v>0</v>
      </c>
      <c r="DH18" s="426">
        <f t="shared" si="37"/>
        <v>0</v>
      </c>
      <c r="DK18" s="426">
        <f t="shared" si="38"/>
        <v>0</v>
      </c>
      <c r="DN18" s="426">
        <f t="shared" si="39"/>
        <v>0</v>
      </c>
      <c r="DQ18" s="426">
        <f t="shared" si="40"/>
        <v>0</v>
      </c>
      <c r="DT18" s="426">
        <f t="shared" si="41"/>
        <v>0</v>
      </c>
      <c r="DW18" s="426">
        <f t="shared" si="42"/>
        <v>0</v>
      </c>
      <c r="DZ18" s="426"/>
      <c r="EA18" s="426"/>
      <c r="EB18" s="228">
        <f t="shared" si="43"/>
        <v>510775000</v>
      </c>
      <c r="EC18" s="228">
        <f t="shared" si="44"/>
        <v>0</v>
      </c>
      <c r="ED18" s="426">
        <f t="shared" si="45"/>
        <v>40492.847222222219</v>
      </c>
      <c r="EE18" s="427">
        <f t="shared" si="46"/>
        <v>2.853981694483872E-2</v>
      </c>
      <c r="EG18" s="228">
        <f t="shared" si="47"/>
        <v>0</v>
      </c>
      <c r="EH18" s="426">
        <f t="shared" si="48"/>
        <v>0</v>
      </c>
      <c r="EI18" s="427">
        <f t="shared" si="49"/>
        <v>0</v>
      </c>
      <c r="EJ18" s="427"/>
      <c r="EK18" s="228">
        <f t="shared" si="50"/>
        <v>510775000</v>
      </c>
      <c r="EL18" s="228">
        <f t="shared" si="51"/>
        <v>0</v>
      </c>
      <c r="EM18" s="228">
        <f t="shared" si="52"/>
        <v>40492.847222222219</v>
      </c>
      <c r="EN18" s="427">
        <f t="shared" si="53"/>
        <v>2.853981694483872E-2</v>
      </c>
      <c r="EP18" s="426"/>
    </row>
    <row r="19" spans="1:146">
      <c r="A19" s="445">
        <f t="shared" si="54"/>
        <v>43504</v>
      </c>
      <c r="D19" s="426">
        <f t="shared" si="3"/>
        <v>0</v>
      </c>
      <c r="G19" s="426">
        <f t="shared" si="4"/>
        <v>0</v>
      </c>
      <c r="J19" s="426">
        <f t="shared" si="5"/>
        <v>0</v>
      </c>
      <c r="M19" s="426">
        <f t="shared" si="6"/>
        <v>0</v>
      </c>
      <c r="P19" s="426">
        <f t="shared" si="7"/>
        <v>0</v>
      </c>
      <c r="S19" s="426">
        <f t="shared" si="8"/>
        <v>0</v>
      </c>
      <c r="V19" s="426">
        <f t="shared" si="9"/>
        <v>0</v>
      </c>
      <c r="Y19" s="426">
        <f t="shared" si="10"/>
        <v>0</v>
      </c>
      <c r="AB19" s="426">
        <f t="shared" si="11"/>
        <v>0</v>
      </c>
      <c r="AE19" s="426">
        <v>0</v>
      </c>
      <c r="AH19" s="426">
        <v>0</v>
      </c>
      <c r="AI19" s="446">
        <f>26225000</f>
        <v>26225000</v>
      </c>
      <c r="AJ19" s="447">
        <v>2.7E-2</v>
      </c>
      <c r="AK19" s="426">
        <f t="shared" si="12"/>
        <v>1966.875</v>
      </c>
      <c r="AL19" s="446">
        <f t="shared" si="0"/>
        <v>30000000</v>
      </c>
      <c r="AM19" s="447">
        <v>2.9000000000000001E-2</v>
      </c>
      <c r="AN19" s="426">
        <f t="shared" si="13"/>
        <v>2416.6666666666665</v>
      </c>
      <c r="AO19" s="446">
        <f t="shared" si="1"/>
        <v>50000000</v>
      </c>
      <c r="AP19" s="447">
        <v>2.9499999999999998E-2</v>
      </c>
      <c r="AQ19" s="426">
        <f t="shared" si="14"/>
        <v>4097.2222222222226</v>
      </c>
      <c r="AR19" s="446">
        <f t="shared" si="55"/>
        <v>30000000</v>
      </c>
      <c r="AS19" s="447">
        <v>2.8299999999999999E-2</v>
      </c>
      <c r="AT19" s="426">
        <f t="shared" si="15"/>
        <v>2358.3333333333335</v>
      </c>
      <c r="AU19" s="446">
        <f t="shared" si="2"/>
        <v>375000000</v>
      </c>
      <c r="AV19" s="447">
        <v>2.8500000000000001E-2</v>
      </c>
      <c r="AW19" s="426">
        <f t="shared" si="16"/>
        <v>29687.5</v>
      </c>
      <c r="AX19" s="446"/>
      <c r="AY19" s="447"/>
      <c r="AZ19" s="426">
        <f t="shared" si="17"/>
        <v>0</v>
      </c>
      <c r="BC19" s="426">
        <f t="shared" si="18"/>
        <v>0</v>
      </c>
      <c r="BF19" s="426">
        <f t="shared" si="19"/>
        <v>0</v>
      </c>
      <c r="BI19" s="426">
        <f t="shared" si="20"/>
        <v>0</v>
      </c>
      <c r="BL19" s="426">
        <f t="shared" si="21"/>
        <v>0</v>
      </c>
      <c r="BO19" s="426">
        <f t="shared" si="22"/>
        <v>0</v>
      </c>
      <c r="BR19" s="426">
        <f t="shared" si="23"/>
        <v>0</v>
      </c>
      <c r="BU19" s="426">
        <f t="shared" si="24"/>
        <v>0</v>
      </c>
      <c r="BX19" s="426">
        <f t="shared" si="25"/>
        <v>0</v>
      </c>
      <c r="CA19" s="426">
        <f t="shared" si="26"/>
        <v>0</v>
      </c>
      <c r="CD19" s="426">
        <f t="shared" si="27"/>
        <v>0</v>
      </c>
      <c r="CG19" s="426">
        <f t="shared" si="28"/>
        <v>0</v>
      </c>
      <c r="CJ19" s="426">
        <f t="shared" si="29"/>
        <v>0</v>
      </c>
      <c r="CM19" s="426">
        <f t="shared" si="30"/>
        <v>0</v>
      </c>
      <c r="CP19" s="426">
        <f t="shared" si="31"/>
        <v>0</v>
      </c>
      <c r="CS19" s="426">
        <f t="shared" si="32"/>
        <v>0</v>
      </c>
      <c r="CV19" s="426">
        <f t="shared" si="33"/>
        <v>0</v>
      </c>
      <c r="CY19" s="426">
        <f t="shared" si="34"/>
        <v>0</v>
      </c>
      <c r="DB19" s="426">
        <f t="shared" si="35"/>
        <v>0</v>
      </c>
      <c r="DE19" s="426">
        <f t="shared" si="36"/>
        <v>0</v>
      </c>
      <c r="DH19" s="426">
        <f t="shared" si="37"/>
        <v>0</v>
      </c>
      <c r="DK19" s="426">
        <f t="shared" si="38"/>
        <v>0</v>
      </c>
      <c r="DN19" s="426">
        <f t="shared" si="39"/>
        <v>0</v>
      </c>
      <c r="DQ19" s="426">
        <f t="shared" si="40"/>
        <v>0</v>
      </c>
      <c r="DT19" s="426">
        <f t="shared" si="41"/>
        <v>0</v>
      </c>
      <c r="DW19" s="426">
        <f t="shared" si="42"/>
        <v>0</v>
      </c>
      <c r="DZ19" s="426"/>
      <c r="EA19" s="426"/>
      <c r="EB19" s="228">
        <f t="shared" si="43"/>
        <v>511225000</v>
      </c>
      <c r="EC19" s="228">
        <f t="shared" si="44"/>
        <v>0</v>
      </c>
      <c r="ED19" s="426">
        <f t="shared" si="45"/>
        <v>40526.597222222219</v>
      </c>
      <c r="EE19" s="427">
        <f t="shared" si="46"/>
        <v>2.8538461538461537E-2</v>
      </c>
      <c r="EG19" s="228">
        <f t="shared" si="47"/>
        <v>0</v>
      </c>
      <c r="EH19" s="426">
        <f t="shared" si="48"/>
        <v>0</v>
      </c>
      <c r="EI19" s="427">
        <f t="shared" si="49"/>
        <v>0</v>
      </c>
      <c r="EJ19" s="427"/>
      <c r="EK19" s="228">
        <f t="shared" si="50"/>
        <v>511225000</v>
      </c>
      <c r="EL19" s="228">
        <f t="shared" si="51"/>
        <v>0</v>
      </c>
      <c r="EM19" s="228">
        <f t="shared" si="52"/>
        <v>40526.597222222219</v>
      </c>
      <c r="EN19" s="427">
        <f t="shared" si="53"/>
        <v>2.8538461538461537E-2</v>
      </c>
      <c r="EP19" s="426"/>
    </row>
    <row r="20" spans="1:146">
      <c r="A20" s="445">
        <f t="shared" si="54"/>
        <v>43505</v>
      </c>
      <c r="D20" s="426">
        <f t="shared" si="3"/>
        <v>0</v>
      </c>
      <c r="G20" s="426">
        <f t="shared" si="4"/>
        <v>0</v>
      </c>
      <c r="J20" s="426">
        <f t="shared" si="5"/>
        <v>0</v>
      </c>
      <c r="M20" s="426">
        <f t="shared" si="6"/>
        <v>0</v>
      </c>
      <c r="P20" s="426">
        <f t="shared" si="7"/>
        <v>0</v>
      </c>
      <c r="S20" s="426">
        <f t="shared" si="8"/>
        <v>0</v>
      </c>
      <c r="V20" s="426">
        <f t="shared" si="9"/>
        <v>0</v>
      </c>
      <c r="Y20" s="426">
        <f t="shared" si="10"/>
        <v>0</v>
      </c>
      <c r="AB20" s="426">
        <f t="shared" si="11"/>
        <v>0</v>
      </c>
      <c r="AE20" s="426">
        <v>0</v>
      </c>
      <c r="AH20" s="426">
        <v>0</v>
      </c>
      <c r="AI20" s="446">
        <f>26225000</f>
        <v>26225000</v>
      </c>
      <c r="AJ20" s="447">
        <v>2.7E-2</v>
      </c>
      <c r="AK20" s="426">
        <f t="shared" si="12"/>
        <v>1966.875</v>
      </c>
      <c r="AL20" s="446">
        <f t="shared" si="0"/>
        <v>30000000</v>
      </c>
      <c r="AM20" s="447">
        <v>2.9000000000000001E-2</v>
      </c>
      <c r="AN20" s="426">
        <f t="shared" si="13"/>
        <v>2416.6666666666665</v>
      </c>
      <c r="AO20" s="446">
        <f t="shared" si="1"/>
        <v>50000000</v>
      </c>
      <c r="AP20" s="447">
        <v>2.9499999999999998E-2</v>
      </c>
      <c r="AQ20" s="426">
        <f t="shared" si="14"/>
        <v>4097.2222222222226</v>
      </c>
      <c r="AR20" s="446">
        <f t="shared" si="55"/>
        <v>30000000</v>
      </c>
      <c r="AS20" s="447">
        <v>2.8299999999999999E-2</v>
      </c>
      <c r="AT20" s="426">
        <f t="shared" si="15"/>
        <v>2358.3333333333335</v>
      </c>
      <c r="AU20" s="446">
        <f t="shared" si="2"/>
        <v>375000000</v>
      </c>
      <c r="AV20" s="447">
        <v>2.8500000000000001E-2</v>
      </c>
      <c r="AW20" s="426">
        <f t="shared" si="16"/>
        <v>29687.5</v>
      </c>
      <c r="AX20" s="446"/>
      <c r="AY20" s="447"/>
      <c r="AZ20" s="426">
        <f t="shared" si="17"/>
        <v>0</v>
      </c>
      <c r="BC20" s="426">
        <f t="shared" si="18"/>
        <v>0</v>
      </c>
      <c r="BF20" s="426">
        <f t="shared" si="19"/>
        <v>0</v>
      </c>
      <c r="BI20" s="426">
        <f t="shared" si="20"/>
        <v>0</v>
      </c>
      <c r="BL20" s="426">
        <f t="shared" si="21"/>
        <v>0</v>
      </c>
      <c r="BO20" s="426">
        <f t="shared" si="22"/>
        <v>0</v>
      </c>
      <c r="BR20" s="426">
        <f t="shared" si="23"/>
        <v>0</v>
      </c>
      <c r="BU20" s="426">
        <f t="shared" si="24"/>
        <v>0</v>
      </c>
      <c r="BX20" s="426">
        <f t="shared" si="25"/>
        <v>0</v>
      </c>
      <c r="CA20" s="426">
        <f t="shared" si="26"/>
        <v>0</v>
      </c>
      <c r="CD20" s="426">
        <f t="shared" si="27"/>
        <v>0</v>
      </c>
      <c r="CG20" s="426">
        <f t="shared" si="28"/>
        <v>0</v>
      </c>
      <c r="CJ20" s="426">
        <f t="shared" si="29"/>
        <v>0</v>
      </c>
      <c r="CM20" s="426">
        <f t="shared" si="30"/>
        <v>0</v>
      </c>
      <c r="CP20" s="426">
        <f t="shared" si="31"/>
        <v>0</v>
      </c>
      <c r="CS20" s="426">
        <f t="shared" si="32"/>
        <v>0</v>
      </c>
      <c r="CV20" s="426">
        <f t="shared" si="33"/>
        <v>0</v>
      </c>
      <c r="CY20" s="426">
        <f t="shared" si="34"/>
        <v>0</v>
      </c>
      <c r="DB20" s="426">
        <f t="shared" si="35"/>
        <v>0</v>
      </c>
      <c r="DE20" s="426">
        <f t="shared" si="36"/>
        <v>0</v>
      </c>
      <c r="DH20" s="426">
        <f t="shared" si="37"/>
        <v>0</v>
      </c>
      <c r="DK20" s="426">
        <f t="shared" si="38"/>
        <v>0</v>
      </c>
      <c r="DN20" s="426">
        <f t="shared" si="39"/>
        <v>0</v>
      </c>
      <c r="DQ20" s="426">
        <f t="shared" si="40"/>
        <v>0</v>
      </c>
      <c r="DT20" s="426">
        <f t="shared" si="41"/>
        <v>0</v>
      </c>
      <c r="DW20" s="426">
        <f t="shared" si="42"/>
        <v>0</v>
      </c>
      <c r="DZ20" s="426"/>
      <c r="EA20" s="426"/>
      <c r="EB20" s="228">
        <f t="shared" si="43"/>
        <v>511225000</v>
      </c>
      <c r="EC20" s="228">
        <f t="shared" si="44"/>
        <v>0</v>
      </c>
      <c r="ED20" s="426">
        <f t="shared" si="45"/>
        <v>40526.597222222219</v>
      </c>
      <c r="EE20" s="427">
        <f t="shared" si="46"/>
        <v>2.8538461538461537E-2</v>
      </c>
      <c r="EG20" s="228">
        <f t="shared" si="47"/>
        <v>0</v>
      </c>
      <c r="EH20" s="426">
        <f t="shared" si="48"/>
        <v>0</v>
      </c>
      <c r="EI20" s="427">
        <f t="shared" si="49"/>
        <v>0</v>
      </c>
      <c r="EJ20" s="427"/>
      <c r="EK20" s="228">
        <f t="shared" si="50"/>
        <v>511225000</v>
      </c>
      <c r="EL20" s="228">
        <f t="shared" si="51"/>
        <v>0</v>
      </c>
      <c r="EM20" s="228">
        <f t="shared" si="52"/>
        <v>40526.597222222219</v>
      </c>
      <c r="EN20" s="427">
        <f t="shared" si="53"/>
        <v>2.8538461538461537E-2</v>
      </c>
      <c r="EP20" s="426"/>
    </row>
    <row r="21" spans="1:146">
      <c r="A21" s="445">
        <f t="shared" si="54"/>
        <v>43506</v>
      </c>
      <c r="D21" s="426">
        <f t="shared" si="3"/>
        <v>0</v>
      </c>
      <c r="G21" s="426">
        <f t="shared" si="4"/>
        <v>0</v>
      </c>
      <c r="J21" s="426">
        <f t="shared" si="5"/>
        <v>0</v>
      </c>
      <c r="M21" s="426">
        <f t="shared" si="6"/>
        <v>0</v>
      </c>
      <c r="P21" s="426">
        <f t="shared" si="7"/>
        <v>0</v>
      </c>
      <c r="S21" s="426">
        <f t="shared" si="8"/>
        <v>0</v>
      </c>
      <c r="V21" s="426">
        <f t="shared" si="9"/>
        <v>0</v>
      </c>
      <c r="Y21" s="426">
        <f t="shared" si="10"/>
        <v>0</v>
      </c>
      <c r="AB21" s="426">
        <f t="shared" si="11"/>
        <v>0</v>
      </c>
      <c r="AE21" s="426">
        <v>0</v>
      </c>
      <c r="AH21" s="426">
        <v>0</v>
      </c>
      <c r="AI21" s="446">
        <f>26225000</f>
        <v>26225000</v>
      </c>
      <c r="AJ21" s="447">
        <v>2.7E-2</v>
      </c>
      <c r="AK21" s="426">
        <f t="shared" si="12"/>
        <v>1966.875</v>
      </c>
      <c r="AL21" s="446">
        <f t="shared" si="0"/>
        <v>30000000</v>
      </c>
      <c r="AM21" s="447">
        <v>2.9000000000000001E-2</v>
      </c>
      <c r="AN21" s="426">
        <f t="shared" si="13"/>
        <v>2416.6666666666665</v>
      </c>
      <c r="AO21" s="446">
        <f t="shared" si="1"/>
        <v>50000000</v>
      </c>
      <c r="AP21" s="447">
        <v>2.9499999999999998E-2</v>
      </c>
      <c r="AQ21" s="426">
        <f t="shared" si="14"/>
        <v>4097.2222222222226</v>
      </c>
      <c r="AR21" s="446">
        <f t="shared" si="55"/>
        <v>30000000</v>
      </c>
      <c r="AS21" s="447">
        <v>2.8299999999999999E-2</v>
      </c>
      <c r="AT21" s="426">
        <f t="shared" si="15"/>
        <v>2358.3333333333335</v>
      </c>
      <c r="AU21" s="446">
        <f t="shared" si="2"/>
        <v>375000000</v>
      </c>
      <c r="AV21" s="447">
        <v>2.8500000000000001E-2</v>
      </c>
      <c r="AW21" s="426">
        <f t="shared" si="16"/>
        <v>29687.5</v>
      </c>
      <c r="AX21" s="446"/>
      <c r="AY21" s="447"/>
      <c r="AZ21" s="426">
        <f t="shared" si="17"/>
        <v>0</v>
      </c>
      <c r="BC21" s="426">
        <f t="shared" si="18"/>
        <v>0</v>
      </c>
      <c r="BF21" s="426">
        <f t="shared" si="19"/>
        <v>0</v>
      </c>
      <c r="BI21" s="426">
        <f t="shared" si="20"/>
        <v>0</v>
      </c>
      <c r="BL21" s="426">
        <f t="shared" si="21"/>
        <v>0</v>
      </c>
      <c r="BO21" s="426">
        <f t="shared" si="22"/>
        <v>0</v>
      </c>
      <c r="BR21" s="426">
        <f t="shared" si="23"/>
        <v>0</v>
      </c>
      <c r="BU21" s="426">
        <f t="shared" si="24"/>
        <v>0</v>
      </c>
      <c r="BX21" s="426">
        <f t="shared" si="25"/>
        <v>0</v>
      </c>
      <c r="CA21" s="426">
        <f t="shared" si="26"/>
        <v>0</v>
      </c>
      <c r="CD21" s="426">
        <f t="shared" si="27"/>
        <v>0</v>
      </c>
      <c r="CG21" s="426">
        <f t="shared" si="28"/>
        <v>0</v>
      </c>
      <c r="CJ21" s="426">
        <f t="shared" si="29"/>
        <v>0</v>
      </c>
      <c r="CM21" s="426">
        <f t="shared" si="30"/>
        <v>0</v>
      </c>
      <c r="CP21" s="426">
        <f t="shared" si="31"/>
        <v>0</v>
      </c>
      <c r="CS21" s="426">
        <f t="shared" si="32"/>
        <v>0</v>
      </c>
      <c r="CV21" s="426">
        <f t="shared" si="33"/>
        <v>0</v>
      </c>
      <c r="CY21" s="426">
        <f t="shared" si="34"/>
        <v>0</v>
      </c>
      <c r="DB21" s="426">
        <f t="shared" si="35"/>
        <v>0</v>
      </c>
      <c r="DE21" s="426">
        <f t="shared" si="36"/>
        <v>0</v>
      </c>
      <c r="DH21" s="426">
        <f t="shared" si="37"/>
        <v>0</v>
      </c>
      <c r="DK21" s="426">
        <f t="shared" si="38"/>
        <v>0</v>
      </c>
      <c r="DN21" s="426">
        <f t="shared" si="39"/>
        <v>0</v>
      </c>
      <c r="DQ21" s="426">
        <f t="shared" si="40"/>
        <v>0</v>
      </c>
      <c r="DT21" s="426">
        <f t="shared" si="41"/>
        <v>0</v>
      </c>
      <c r="DW21" s="426">
        <f t="shared" si="42"/>
        <v>0</v>
      </c>
      <c r="DZ21" s="426"/>
      <c r="EA21" s="426"/>
      <c r="EB21" s="228">
        <f t="shared" si="43"/>
        <v>511225000</v>
      </c>
      <c r="EC21" s="228">
        <f t="shared" si="44"/>
        <v>0</v>
      </c>
      <c r="ED21" s="426">
        <f t="shared" si="45"/>
        <v>40526.597222222219</v>
      </c>
      <c r="EE21" s="427">
        <f t="shared" si="46"/>
        <v>2.8538461538461537E-2</v>
      </c>
      <c r="EG21" s="228">
        <f t="shared" si="47"/>
        <v>0</v>
      </c>
      <c r="EH21" s="426">
        <f t="shared" si="48"/>
        <v>0</v>
      </c>
      <c r="EI21" s="427">
        <f t="shared" si="49"/>
        <v>0</v>
      </c>
      <c r="EJ21" s="427"/>
      <c r="EK21" s="228">
        <f t="shared" si="50"/>
        <v>511225000</v>
      </c>
      <c r="EL21" s="228">
        <f t="shared" si="51"/>
        <v>0</v>
      </c>
      <c r="EM21" s="228">
        <f t="shared" si="52"/>
        <v>40526.597222222219</v>
      </c>
      <c r="EN21" s="427">
        <f t="shared" si="53"/>
        <v>2.8538461538461537E-2</v>
      </c>
      <c r="EP21" s="426"/>
    </row>
    <row r="22" spans="1:146">
      <c r="A22" s="445">
        <f t="shared" si="54"/>
        <v>43507</v>
      </c>
      <c r="D22" s="426">
        <f t="shared" si="3"/>
        <v>0</v>
      </c>
      <c r="G22" s="426">
        <f t="shared" si="4"/>
        <v>0</v>
      </c>
      <c r="J22" s="426">
        <f t="shared" si="5"/>
        <v>0</v>
      </c>
      <c r="M22" s="426">
        <f t="shared" si="6"/>
        <v>0</v>
      </c>
      <c r="P22" s="426">
        <f t="shared" si="7"/>
        <v>0</v>
      </c>
      <c r="S22" s="426">
        <f t="shared" si="8"/>
        <v>0</v>
      </c>
      <c r="V22" s="426">
        <f t="shared" si="9"/>
        <v>0</v>
      </c>
      <c r="Y22" s="426">
        <f t="shared" si="10"/>
        <v>0</v>
      </c>
      <c r="AB22" s="426">
        <f t="shared" si="11"/>
        <v>0</v>
      </c>
      <c r="AE22" s="426">
        <v>0</v>
      </c>
      <c r="AH22" s="426">
        <v>0</v>
      </c>
      <c r="AI22" s="446">
        <f>19650000</f>
        <v>19650000</v>
      </c>
      <c r="AJ22" s="447">
        <v>2.7E-2</v>
      </c>
      <c r="AK22" s="426">
        <f t="shared" si="12"/>
        <v>1473.75</v>
      </c>
      <c r="AL22" s="446">
        <f t="shared" si="0"/>
        <v>30000000</v>
      </c>
      <c r="AM22" s="447">
        <v>2.9000000000000001E-2</v>
      </c>
      <c r="AN22" s="426">
        <f t="shared" si="13"/>
        <v>2416.6666666666665</v>
      </c>
      <c r="AO22" s="446">
        <f t="shared" si="1"/>
        <v>50000000</v>
      </c>
      <c r="AP22" s="447">
        <v>2.9499999999999998E-2</v>
      </c>
      <c r="AQ22" s="426">
        <f t="shared" si="14"/>
        <v>4097.2222222222226</v>
      </c>
      <c r="AR22" s="446">
        <f t="shared" si="55"/>
        <v>30000000</v>
      </c>
      <c r="AS22" s="447">
        <v>2.8299999999999999E-2</v>
      </c>
      <c r="AT22" s="426">
        <f t="shared" si="15"/>
        <v>2358.3333333333335</v>
      </c>
      <c r="AU22" s="446">
        <f t="shared" si="2"/>
        <v>375000000</v>
      </c>
      <c r="AV22" s="447">
        <v>2.8500000000000001E-2</v>
      </c>
      <c r="AW22" s="426">
        <f t="shared" si="16"/>
        <v>29687.5</v>
      </c>
      <c r="AX22" s="446"/>
      <c r="AY22" s="447"/>
      <c r="AZ22" s="426">
        <f t="shared" si="17"/>
        <v>0</v>
      </c>
      <c r="BC22" s="426">
        <f t="shared" si="18"/>
        <v>0</v>
      </c>
      <c r="BF22" s="426">
        <f t="shared" si="19"/>
        <v>0</v>
      </c>
      <c r="BI22" s="426">
        <f t="shared" si="20"/>
        <v>0</v>
      </c>
      <c r="BL22" s="426">
        <f t="shared" si="21"/>
        <v>0</v>
      </c>
      <c r="BO22" s="426">
        <f t="shared" si="22"/>
        <v>0</v>
      </c>
      <c r="BR22" s="426">
        <f t="shared" si="23"/>
        <v>0</v>
      </c>
      <c r="BU22" s="426">
        <f t="shared" si="24"/>
        <v>0</v>
      </c>
      <c r="BX22" s="426">
        <f t="shared" si="25"/>
        <v>0</v>
      </c>
      <c r="CA22" s="426">
        <f t="shared" si="26"/>
        <v>0</v>
      </c>
      <c r="CD22" s="426">
        <f t="shared" si="27"/>
        <v>0</v>
      </c>
      <c r="CG22" s="426">
        <f t="shared" si="28"/>
        <v>0</v>
      </c>
      <c r="CJ22" s="426">
        <f t="shared" si="29"/>
        <v>0</v>
      </c>
      <c r="CM22" s="426">
        <f t="shared" si="30"/>
        <v>0</v>
      </c>
      <c r="CP22" s="426">
        <f t="shared" si="31"/>
        <v>0</v>
      </c>
      <c r="CS22" s="426">
        <f t="shared" si="32"/>
        <v>0</v>
      </c>
      <c r="CV22" s="426">
        <f t="shared" si="33"/>
        <v>0</v>
      </c>
      <c r="CY22" s="426">
        <f t="shared" si="34"/>
        <v>0</v>
      </c>
      <c r="DB22" s="426">
        <f t="shared" si="35"/>
        <v>0</v>
      </c>
      <c r="DE22" s="426">
        <f t="shared" si="36"/>
        <v>0</v>
      </c>
      <c r="DH22" s="426">
        <f t="shared" si="37"/>
        <v>0</v>
      </c>
      <c r="DK22" s="426">
        <f t="shared" si="38"/>
        <v>0</v>
      </c>
      <c r="DN22" s="426">
        <f t="shared" si="39"/>
        <v>0</v>
      </c>
      <c r="DQ22" s="426">
        <f t="shared" si="40"/>
        <v>0</v>
      </c>
      <c r="DT22" s="426">
        <f t="shared" si="41"/>
        <v>0</v>
      </c>
      <c r="DW22" s="426">
        <f t="shared" si="42"/>
        <v>0</v>
      </c>
      <c r="DZ22" s="426"/>
      <c r="EA22" s="426"/>
      <c r="EB22" s="228">
        <f t="shared" si="43"/>
        <v>504650000</v>
      </c>
      <c r="EC22" s="228">
        <f t="shared" si="44"/>
        <v>0</v>
      </c>
      <c r="ED22" s="426">
        <f t="shared" si="45"/>
        <v>40033.472222222219</v>
      </c>
      <c r="EE22" s="427">
        <f t="shared" si="46"/>
        <v>2.8558505895174873E-2</v>
      </c>
      <c r="EG22" s="228">
        <f t="shared" si="47"/>
        <v>0</v>
      </c>
      <c r="EH22" s="426">
        <f t="shared" si="48"/>
        <v>0</v>
      </c>
      <c r="EI22" s="427">
        <f t="shared" si="49"/>
        <v>0</v>
      </c>
      <c r="EJ22" s="427"/>
      <c r="EK22" s="228">
        <f t="shared" si="50"/>
        <v>504650000</v>
      </c>
      <c r="EL22" s="228">
        <f t="shared" si="51"/>
        <v>0</v>
      </c>
      <c r="EM22" s="228">
        <f t="shared" si="52"/>
        <v>40033.472222222219</v>
      </c>
      <c r="EN22" s="427">
        <f t="shared" si="53"/>
        <v>2.8558505895174873E-2</v>
      </c>
      <c r="EP22" s="426"/>
    </row>
    <row r="23" spans="1:146">
      <c r="A23" s="445">
        <f t="shared" si="54"/>
        <v>43508</v>
      </c>
      <c r="D23" s="426">
        <f t="shared" si="3"/>
        <v>0</v>
      </c>
      <c r="G23" s="426">
        <f t="shared" si="4"/>
        <v>0</v>
      </c>
      <c r="J23" s="426">
        <f t="shared" si="5"/>
        <v>0</v>
      </c>
      <c r="M23" s="426">
        <f t="shared" si="6"/>
        <v>0</v>
      </c>
      <c r="P23" s="426">
        <f t="shared" si="7"/>
        <v>0</v>
      </c>
      <c r="S23" s="426">
        <f t="shared" si="8"/>
        <v>0</v>
      </c>
      <c r="V23" s="426">
        <f t="shared" si="9"/>
        <v>0</v>
      </c>
      <c r="Y23" s="426">
        <f t="shared" si="10"/>
        <v>0</v>
      </c>
      <c r="AB23" s="426">
        <f t="shared" si="11"/>
        <v>0</v>
      </c>
      <c r="AE23" s="426">
        <v>0</v>
      </c>
      <c r="AH23" s="426">
        <v>0</v>
      </c>
      <c r="AI23" s="446">
        <f>13350000</f>
        <v>13350000</v>
      </c>
      <c r="AJ23" s="447">
        <v>2.7E-2</v>
      </c>
      <c r="AK23" s="426">
        <f t="shared" si="12"/>
        <v>1001.25</v>
      </c>
      <c r="AL23" s="446">
        <f t="shared" si="0"/>
        <v>30000000</v>
      </c>
      <c r="AM23" s="447">
        <v>2.9000000000000001E-2</v>
      </c>
      <c r="AN23" s="426">
        <f t="shared" si="13"/>
        <v>2416.6666666666665</v>
      </c>
      <c r="AO23" s="446">
        <f t="shared" si="1"/>
        <v>50000000</v>
      </c>
      <c r="AP23" s="447">
        <v>2.9499999999999998E-2</v>
      </c>
      <c r="AQ23" s="426">
        <f t="shared" si="14"/>
        <v>4097.2222222222226</v>
      </c>
      <c r="AR23" s="446">
        <f t="shared" si="55"/>
        <v>30000000</v>
      </c>
      <c r="AS23" s="447">
        <v>2.8299999999999999E-2</v>
      </c>
      <c r="AT23" s="426">
        <f t="shared" si="15"/>
        <v>2358.3333333333335</v>
      </c>
      <c r="AU23" s="446">
        <f t="shared" si="2"/>
        <v>375000000</v>
      </c>
      <c r="AV23" s="447">
        <v>2.8500000000000001E-2</v>
      </c>
      <c r="AW23" s="426">
        <f t="shared" si="16"/>
        <v>29687.5</v>
      </c>
      <c r="AX23" s="446"/>
      <c r="AY23" s="447"/>
      <c r="AZ23" s="426">
        <f t="shared" si="17"/>
        <v>0</v>
      </c>
      <c r="BC23" s="426">
        <f t="shared" si="18"/>
        <v>0</v>
      </c>
      <c r="BF23" s="426">
        <f t="shared" si="19"/>
        <v>0</v>
      </c>
      <c r="BI23" s="426">
        <f t="shared" si="20"/>
        <v>0</v>
      </c>
      <c r="BL23" s="426">
        <f t="shared" si="21"/>
        <v>0</v>
      </c>
      <c r="BO23" s="426">
        <f t="shared" si="22"/>
        <v>0</v>
      </c>
      <c r="BR23" s="426">
        <f t="shared" si="23"/>
        <v>0</v>
      </c>
      <c r="BU23" s="426">
        <f t="shared" si="24"/>
        <v>0</v>
      </c>
      <c r="BX23" s="426">
        <f t="shared" si="25"/>
        <v>0</v>
      </c>
      <c r="CA23" s="426">
        <f t="shared" si="26"/>
        <v>0</v>
      </c>
      <c r="CD23" s="426">
        <f t="shared" si="27"/>
        <v>0</v>
      </c>
      <c r="CG23" s="426">
        <f t="shared" si="28"/>
        <v>0</v>
      </c>
      <c r="CJ23" s="426">
        <f t="shared" si="29"/>
        <v>0</v>
      </c>
      <c r="CM23" s="426">
        <f t="shared" si="30"/>
        <v>0</v>
      </c>
      <c r="CP23" s="426">
        <f t="shared" si="31"/>
        <v>0</v>
      </c>
      <c r="CS23" s="426">
        <f t="shared" si="32"/>
        <v>0</v>
      </c>
      <c r="CV23" s="426">
        <f t="shared" si="33"/>
        <v>0</v>
      </c>
      <c r="CY23" s="426">
        <f t="shared" si="34"/>
        <v>0</v>
      </c>
      <c r="DB23" s="426">
        <f t="shared" si="35"/>
        <v>0</v>
      </c>
      <c r="DE23" s="426">
        <f t="shared" si="36"/>
        <v>0</v>
      </c>
      <c r="DH23" s="426">
        <f t="shared" si="37"/>
        <v>0</v>
      </c>
      <c r="DK23" s="426">
        <f t="shared" si="38"/>
        <v>0</v>
      </c>
      <c r="DN23" s="426">
        <f t="shared" si="39"/>
        <v>0</v>
      </c>
      <c r="DQ23" s="426">
        <f t="shared" si="40"/>
        <v>0</v>
      </c>
      <c r="DT23" s="426">
        <f t="shared" si="41"/>
        <v>0</v>
      </c>
      <c r="DW23" s="426">
        <f t="shared" si="42"/>
        <v>0</v>
      </c>
      <c r="DZ23" s="426"/>
      <c r="EA23" s="426"/>
      <c r="EB23" s="228">
        <f t="shared" si="43"/>
        <v>498350000</v>
      </c>
      <c r="EC23" s="228">
        <f t="shared" si="44"/>
        <v>0</v>
      </c>
      <c r="ED23" s="426">
        <f t="shared" si="45"/>
        <v>39560.972222222219</v>
      </c>
      <c r="EE23" s="427">
        <f t="shared" si="46"/>
        <v>2.8578208086686058E-2</v>
      </c>
      <c r="EG23" s="228">
        <f t="shared" si="47"/>
        <v>0</v>
      </c>
      <c r="EH23" s="426">
        <f t="shared" si="48"/>
        <v>0</v>
      </c>
      <c r="EI23" s="427">
        <f t="shared" si="49"/>
        <v>0</v>
      </c>
      <c r="EJ23" s="427"/>
      <c r="EK23" s="228">
        <f t="shared" si="50"/>
        <v>498350000</v>
      </c>
      <c r="EL23" s="228">
        <f t="shared" si="51"/>
        <v>0</v>
      </c>
      <c r="EM23" s="228">
        <f t="shared" si="52"/>
        <v>39560.972222222219</v>
      </c>
      <c r="EN23" s="427">
        <f t="shared" si="53"/>
        <v>2.8578208086686058E-2</v>
      </c>
      <c r="EP23" s="426"/>
    </row>
    <row r="24" spans="1:146">
      <c r="A24" s="445">
        <f t="shared" si="54"/>
        <v>43509</v>
      </c>
      <c r="D24" s="426">
        <f t="shared" si="3"/>
        <v>0</v>
      </c>
      <c r="G24" s="426">
        <f t="shared" si="4"/>
        <v>0</v>
      </c>
      <c r="J24" s="426">
        <f t="shared" si="5"/>
        <v>0</v>
      </c>
      <c r="M24" s="426">
        <f t="shared" si="6"/>
        <v>0</v>
      </c>
      <c r="P24" s="426">
        <f t="shared" si="7"/>
        <v>0</v>
      </c>
      <c r="S24" s="426">
        <f t="shared" si="8"/>
        <v>0</v>
      </c>
      <c r="V24" s="426">
        <f t="shared" si="9"/>
        <v>0</v>
      </c>
      <c r="Y24" s="426">
        <f t="shared" si="10"/>
        <v>0</v>
      </c>
      <c r="AB24" s="426">
        <f t="shared" si="11"/>
        <v>0</v>
      </c>
      <c r="AE24" s="426">
        <v>0</v>
      </c>
      <c r="AH24" s="426">
        <v>0</v>
      </c>
      <c r="AI24" s="446">
        <f>13675000</f>
        <v>13675000</v>
      </c>
      <c r="AJ24" s="447">
        <v>2.7E-2</v>
      </c>
      <c r="AK24" s="426">
        <f t="shared" si="12"/>
        <v>1025.625</v>
      </c>
      <c r="AL24" s="446">
        <f t="shared" si="0"/>
        <v>30000000</v>
      </c>
      <c r="AM24" s="447">
        <v>2.9000000000000001E-2</v>
      </c>
      <c r="AN24" s="426">
        <f t="shared" si="13"/>
        <v>2416.6666666666665</v>
      </c>
      <c r="AO24" s="446">
        <f t="shared" si="1"/>
        <v>50000000</v>
      </c>
      <c r="AP24" s="447">
        <v>2.9499999999999998E-2</v>
      </c>
      <c r="AQ24" s="426">
        <f t="shared" si="14"/>
        <v>4097.2222222222226</v>
      </c>
      <c r="AR24" s="446">
        <f t="shared" si="55"/>
        <v>30000000</v>
      </c>
      <c r="AS24" s="447">
        <v>2.8299999999999999E-2</v>
      </c>
      <c r="AT24" s="426">
        <f t="shared" si="15"/>
        <v>2358.3333333333335</v>
      </c>
      <c r="AU24" s="446">
        <f t="shared" si="2"/>
        <v>375000000</v>
      </c>
      <c r="AV24" s="447">
        <v>2.8500000000000001E-2</v>
      </c>
      <c r="AW24" s="426">
        <f t="shared" si="16"/>
        <v>29687.5</v>
      </c>
      <c r="AX24" s="446"/>
      <c r="AY24" s="447"/>
      <c r="AZ24" s="426">
        <f t="shared" si="17"/>
        <v>0</v>
      </c>
      <c r="BC24" s="426">
        <f t="shared" si="18"/>
        <v>0</v>
      </c>
      <c r="BF24" s="426">
        <f t="shared" si="19"/>
        <v>0</v>
      </c>
      <c r="BI24" s="426">
        <f t="shared" si="20"/>
        <v>0</v>
      </c>
      <c r="BL24" s="426">
        <f t="shared" si="21"/>
        <v>0</v>
      </c>
      <c r="BO24" s="426">
        <f t="shared" si="22"/>
        <v>0</v>
      </c>
      <c r="BR24" s="426">
        <f t="shared" si="23"/>
        <v>0</v>
      </c>
      <c r="BU24" s="426">
        <f t="shared" si="24"/>
        <v>0</v>
      </c>
      <c r="BX24" s="426">
        <f t="shared" si="25"/>
        <v>0</v>
      </c>
      <c r="CA24" s="426">
        <f t="shared" si="26"/>
        <v>0</v>
      </c>
      <c r="CD24" s="426">
        <f t="shared" si="27"/>
        <v>0</v>
      </c>
      <c r="CG24" s="426">
        <f t="shared" si="28"/>
        <v>0</v>
      </c>
      <c r="CJ24" s="426">
        <f t="shared" si="29"/>
        <v>0</v>
      </c>
      <c r="CM24" s="426">
        <f t="shared" si="30"/>
        <v>0</v>
      </c>
      <c r="CP24" s="426">
        <f t="shared" si="31"/>
        <v>0</v>
      </c>
      <c r="CS24" s="426">
        <f t="shared" si="32"/>
        <v>0</v>
      </c>
      <c r="CV24" s="426">
        <f t="shared" si="33"/>
        <v>0</v>
      </c>
      <c r="CY24" s="426">
        <f t="shared" si="34"/>
        <v>0</v>
      </c>
      <c r="DB24" s="426">
        <f t="shared" si="35"/>
        <v>0</v>
      </c>
      <c r="DE24" s="426">
        <f t="shared" si="36"/>
        <v>0</v>
      </c>
      <c r="DH24" s="426">
        <f t="shared" si="37"/>
        <v>0</v>
      </c>
      <c r="DK24" s="426">
        <f t="shared" si="38"/>
        <v>0</v>
      </c>
      <c r="DN24" s="426">
        <f t="shared" si="39"/>
        <v>0</v>
      </c>
      <c r="DQ24" s="426">
        <f t="shared" si="40"/>
        <v>0</v>
      </c>
      <c r="DT24" s="426">
        <f t="shared" si="41"/>
        <v>0</v>
      </c>
      <c r="DW24" s="426">
        <f t="shared" si="42"/>
        <v>0</v>
      </c>
      <c r="DZ24" s="426"/>
      <c r="EA24" s="426"/>
      <c r="EB24" s="228">
        <f t="shared" si="43"/>
        <v>498675000</v>
      </c>
      <c r="EC24" s="228">
        <f t="shared" si="44"/>
        <v>0</v>
      </c>
      <c r="ED24" s="426">
        <f t="shared" si="45"/>
        <v>39585.347222222219</v>
      </c>
      <c r="EE24" s="427">
        <f t="shared" si="46"/>
        <v>2.8577179525743217E-2</v>
      </c>
      <c r="EG24" s="228">
        <f t="shared" si="47"/>
        <v>0</v>
      </c>
      <c r="EH24" s="426">
        <f t="shared" si="48"/>
        <v>0</v>
      </c>
      <c r="EI24" s="427">
        <f t="shared" si="49"/>
        <v>0</v>
      </c>
      <c r="EJ24" s="427"/>
      <c r="EK24" s="228">
        <f t="shared" si="50"/>
        <v>498675000</v>
      </c>
      <c r="EL24" s="228">
        <f t="shared" si="51"/>
        <v>0</v>
      </c>
      <c r="EM24" s="228">
        <f t="shared" si="52"/>
        <v>39585.347222222219</v>
      </c>
      <c r="EN24" s="427">
        <f t="shared" si="53"/>
        <v>2.8577179525743217E-2</v>
      </c>
      <c r="EP24" s="426"/>
    </row>
    <row r="25" spans="1:146">
      <c r="A25" s="445">
        <f t="shared" si="54"/>
        <v>43510</v>
      </c>
      <c r="D25" s="426">
        <f t="shared" si="3"/>
        <v>0</v>
      </c>
      <c r="G25" s="426">
        <f t="shared" si="4"/>
        <v>0</v>
      </c>
      <c r="J25" s="426">
        <f t="shared" si="5"/>
        <v>0</v>
      </c>
      <c r="M25" s="426">
        <f t="shared" si="6"/>
        <v>0</v>
      </c>
      <c r="P25" s="426">
        <f t="shared" si="7"/>
        <v>0</v>
      </c>
      <c r="S25" s="426">
        <f t="shared" si="8"/>
        <v>0</v>
      </c>
      <c r="V25" s="426">
        <f t="shared" si="9"/>
        <v>0</v>
      </c>
      <c r="Y25" s="426">
        <f t="shared" si="10"/>
        <v>0</v>
      </c>
      <c r="AB25" s="426">
        <f t="shared" si="11"/>
        <v>0</v>
      </c>
      <c r="AE25" s="426">
        <v>0</v>
      </c>
      <c r="AH25" s="426">
        <v>0</v>
      </c>
      <c r="AI25" s="446">
        <f>30300000</f>
        <v>30300000</v>
      </c>
      <c r="AJ25" s="447">
        <v>2.7E-2</v>
      </c>
      <c r="AK25" s="426">
        <f t="shared" si="12"/>
        <v>2272.5</v>
      </c>
      <c r="AL25" s="446">
        <f t="shared" si="0"/>
        <v>30000000</v>
      </c>
      <c r="AM25" s="447">
        <v>2.9000000000000001E-2</v>
      </c>
      <c r="AN25" s="426">
        <f t="shared" si="13"/>
        <v>2416.6666666666665</v>
      </c>
      <c r="AO25" s="446"/>
      <c r="AP25" s="447"/>
      <c r="AQ25" s="426">
        <f t="shared" si="14"/>
        <v>0</v>
      </c>
      <c r="AR25" s="446">
        <f t="shared" si="55"/>
        <v>30000000</v>
      </c>
      <c r="AS25" s="447">
        <v>2.8299999999999999E-2</v>
      </c>
      <c r="AT25" s="426">
        <f t="shared" si="15"/>
        <v>2358.3333333333335</v>
      </c>
      <c r="AU25" s="446">
        <f t="shared" si="2"/>
        <v>375000000</v>
      </c>
      <c r="AV25" s="447">
        <v>2.8500000000000001E-2</v>
      </c>
      <c r="AW25" s="426">
        <f t="shared" si="16"/>
        <v>29687.5</v>
      </c>
      <c r="AX25" s="446">
        <f t="shared" ref="AX25:AX39" si="56">35000000</f>
        <v>35000000</v>
      </c>
      <c r="AY25" s="447">
        <v>2.8000000000000001E-2</v>
      </c>
      <c r="AZ25" s="426">
        <f t="shared" si="17"/>
        <v>2722.2222222222222</v>
      </c>
      <c r="BC25" s="426">
        <f t="shared" si="18"/>
        <v>0</v>
      </c>
      <c r="BF25" s="426">
        <f t="shared" si="19"/>
        <v>0</v>
      </c>
      <c r="BI25" s="426">
        <f t="shared" si="20"/>
        <v>0</v>
      </c>
      <c r="BL25" s="426">
        <f t="shared" si="21"/>
        <v>0</v>
      </c>
      <c r="BO25" s="426">
        <f t="shared" si="22"/>
        <v>0</v>
      </c>
      <c r="BR25" s="426">
        <f t="shared" si="23"/>
        <v>0</v>
      </c>
      <c r="BU25" s="426">
        <f t="shared" si="24"/>
        <v>0</v>
      </c>
      <c r="BX25" s="426">
        <f t="shared" si="25"/>
        <v>0</v>
      </c>
      <c r="CA25" s="426">
        <f t="shared" si="26"/>
        <v>0</v>
      </c>
      <c r="CD25" s="426">
        <f t="shared" si="27"/>
        <v>0</v>
      </c>
      <c r="CG25" s="426">
        <f t="shared" si="28"/>
        <v>0</v>
      </c>
      <c r="CJ25" s="426">
        <f t="shared" si="29"/>
        <v>0</v>
      </c>
      <c r="CM25" s="426">
        <f t="shared" si="30"/>
        <v>0</v>
      </c>
      <c r="CP25" s="426">
        <f t="shared" si="31"/>
        <v>0</v>
      </c>
      <c r="CS25" s="426">
        <f t="shared" si="32"/>
        <v>0</v>
      </c>
      <c r="CV25" s="426">
        <f t="shared" si="33"/>
        <v>0</v>
      </c>
      <c r="CY25" s="426">
        <f t="shared" si="34"/>
        <v>0</v>
      </c>
      <c r="DB25" s="426">
        <f t="shared" si="35"/>
        <v>0</v>
      </c>
      <c r="DE25" s="426">
        <f t="shared" si="36"/>
        <v>0</v>
      </c>
      <c r="DH25" s="426">
        <f t="shared" si="37"/>
        <v>0</v>
      </c>
      <c r="DK25" s="426">
        <f t="shared" si="38"/>
        <v>0</v>
      </c>
      <c r="DN25" s="426">
        <f t="shared" si="39"/>
        <v>0</v>
      </c>
      <c r="DQ25" s="426">
        <f t="shared" si="40"/>
        <v>0</v>
      </c>
      <c r="DT25" s="426">
        <f t="shared" si="41"/>
        <v>0</v>
      </c>
      <c r="DW25" s="426">
        <f t="shared" si="42"/>
        <v>0</v>
      </c>
      <c r="DZ25" s="426"/>
      <c r="EA25" s="426"/>
      <c r="EB25" s="228">
        <f t="shared" si="43"/>
        <v>500300000</v>
      </c>
      <c r="EC25" s="228">
        <f t="shared" si="44"/>
        <v>0</v>
      </c>
      <c r="ED25" s="426">
        <f t="shared" si="45"/>
        <v>39457.222222222219</v>
      </c>
      <c r="EE25" s="427">
        <f t="shared" si="46"/>
        <v>2.8392164701179293E-2</v>
      </c>
      <c r="EG25" s="228">
        <f t="shared" si="47"/>
        <v>0</v>
      </c>
      <c r="EH25" s="426">
        <f t="shared" si="48"/>
        <v>0</v>
      </c>
      <c r="EI25" s="427">
        <f t="shared" si="49"/>
        <v>0</v>
      </c>
      <c r="EJ25" s="427"/>
      <c r="EK25" s="228">
        <f t="shared" si="50"/>
        <v>500300000</v>
      </c>
      <c r="EL25" s="228">
        <f t="shared" si="51"/>
        <v>0</v>
      </c>
      <c r="EM25" s="228">
        <f t="shared" si="52"/>
        <v>39457.222222222219</v>
      </c>
      <c r="EN25" s="427">
        <f t="shared" si="53"/>
        <v>2.8392164701179293E-2</v>
      </c>
      <c r="EP25" s="426"/>
    </row>
    <row r="26" spans="1:146">
      <c r="A26" s="445">
        <f t="shared" si="54"/>
        <v>43511</v>
      </c>
      <c r="D26" s="426">
        <f t="shared" si="3"/>
        <v>0</v>
      </c>
      <c r="G26" s="426">
        <f t="shared" si="4"/>
        <v>0</v>
      </c>
      <c r="J26" s="426">
        <f t="shared" si="5"/>
        <v>0</v>
      </c>
      <c r="M26" s="426">
        <f t="shared" si="6"/>
        <v>0</v>
      </c>
      <c r="P26" s="426">
        <f t="shared" si="7"/>
        <v>0</v>
      </c>
      <c r="S26" s="426">
        <f t="shared" si="8"/>
        <v>0</v>
      </c>
      <c r="V26" s="426">
        <f t="shared" si="9"/>
        <v>0</v>
      </c>
      <c r="Y26" s="426">
        <f t="shared" si="10"/>
        <v>0</v>
      </c>
      <c r="AB26" s="426">
        <f t="shared" si="11"/>
        <v>0</v>
      </c>
      <c r="AE26" s="426">
        <v>0</v>
      </c>
      <c r="AH26" s="426">
        <v>0</v>
      </c>
      <c r="AI26" s="446">
        <f>75300000</f>
        <v>75300000</v>
      </c>
      <c r="AJ26" s="447">
        <v>2.7E-2</v>
      </c>
      <c r="AK26" s="426">
        <f t="shared" si="12"/>
        <v>5647.5</v>
      </c>
      <c r="AL26" s="446"/>
      <c r="AM26" s="447"/>
      <c r="AN26" s="426">
        <f t="shared" si="13"/>
        <v>0</v>
      </c>
      <c r="AO26" s="446"/>
      <c r="AP26" s="447"/>
      <c r="AQ26" s="426">
        <f t="shared" si="14"/>
        <v>0</v>
      </c>
      <c r="AR26" s="446">
        <f t="shared" si="55"/>
        <v>30000000</v>
      </c>
      <c r="AS26" s="447">
        <v>2.8299999999999999E-2</v>
      </c>
      <c r="AT26" s="426">
        <f t="shared" si="15"/>
        <v>2358.3333333333335</v>
      </c>
      <c r="AU26" s="446">
        <f t="shared" si="2"/>
        <v>375000000</v>
      </c>
      <c r="AV26" s="447">
        <v>2.8500000000000001E-2</v>
      </c>
      <c r="AW26" s="426">
        <f t="shared" si="16"/>
        <v>29687.5</v>
      </c>
      <c r="AX26" s="446">
        <f t="shared" si="56"/>
        <v>35000000</v>
      </c>
      <c r="AY26" s="447">
        <v>2.8000000000000001E-2</v>
      </c>
      <c r="AZ26" s="426">
        <f t="shared" si="17"/>
        <v>2722.2222222222222</v>
      </c>
      <c r="BC26" s="426">
        <f t="shared" si="18"/>
        <v>0</v>
      </c>
      <c r="BF26" s="426">
        <f t="shared" si="19"/>
        <v>0</v>
      </c>
      <c r="BI26" s="426">
        <f t="shared" si="20"/>
        <v>0</v>
      </c>
      <c r="BL26" s="426">
        <f t="shared" si="21"/>
        <v>0</v>
      </c>
      <c r="BO26" s="426">
        <f t="shared" si="22"/>
        <v>0</v>
      </c>
      <c r="BR26" s="426">
        <f t="shared" si="23"/>
        <v>0</v>
      </c>
      <c r="BU26" s="426">
        <f t="shared" si="24"/>
        <v>0</v>
      </c>
      <c r="BX26" s="426">
        <f t="shared" si="25"/>
        <v>0</v>
      </c>
      <c r="CA26" s="426">
        <f t="shared" si="26"/>
        <v>0</v>
      </c>
      <c r="CD26" s="426">
        <f t="shared" si="27"/>
        <v>0</v>
      </c>
      <c r="CG26" s="426">
        <f t="shared" si="28"/>
        <v>0</v>
      </c>
      <c r="CJ26" s="426">
        <f t="shared" si="29"/>
        <v>0</v>
      </c>
      <c r="CM26" s="426">
        <f t="shared" si="30"/>
        <v>0</v>
      </c>
      <c r="CP26" s="426">
        <f t="shared" si="31"/>
        <v>0</v>
      </c>
      <c r="CS26" s="426">
        <f t="shared" si="32"/>
        <v>0</v>
      </c>
      <c r="CV26" s="426">
        <f t="shared" si="33"/>
        <v>0</v>
      </c>
      <c r="CY26" s="426">
        <f t="shared" si="34"/>
        <v>0</v>
      </c>
      <c r="DB26" s="426">
        <f t="shared" si="35"/>
        <v>0</v>
      </c>
      <c r="DE26" s="426">
        <f t="shared" si="36"/>
        <v>0</v>
      </c>
      <c r="DH26" s="426">
        <f t="shared" si="37"/>
        <v>0</v>
      </c>
      <c r="DK26" s="426">
        <f t="shared" si="38"/>
        <v>0</v>
      </c>
      <c r="DN26" s="426">
        <f t="shared" si="39"/>
        <v>0</v>
      </c>
      <c r="DQ26" s="426">
        <f t="shared" si="40"/>
        <v>0</v>
      </c>
      <c r="DT26" s="426">
        <f t="shared" si="41"/>
        <v>0</v>
      </c>
      <c r="DW26" s="426">
        <f t="shared" si="42"/>
        <v>0</v>
      </c>
      <c r="DZ26" s="426"/>
      <c r="EA26" s="426"/>
      <c r="EB26" s="228">
        <f t="shared" si="43"/>
        <v>515300000</v>
      </c>
      <c r="EC26" s="228">
        <f t="shared" si="44"/>
        <v>0</v>
      </c>
      <c r="ED26" s="426">
        <f t="shared" si="45"/>
        <v>40415.555555555555</v>
      </c>
      <c r="EE26" s="427">
        <f t="shared" si="46"/>
        <v>2.8235202794488649E-2</v>
      </c>
      <c r="EG26" s="228">
        <f t="shared" si="47"/>
        <v>0</v>
      </c>
      <c r="EH26" s="426">
        <f t="shared" si="48"/>
        <v>0</v>
      </c>
      <c r="EI26" s="427">
        <f t="shared" si="49"/>
        <v>0</v>
      </c>
      <c r="EJ26" s="427"/>
      <c r="EK26" s="228">
        <f t="shared" si="50"/>
        <v>515300000</v>
      </c>
      <c r="EL26" s="228">
        <f t="shared" si="51"/>
        <v>0</v>
      </c>
      <c r="EM26" s="228">
        <f t="shared" si="52"/>
        <v>40415.555555555555</v>
      </c>
      <c r="EN26" s="427">
        <f t="shared" si="53"/>
        <v>2.8235202794488649E-2</v>
      </c>
      <c r="EP26" s="426"/>
    </row>
    <row r="27" spans="1:146">
      <c r="A27" s="445">
        <f t="shared" si="54"/>
        <v>43512</v>
      </c>
      <c r="D27" s="426">
        <f t="shared" si="3"/>
        <v>0</v>
      </c>
      <c r="G27" s="426">
        <f t="shared" si="4"/>
        <v>0</v>
      </c>
      <c r="J27" s="426">
        <f t="shared" si="5"/>
        <v>0</v>
      </c>
      <c r="M27" s="426">
        <f t="shared" si="6"/>
        <v>0</v>
      </c>
      <c r="P27" s="426">
        <f t="shared" si="7"/>
        <v>0</v>
      </c>
      <c r="S27" s="426">
        <f t="shared" si="8"/>
        <v>0</v>
      </c>
      <c r="V27" s="426">
        <f t="shared" si="9"/>
        <v>0</v>
      </c>
      <c r="Y27" s="426">
        <f t="shared" si="10"/>
        <v>0</v>
      </c>
      <c r="AB27" s="426">
        <f t="shared" si="11"/>
        <v>0</v>
      </c>
      <c r="AE27" s="426">
        <v>0</v>
      </c>
      <c r="AH27" s="426">
        <v>0</v>
      </c>
      <c r="AI27" s="446">
        <f>75300000</f>
        <v>75300000</v>
      </c>
      <c r="AJ27" s="447">
        <v>2.7E-2</v>
      </c>
      <c r="AK27" s="426">
        <f t="shared" si="12"/>
        <v>5647.5</v>
      </c>
      <c r="AL27" s="446"/>
      <c r="AM27" s="447"/>
      <c r="AN27" s="426">
        <f t="shared" si="13"/>
        <v>0</v>
      </c>
      <c r="AO27" s="446"/>
      <c r="AP27" s="447"/>
      <c r="AQ27" s="426">
        <f t="shared" si="14"/>
        <v>0</v>
      </c>
      <c r="AR27" s="446">
        <f t="shared" si="55"/>
        <v>30000000</v>
      </c>
      <c r="AS27" s="447">
        <v>2.8299999999999999E-2</v>
      </c>
      <c r="AT27" s="426">
        <f t="shared" si="15"/>
        <v>2358.3333333333335</v>
      </c>
      <c r="AU27" s="446">
        <f t="shared" si="2"/>
        <v>375000000</v>
      </c>
      <c r="AV27" s="447">
        <v>2.8500000000000001E-2</v>
      </c>
      <c r="AW27" s="426">
        <f t="shared" si="16"/>
        <v>29687.5</v>
      </c>
      <c r="AX27" s="446">
        <f t="shared" si="56"/>
        <v>35000000</v>
      </c>
      <c r="AY27" s="447">
        <v>2.8000000000000001E-2</v>
      </c>
      <c r="AZ27" s="426">
        <f t="shared" si="17"/>
        <v>2722.2222222222222</v>
      </c>
      <c r="BC27" s="426">
        <f t="shared" si="18"/>
        <v>0</v>
      </c>
      <c r="BF27" s="426">
        <f t="shared" si="19"/>
        <v>0</v>
      </c>
      <c r="BI27" s="426">
        <f t="shared" si="20"/>
        <v>0</v>
      </c>
      <c r="BL27" s="426">
        <f t="shared" si="21"/>
        <v>0</v>
      </c>
      <c r="BO27" s="426">
        <f t="shared" si="22"/>
        <v>0</v>
      </c>
      <c r="BR27" s="426">
        <f t="shared" si="23"/>
        <v>0</v>
      </c>
      <c r="BU27" s="426">
        <f t="shared" si="24"/>
        <v>0</v>
      </c>
      <c r="BX27" s="426">
        <f t="shared" si="25"/>
        <v>0</v>
      </c>
      <c r="CA27" s="426">
        <f t="shared" si="26"/>
        <v>0</v>
      </c>
      <c r="CD27" s="426">
        <f t="shared" si="27"/>
        <v>0</v>
      </c>
      <c r="CG27" s="426">
        <f t="shared" si="28"/>
        <v>0</v>
      </c>
      <c r="CJ27" s="426">
        <f t="shared" si="29"/>
        <v>0</v>
      </c>
      <c r="CM27" s="426">
        <f t="shared" si="30"/>
        <v>0</v>
      </c>
      <c r="CP27" s="426">
        <f t="shared" si="31"/>
        <v>0</v>
      </c>
      <c r="CS27" s="426">
        <f t="shared" si="32"/>
        <v>0</v>
      </c>
      <c r="CV27" s="426">
        <f t="shared" si="33"/>
        <v>0</v>
      </c>
      <c r="CY27" s="426">
        <f t="shared" si="34"/>
        <v>0</v>
      </c>
      <c r="DB27" s="426">
        <f t="shared" si="35"/>
        <v>0</v>
      </c>
      <c r="DE27" s="426">
        <f t="shared" si="36"/>
        <v>0</v>
      </c>
      <c r="DH27" s="426">
        <f t="shared" si="37"/>
        <v>0</v>
      </c>
      <c r="DK27" s="426">
        <f t="shared" si="38"/>
        <v>0</v>
      </c>
      <c r="DN27" s="426">
        <f t="shared" si="39"/>
        <v>0</v>
      </c>
      <c r="DQ27" s="426">
        <f t="shared" si="40"/>
        <v>0</v>
      </c>
      <c r="DT27" s="426">
        <f t="shared" si="41"/>
        <v>0</v>
      </c>
      <c r="DW27" s="426">
        <f t="shared" si="42"/>
        <v>0</v>
      </c>
      <c r="DZ27" s="426"/>
      <c r="EA27" s="426"/>
      <c r="EB27" s="228">
        <f t="shared" si="43"/>
        <v>515300000</v>
      </c>
      <c r="EC27" s="228">
        <f t="shared" si="44"/>
        <v>0</v>
      </c>
      <c r="ED27" s="426">
        <f t="shared" si="45"/>
        <v>40415.555555555555</v>
      </c>
      <c r="EE27" s="427">
        <f t="shared" si="46"/>
        <v>2.8235202794488649E-2</v>
      </c>
      <c r="EG27" s="228">
        <f t="shared" si="47"/>
        <v>0</v>
      </c>
      <c r="EH27" s="426">
        <f t="shared" si="48"/>
        <v>0</v>
      </c>
      <c r="EI27" s="427">
        <f t="shared" si="49"/>
        <v>0</v>
      </c>
      <c r="EJ27" s="427"/>
      <c r="EK27" s="228">
        <f t="shared" si="50"/>
        <v>515300000</v>
      </c>
      <c r="EL27" s="228">
        <f t="shared" si="51"/>
        <v>0</v>
      </c>
      <c r="EM27" s="228">
        <f t="shared" si="52"/>
        <v>40415.555555555555</v>
      </c>
      <c r="EN27" s="427">
        <f t="shared" si="53"/>
        <v>2.8235202794488649E-2</v>
      </c>
      <c r="EP27" s="426"/>
    </row>
    <row r="28" spans="1:146">
      <c r="A28" s="445">
        <f t="shared" si="54"/>
        <v>43513</v>
      </c>
      <c r="D28" s="426">
        <f t="shared" si="3"/>
        <v>0</v>
      </c>
      <c r="G28" s="426">
        <f t="shared" si="4"/>
        <v>0</v>
      </c>
      <c r="J28" s="426">
        <f t="shared" si="5"/>
        <v>0</v>
      </c>
      <c r="M28" s="426">
        <f t="shared" si="6"/>
        <v>0</v>
      </c>
      <c r="P28" s="426">
        <f t="shared" si="7"/>
        <v>0</v>
      </c>
      <c r="S28" s="426">
        <f t="shared" si="8"/>
        <v>0</v>
      </c>
      <c r="V28" s="426">
        <f t="shared" si="9"/>
        <v>0</v>
      </c>
      <c r="Y28" s="426">
        <f t="shared" si="10"/>
        <v>0</v>
      </c>
      <c r="AB28" s="426">
        <f t="shared" si="11"/>
        <v>0</v>
      </c>
      <c r="AE28" s="426">
        <v>0</v>
      </c>
      <c r="AH28" s="426">
        <v>0</v>
      </c>
      <c r="AI28" s="446">
        <f>75300000</f>
        <v>75300000</v>
      </c>
      <c r="AJ28" s="447">
        <v>2.7E-2</v>
      </c>
      <c r="AK28" s="426">
        <f t="shared" si="12"/>
        <v>5647.5</v>
      </c>
      <c r="AL28" s="446"/>
      <c r="AM28" s="447"/>
      <c r="AN28" s="426">
        <f t="shared" si="13"/>
        <v>0</v>
      </c>
      <c r="AO28" s="446"/>
      <c r="AP28" s="447"/>
      <c r="AQ28" s="426">
        <f t="shared" si="14"/>
        <v>0</v>
      </c>
      <c r="AR28" s="446">
        <f t="shared" si="55"/>
        <v>30000000</v>
      </c>
      <c r="AS28" s="447">
        <v>2.8299999999999999E-2</v>
      </c>
      <c r="AT28" s="426">
        <f t="shared" si="15"/>
        <v>2358.3333333333335</v>
      </c>
      <c r="AU28" s="446">
        <f t="shared" si="2"/>
        <v>375000000</v>
      </c>
      <c r="AV28" s="447">
        <v>2.8500000000000001E-2</v>
      </c>
      <c r="AW28" s="426">
        <f t="shared" si="16"/>
        <v>29687.5</v>
      </c>
      <c r="AX28" s="446">
        <f t="shared" si="56"/>
        <v>35000000</v>
      </c>
      <c r="AY28" s="447">
        <v>2.8000000000000001E-2</v>
      </c>
      <c r="AZ28" s="426">
        <f t="shared" si="17"/>
        <v>2722.2222222222222</v>
      </c>
      <c r="BC28" s="426">
        <f t="shared" si="18"/>
        <v>0</v>
      </c>
      <c r="BF28" s="426">
        <f t="shared" si="19"/>
        <v>0</v>
      </c>
      <c r="BI28" s="426">
        <f t="shared" si="20"/>
        <v>0</v>
      </c>
      <c r="BL28" s="426">
        <f t="shared" si="21"/>
        <v>0</v>
      </c>
      <c r="BO28" s="426">
        <f t="shared" si="22"/>
        <v>0</v>
      </c>
      <c r="BR28" s="426">
        <f t="shared" si="23"/>
        <v>0</v>
      </c>
      <c r="BU28" s="426">
        <f t="shared" si="24"/>
        <v>0</v>
      </c>
      <c r="BX28" s="426">
        <f t="shared" si="25"/>
        <v>0</v>
      </c>
      <c r="CA28" s="426">
        <f t="shared" si="26"/>
        <v>0</v>
      </c>
      <c r="CD28" s="426">
        <f t="shared" si="27"/>
        <v>0</v>
      </c>
      <c r="CG28" s="426">
        <f t="shared" si="28"/>
        <v>0</v>
      </c>
      <c r="CJ28" s="426">
        <f t="shared" si="29"/>
        <v>0</v>
      </c>
      <c r="CM28" s="426">
        <f t="shared" si="30"/>
        <v>0</v>
      </c>
      <c r="CP28" s="426">
        <f t="shared" si="31"/>
        <v>0</v>
      </c>
      <c r="CS28" s="426">
        <f t="shared" si="32"/>
        <v>0</v>
      </c>
      <c r="CV28" s="426">
        <f t="shared" si="33"/>
        <v>0</v>
      </c>
      <c r="CY28" s="426">
        <f t="shared" si="34"/>
        <v>0</v>
      </c>
      <c r="DB28" s="426">
        <f t="shared" si="35"/>
        <v>0</v>
      </c>
      <c r="DE28" s="426">
        <f t="shared" si="36"/>
        <v>0</v>
      </c>
      <c r="DH28" s="426">
        <f t="shared" si="37"/>
        <v>0</v>
      </c>
      <c r="DK28" s="426">
        <f t="shared" si="38"/>
        <v>0</v>
      </c>
      <c r="DN28" s="426">
        <f t="shared" si="39"/>
        <v>0</v>
      </c>
      <c r="DQ28" s="426">
        <f t="shared" si="40"/>
        <v>0</v>
      </c>
      <c r="DT28" s="426">
        <f t="shared" si="41"/>
        <v>0</v>
      </c>
      <c r="DW28" s="426">
        <f t="shared" si="42"/>
        <v>0</v>
      </c>
      <c r="DZ28" s="426"/>
      <c r="EA28" s="426"/>
      <c r="EB28" s="228">
        <f t="shared" si="43"/>
        <v>515300000</v>
      </c>
      <c r="EC28" s="228">
        <f t="shared" si="44"/>
        <v>0</v>
      </c>
      <c r="ED28" s="426">
        <f t="shared" si="45"/>
        <v>40415.555555555555</v>
      </c>
      <c r="EE28" s="427">
        <f t="shared" si="46"/>
        <v>2.8235202794488649E-2</v>
      </c>
      <c r="EG28" s="228">
        <f t="shared" si="47"/>
        <v>0</v>
      </c>
      <c r="EH28" s="426">
        <f t="shared" si="48"/>
        <v>0</v>
      </c>
      <c r="EI28" s="427">
        <f t="shared" si="49"/>
        <v>0</v>
      </c>
      <c r="EJ28" s="427"/>
      <c r="EK28" s="228">
        <f t="shared" si="50"/>
        <v>515300000</v>
      </c>
      <c r="EL28" s="228">
        <f t="shared" si="51"/>
        <v>0</v>
      </c>
      <c r="EM28" s="228">
        <f t="shared" si="52"/>
        <v>40415.555555555555</v>
      </c>
      <c r="EN28" s="427">
        <f t="shared" si="53"/>
        <v>2.8235202794488649E-2</v>
      </c>
      <c r="EP28" s="426"/>
    </row>
    <row r="29" spans="1:146">
      <c r="A29" s="445">
        <f t="shared" si="54"/>
        <v>43514</v>
      </c>
      <c r="D29" s="426">
        <f t="shared" si="3"/>
        <v>0</v>
      </c>
      <c r="G29" s="426">
        <f t="shared" si="4"/>
        <v>0</v>
      </c>
      <c r="J29" s="426">
        <f t="shared" si="5"/>
        <v>0</v>
      </c>
      <c r="M29" s="426">
        <f t="shared" si="6"/>
        <v>0</v>
      </c>
      <c r="P29" s="426">
        <f t="shared" si="7"/>
        <v>0</v>
      </c>
      <c r="S29" s="426">
        <f t="shared" si="8"/>
        <v>0</v>
      </c>
      <c r="V29" s="426">
        <f t="shared" si="9"/>
        <v>0</v>
      </c>
      <c r="Y29" s="426">
        <f t="shared" si="10"/>
        <v>0</v>
      </c>
      <c r="AB29" s="426">
        <f t="shared" si="11"/>
        <v>0</v>
      </c>
      <c r="AE29" s="426">
        <v>0</v>
      </c>
      <c r="AH29" s="426">
        <v>0</v>
      </c>
      <c r="AI29" s="446">
        <f>75300000</f>
        <v>75300000</v>
      </c>
      <c r="AJ29" s="447">
        <v>2.7E-2</v>
      </c>
      <c r="AK29" s="426">
        <f t="shared" si="12"/>
        <v>5647.5</v>
      </c>
      <c r="AL29" s="446"/>
      <c r="AM29" s="447"/>
      <c r="AN29" s="426">
        <f t="shared" si="13"/>
        <v>0</v>
      </c>
      <c r="AO29" s="446"/>
      <c r="AP29" s="447"/>
      <c r="AQ29" s="426">
        <f t="shared" si="14"/>
        <v>0</v>
      </c>
      <c r="AR29" s="446">
        <f t="shared" si="55"/>
        <v>30000000</v>
      </c>
      <c r="AS29" s="447">
        <v>2.8299999999999999E-2</v>
      </c>
      <c r="AT29" s="426">
        <f t="shared" si="15"/>
        <v>2358.3333333333335</v>
      </c>
      <c r="AU29" s="446">
        <f t="shared" si="2"/>
        <v>375000000</v>
      </c>
      <c r="AV29" s="447">
        <v>2.8500000000000001E-2</v>
      </c>
      <c r="AW29" s="426">
        <f t="shared" si="16"/>
        <v>29687.5</v>
      </c>
      <c r="AX29" s="446">
        <f t="shared" si="56"/>
        <v>35000000</v>
      </c>
      <c r="AY29" s="447">
        <v>2.8000000000000001E-2</v>
      </c>
      <c r="AZ29" s="426">
        <f t="shared" si="17"/>
        <v>2722.2222222222222</v>
      </c>
      <c r="BC29" s="426">
        <f t="shared" si="18"/>
        <v>0</v>
      </c>
      <c r="BF29" s="426">
        <f t="shared" si="19"/>
        <v>0</v>
      </c>
      <c r="BI29" s="426">
        <f t="shared" si="20"/>
        <v>0</v>
      </c>
      <c r="BL29" s="426">
        <f t="shared" si="21"/>
        <v>0</v>
      </c>
      <c r="BO29" s="426">
        <f t="shared" si="22"/>
        <v>0</v>
      </c>
      <c r="BR29" s="426">
        <f t="shared" si="23"/>
        <v>0</v>
      </c>
      <c r="BU29" s="426">
        <f t="shared" si="24"/>
        <v>0</v>
      </c>
      <c r="BX29" s="426">
        <f t="shared" si="25"/>
        <v>0</v>
      </c>
      <c r="CA29" s="426">
        <f t="shared" si="26"/>
        <v>0</v>
      </c>
      <c r="CD29" s="426">
        <f t="shared" si="27"/>
        <v>0</v>
      </c>
      <c r="CG29" s="426">
        <f t="shared" si="28"/>
        <v>0</v>
      </c>
      <c r="CJ29" s="426">
        <f t="shared" si="29"/>
        <v>0</v>
      </c>
      <c r="CM29" s="426">
        <f t="shared" si="30"/>
        <v>0</v>
      </c>
      <c r="CP29" s="426">
        <f t="shared" si="31"/>
        <v>0</v>
      </c>
      <c r="CS29" s="426">
        <f t="shared" si="32"/>
        <v>0</v>
      </c>
      <c r="CV29" s="426">
        <f t="shared" si="33"/>
        <v>0</v>
      </c>
      <c r="CY29" s="426">
        <f t="shared" si="34"/>
        <v>0</v>
      </c>
      <c r="DB29" s="426">
        <f t="shared" si="35"/>
        <v>0</v>
      </c>
      <c r="DE29" s="426">
        <f t="shared" si="36"/>
        <v>0</v>
      </c>
      <c r="DH29" s="426">
        <f t="shared" si="37"/>
        <v>0</v>
      </c>
      <c r="DK29" s="426">
        <f t="shared" si="38"/>
        <v>0</v>
      </c>
      <c r="DN29" s="426">
        <f t="shared" si="39"/>
        <v>0</v>
      </c>
      <c r="DQ29" s="426">
        <f t="shared" si="40"/>
        <v>0</v>
      </c>
      <c r="DT29" s="426">
        <f t="shared" si="41"/>
        <v>0</v>
      </c>
      <c r="DW29" s="426">
        <f t="shared" si="42"/>
        <v>0</v>
      </c>
      <c r="DZ29" s="426"/>
      <c r="EA29" s="426"/>
      <c r="EB29" s="228">
        <f t="shared" si="43"/>
        <v>515300000</v>
      </c>
      <c r="EC29" s="228">
        <f t="shared" si="44"/>
        <v>0</v>
      </c>
      <c r="ED29" s="426">
        <f t="shared" si="45"/>
        <v>40415.555555555555</v>
      </c>
      <c r="EE29" s="427">
        <f t="shared" si="46"/>
        <v>2.8235202794488649E-2</v>
      </c>
      <c r="EG29" s="228">
        <f t="shared" si="47"/>
        <v>0</v>
      </c>
      <c r="EH29" s="426">
        <f t="shared" si="48"/>
        <v>0</v>
      </c>
      <c r="EI29" s="427">
        <f t="shared" si="49"/>
        <v>0</v>
      </c>
      <c r="EJ29" s="427"/>
      <c r="EK29" s="228">
        <f t="shared" si="50"/>
        <v>515300000</v>
      </c>
      <c r="EL29" s="228">
        <f t="shared" si="51"/>
        <v>0</v>
      </c>
      <c r="EM29" s="228">
        <f t="shared" si="52"/>
        <v>40415.555555555555</v>
      </c>
      <c r="EN29" s="427">
        <f t="shared" si="53"/>
        <v>2.8235202794488649E-2</v>
      </c>
      <c r="EP29" s="426"/>
    </row>
    <row r="30" spans="1:146">
      <c r="A30" s="445">
        <f t="shared" si="54"/>
        <v>43515</v>
      </c>
      <c r="D30" s="426">
        <f t="shared" si="3"/>
        <v>0</v>
      </c>
      <c r="G30" s="426">
        <f t="shared" si="4"/>
        <v>0</v>
      </c>
      <c r="J30" s="426">
        <f t="shared" si="5"/>
        <v>0</v>
      </c>
      <c r="M30" s="426">
        <f t="shared" si="6"/>
        <v>0</v>
      </c>
      <c r="P30" s="426">
        <f t="shared" si="7"/>
        <v>0</v>
      </c>
      <c r="S30" s="426">
        <f t="shared" si="8"/>
        <v>0</v>
      </c>
      <c r="V30" s="426">
        <f t="shared" si="9"/>
        <v>0</v>
      </c>
      <c r="Y30" s="426">
        <f t="shared" si="10"/>
        <v>0</v>
      </c>
      <c r="AB30" s="426">
        <f t="shared" si="11"/>
        <v>0</v>
      </c>
      <c r="AE30" s="426">
        <v>0</v>
      </c>
      <c r="AH30" s="426">
        <v>0</v>
      </c>
      <c r="AI30" s="446">
        <f>62200000</f>
        <v>62200000</v>
      </c>
      <c r="AJ30" s="447">
        <v>2.7E-2</v>
      </c>
      <c r="AK30" s="426">
        <f t="shared" si="12"/>
        <v>4665</v>
      </c>
      <c r="AL30" s="446"/>
      <c r="AM30" s="447"/>
      <c r="AN30" s="426">
        <f t="shared" si="13"/>
        <v>0</v>
      </c>
      <c r="AO30" s="446"/>
      <c r="AP30" s="447"/>
      <c r="AQ30" s="426">
        <f t="shared" si="14"/>
        <v>0</v>
      </c>
      <c r="AR30" s="446">
        <f t="shared" si="55"/>
        <v>30000000</v>
      </c>
      <c r="AS30" s="447">
        <v>2.8299999999999999E-2</v>
      </c>
      <c r="AT30" s="426">
        <f t="shared" si="15"/>
        <v>2358.3333333333335</v>
      </c>
      <c r="AU30" s="446">
        <f t="shared" si="2"/>
        <v>375000000</v>
      </c>
      <c r="AV30" s="447">
        <v>2.8500000000000001E-2</v>
      </c>
      <c r="AW30" s="426">
        <f t="shared" si="16"/>
        <v>29687.5</v>
      </c>
      <c r="AX30" s="446">
        <f t="shared" si="56"/>
        <v>35000000</v>
      </c>
      <c r="AY30" s="447">
        <v>2.8000000000000001E-2</v>
      </c>
      <c r="AZ30" s="426">
        <f t="shared" si="17"/>
        <v>2722.2222222222222</v>
      </c>
      <c r="BC30" s="426">
        <f t="shared" si="18"/>
        <v>0</v>
      </c>
      <c r="BF30" s="426">
        <f t="shared" si="19"/>
        <v>0</v>
      </c>
      <c r="BI30" s="426">
        <f t="shared" si="20"/>
        <v>0</v>
      </c>
      <c r="BL30" s="426">
        <f t="shared" si="21"/>
        <v>0</v>
      </c>
      <c r="BO30" s="426">
        <f t="shared" si="22"/>
        <v>0</v>
      </c>
      <c r="BR30" s="426">
        <f t="shared" si="23"/>
        <v>0</v>
      </c>
      <c r="BU30" s="426">
        <f t="shared" si="24"/>
        <v>0</v>
      </c>
      <c r="BX30" s="426">
        <f t="shared" si="25"/>
        <v>0</v>
      </c>
      <c r="CA30" s="426">
        <f t="shared" si="26"/>
        <v>0</v>
      </c>
      <c r="CD30" s="426">
        <f t="shared" si="27"/>
        <v>0</v>
      </c>
      <c r="CG30" s="426">
        <f t="shared" si="28"/>
        <v>0</v>
      </c>
      <c r="CJ30" s="426">
        <f t="shared" si="29"/>
        <v>0</v>
      </c>
      <c r="CM30" s="426">
        <f t="shared" si="30"/>
        <v>0</v>
      </c>
      <c r="CP30" s="426">
        <f t="shared" si="31"/>
        <v>0</v>
      </c>
      <c r="CS30" s="426">
        <f t="shared" si="32"/>
        <v>0</v>
      </c>
      <c r="CV30" s="426">
        <f t="shared" si="33"/>
        <v>0</v>
      </c>
      <c r="CY30" s="426">
        <f t="shared" si="34"/>
        <v>0</v>
      </c>
      <c r="DB30" s="426">
        <f t="shared" si="35"/>
        <v>0</v>
      </c>
      <c r="DE30" s="426">
        <f t="shared" si="36"/>
        <v>0</v>
      </c>
      <c r="DH30" s="426">
        <f t="shared" si="37"/>
        <v>0</v>
      </c>
      <c r="DK30" s="426">
        <f t="shared" si="38"/>
        <v>0</v>
      </c>
      <c r="DN30" s="426">
        <f t="shared" si="39"/>
        <v>0</v>
      </c>
      <c r="DQ30" s="426">
        <f t="shared" si="40"/>
        <v>0</v>
      </c>
      <c r="DT30" s="426">
        <f t="shared" si="41"/>
        <v>0</v>
      </c>
      <c r="DW30" s="426">
        <f t="shared" si="42"/>
        <v>0</v>
      </c>
      <c r="DZ30" s="426"/>
      <c r="EA30" s="426"/>
      <c r="EB30" s="228">
        <f t="shared" si="43"/>
        <v>502200000</v>
      </c>
      <c r="EC30" s="228">
        <f t="shared" si="44"/>
        <v>0</v>
      </c>
      <c r="ED30" s="426">
        <f t="shared" si="45"/>
        <v>39433.055555555555</v>
      </c>
      <c r="EE30" s="427">
        <f t="shared" si="46"/>
        <v>2.8267423337315811E-2</v>
      </c>
      <c r="EG30" s="228">
        <f t="shared" si="47"/>
        <v>0</v>
      </c>
      <c r="EH30" s="426">
        <f t="shared" si="48"/>
        <v>0</v>
      </c>
      <c r="EI30" s="427">
        <f t="shared" si="49"/>
        <v>0</v>
      </c>
      <c r="EJ30" s="427"/>
      <c r="EK30" s="228">
        <f t="shared" si="50"/>
        <v>502200000</v>
      </c>
      <c r="EL30" s="228">
        <f t="shared" si="51"/>
        <v>0</v>
      </c>
      <c r="EM30" s="228">
        <f t="shared" si="52"/>
        <v>39433.055555555555</v>
      </c>
      <c r="EN30" s="427">
        <f t="shared" si="53"/>
        <v>2.8267423337315811E-2</v>
      </c>
      <c r="EP30" s="426"/>
    </row>
    <row r="31" spans="1:146">
      <c r="A31" s="445">
        <f t="shared" si="54"/>
        <v>43516</v>
      </c>
      <c r="D31" s="426">
        <f t="shared" si="3"/>
        <v>0</v>
      </c>
      <c r="G31" s="426">
        <f t="shared" si="4"/>
        <v>0</v>
      </c>
      <c r="J31" s="426">
        <f t="shared" si="5"/>
        <v>0</v>
      </c>
      <c r="M31" s="426">
        <f t="shared" si="6"/>
        <v>0</v>
      </c>
      <c r="P31" s="426">
        <f t="shared" si="7"/>
        <v>0</v>
      </c>
      <c r="S31" s="426">
        <f t="shared" si="8"/>
        <v>0</v>
      </c>
      <c r="V31" s="426">
        <f t="shared" si="9"/>
        <v>0</v>
      </c>
      <c r="Y31" s="426">
        <f t="shared" si="10"/>
        <v>0</v>
      </c>
      <c r="AB31" s="426">
        <f t="shared" si="11"/>
        <v>0</v>
      </c>
      <c r="AE31" s="426">
        <v>0</v>
      </c>
      <c r="AH31" s="426">
        <v>0</v>
      </c>
      <c r="AI31" s="446">
        <f>63075000</f>
        <v>63075000</v>
      </c>
      <c r="AJ31" s="447">
        <v>2.7E-2</v>
      </c>
      <c r="AK31" s="426">
        <f t="shared" si="12"/>
        <v>4730.625</v>
      </c>
      <c r="AL31" s="446"/>
      <c r="AM31" s="447"/>
      <c r="AN31" s="426">
        <f t="shared" si="13"/>
        <v>0</v>
      </c>
      <c r="AO31" s="446"/>
      <c r="AP31" s="447"/>
      <c r="AQ31" s="426">
        <f t="shared" si="14"/>
        <v>0</v>
      </c>
      <c r="AR31" s="446">
        <f t="shared" si="55"/>
        <v>30000000</v>
      </c>
      <c r="AS31" s="447">
        <v>2.8299999999999999E-2</v>
      </c>
      <c r="AT31" s="426">
        <f t="shared" si="15"/>
        <v>2358.3333333333335</v>
      </c>
      <c r="AU31" s="446">
        <f t="shared" si="2"/>
        <v>375000000</v>
      </c>
      <c r="AV31" s="447">
        <v>2.8500000000000001E-2</v>
      </c>
      <c r="AW31" s="426">
        <f t="shared" si="16"/>
        <v>29687.5</v>
      </c>
      <c r="AX31" s="446">
        <f t="shared" si="56"/>
        <v>35000000</v>
      </c>
      <c r="AY31" s="447">
        <v>2.8000000000000001E-2</v>
      </c>
      <c r="AZ31" s="426">
        <f t="shared" si="17"/>
        <v>2722.2222222222222</v>
      </c>
      <c r="BC31" s="426">
        <f t="shared" si="18"/>
        <v>0</v>
      </c>
      <c r="BF31" s="426">
        <f t="shared" si="19"/>
        <v>0</v>
      </c>
      <c r="BI31" s="426">
        <f t="shared" si="20"/>
        <v>0</v>
      </c>
      <c r="BL31" s="426">
        <f t="shared" si="21"/>
        <v>0</v>
      </c>
      <c r="BO31" s="426">
        <f t="shared" si="22"/>
        <v>0</v>
      </c>
      <c r="BR31" s="426">
        <f t="shared" si="23"/>
        <v>0</v>
      </c>
      <c r="BU31" s="426">
        <f t="shared" si="24"/>
        <v>0</v>
      </c>
      <c r="BX31" s="426">
        <f t="shared" si="25"/>
        <v>0</v>
      </c>
      <c r="CA31" s="426">
        <f t="shared" si="26"/>
        <v>0</v>
      </c>
      <c r="CD31" s="426">
        <f t="shared" si="27"/>
        <v>0</v>
      </c>
      <c r="CG31" s="426">
        <f t="shared" si="28"/>
        <v>0</v>
      </c>
      <c r="CJ31" s="426">
        <f t="shared" si="29"/>
        <v>0</v>
      </c>
      <c r="CM31" s="426">
        <f t="shared" si="30"/>
        <v>0</v>
      </c>
      <c r="CP31" s="426">
        <f t="shared" si="31"/>
        <v>0</v>
      </c>
      <c r="CS31" s="426">
        <f t="shared" si="32"/>
        <v>0</v>
      </c>
      <c r="CV31" s="426">
        <f t="shared" si="33"/>
        <v>0</v>
      </c>
      <c r="CY31" s="426">
        <f t="shared" si="34"/>
        <v>0</v>
      </c>
      <c r="DB31" s="426">
        <f t="shared" si="35"/>
        <v>0</v>
      </c>
      <c r="DE31" s="426">
        <f t="shared" si="36"/>
        <v>0</v>
      </c>
      <c r="DH31" s="426">
        <f t="shared" si="37"/>
        <v>0</v>
      </c>
      <c r="DK31" s="426">
        <f t="shared" si="38"/>
        <v>0</v>
      </c>
      <c r="DN31" s="426">
        <f t="shared" si="39"/>
        <v>0</v>
      </c>
      <c r="DQ31" s="426">
        <f t="shared" si="40"/>
        <v>0</v>
      </c>
      <c r="DT31" s="426">
        <f t="shared" si="41"/>
        <v>0</v>
      </c>
      <c r="DW31" s="426">
        <f t="shared" si="42"/>
        <v>0</v>
      </c>
      <c r="DZ31" s="426"/>
      <c r="EA31" s="426"/>
      <c r="EB31" s="228">
        <f t="shared" si="43"/>
        <v>503075000</v>
      </c>
      <c r="EC31" s="228">
        <f t="shared" si="44"/>
        <v>0</v>
      </c>
      <c r="ED31" s="426">
        <f t="shared" si="45"/>
        <v>39498.680555555555</v>
      </c>
      <c r="EE31" s="427">
        <f t="shared" si="46"/>
        <v>2.8265218903741986E-2</v>
      </c>
      <c r="EG31" s="228">
        <f t="shared" si="47"/>
        <v>0</v>
      </c>
      <c r="EH31" s="426">
        <f t="shared" si="48"/>
        <v>0</v>
      </c>
      <c r="EI31" s="427">
        <f t="shared" si="49"/>
        <v>0</v>
      </c>
      <c r="EJ31" s="427"/>
      <c r="EK31" s="228">
        <f t="shared" si="50"/>
        <v>503075000</v>
      </c>
      <c r="EL31" s="228">
        <f t="shared" si="51"/>
        <v>0</v>
      </c>
      <c r="EM31" s="228">
        <f t="shared" si="52"/>
        <v>39498.680555555555</v>
      </c>
      <c r="EN31" s="427">
        <f t="shared" si="53"/>
        <v>2.8265218903741986E-2</v>
      </c>
      <c r="EP31" s="426"/>
    </row>
    <row r="32" spans="1:146">
      <c r="A32" s="445">
        <f t="shared" si="54"/>
        <v>43517</v>
      </c>
      <c r="D32" s="426">
        <f t="shared" si="3"/>
        <v>0</v>
      </c>
      <c r="G32" s="426">
        <f t="shared" si="4"/>
        <v>0</v>
      </c>
      <c r="J32" s="426">
        <f t="shared" si="5"/>
        <v>0</v>
      </c>
      <c r="M32" s="426">
        <f t="shared" si="6"/>
        <v>0</v>
      </c>
      <c r="P32" s="426">
        <f t="shared" si="7"/>
        <v>0</v>
      </c>
      <c r="S32" s="426">
        <f t="shared" si="8"/>
        <v>0</v>
      </c>
      <c r="V32" s="426">
        <f t="shared" si="9"/>
        <v>0</v>
      </c>
      <c r="Y32" s="426">
        <f t="shared" si="10"/>
        <v>0</v>
      </c>
      <c r="AB32" s="426">
        <f t="shared" si="11"/>
        <v>0</v>
      </c>
      <c r="AE32" s="426">
        <v>0</v>
      </c>
      <c r="AH32" s="426">
        <v>0</v>
      </c>
      <c r="AI32" s="446">
        <f>52900000</f>
        <v>52900000</v>
      </c>
      <c r="AJ32" s="447">
        <v>2.7E-2</v>
      </c>
      <c r="AK32" s="426">
        <f t="shared" si="12"/>
        <v>3967.5</v>
      </c>
      <c r="AL32" s="446"/>
      <c r="AM32" s="447"/>
      <c r="AN32" s="426">
        <f t="shared" si="13"/>
        <v>0</v>
      </c>
      <c r="AO32" s="446"/>
      <c r="AP32" s="447"/>
      <c r="AQ32" s="426">
        <f t="shared" si="14"/>
        <v>0</v>
      </c>
      <c r="AR32" s="446">
        <f t="shared" si="55"/>
        <v>30000000</v>
      </c>
      <c r="AS32" s="447">
        <v>2.8299999999999999E-2</v>
      </c>
      <c r="AT32" s="426">
        <f t="shared" si="15"/>
        <v>2358.3333333333335</v>
      </c>
      <c r="AU32" s="446">
        <f t="shared" si="2"/>
        <v>375000000</v>
      </c>
      <c r="AV32" s="447">
        <v>2.8500000000000001E-2</v>
      </c>
      <c r="AW32" s="426">
        <f t="shared" si="16"/>
        <v>29687.5</v>
      </c>
      <c r="AX32" s="446">
        <f t="shared" si="56"/>
        <v>35000000</v>
      </c>
      <c r="AY32" s="447">
        <v>2.8000000000000001E-2</v>
      </c>
      <c r="AZ32" s="426">
        <f t="shared" si="17"/>
        <v>2722.2222222222222</v>
      </c>
      <c r="BC32" s="426">
        <f t="shared" si="18"/>
        <v>0</v>
      </c>
      <c r="BF32" s="426">
        <f t="shared" si="19"/>
        <v>0</v>
      </c>
      <c r="BI32" s="426">
        <f t="shared" si="20"/>
        <v>0</v>
      </c>
      <c r="BL32" s="426">
        <f t="shared" si="21"/>
        <v>0</v>
      </c>
      <c r="BO32" s="426">
        <f t="shared" si="22"/>
        <v>0</v>
      </c>
      <c r="BR32" s="426">
        <f t="shared" si="23"/>
        <v>0</v>
      </c>
      <c r="BU32" s="426">
        <f t="shared" si="24"/>
        <v>0</v>
      </c>
      <c r="BX32" s="426">
        <f t="shared" si="25"/>
        <v>0</v>
      </c>
      <c r="CA32" s="426">
        <f t="shared" si="26"/>
        <v>0</v>
      </c>
      <c r="CD32" s="426">
        <f t="shared" si="27"/>
        <v>0</v>
      </c>
      <c r="CG32" s="426">
        <f t="shared" si="28"/>
        <v>0</v>
      </c>
      <c r="CJ32" s="426">
        <f t="shared" si="29"/>
        <v>0</v>
      </c>
      <c r="CM32" s="426">
        <f t="shared" si="30"/>
        <v>0</v>
      </c>
      <c r="CP32" s="426">
        <f t="shared" si="31"/>
        <v>0</v>
      </c>
      <c r="CS32" s="426">
        <f t="shared" si="32"/>
        <v>0</v>
      </c>
      <c r="CV32" s="426">
        <f t="shared" si="33"/>
        <v>0</v>
      </c>
      <c r="CY32" s="426">
        <f t="shared" si="34"/>
        <v>0</v>
      </c>
      <c r="DB32" s="426">
        <f t="shared" si="35"/>
        <v>0</v>
      </c>
      <c r="DE32" s="426">
        <f t="shared" si="36"/>
        <v>0</v>
      </c>
      <c r="DH32" s="426">
        <f t="shared" si="37"/>
        <v>0</v>
      </c>
      <c r="DK32" s="426">
        <f t="shared" si="38"/>
        <v>0</v>
      </c>
      <c r="DN32" s="426">
        <f t="shared" si="39"/>
        <v>0</v>
      </c>
      <c r="DQ32" s="426">
        <f t="shared" si="40"/>
        <v>0</v>
      </c>
      <c r="DT32" s="426">
        <f t="shared" si="41"/>
        <v>0</v>
      </c>
      <c r="DW32" s="426">
        <f t="shared" si="42"/>
        <v>0</v>
      </c>
      <c r="DZ32" s="426"/>
      <c r="EA32" s="426"/>
      <c r="EB32" s="228">
        <f t="shared" si="43"/>
        <v>492900000</v>
      </c>
      <c r="EC32" s="228">
        <f t="shared" si="44"/>
        <v>0</v>
      </c>
      <c r="ED32" s="426">
        <f t="shared" si="45"/>
        <v>38735.555555555555</v>
      </c>
      <c r="EE32" s="427">
        <f t="shared" si="46"/>
        <v>2.8291336985189694E-2</v>
      </c>
      <c r="EG32" s="228">
        <f t="shared" si="47"/>
        <v>0</v>
      </c>
      <c r="EH32" s="426">
        <f t="shared" si="48"/>
        <v>0</v>
      </c>
      <c r="EI32" s="427">
        <f t="shared" si="49"/>
        <v>0</v>
      </c>
      <c r="EJ32" s="427"/>
      <c r="EK32" s="228">
        <f t="shared" si="50"/>
        <v>492900000</v>
      </c>
      <c r="EL32" s="228">
        <f t="shared" si="51"/>
        <v>0</v>
      </c>
      <c r="EM32" s="228">
        <f t="shared" si="52"/>
        <v>38735.555555555555</v>
      </c>
      <c r="EN32" s="427">
        <f t="shared" si="53"/>
        <v>2.8291336985189694E-2</v>
      </c>
      <c r="EP32" s="426"/>
    </row>
    <row r="33" spans="1:146">
      <c r="A33" s="445">
        <f t="shared" si="54"/>
        <v>43518</v>
      </c>
      <c r="D33" s="426">
        <f t="shared" si="3"/>
        <v>0</v>
      </c>
      <c r="G33" s="426">
        <f t="shared" si="4"/>
        <v>0</v>
      </c>
      <c r="J33" s="426">
        <f t="shared" si="5"/>
        <v>0</v>
      </c>
      <c r="M33" s="426">
        <f t="shared" si="6"/>
        <v>0</v>
      </c>
      <c r="P33" s="426">
        <f t="shared" si="7"/>
        <v>0</v>
      </c>
      <c r="S33" s="426">
        <f t="shared" si="8"/>
        <v>0</v>
      </c>
      <c r="V33" s="426">
        <f t="shared" si="9"/>
        <v>0</v>
      </c>
      <c r="Y33" s="426">
        <f t="shared" si="10"/>
        <v>0</v>
      </c>
      <c r="AB33" s="426">
        <f t="shared" si="11"/>
        <v>0</v>
      </c>
      <c r="AE33" s="426">
        <v>0</v>
      </c>
      <c r="AH33" s="426">
        <v>0</v>
      </c>
      <c r="AI33" s="446">
        <f>49525000</f>
        <v>49525000</v>
      </c>
      <c r="AJ33" s="447">
        <v>2.7E-2</v>
      </c>
      <c r="AK33" s="426">
        <f t="shared" si="12"/>
        <v>3714.375</v>
      </c>
      <c r="AL33" s="446"/>
      <c r="AM33" s="447"/>
      <c r="AN33" s="426">
        <f t="shared" si="13"/>
        <v>0</v>
      </c>
      <c r="AO33" s="446"/>
      <c r="AP33" s="447"/>
      <c r="AQ33" s="426">
        <f t="shared" si="14"/>
        <v>0</v>
      </c>
      <c r="AR33" s="446">
        <f t="shared" si="55"/>
        <v>30000000</v>
      </c>
      <c r="AS33" s="447">
        <v>2.8299999999999999E-2</v>
      </c>
      <c r="AT33" s="426">
        <f t="shared" si="15"/>
        <v>2358.3333333333335</v>
      </c>
      <c r="AU33" s="446">
        <f t="shared" si="2"/>
        <v>375000000</v>
      </c>
      <c r="AV33" s="447">
        <v>2.8500000000000001E-2</v>
      </c>
      <c r="AW33" s="426">
        <f t="shared" si="16"/>
        <v>29687.5</v>
      </c>
      <c r="AX33" s="446">
        <f t="shared" si="56"/>
        <v>35000000</v>
      </c>
      <c r="AY33" s="447">
        <v>2.8000000000000001E-2</v>
      </c>
      <c r="AZ33" s="426">
        <f t="shared" si="17"/>
        <v>2722.2222222222222</v>
      </c>
      <c r="BC33" s="426">
        <f t="shared" si="18"/>
        <v>0</v>
      </c>
      <c r="BF33" s="426">
        <f t="shared" si="19"/>
        <v>0</v>
      </c>
      <c r="BI33" s="426">
        <f t="shared" si="20"/>
        <v>0</v>
      </c>
      <c r="BL33" s="426">
        <f t="shared" si="21"/>
        <v>0</v>
      </c>
      <c r="BO33" s="426">
        <f t="shared" si="22"/>
        <v>0</v>
      </c>
      <c r="BR33" s="426">
        <f t="shared" si="23"/>
        <v>0</v>
      </c>
      <c r="BU33" s="426">
        <f t="shared" si="24"/>
        <v>0</v>
      </c>
      <c r="BX33" s="426">
        <f t="shared" si="25"/>
        <v>0</v>
      </c>
      <c r="CA33" s="426">
        <f t="shared" si="26"/>
        <v>0</v>
      </c>
      <c r="CD33" s="426">
        <f t="shared" si="27"/>
        <v>0</v>
      </c>
      <c r="CG33" s="426">
        <f t="shared" si="28"/>
        <v>0</v>
      </c>
      <c r="CJ33" s="426">
        <f t="shared" si="29"/>
        <v>0</v>
      </c>
      <c r="CM33" s="426">
        <f t="shared" si="30"/>
        <v>0</v>
      </c>
      <c r="CP33" s="426">
        <f t="shared" si="31"/>
        <v>0</v>
      </c>
      <c r="CS33" s="426">
        <f t="shared" si="32"/>
        <v>0</v>
      </c>
      <c r="CV33" s="426">
        <f t="shared" si="33"/>
        <v>0</v>
      </c>
      <c r="CY33" s="426">
        <f t="shared" si="34"/>
        <v>0</v>
      </c>
      <c r="DB33" s="426">
        <f t="shared" si="35"/>
        <v>0</v>
      </c>
      <c r="DE33" s="426">
        <f t="shared" si="36"/>
        <v>0</v>
      </c>
      <c r="DH33" s="426">
        <f t="shared" si="37"/>
        <v>0</v>
      </c>
      <c r="DK33" s="426">
        <f t="shared" si="38"/>
        <v>0</v>
      </c>
      <c r="DN33" s="426">
        <f t="shared" si="39"/>
        <v>0</v>
      </c>
      <c r="DQ33" s="426">
        <f t="shared" si="40"/>
        <v>0</v>
      </c>
      <c r="DT33" s="426">
        <f t="shared" si="41"/>
        <v>0</v>
      </c>
      <c r="DW33" s="426">
        <f t="shared" si="42"/>
        <v>0</v>
      </c>
      <c r="DZ33" s="426"/>
      <c r="EA33" s="426"/>
      <c r="EB33" s="228">
        <f t="shared" si="43"/>
        <v>489525000</v>
      </c>
      <c r="EC33" s="228">
        <f t="shared" si="44"/>
        <v>0</v>
      </c>
      <c r="ED33" s="426">
        <f t="shared" si="45"/>
        <v>38482.430555555555</v>
      </c>
      <c r="EE33" s="427">
        <f t="shared" si="46"/>
        <v>2.8300240028599152E-2</v>
      </c>
      <c r="EG33" s="228">
        <f t="shared" si="47"/>
        <v>0</v>
      </c>
      <c r="EH33" s="426">
        <f t="shared" si="48"/>
        <v>0</v>
      </c>
      <c r="EI33" s="427">
        <f t="shared" si="49"/>
        <v>0</v>
      </c>
      <c r="EJ33" s="427"/>
      <c r="EK33" s="228">
        <f t="shared" si="50"/>
        <v>489525000</v>
      </c>
      <c r="EL33" s="228">
        <f t="shared" si="51"/>
        <v>0</v>
      </c>
      <c r="EM33" s="228">
        <f t="shared" si="52"/>
        <v>38482.430555555555</v>
      </c>
      <c r="EN33" s="427">
        <f t="shared" si="53"/>
        <v>2.8300240028599152E-2</v>
      </c>
      <c r="EP33" s="426"/>
    </row>
    <row r="34" spans="1:146">
      <c r="A34" s="445">
        <f t="shared" si="54"/>
        <v>43519</v>
      </c>
      <c r="D34" s="426">
        <f t="shared" si="3"/>
        <v>0</v>
      </c>
      <c r="G34" s="426">
        <f t="shared" si="4"/>
        <v>0</v>
      </c>
      <c r="J34" s="426">
        <f t="shared" si="5"/>
        <v>0</v>
      </c>
      <c r="M34" s="426">
        <f t="shared" si="6"/>
        <v>0</v>
      </c>
      <c r="P34" s="426">
        <f t="shared" si="7"/>
        <v>0</v>
      </c>
      <c r="S34" s="426">
        <f t="shared" si="8"/>
        <v>0</v>
      </c>
      <c r="V34" s="426">
        <f t="shared" si="9"/>
        <v>0</v>
      </c>
      <c r="Y34" s="426">
        <f t="shared" si="10"/>
        <v>0</v>
      </c>
      <c r="AB34" s="426">
        <f t="shared" si="11"/>
        <v>0</v>
      </c>
      <c r="AE34" s="426">
        <v>0</v>
      </c>
      <c r="AH34" s="426">
        <v>0</v>
      </c>
      <c r="AI34" s="446">
        <f>49525000</f>
        <v>49525000</v>
      </c>
      <c r="AJ34" s="447">
        <v>2.7E-2</v>
      </c>
      <c r="AK34" s="426">
        <f t="shared" si="12"/>
        <v>3714.375</v>
      </c>
      <c r="AL34" s="446"/>
      <c r="AM34" s="447"/>
      <c r="AN34" s="426">
        <f t="shared" si="13"/>
        <v>0</v>
      </c>
      <c r="AO34" s="446"/>
      <c r="AP34" s="447"/>
      <c r="AQ34" s="426">
        <f t="shared" si="14"/>
        <v>0</v>
      </c>
      <c r="AR34" s="446">
        <f t="shared" si="55"/>
        <v>30000000</v>
      </c>
      <c r="AS34" s="447">
        <v>2.8299999999999999E-2</v>
      </c>
      <c r="AT34" s="426">
        <f t="shared" si="15"/>
        <v>2358.3333333333335</v>
      </c>
      <c r="AU34" s="446">
        <f t="shared" si="2"/>
        <v>375000000</v>
      </c>
      <c r="AV34" s="447">
        <v>2.8500000000000001E-2</v>
      </c>
      <c r="AW34" s="426">
        <f t="shared" si="16"/>
        <v>29687.5</v>
      </c>
      <c r="AX34" s="446">
        <f t="shared" si="56"/>
        <v>35000000</v>
      </c>
      <c r="AY34" s="447">
        <v>2.8000000000000001E-2</v>
      </c>
      <c r="AZ34" s="426">
        <f t="shared" si="17"/>
        <v>2722.2222222222222</v>
      </c>
      <c r="BC34" s="426">
        <f t="shared" si="18"/>
        <v>0</v>
      </c>
      <c r="BF34" s="426">
        <f t="shared" si="19"/>
        <v>0</v>
      </c>
      <c r="BI34" s="426">
        <f t="shared" si="20"/>
        <v>0</v>
      </c>
      <c r="BL34" s="426">
        <f t="shared" si="21"/>
        <v>0</v>
      </c>
      <c r="BO34" s="426">
        <f t="shared" si="22"/>
        <v>0</v>
      </c>
      <c r="BR34" s="426">
        <f t="shared" si="23"/>
        <v>0</v>
      </c>
      <c r="BU34" s="426">
        <f t="shared" si="24"/>
        <v>0</v>
      </c>
      <c r="BX34" s="426">
        <f t="shared" si="25"/>
        <v>0</v>
      </c>
      <c r="CA34" s="426">
        <f t="shared" si="26"/>
        <v>0</v>
      </c>
      <c r="CD34" s="426">
        <f t="shared" si="27"/>
        <v>0</v>
      </c>
      <c r="CG34" s="426">
        <f t="shared" si="28"/>
        <v>0</v>
      </c>
      <c r="CJ34" s="426">
        <f t="shared" si="29"/>
        <v>0</v>
      </c>
      <c r="CM34" s="426">
        <f t="shared" si="30"/>
        <v>0</v>
      </c>
      <c r="CP34" s="426">
        <f t="shared" si="31"/>
        <v>0</v>
      </c>
      <c r="CS34" s="426">
        <f t="shared" si="32"/>
        <v>0</v>
      </c>
      <c r="CV34" s="426">
        <f t="shared" si="33"/>
        <v>0</v>
      </c>
      <c r="CY34" s="426">
        <f t="shared" si="34"/>
        <v>0</v>
      </c>
      <c r="DB34" s="426">
        <f t="shared" si="35"/>
        <v>0</v>
      </c>
      <c r="DE34" s="426">
        <f t="shared" si="36"/>
        <v>0</v>
      </c>
      <c r="DH34" s="426">
        <f t="shared" si="37"/>
        <v>0</v>
      </c>
      <c r="DK34" s="426">
        <f t="shared" si="38"/>
        <v>0</v>
      </c>
      <c r="DN34" s="426">
        <f t="shared" si="39"/>
        <v>0</v>
      </c>
      <c r="DQ34" s="426">
        <f t="shared" si="40"/>
        <v>0</v>
      </c>
      <c r="DT34" s="426">
        <f t="shared" si="41"/>
        <v>0</v>
      </c>
      <c r="DW34" s="426">
        <f t="shared" si="42"/>
        <v>0</v>
      </c>
      <c r="DZ34" s="426"/>
      <c r="EA34" s="426"/>
      <c r="EB34" s="228">
        <f t="shared" si="43"/>
        <v>489525000</v>
      </c>
      <c r="EC34" s="228">
        <f t="shared" si="44"/>
        <v>0</v>
      </c>
      <c r="ED34" s="426">
        <f t="shared" si="45"/>
        <v>38482.430555555555</v>
      </c>
      <c r="EE34" s="427">
        <f t="shared" si="46"/>
        <v>2.8300240028599152E-2</v>
      </c>
      <c r="EG34" s="228">
        <f t="shared" si="47"/>
        <v>0</v>
      </c>
      <c r="EH34" s="426">
        <f t="shared" si="48"/>
        <v>0</v>
      </c>
      <c r="EI34" s="427">
        <f t="shared" si="49"/>
        <v>0</v>
      </c>
      <c r="EJ34" s="427"/>
      <c r="EK34" s="228">
        <f t="shared" si="50"/>
        <v>489525000</v>
      </c>
      <c r="EL34" s="228">
        <f t="shared" si="51"/>
        <v>0</v>
      </c>
      <c r="EM34" s="228">
        <f t="shared" si="52"/>
        <v>38482.430555555555</v>
      </c>
      <c r="EN34" s="427">
        <f t="shared" si="53"/>
        <v>2.8300240028599152E-2</v>
      </c>
      <c r="EP34" s="426"/>
    </row>
    <row r="35" spans="1:146">
      <c r="A35" s="445">
        <f t="shared" si="54"/>
        <v>43520</v>
      </c>
      <c r="D35" s="426">
        <f t="shared" si="3"/>
        <v>0</v>
      </c>
      <c r="G35" s="426">
        <f t="shared" si="4"/>
        <v>0</v>
      </c>
      <c r="J35" s="426">
        <f t="shared" si="5"/>
        <v>0</v>
      </c>
      <c r="M35" s="426">
        <f t="shared" si="6"/>
        <v>0</v>
      </c>
      <c r="P35" s="426">
        <f t="shared" si="7"/>
        <v>0</v>
      </c>
      <c r="S35" s="426">
        <f t="shared" si="8"/>
        <v>0</v>
      </c>
      <c r="V35" s="426">
        <f t="shared" si="9"/>
        <v>0</v>
      </c>
      <c r="Y35" s="426">
        <f t="shared" si="10"/>
        <v>0</v>
      </c>
      <c r="AB35" s="426">
        <f t="shared" si="11"/>
        <v>0</v>
      </c>
      <c r="AE35" s="426">
        <v>0</v>
      </c>
      <c r="AH35" s="426">
        <v>0</v>
      </c>
      <c r="AI35" s="446">
        <f>49525000</f>
        <v>49525000</v>
      </c>
      <c r="AJ35" s="447">
        <v>2.7E-2</v>
      </c>
      <c r="AK35" s="426">
        <f t="shared" si="12"/>
        <v>3714.375</v>
      </c>
      <c r="AL35" s="446"/>
      <c r="AM35" s="447"/>
      <c r="AN35" s="426">
        <f t="shared" si="13"/>
        <v>0</v>
      </c>
      <c r="AO35" s="446"/>
      <c r="AP35" s="447"/>
      <c r="AQ35" s="426">
        <f t="shared" si="14"/>
        <v>0</v>
      </c>
      <c r="AR35" s="446">
        <f t="shared" si="55"/>
        <v>30000000</v>
      </c>
      <c r="AS35" s="447">
        <v>2.8299999999999999E-2</v>
      </c>
      <c r="AT35" s="426">
        <f t="shared" si="15"/>
        <v>2358.3333333333335</v>
      </c>
      <c r="AU35" s="446">
        <f t="shared" si="2"/>
        <v>375000000</v>
      </c>
      <c r="AV35" s="447">
        <v>2.8500000000000001E-2</v>
      </c>
      <c r="AW35" s="426">
        <f t="shared" si="16"/>
        <v>29687.5</v>
      </c>
      <c r="AX35" s="446">
        <f t="shared" si="56"/>
        <v>35000000</v>
      </c>
      <c r="AY35" s="447">
        <v>2.8000000000000001E-2</v>
      </c>
      <c r="AZ35" s="426">
        <f t="shared" si="17"/>
        <v>2722.2222222222222</v>
      </c>
      <c r="BC35" s="426">
        <f t="shared" si="18"/>
        <v>0</v>
      </c>
      <c r="BF35" s="426">
        <f t="shared" si="19"/>
        <v>0</v>
      </c>
      <c r="BI35" s="426">
        <f t="shared" si="20"/>
        <v>0</v>
      </c>
      <c r="BL35" s="426">
        <f t="shared" si="21"/>
        <v>0</v>
      </c>
      <c r="BO35" s="426">
        <f t="shared" si="22"/>
        <v>0</v>
      </c>
      <c r="BR35" s="426">
        <f t="shared" si="23"/>
        <v>0</v>
      </c>
      <c r="BU35" s="426">
        <f t="shared" si="24"/>
        <v>0</v>
      </c>
      <c r="BX35" s="426">
        <f t="shared" si="25"/>
        <v>0</v>
      </c>
      <c r="CA35" s="426">
        <f t="shared" si="26"/>
        <v>0</v>
      </c>
      <c r="CD35" s="426">
        <f t="shared" si="27"/>
        <v>0</v>
      </c>
      <c r="CG35" s="426">
        <f t="shared" si="28"/>
        <v>0</v>
      </c>
      <c r="CJ35" s="426">
        <f t="shared" si="29"/>
        <v>0</v>
      </c>
      <c r="CM35" s="426">
        <f t="shared" si="30"/>
        <v>0</v>
      </c>
      <c r="CP35" s="426">
        <f t="shared" si="31"/>
        <v>0</v>
      </c>
      <c r="CS35" s="426">
        <f t="shared" si="32"/>
        <v>0</v>
      </c>
      <c r="CV35" s="426">
        <f t="shared" si="33"/>
        <v>0</v>
      </c>
      <c r="CY35" s="426">
        <f t="shared" si="34"/>
        <v>0</v>
      </c>
      <c r="DB35" s="426">
        <f t="shared" si="35"/>
        <v>0</v>
      </c>
      <c r="DE35" s="426">
        <f t="shared" si="36"/>
        <v>0</v>
      </c>
      <c r="DH35" s="426">
        <f t="shared" si="37"/>
        <v>0</v>
      </c>
      <c r="DK35" s="426">
        <f t="shared" si="38"/>
        <v>0</v>
      </c>
      <c r="DN35" s="426">
        <f t="shared" si="39"/>
        <v>0</v>
      </c>
      <c r="DQ35" s="426">
        <f t="shared" si="40"/>
        <v>0</v>
      </c>
      <c r="DT35" s="426">
        <f t="shared" si="41"/>
        <v>0</v>
      </c>
      <c r="DW35" s="426">
        <f t="shared" si="42"/>
        <v>0</v>
      </c>
      <c r="DZ35" s="426"/>
      <c r="EA35" s="426"/>
      <c r="EB35" s="228">
        <f t="shared" si="43"/>
        <v>489525000</v>
      </c>
      <c r="EC35" s="228">
        <f t="shared" si="44"/>
        <v>0</v>
      </c>
      <c r="ED35" s="426">
        <f t="shared" si="45"/>
        <v>38482.430555555555</v>
      </c>
      <c r="EE35" s="427">
        <f t="shared" si="46"/>
        <v>2.8300240028599152E-2</v>
      </c>
      <c r="EG35" s="228">
        <f t="shared" si="47"/>
        <v>0</v>
      </c>
      <c r="EH35" s="426">
        <f t="shared" si="48"/>
        <v>0</v>
      </c>
      <c r="EI35" s="427">
        <f t="shared" si="49"/>
        <v>0</v>
      </c>
      <c r="EJ35" s="427"/>
      <c r="EK35" s="228">
        <f t="shared" si="50"/>
        <v>489525000</v>
      </c>
      <c r="EL35" s="228">
        <f t="shared" si="51"/>
        <v>0</v>
      </c>
      <c r="EM35" s="228">
        <f t="shared" si="52"/>
        <v>38482.430555555555</v>
      </c>
      <c r="EN35" s="427">
        <f t="shared" si="53"/>
        <v>2.8300240028599152E-2</v>
      </c>
      <c r="EP35" s="426"/>
    </row>
    <row r="36" spans="1:146">
      <c r="A36" s="445">
        <f t="shared" si="54"/>
        <v>43521</v>
      </c>
      <c r="D36" s="426">
        <f t="shared" si="3"/>
        <v>0</v>
      </c>
      <c r="G36" s="426">
        <f t="shared" si="4"/>
        <v>0</v>
      </c>
      <c r="J36" s="426">
        <f t="shared" si="5"/>
        <v>0</v>
      </c>
      <c r="M36" s="426">
        <f t="shared" si="6"/>
        <v>0</v>
      </c>
      <c r="P36" s="426">
        <f t="shared" si="7"/>
        <v>0</v>
      </c>
      <c r="S36" s="426">
        <f t="shared" si="8"/>
        <v>0</v>
      </c>
      <c r="V36" s="426">
        <f t="shared" si="9"/>
        <v>0</v>
      </c>
      <c r="Y36" s="426">
        <f t="shared" si="10"/>
        <v>0</v>
      </c>
      <c r="AB36" s="426">
        <f t="shared" si="11"/>
        <v>0</v>
      </c>
      <c r="AE36" s="426">
        <v>0</v>
      </c>
      <c r="AH36" s="426">
        <v>0</v>
      </c>
      <c r="AI36" s="446">
        <f>57700000</f>
        <v>57700000</v>
      </c>
      <c r="AJ36" s="447">
        <v>2.7E-2</v>
      </c>
      <c r="AK36" s="426">
        <f t="shared" si="12"/>
        <v>4327.5</v>
      </c>
      <c r="AL36" s="446"/>
      <c r="AM36" s="447"/>
      <c r="AN36" s="426">
        <f t="shared" si="13"/>
        <v>0</v>
      </c>
      <c r="AO36" s="446"/>
      <c r="AP36" s="447"/>
      <c r="AQ36" s="426">
        <f t="shared" si="14"/>
        <v>0</v>
      </c>
      <c r="AR36" s="446">
        <f t="shared" si="55"/>
        <v>30000000</v>
      </c>
      <c r="AS36" s="447">
        <v>2.8299999999999999E-2</v>
      </c>
      <c r="AT36" s="426">
        <f t="shared" si="15"/>
        <v>2358.3333333333335</v>
      </c>
      <c r="AU36" s="446">
        <f t="shared" si="2"/>
        <v>375000000</v>
      </c>
      <c r="AV36" s="447">
        <v>2.8500000000000001E-2</v>
      </c>
      <c r="AW36" s="426">
        <f t="shared" si="16"/>
        <v>29687.5</v>
      </c>
      <c r="AX36" s="446">
        <f t="shared" si="56"/>
        <v>35000000</v>
      </c>
      <c r="AY36" s="447">
        <v>2.8000000000000001E-2</v>
      </c>
      <c r="AZ36" s="426">
        <f t="shared" si="17"/>
        <v>2722.2222222222222</v>
      </c>
      <c r="BC36" s="426">
        <f t="shared" si="18"/>
        <v>0</v>
      </c>
      <c r="BF36" s="426">
        <f t="shared" si="19"/>
        <v>0</v>
      </c>
      <c r="BI36" s="426">
        <f t="shared" si="20"/>
        <v>0</v>
      </c>
      <c r="BL36" s="426">
        <f t="shared" si="21"/>
        <v>0</v>
      </c>
      <c r="BO36" s="426">
        <f t="shared" si="22"/>
        <v>0</v>
      </c>
      <c r="BR36" s="426">
        <f t="shared" si="23"/>
        <v>0</v>
      </c>
      <c r="BU36" s="426">
        <f t="shared" si="24"/>
        <v>0</v>
      </c>
      <c r="BX36" s="426">
        <f t="shared" si="25"/>
        <v>0</v>
      </c>
      <c r="CA36" s="426">
        <f t="shared" si="26"/>
        <v>0</v>
      </c>
      <c r="CD36" s="426">
        <f t="shared" si="27"/>
        <v>0</v>
      </c>
      <c r="CG36" s="426">
        <f t="shared" si="28"/>
        <v>0</v>
      </c>
      <c r="CJ36" s="426">
        <f t="shared" si="29"/>
        <v>0</v>
      </c>
      <c r="CM36" s="426">
        <f t="shared" si="30"/>
        <v>0</v>
      </c>
      <c r="CP36" s="426">
        <f t="shared" si="31"/>
        <v>0</v>
      </c>
      <c r="CS36" s="426">
        <f t="shared" si="32"/>
        <v>0</v>
      </c>
      <c r="CV36" s="426">
        <f t="shared" si="33"/>
        <v>0</v>
      </c>
      <c r="CY36" s="426">
        <f t="shared" si="34"/>
        <v>0</v>
      </c>
      <c r="DB36" s="426">
        <f t="shared" si="35"/>
        <v>0</v>
      </c>
      <c r="DE36" s="426">
        <f t="shared" si="36"/>
        <v>0</v>
      </c>
      <c r="DH36" s="426">
        <f t="shared" si="37"/>
        <v>0</v>
      </c>
      <c r="DK36" s="426">
        <f t="shared" si="38"/>
        <v>0</v>
      </c>
      <c r="DN36" s="426">
        <f t="shared" si="39"/>
        <v>0</v>
      </c>
      <c r="DQ36" s="426">
        <f t="shared" si="40"/>
        <v>0</v>
      </c>
      <c r="DT36" s="426">
        <f t="shared" si="41"/>
        <v>0</v>
      </c>
      <c r="DW36" s="426">
        <f t="shared" si="42"/>
        <v>0</v>
      </c>
      <c r="DZ36" s="426"/>
      <c r="EA36" s="426"/>
      <c r="EB36" s="228">
        <f t="shared" si="43"/>
        <v>497700000</v>
      </c>
      <c r="EC36" s="228">
        <f t="shared" si="44"/>
        <v>0</v>
      </c>
      <c r="ED36" s="426">
        <f t="shared" si="45"/>
        <v>39095.555555555555</v>
      </c>
      <c r="EE36" s="427">
        <f t="shared" si="46"/>
        <v>2.8278882861161342E-2</v>
      </c>
      <c r="EG36" s="228">
        <f t="shared" si="47"/>
        <v>0</v>
      </c>
      <c r="EH36" s="426">
        <f t="shared" si="48"/>
        <v>0</v>
      </c>
      <c r="EI36" s="427">
        <f t="shared" si="49"/>
        <v>0</v>
      </c>
      <c r="EJ36" s="427"/>
      <c r="EK36" s="228">
        <f t="shared" si="50"/>
        <v>497700000</v>
      </c>
      <c r="EL36" s="228">
        <f t="shared" si="51"/>
        <v>0</v>
      </c>
      <c r="EM36" s="228">
        <f t="shared" si="52"/>
        <v>39095.555555555555</v>
      </c>
      <c r="EN36" s="427">
        <f t="shared" si="53"/>
        <v>2.8278882861161342E-2</v>
      </c>
      <c r="EP36" s="426"/>
    </row>
    <row r="37" spans="1:146">
      <c r="A37" s="445">
        <f t="shared" si="54"/>
        <v>43522</v>
      </c>
      <c r="D37" s="426">
        <f t="shared" si="3"/>
        <v>0</v>
      </c>
      <c r="G37" s="426">
        <f t="shared" si="4"/>
        <v>0</v>
      </c>
      <c r="J37" s="426">
        <f t="shared" si="5"/>
        <v>0</v>
      </c>
      <c r="M37" s="426">
        <f t="shared" si="6"/>
        <v>0</v>
      </c>
      <c r="P37" s="426">
        <f t="shared" si="7"/>
        <v>0</v>
      </c>
      <c r="S37" s="426">
        <f t="shared" si="8"/>
        <v>0</v>
      </c>
      <c r="V37" s="426">
        <f t="shared" si="9"/>
        <v>0</v>
      </c>
      <c r="Y37" s="426">
        <f t="shared" si="10"/>
        <v>0</v>
      </c>
      <c r="AB37" s="426">
        <f t="shared" si="11"/>
        <v>0</v>
      </c>
      <c r="AE37" s="426">
        <v>0</v>
      </c>
      <c r="AH37" s="426">
        <v>0</v>
      </c>
      <c r="AI37" s="446">
        <f>49125000</f>
        <v>49125000</v>
      </c>
      <c r="AJ37" s="447">
        <v>2.7E-2</v>
      </c>
      <c r="AK37" s="426">
        <f t="shared" si="12"/>
        <v>3684.375</v>
      </c>
      <c r="AL37" s="446"/>
      <c r="AM37" s="447"/>
      <c r="AN37" s="426">
        <f t="shared" si="13"/>
        <v>0</v>
      </c>
      <c r="AO37" s="446"/>
      <c r="AP37" s="447"/>
      <c r="AQ37" s="426">
        <f t="shared" si="14"/>
        <v>0</v>
      </c>
      <c r="AR37" s="446">
        <f t="shared" si="55"/>
        <v>30000000</v>
      </c>
      <c r="AS37" s="447">
        <v>2.8299999999999999E-2</v>
      </c>
      <c r="AT37" s="426">
        <f t="shared" si="15"/>
        <v>2358.3333333333335</v>
      </c>
      <c r="AU37" s="446">
        <f t="shared" si="2"/>
        <v>375000000</v>
      </c>
      <c r="AV37" s="447">
        <v>2.8500000000000001E-2</v>
      </c>
      <c r="AW37" s="426">
        <f t="shared" si="16"/>
        <v>29687.5</v>
      </c>
      <c r="AX37" s="446">
        <f t="shared" si="56"/>
        <v>35000000</v>
      </c>
      <c r="AY37" s="447">
        <v>2.8000000000000001E-2</v>
      </c>
      <c r="AZ37" s="426">
        <f t="shared" si="17"/>
        <v>2722.2222222222222</v>
      </c>
      <c r="BC37" s="426">
        <f t="shared" si="18"/>
        <v>0</v>
      </c>
      <c r="BF37" s="426">
        <f t="shared" si="19"/>
        <v>0</v>
      </c>
      <c r="BI37" s="426">
        <f t="shared" si="20"/>
        <v>0</v>
      </c>
      <c r="BL37" s="426">
        <f t="shared" si="21"/>
        <v>0</v>
      </c>
      <c r="BO37" s="426">
        <f t="shared" si="22"/>
        <v>0</v>
      </c>
      <c r="BR37" s="426">
        <f t="shared" si="23"/>
        <v>0</v>
      </c>
      <c r="BU37" s="426">
        <f t="shared" si="24"/>
        <v>0</v>
      </c>
      <c r="BX37" s="426">
        <f t="shared" si="25"/>
        <v>0</v>
      </c>
      <c r="CA37" s="426">
        <f t="shared" si="26"/>
        <v>0</v>
      </c>
      <c r="CD37" s="426">
        <f t="shared" si="27"/>
        <v>0</v>
      </c>
      <c r="CG37" s="426">
        <f t="shared" si="28"/>
        <v>0</v>
      </c>
      <c r="CJ37" s="426">
        <f t="shared" si="29"/>
        <v>0</v>
      </c>
      <c r="CM37" s="426">
        <f t="shared" si="30"/>
        <v>0</v>
      </c>
      <c r="CP37" s="426">
        <f t="shared" si="31"/>
        <v>0</v>
      </c>
      <c r="CS37" s="426">
        <f t="shared" si="32"/>
        <v>0</v>
      </c>
      <c r="CV37" s="426">
        <f t="shared" si="33"/>
        <v>0</v>
      </c>
      <c r="CY37" s="426">
        <f t="shared" si="34"/>
        <v>0</v>
      </c>
      <c r="DB37" s="426">
        <f t="shared" si="35"/>
        <v>0</v>
      </c>
      <c r="DE37" s="426">
        <f t="shared" si="36"/>
        <v>0</v>
      </c>
      <c r="DH37" s="426">
        <f t="shared" si="37"/>
        <v>0</v>
      </c>
      <c r="DK37" s="426">
        <f t="shared" si="38"/>
        <v>0</v>
      </c>
      <c r="DN37" s="426">
        <f t="shared" si="39"/>
        <v>0</v>
      </c>
      <c r="DQ37" s="426">
        <f t="shared" si="40"/>
        <v>0</v>
      </c>
      <c r="DT37" s="426">
        <f t="shared" si="41"/>
        <v>0</v>
      </c>
      <c r="DW37" s="426">
        <f t="shared" si="42"/>
        <v>0</v>
      </c>
      <c r="DZ37" s="426"/>
      <c r="EA37" s="426"/>
      <c r="EB37" s="228">
        <f t="shared" si="43"/>
        <v>489125000</v>
      </c>
      <c r="EC37" s="228">
        <f t="shared" si="44"/>
        <v>0</v>
      </c>
      <c r="ED37" s="426">
        <f t="shared" si="45"/>
        <v>38452.430555555555</v>
      </c>
      <c r="EE37" s="427">
        <f t="shared" si="46"/>
        <v>2.8301303347814978E-2</v>
      </c>
      <c r="EG37" s="228">
        <f t="shared" si="47"/>
        <v>0</v>
      </c>
      <c r="EH37" s="426">
        <f t="shared" si="48"/>
        <v>0</v>
      </c>
      <c r="EI37" s="427">
        <f t="shared" si="49"/>
        <v>0</v>
      </c>
      <c r="EJ37" s="427"/>
      <c r="EK37" s="228">
        <f t="shared" si="50"/>
        <v>489125000</v>
      </c>
      <c r="EL37" s="228">
        <f t="shared" si="51"/>
        <v>0</v>
      </c>
      <c r="EM37" s="228">
        <f t="shared" si="52"/>
        <v>38452.430555555555</v>
      </c>
      <c r="EN37" s="427">
        <f t="shared" si="53"/>
        <v>2.8301303347814978E-2</v>
      </c>
      <c r="EP37" s="426"/>
    </row>
    <row r="38" spans="1:146">
      <c r="A38" s="445">
        <f t="shared" si="54"/>
        <v>43523</v>
      </c>
      <c r="D38" s="426">
        <f t="shared" si="3"/>
        <v>0</v>
      </c>
      <c r="G38" s="426">
        <f t="shared" si="4"/>
        <v>0</v>
      </c>
      <c r="J38" s="426">
        <f t="shared" si="5"/>
        <v>0</v>
      </c>
      <c r="M38" s="426">
        <f t="shared" si="6"/>
        <v>0</v>
      </c>
      <c r="P38" s="426">
        <f t="shared" si="7"/>
        <v>0</v>
      </c>
      <c r="S38" s="426">
        <f t="shared" si="8"/>
        <v>0</v>
      </c>
      <c r="V38" s="426">
        <f t="shared" si="9"/>
        <v>0</v>
      </c>
      <c r="Y38" s="426">
        <f t="shared" si="10"/>
        <v>0</v>
      </c>
      <c r="AB38" s="426">
        <f t="shared" si="11"/>
        <v>0</v>
      </c>
      <c r="AE38" s="426">
        <v>0</v>
      </c>
      <c r="AH38" s="426">
        <v>0</v>
      </c>
      <c r="AI38" s="446">
        <f>45000000</f>
        <v>45000000</v>
      </c>
      <c r="AJ38" s="447">
        <v>2.7E-2</v>
      </c>
      <c r="AK38" s="426">
        <f t="shared" si="12"/>
        <v>3375</v>
      </c>
      <c r="AL38" s="446"/>
      <c r="AM38" s="447"/>
      <c r="AN38" s="426">
        <f t="shared" si="13"/>
        <v>0</v>
      </c>
      <c r="AO38" s="446"/>
      <c r="AP38" s="447"/>
      <c r="AQ38" s="426">
        <f t="shared" si="14"/>
        <v>0</v>
      </c>
      <c r="AR38" s="446">
        <f t="shared" si="55"/>
        <v>30000000</v>
      </c>
      <c r="AS38" s="447">
        <v>2.8299999999999999E-2</v>
      </c>
      <c r="AT38" s="426">
        <f t="shared" si="15"/>
        <v>2358.3333333333335</v>
      </c>
      <c r="AU38" s="446">
        <f t="shared" si="2"/>
        <v>375000000</v>
      </c>
      <c r="AV38" s="447">
        <v>2.8500000000000001E-2</v>
      </c>
      <c r="AW38" s="426">
        <f t="shared" si="16"/>
        <v>29687.5</v>
      </c>
      <c r="AX38" s="446">
        <f t="shared" si="56"/>
        <v>35000000</v>
      </c>
      <c r="AY38" s="447">
        <v>2.8000000000000001E-2</v>
      </c>
      <c r="AZ38" s="426">
        <f t="shared" si="17"/>
        <v>2722.2222222222222</v>
      </c>
      <c r="BC38" s="426">
        <f t="shared" si="18"/>
        <v>0</v>
      </c>
      <c r="BF38" s="426">
        <f t="shared" si="19"/>
        <v>0</v>
      </c>
      <c r="BI38" s="426">
        <f t="shared" si="20"/>
        <v>0</v>
      </c>
      <c r="BL38" s="426">
        <f t="shared" si="21"/>
        <v>0</v>
      </c>
      <c r="BO38" s="426">
        <f t="shared" si="22"/>
        <v>0</v>
      </c>
      <c r="BR38" s="426">
        <f t="shared" si="23"/>
        <v>0</v>
      </c>
      <c r="BU38" s="426">
        <f t="shared" si="24"/>
        <v>0</v>
      </c>
      <c r="BX38" s="426">
        <f t="shared" si="25"/>
        <v>0</v>
      </c>
      <c r="CA38" s="426">
        <f t="shared" si="26"/>
        <v>0</v>
      </c>
      <c r="CD38" s="426">
        <f t="shared" si="27"/>
        <v>0</v>
      </c>
      <c r="CG38" s="426">
        <f t="shared" si="28"/>
        <v>0</v>
      </c>
      <c r="CJ38" s="426">
        <f t="shared" si="29"/>
        <v>0</v>
      </c>
      <c r="CM38" s="426">
        <f t="shared" si="30"/>
        <v>0</v>
      </c>
      <c r="CP38" s="426">
        <f t="shared" si="31"/>
        <v>0</v>
      </c>
      <c r="CS38" s="426">
        <f t="shared" si="32"/>
        <v>0</v>
      </c>
      <c r="CV38" s="426">
        <f t="shared" si="33"/>
        <v>0</v>
      </c>
      <c r="CY38" s="426">
        <f t="shared" si="34"/>
        <v>0</v>
      </c>
      <c r="DB38" s="426">
        <f t="shared" si="35"/>
        <v>0</v>
      </c>
      <c r="DE38" s="426">
        <f t="shared" si="36"/>
        <v>0</v>
      </c>
      <c r="DH38" s="426">
        <f t="shared" si="37"/>
        <v>0</v>
      </c>
      <c r="DK38" s="426">
        <f t="shared" si="38"/>
        <v>0</v>
      </c>
      <c r="DN38" s="426">
        <f t="shared" si="39"/>
        <v>0</v>
      </c>
      <c r="DQ38" s="426">
        <f t="shared" si="40"/>
        <v>0</v>
      </c>
      <c r="DT38" s="426">
        <f t="shared" si="41"/>
        <v>0</v>
      </c>
      <c r="DW38" s="426">
        <f t="shared" si="42"/>
        <v>0</v>
      </c>
      <c r="DZ38" s="426"/>
      <c r="EA38" s="426"/>
      <c r="EB38" s="228">
        <f t="shared" si="43"/>
        <v>485000000</v>
      </c>
      <c r="EC38" s="228">
        <f t="shared" si="44"/>
        <v>0</v>
      </c>
      <c r="ED38" s="426">
        <f t="shared" si="45"/>
        <v>38143.055555555555</v>
      </c>
      <c r="EE38" s="427">
        <f t="shared" si="46"/>
        <v>2.8312371134020617E-2</v>
      </c>
      <c r="EG38" s="228">
        <f t="shared" si="47"/>
        <v>0</v>
      </c>
      <c r="EH38" s="426">
        <f t="shared" si="48"/>
        <v>0</v>
      </c>
      <c r="EI38" s="427">
        <f t="shared" si="49"/>
        <v>0</v>
      </c>
      <c r="EJ38" s="427"/>
      <c r="EK38" s="228">
        <f t="shared" si="50"/>
        <v>485000000</v>
      </c>
      <c r="EL38" s="228">
        <f t="shared" si="51"/>
        <v>0</v>
      </c>
      <c r="EM38" s="228">
        <f t="shared" si="52"/>
        <v>38143.055555555555</v>
      </c>
      <c r="EN38" s="427">
        <f t="shared" si="53"/>
        <v>2.8312371134020617E-2</v>
      </c>
      <c r="EP38" s="426"/>
    </row>
    <row r="39" spans="1:146">
      <c r="A39" s="445">
        <f t="shared" si="54"/>
        <v>43524</v>
      </c>
      <c r="D39" s="426">
        <f t="shared" si="3"/>
        <v>0</v>
      </c>
      <c r="G39" s="426">
        <f t="shared" si="4"/>
        <v>0</v>
      </c>
      <c r="J39" s="426">
        <f t="shared" si="5"/>
        <v>0</v>
      </c>
      <c r="M39" s="426">
        <f t="shared" si="6"/>
        <v>0</v>
      </c>
      <c r="P39" s="426">
        <f t="shared" si="7"/>
        <v>0</v>
      </c>
      <c r="S39" s="426">
        <f t="shared" si="8"/>
        <v>0</v>
      </c>
      <c r="V39" s="426">
        <f t="shared" si="9"/>
        <v>0</v>
      </c>
      <c r="Y39" s="426">
        <f t="shared" si="10"/>
        <v>0</v>
      </c>
      <c r="AB39" s="426">
        <f t="shared" si="11"/>
        <v>0</v>
      </c>
      <c r="AE39" s="426">
        <v>0</v>
      </c>
      <c r="AH39" s="426">
        <v>0</v>
      </c>
      <c r="AI39" s="446">
        <f>55025000</f>
        <v>55025000</v>
      </c>
      <c r="AJ39" s="447">
        <v>2.7E-2</v>
      </c>
      <c r="AK39" s="426">
        <f t="shared" si="12"/>
        <v>4126.875</v>
      </c>
      <c r="AL39" s="446"/>
      <c r="AM39" s="447"/>
      <c r="AN39" s="426">
        <f t="shared" si="13"/>
        <v>0</v>
      </c>
      <c r="AO39" s="446"/>
      <c r="AP39" s="447"/>
      <c r="AQ39" s="426">
        <f t="shared" si="14"/>
        <v>0</v>
      </c>
      <c r="AR39" s="446">
        <f t="shared" si="55"/>
        <v>30000000</v>
      </c>
      <c r="AS39" s="447">
        <v>2.8299999999999999E-2</v>
      </c>
      <c r="AT39" s="426">
        <f t="shared" si="15"/>
        <v>2358.3333333333335</v>
      </c>
      <c r="AU39" s="446">
        <f t="shared" si="2"/>
        <v>375000000</v>
      </c>
      <c r="AV39" s="447">
        <v>2.8500000000000001E-2</v>
      </c>
      <c r="AW39" s="426">
        <f t="shared" si="16"/>
        <v>29687.5</v>
      </c>
      <c r="AX39" s="446">
        <f t="shared" si="56"/>
        <v>35000000</v>
      </c>
      <c r="AY39" s="447">
        <v>2.8000000000000001E-2</v>
      </c>
      <c r="AZ39" s="426">
        <f t="shared" si="17"/>
        <v>2722.2222222222222</v>
      </c>
      <c r="BC39" s="426">
        <f t="shared" si="18"/>
        <v>0</v>
      </c>
      <c r="BF39" s="426">
        <f t="shared" si="19"/>
        <v>0</v>
      </c>
      <c r="BI39" s="426">
        <f t="shared" si="20"/>
        <v>0</v>
      </c>
      <c r="BL39" s="426">
        <f t="shared" si="21"/>
        <v>0</v>
      </c>
      <c r="BO39" s="426">
        <f t="shared" si="22"/>
        <v>0</v>
      </c>
      <c r="BR39" s="426">
        <f t="shared" si="23"/>
        <v>0</v>
      </c>
      <c r="BU39" s="426">
        <f t="shared" si="24"/>
        <v>0</v>
      </c>
      <c r="BX39" s="426">
        <f t="shared" si="25"/>
        <v>0</v>
      </c>
      <c r="CA39" s="426">
        <f t="shared" si="26"/>
        <v>0</v>
      </c>
      <c r="CD39" s="426">
        <f t="shared" si="27"/>
        <v>0</v>
      </c>
      <c r="CG39" s="426">
        <f t="shared" si="28"/>
        <v>0</v>
      </c>
      <c r="CJ39" s="426">
        <f t="shared" si="29"/>
        <v>0</v>
      </c>
      <c r="CM39" s="426">
        <f t="shared" si="30"/>
        <v>0</v>
      </c>
      <c r="CP39" s="426">
        <f t="shared" si="31"/>
        <v>0</v>
      </c>
      <c r="CS39" s="426">
        <f t="shared" si="32"/>
        <v>0</v>
      </c>
      <c r="CV39" s="426">
        <f t="shared" si="33"/>
        <v>0</v>
      </c>
      <c r="CY39" s="426">
        <f t="shared" si="34"/>
        <v>0</v>
      </c>
      <c r="DB39" s="426">
        <f t="shared" si="35"/>
        <v>0</v>
      </c>
      <c r="DE39" s="426">
        <f t="shared" si="36"/>
        <v>0</v>
      </c>
      <c r="DH39" s="426">
        <f t="shared" si="37"/>
        <v>0</v>
      </c>
      <c r="DK39" s="426">
        <f t="shared" si="38"/>
        <v>0</v>
      </c>
      <c r="DN39" s="426">
        <f t="shared" si="39"/>
        <v>0</v>
      </c>
      <c r="DQ39" s="426">
        <f t="shared" si="40"/>
        <v>0</v>
      </c>
      <c r="DT39" s="426">
        <f t="shared" si="41"/>
        <v>0</v>
      </c>
      <c r="DW39" s="426">
        <f t="shared" si="42"/>
        <v>0</v>
      </c>
      <c r="DZ39" s="426"/>
      <c r="EA39" s="426"/>
      <c r="EB39" s="228">
        <f t="shared" si="43"/>
        <v>495025000</v>
      </c>
      <c r="EC39" s="228">
        <f t="shared" si="44"/>
        <v>0</v>
      </c>
      <c r="ED39" s="426">
        <f t="shared" si="45"/>
        <v>38894.930555555555</v>
      </c>
      <c r="EE39" s="427">
        <f t="shared" si="46"/>
        <v>2.8285793646785514E-2</v>
      </c>
      <c r="EG39" s="228">
        <f t="shared" si="47"/>
        <v>0</v>
      </c>
      <c r="EH39" s="426">
        <f t="shared" si="48"/>
        <v>0</v>
      </c>
      <c r="EI39" s="427">
        <f t="shared" si="49"/>
        <v>0</v>
      </c>
      <c r="EJ39" s="427"/>
      <c r="EK39" s="228">
        <f t="shared" si="50"/>
        <v>495025000</v>
      </c>
      <c r="EL39" s="228">
        <f t="shared" si="51"/>
        <v>0</v>
      </c>
      <c r="EM39" s="228">
        <f t="shared" si="52"/>
        <v>38894.930555555555</v>
      </c>
      <c r="EN39" s="427">
        <f t="shared" si="53"/>
        <v>2.8285793646785514E-2</v>
      </c>
      <c r="EP39" s="426"/>
    </row>
    <row r="40" spans="1:146">
      <c r="A40" s="229" t="s">
        <v>13</v>
      </c>
      <c r="D40" s="448">
        <f>SUM(D12:D39)</f>
        <v>0</v>
      </c>
      <c r="G40" s="448">
        <f>SUM(G12:G39)</f>
        <v>0</v>
      </c>
      <c r="J40" s="448">
        <f>SUM(J12:J39)</f>
        <v>0</v>
      </c>
      <c r="M40" s="448">
        <f>SUM(M12:M39)</f>
        <v>0</v>
      </c>
      <c r="P40" s="448">
        <f>SUM(P12:P39)</f>
        <v>0</v>
      </c>
      <c r="S40" s="448">
        <f>SUM(S12:S39)</f>
        <v>0</v>
      </c>
      <c r="V40" s="448">
        <f>SUM(V12:V39)</f>
        <v>0</v>
      </c>
      <c r="Y40" s="448">
        <f>SUM(Y12:Y39)</f>
        <v>0</v>
      </c>
      <c r="AB40" s="448">
        <f>SUM(AB12:AB39)</f>
        <v>0</v>
      </c>
      <c r="AE40" s="448">
        <f>SUM(AE12:AE39)</f>
        <v>0</v>
      </c>
      <c r="AH40" s="448">
        <f>SUM(AH12:AH39)</f>
        <v>0</v>
      </c>
      <c r="AK40" s="448">
        <f>SUM(AK12:AK39)</f>
        <v>100395</v>
      </c>
      <c r="AN40" s="448">
        <f>SUM(AN12:AN39)</f>
        <v>33833.333333333336</v>
      </c>
      <c r="AQ40" s="448">
        <f>SUM(AQ12:AQ39)</f>
        <v>53263.888888888876</v>
      </c>
      <c r="AT40" s="448">
        <f>SUM(AT12:AT39)</f>
        <v>68975.000000000015</v>
      </c>
      <c r="AW40" s="448">
        <f>SUM(AW12:AW39)</f>
        <v>831250</v>
      </c>
      <c r="AZ40" s="448">
        <f>SUM(AZ12:AZ39)</f>
        <v>40833.333333333328</v>
      </c>
      <c r="BC40" s="448">
        <f>SUM(BC12:BC39)</f>
        <v>0</v>
      </c>
      <c r="BF40" s="448">
        <f>SUM(BF12:BF39)</f>
        <v>0</v>
      </c>
      <c r="BI40" s="448">
        <f>SUM(BI12:BI39)</f>
        <v>0</v>
      </c>
      <c r="BL40" s="448">
        <f>SUM(BL12:BL39)</f>
        <v>0</v>
      </c>
      <c r="BO40" s="448">
        <f>SUM(BO12:BO39)</f>
        <v>0</v>
      </c>
      <c r="BR40" s="448">
        <f>SUM(BR12:BR39)</f>
        <v>0</v>
      </c>
      <c r="BU40" s="448">
        <f>SUM(BU12:BU39)</f>
        <v>0</v>
      </c>
      <c r="BX40" s="448">
        <f>SUM(BX12:BX39)</f>
        <v>0</v>
      </c>
      <c r="CA40" s="448">
        <f>SUM(CA12:CA39)</f>
        <v>0</v>
      </c>
      <c r="CD40" s="448">
        <f>SUM(CD12:CD39)</f>
        <v>0</v>
      </c>
      <c r="CG40" s="448">
        <f>SUM(CG12:CG39)</f>
        <v>0</v>
      </c>
      <c r="CJ40" s="448">
        <f>SUM(CJ12:CJ39)</f>
        <v>0</v>
      </c>
      <c r="CM40" s="448">
        <f>SUM(CM12:CM39)</f>
        <v>0</v>
      </c>
      <c r="CP40" s="448">
        <f>SUM(CP12:CP39)</f>
        <v>0</v>
      </c>
      <c r="CS40" s="448">
        <f>SUM(CS12:CS39)</f>
        <v>0</v>
      </c>
      <c r="CV40" s="448">
        <f>SUM(CV12:CV39)</f>
        <v>0</v>
      </c>
      <c r="CY40" s="448">
        <f>SUM(CY12:CY39)</f>
        <v>0</v>
      </c>
      <c r="DB40" s="448">
        <f>SUM(DB12:DB39)</f>
        <v>0</v>
      </c>
      <c r="DE40" s="448">
        <f>SUM(DE12:DE39)</f>
        <v>0</v>
      </c>
      <c r="DH40" s="448">
        <f>SUM(DH12:DH39)</f>
        <v>0</v>
      </c>
      <c r="DK40" s="448">
        <f>SUM(DK12:DK39)</f>
        <v>0</v>
      </c>
      <c r="DN40" s="448">
        <f>SUM(DN12:DN39)</f>
        <v>0</v>
      </c>
      <c r="DQ40" s="448">
        <f>SUM(DQ12:DQ39)</f>
        <v>0</v>
      </c>
      <c r="DT40" s="448">
        <f>SUM(DT12:DT39)</f>
        <v>0</v>
      </c>
      <c r="DW40" s="448">
        <f>SUM(DW12:DW39)</f>
        <v>0</v>
      </c>
      <c r="DZ40" s="424"/>
      <c r="EA40" s="424"/>
      <c r="EB40" s="426"/>
      <c r="EC40" s="426"/>
      <c r="ED40" s="448">
        <f>SUM(ED12:ED39)</f>
        <v>1128550.555555555</v>
      </c>
      <c r="EE40" s="427"/>
      <c r="EG40" s="426"/>
      <c r="EH40" s="448">
        <f>SUM(EH12:EH39)</f>
        <v>0</v>
      </c>
      <c r="EI40" s="427"/>
      <c r="EJ40" s="427"/>
      <c r="EK40" s="426"/>
      <c r="EL40" s="426"/>
      <c r="EM40" s="448">
        <f>SUM(EM12:EM39)</f>
        <v>1128550.555555555</v>
      </c>
      <c r="EN40" s="427"/>
    </row>
    <row r="43" spans="1:146">
      <c r="EM43" s="449"/>
    </row>
    <row r="45" spans="1:146">
      <c r="EM45" s="426"/>
    </row>
  </sheetData>
  <pageMargins left="0.7" right="0.7" top="0.75" bottom="0.75" header="0.3" footer="0.3"/>
  <pageSetup scale="41" orientation="portrait" r:id="rId1"/>
  <headerFooter>
    <oddFooter>&amp;CSchedule MA-TU&amp;RFebruary 2019 &amp;P of &amp;N
Confidential
4 CSR 240-2.090(9(A).2(D).II)</oddFooter>
  </headerFooter>
  <colBreaks count="1" manualBreakCount="1">
    <brk id="4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6"/>
  <sheetViews>
    <sheetView zoomScale="80" zoomScaleNormal="80" workbookViewId="0">
      <selection activeCell="AI17" sqref="AI17"/>
    </sheetView>
  </sheetViews>
  <sheetFormatPr defaultColWidth="9.140625" defaultRowHeight="12.75"/>
  <cols>
    <col min="1" max="1" width="16.7109375" style="457" customWidth="1"/>
    <col min="2" max="2" width="15.5703125" style="455" hidden="1" customWidth="1"/>
    <col min="3" max="3" width="15.42578125" style="456" hidden="1" customWidth="1"/>
    <col min="4" max="4" width="15.42578125" style="457" hidden="1" customWidth="1"/>
    <col min="5" max="5" width="15.5703125" style="455" bestFit="1" customWidth="1"/>
    <col min="6" max="6" width="12.28515625" style="456" bestFit="1" customWidth="1"/>
    <col min="7" max="7" width="18.5703125" style="457" bestFit="1" customWidth="1"/>
    <col min="8" max="8" width="15.42578125" style="455" hidden="1" customWidth="1"/>
    <col min="9" max="9" width="10.28515625" style="456" hidden="1" customWidth="1"/>
    <col min="10" max="10" width="13.42578125" style="457" hidden="1" customWidth="1"/>
    <col min="11" max="11" width="14.42578125" style="455" hidden="1" customWidth="1"/>
    <col min="12" max="12" width="10.28515625" style="456" hidden="1" customWidth="1"/>
    <col min="13" max="13" width="11.7109375" style="457" hidden="1" customWidth="1"/>
    <col min="14" max="14" width="14.42578125" style="455" hidden="1" customWidth="1"/>
    <col min="15" max="15" width="10.28515625" style="456" hidden="1" customWidth="1"/>
    <col min="16" max="16" width="11.7109375" style="457" hidden="1" customWidth="1"/>
    <col min="17" max="17" width="15.42578125" style="455" hidden="1" customWidth="1"/>
    <col min="18" max="18" width="10.28515625" style="456" hidden="1" customWidth="1"/>
    <col min="19" max="19" width="11.7109375" style="457" hidden="1" customWidth="1"/>
    <col min="20" max="20" width="15.42578125" style="455" hidden="1" customWidth="1"/>
    <col min="21" max="21" width="10.28515625" style="456" hidden="1" customWidth="1"/>
    <col min="22" max="22" width="11.7109375" style="457" hidden="1" customWidth="1"/>
    <col min="23" max="23" width="15.42578125" style="455" hidden="1" customWidth="1"/>
    <col min="24" max="24" width="10.28515625" style="456" hidden="1" customWidth="1"/>
    <col min="25" max="25" width="11.7109375" style="457" hidden="1" customWidth="1"/>
    <col min="26" max="26" width="15.42578125" style="455" hidden="1" customWidth="1"/>
    <col min="27" max="27" width="10.28515625" style="456" hidden="1" customWidth="1"/>
    <col min="28" max="28" width="11.7109375" style="457" hidden="1" customWidth="1"/>
    <col min="29" max="29" width="15.42578125" style="455" hidden="1" customWidth="1"/>
    <col min="30" max="30" width="10.28515625" style="456" hidden="1" customWidth="1"/>
    <col min="31" max="31" width="11.7109375" style="457" hidden="1" customWidth="1"/>
    <col min="32" max="32" width="14.42578125" style="455" hidden="1" customWidth="1"/>
    <col min="33" max="33" width="10.28515625" style="456" hidden="1" customWidth="1"/>
    <col min="34" max="34" width="10.7109375" style="457" hidden="1" customWidth="1"/>
    <col min="35" max="35" width="14.42578125" style="455" customWidth="1"/>
    <col min="36" max="36" width="12.140625" style="456" bestFit="1" customWidth="1"/>
    <col min="37" max="37" width="13.7109375" style="457" customWidth="1"/>
    <col min="38" max="38" width="14.42578125" style="455" customWidth="1"/>
    <col min="39" max="39" width="12.140625" style="456" bestFit="1" customWidth="1"/>
    <col min="40" max="40" width="12" style="457" bestFit="1" customWidth="1"/>
    <col min="41" max="41" width="15.5703125" style="455" bestFit="1" customWidth="1"/>
    <col min="42" max="42" width="12.42578125" style="456" bestFit="1" customWidth="1"/>
    <col min="43" max="43" width="12" style="457" bestFit="1" customWidth="1"/>
    <col min="44" max="44" width="15.5703125" style="455" bestFit="1" customWidth="1"/>
    <col min="45" max="45" width="12.140625" style="456" bestFit="1" customWidth="1"/>
    <col min="46" max="46" width="13.85546875" style="457" bestFit="1" customWidth="1"/>
    <col min="47" max="47" width="14.42578125" style="455" hidden="1" customWidth="1"/>
    <col min="48" max="48" width="10.28515625" style="456" hidden="1" customWidth="1"/>
    <col min="49" max="49" width="10.7109375" style="457" hidden="1" customWidth="1"/>
    <col min="50" max="50" width="14.42578125" style="455" hidden="1" customWidth="1"/>
    <col min="51" max="51" width="10.28515625" style="456" hidden="1" customWidth="1"/>
    <col min="52" max="52" width="10.7109375" style="457" hidden="1" customWidth="1"/>
    <col min="53" max="53" width="14.42578125" style="455" hidden="1" customWidth="1"/>
    <col min="54" max="54" width="10.28515625" style="456" hidden="1" customWidth="1"/>
    <col min="55" max="55" width="10.7109375" style="457" hidden="1" customWidth="1"/>
    <col min="56" max="56" width="14.42578125" style="455" hidden="1" customWidth="1"/>
    <col min="57" max="57" width="10.28515625" style="456" hidden="1" customWidth="1"/>
    <col min="58" max="58" width="10.7109375" style="457" hidden="1" customWidth="1"/>
    <col min="59" max="59" width="14.42578125" style="455" hidden="1" customWidth="1"/>
    <col min="60" max="60" width="10.28515625" style="456" hidden="1" customWidth="1"/>
    <col min="61" max="61" width="10.7109375" style="457" hidden="1" customWidth="1"/>
    <col min="62" max="62" width="14.42578125" style="455" hidden="1" customWidth="1"/>
    <col min="63" max="63" width="10.28515625" style="456" hidden="1" customWidth="1"/>
    <col min="64" max="64" width="10.7109375" style="457" hidden="1" customWidth="1"/>
    <col min="65" max="65" width="14.42578125" style="455" hidden="1" customWidth="1"/>
    <col min="66" max="66" width="10.28515625" style="456" hidden="1" customWidth="1"/>
    <col min="67" max="67" width="10.7109375" style="457" hidden="1" customWidth="1"/>
    <col min="68" max="68" width="14.42578125" style="455" hidden="1" customWidth="1"/>
    <col min="69" max="69" width="10.28515625" style="456" hidden="1" customWidth="1"/>
    <col min="70" max="70" width="10.7109375" style="457" hidden="1" customWidth="1"/>
    <col min="71" max="71" width="14.42578125" style="455" hidden="1" customWidth="1"/>
    <col min="72" max="72" width="10.28515625" style="456" hidden="1" customWidth="1"/>
    <col min="73" max="73" width="10.7109375" style="457" hidden="1" customWidth="1"/>
    <col min="74" max="74" width="14.42578125" style="455" hidden="1" customWidth="1"/>
    <col min="75" max="75" width="10.28515625" style="456" hidden="1" customWidth="1"/>
    <col min="76" max="76" width="10.7109375" style="457" hidden="1" customWidth="1"/>
    <col min="77" max="77" width="14.42578125" style="455" hidden="1" customWidth="1"/>
    <col min="78" max="78" width="10.28515625" style="456" hidden="1" customWidth="1"/>
    <col min="79" max="79" width="10.7109375" style="457" hidden="1" customWidth="1"/>
    <col min="80" max="80" width="14.42578125" style="455" hidden="1" customWidth="1"/>
    <col min="81" max="81" width="10.28515625" style="456" hidden="1" customWidth="1"/>
    <col min="82" max="82" width="10.7109375" style="457" hidden="1" customWidth="1"/>
    <col min="83" max="83" width="14.42578125" style="455" hidden="1" customWidth="1"/>
    <col min="84" max="84" width="10.28515625" style="456" hidden="1" customWidth="1"/>
    <col min="85" max="85" width="10.7109375" style="457" hidden="1" customWidth="1"/>
    <col min="86" max="86" width="14.42578125" style="455" hidden="1" customWidth="1"/>
    <col min="87" max="87" width="10.28515625" style="456" hidden="1" customWidth="1"/>
    <col min="88" max="88" width="10.7109375" style="457" hidden="1" customWidth="1"/>
    <col min="89" max="89" width="14.42578125" style="455" hidden="1" customWidth="1"/>
    <col min="90" max="90" width="10.28515625" style="456" hidden="1" customWidth="1"/>
    <col min="91" max="91" width="10.7109375" style="457" hidden="1" customWidth="1"/>
    <col min="92" max="92" width="14.42578125" style="455" hidden="1" customWidth="1"/>
    <col min="93" max="93" width="10.28515625" style="456" hidden="1" customWidth="1"/>
    <col min="94" max="94" width="10.7109375" style="457" hidden="1" customWidth="1"/>
    <col min="95" max="95" width="14.42578125" style="455" hidden="1" customWidth="1"/>
    <col min="96" max="96" width="10.28515625" style="456" hidden="1" customWidth="1"/>
    <col min="97" max="97" width="10.7109375" style="457" hidden="1" customWidth="1"/>
    <col min="98" max="98" width="14.42578125" style="455" hidden="1" customWidth="1"/>
    <col min="99" max="99" width="10.28515625" style="456" hidden="1" customWidth="1"/>
    <col min="100" max="100" width="10.7109375" style="457" hidden="1" customWidth="1"/>
    <col min="101" max="101" width="14.42578125" style="455" hidden="1" customWidth="1"/>
    <col min="102" max="102" width="10.28515625" style="456" hidden="1" customWidth="1"/>
    <col min="103" max="103" width="10.7109375" style="457" hidden="1" customWidth="1"/>
    <col min="104" max="104" width="14.42578125" style="455" hidden="1" customWidth="1"/>
    <col min="105" max="105" width="10.28515625" style="456" hidden="1" customWidth="1"/>
    <col min="106" max="106" width="10.7109375" style="457" hidden="1" customWidth="1"/>
    <col min="107" max="107" width="14.42578125" style="455" hidden="1" customWidth="1"/>
    <col min="108" max="108" width="10.28515625" style="456" hidden="1" customWidth="1"/>
    <col min="109" max="109" width="10.7109375" style="457" hidden="1" customWidth="1"/>
    <col min="110" max="110" width="14.42578125" style="455" hidden="1" customWidth="1"/>
    <col min="111" max="111" width="10.28515625" style="456" hidden="1" customWidth="1"/>
    <col min="112" max="112" width="10.7109375" style="457" hidden="1" customWidth="1"/>
    <col min="113" max="113" width="14.42578125" style="455" hidden="1" customWidth="1"/>
    <col min="114" max="114" width="10.28515625" style="456" hidden="1" customWidth="1"/>
    <col min="115" max="115" width="10.7109375" style="457" hidden="1" customWidth="1"/>
    <col min="116" max="116" width="14.42578125" style="455" hidden="1" customWidth="1"/>
    <col min="117" max="117" width="10.28515625" style="456" hidden="1" customWidth="1"/>
    <col min="118" max="118" width="10.7109375" style="457" hidden="1" customWidth="1"/>
    <col min="119" max="119" width="14.42578125" style="455" hidden="1" customWidth="1"/>
    <col min="120" max="120" width="10.28515625" style="456" hidden="1" customWidth="1"/>
    <col min="121" max="121" width="10.7109375" style="457" hidden="1" customWidth="1"/>
    <col min="122" max="122" width="14.42578125" style="455" hidden="1" customWidth="1"/>
    <col min="123" max="123" width="10.28515625" style="456" hidden="1" customWidth="1"/>
    <col min="124" max="124" width="10.7109375" style="457" hidden="1" customWidth="1"/>
    <col min="125" max="125" width="14.42578125" style="455" hidden="1" customWidth="1"/>
    <col min="126" max="126" width="10.28515625" style="456" hidden="1" customWidth="1"/>
    <col min="127" max="127" width="10.7109375" style="457" hidden="1" customWidth="1"/>
    <col min="128" max="128" width="14.42578125" style="455" hidden="1" customWidth="1"/>
    <col min="129" max="129" width="10.28515625" style="456" hidden="1" customWidth="1"/>
    <col min="130" max="130" width="10.7109375" style="457" hidden="1" customWidth="1"/>
    <col min="131" max="131" width="2.7109375" style="457" customWidth="1"/>
    <col min="132" max="132" width="19" style="457" customWidth="1"/>
    <col min="133" max="133" width="15.42578125" style="457" hidden="1" customWidth="1"/>
    <col min="134" max="134" width="14.5703125" style="457" bestFit="1" customWidth="1"/>
    <col min="135" max="135" width="22.140625" style="457" bestFit="1" customWidth="1"/>
    <col min="136" max="136" width="2.7109375" style="457" customWidth="1"/>
    <col min="137" max="137" width="15.42578125" style="457" hidden="1" customWidth="1"/>
    <col min="138" max="138" width="14.42578125" style="457" hidden="1" customWidth="1"/>
    <col min="139" max="139" width="12.42578125" style="457" hidden="1" customWidth="1"/>
    <col min="140" max="140" width="2.7109375" style="457" hidden="1" customWidth="1"/>
    <col min="141" max="141" width="17.85546875" style="457" bestFit="1" customWidth="1"/>
    <col min="142" max="142" width="15.42578125" style="457" hidden="1" customWidth="1"/>
    <col min="143" max="143" width="14.5703125" style="457" bestFit="1" customWidth="1"/>
    <col min="144" max="144" width="18.5703125" style="457" bestFit="1" customWidth="1"/>
    <col min="145" max="145" width="43" style="457" bestFit="1" customWidth="1"/>
    <col min="146" max="146" width="15.42578125" style="457" bestFit="1" customWidth="1"/>
    <col min="147" max="147" width="23.28515625" style="457" bestFit="1" customWidth="1"/>
    <col min="148" max="16384" width="9.140625" style="457"/>
  </cols>
  <sheetData>
    <row r="1" spans="1:147" s="263" customFormat="1">
      <c r="A1" s="262" t="s">
        <v>0</v>
      </c>
      <c r="B1" s="274"/>
      <c r="C1" s="450"/>
      <c r="E1" s="274"/>
      <c r="F1" s="450"/>
      <c r="H1" s="274"/>
      <c r="I1" s="450"/>
      <c r="K1" s="274"/>
      <c r="L1" s="450"/>
      <c r="N1" s="274"/>
      <c r="O1" s="450"/>
      <c r="Q1" s="274"/>
      <c r="R1" s="450"/>
      <c r="T1" s="274"/>
      <c r="U1" s="450"/>
      <c r="W1" s="274"/>
      <c r="X1" s="450"/>
      <c r="Z1" s="274"/>
      <c r="AA1" s="450"/>
      <c r="AC1" s="274"/>
      <c r="AD1" s="450"/>
      <c r="AF1" s="274"/>
      <c r="AG1" s="450"/>
      <c r="AI1" s="274"/>
      <c r="AJ1" s="450"/>
      <c r="AL1" s="274"/>
      <c r="AM1" s="450"/>
      <c r="AO1" s="274"/>
      <c r="AP1" s="450"/>
      <c r="AR1" s="274"/>
      <c r="AS1" s="450"/>
      <c r="AU1" s="274"/>
      <c r="AV1" s="450"/>
      <c r="AX1" s="274"/>
      <c r="AY1" s="450"/>
      <c r="BA1" s="274"/>
      <c r="BB1" s="450"/>
      <c r="BD1" s="274"/>
      <c r="BE1" s="450"/>
      <c r="BG1" s="274"/>
      <c r="BH1" s="450"/>
      <c r="BJ1" s="274"/>
      <c r="BK1" s="450"/>
      <c r="BM1" s="274"/>
      <c r="BN1" s="450"/>
      <c r="BP1" s="274"/>
      <c r="BQ1" s="450"/>
      <c r="BS1" s="274"/>
      <c r="BT1" s="450"/>
      <c r="BV1" s="274"/>
      <c r="BW1" s="450"/>
      <c r="BY1" s="274"/>
      <c r="BZ1" s="450"/>
      <c r="CB1" s="274"/>
      <c r="CC1" s="450"/>
      <c r="CE1" s="274"/>
      <c r="CF1" s="450"/>
      <c r="CH1" s="274"/>
      <c r="CI1" s="450"/>
      <c r="CK1" s="274"/>
      <c r="CL1" s="450"/>
      <c r="CN1" s="274"/>
      <c r="CO1" s="450"/>
      <c r="CQ1" s="274"/>
      <c r="CR1" s="450"/>
      <c r="CT1" s="274"/>
      <c r="CU1" s="450"/>
      <c r="CW1" s="274"/>
      <c r="CX1" s="450"/>
      <c r="CZ1" s="274"/>
      <c r="DA1" s="450"/>
      <c r="DC1" s="274"/>
      <c r="DD1" s="450"/>
      <c r="DF1" s="274"/>
      <c r="DG1" s="450"/>
      <c r="DI1" s="274"/>
      <c r="DJ1" s="450"/>
      <c r="DL1" s="274"/>
      <c r="DM1" s="450"/>
      <c r="DO1" s="274"/>
      <c r="DP1" s="450"/>
      <c r="DR1" s="274"/>
      <c r="DS1" s="450"/>
      <c r="DU1" s="274"/>
      <c r="DV1" s="450"/>
      <c r="DX1" s="274"/>
      <c r="DY1" s="450"/>
      <c r="DZ1" s="260"/>
      <c r="ED1" s="264"/>
      <c r="EE1" s="451" t="s">
        <v>118</v>
      </c>
      <c r="EI1" s="264" t="s">
        <v>59</v>
      </c>
      <c r="EM1" s="264"/>
      <c r="EN1" s="264" t="s">
        <v>120</v>
      </c>
      <c r="EO1" s="262" t="s">
        <v>121</v>
      </c>
      <c r="EP1" s="262" t="s">
        <v>122</v>
      </c>
      <c r="EQ1" s="262" t="s">
        <v>123</v>
      </c>
    </row>
    <row r="2" spans="1:147" s="263" customFormat="1" ht="13.5" thickBot="1">
      <c r="A2" s="262" t="s">
        <v>49</v>
      </c>
      <c r="B2" s="274"/>
      <c r="C2" s="450"/>
      <c r="E2" s="266"/>
      <c r="F2" s="450"/>
      <c r="G2" s="264"/>
      <c r="H2" s="274"/>
      <c r="I2" s="450"/>
      <c r="K2" s="274"/>
      <c r="L2" s="450"/>
      <c r="N2" s="274"/>
      <c r="O2" s="450"/>
      <c r="Q2" s="274"/>
      <c r="R2" s="450"/>
      <c r="T2" s="274"/>
      <c r="U2" s="450"/>
      <c r="W2" s="274"/>
      <c r="X2" s="450"/>
      <c r="Z2" s="274"/>
      <c r="AA2" s="450"/>
      <c r="AC2" s="274"/>
      <c r="AD2" s="450"/>
      <c r="AF2" s="274"/>
      <c r="AG2" s="450"/>
      <c r="AI2" s="274"/>
      <c r="AJ2" s="450"/>
      <c r="AL2" s="274"/>
      <c r="AM2" s="450"/>
      <c r="AO2" s="274"/>
      <c r="AP2" s="450"/>
      <c r="AR2" s="274"/>
      <c r="AS2" s="450"/>
      <c r="AU2" s="274"/>
      <c r="AV2" s="450"/>
      <c r="AX2" s="274"/>
      <c r="AY2" s="450"/>
      <c r="BA2" s="274"/>
      <c r="BB2" s="450"/>
      <c r="BD2" s="274"/>
      <c r="BE2" s="450"/>
      <c r="BG2" s="274"/>
      <c r="BH2" s="450"/>
      <c r="BJ2" s="274"/>
      <c r="BK2" s="450"/>
      <c r="BM2" s="274"/>
      <c r="BN2" s="450"/>
      <c r="BP2" s="274"/>
      <c r="BQ2" s="450"/>
      <c r="BS2" s="274"/>
      <c r="BT2" s="450"/>
      <c r="BV2" s="274"/>
      <c r="BW2" s="450"/>
      <c r="BY2" s="274"/>
      <c r="BZ2" s="450"/>
      <c r="CB2" s="274"/>
      <c r="CC2" s="450"/>
      <c r="CE2" s="274"/>
      <c r="CF2" s="450"/>
      <c r="CH2" s="274"/>
      <c r="CI2" s="450"/>
      <c r="CK2" s="274"/>
      <c r="CL2" s="450"/>
      <c r="CN2" s="274"/>
      <c r="CO2" s="450"/>
      <c r="CQ2" s="274"/>
      <c r="CR2" s="450"/>
      <c r="CT2" s="274"/>
      <c r="CU2" s="450"/>
      <c r="CW2" s="274"/>
      <c r="CX2" s="450"/>
      <c r="CZ2" s="274"/>
      <c r="DA2" s="450"/>
      <c r="DC2" s="274"/>
      <c r="DD2" s="450"/>
      <c r="DF2" s="274"/>
      <c r="DG2" s="450"/>
      <c r="DI2" s="274"/>
      <c r="DJ2" s="450"/>
      <c r="DL2" s="274"/>
      <c r="DM2" s="450"/>
      <c r="DO2" s="274"/>
      <c r="DP2" s="450"/>
      <c r="DR2" s="274"/>
      <c r="DS2" s="450"/>
      <c r="DU2" s="274"/>
      <c r="DV2" s="450"/>
      <c r="DX2" s="274"/>
      <c r="DY2" s="450"/>
      <c r="EB2" s="452" t="s">
        <v>51</v>
      </c>
      <c r="EC2" s="452"/>
      <c r="ED2" s="453"/>
      <c r="EE2" s="453">
        <f>EB41</f>
        <v>54750000</v>
      </c>
      <c r="EI2" s="453">
        <f>EG40</f>
        <v>0</v>
      </c>
      <c r="EM2" s="453"/>
      <c r="EN2" s="453">
        <f>EK41</f>
        <v>54750000</v>
      </c>
      <c r="EO2" s="274">
        <v>0</v>
      </c>
      <c r="EP2" s="274">
        <v>0</v>
      </c>
      <c r="EQ2" s="274">
        <f>EE2+EO2</f>
        <v>54750000</v>
      </c>
    </row>
    <row r="3" spans="1:147" ht="13.5" thickTop="1">
      <c r="A3" s="454" t="s">
        <v>220</v>
      </c>
      <c r="E3" s="261" t="s">
        <v>50</v>
      </c>
      <c r="F3" s="458"/>
      <c r="G3" s="459"/>
      <c r="EB3" s="452" t="s">
        <v>52</v>
      </c>
      <c r="EC3" s="452"/>
      <c r="ED3" s="453"/>
      <c r="EE3" s="453">
        <f>AVERAGE(EB11:EB41)</f>
        <v>116906451.61290322</v>
      </c>
      <c r="EI3" s="453">
        <f>AVERAGE(EG11:EG40)</f>
        <v>0</v>
      </c>
      <c r="EM3" s="453"/>
      <c r="EN3" s="453">
        <f>AVERAGE(EK11:EK41)</f>
        <v>116906451.61290322</v>
      </c>
    </row>
    <row r="4" spans="1:147">
      <c r="D4" s="452"/>
      <c r="E4" s="460" t="s">
        <v>51</v>
      </c>
      <c r="F4" s="453"/>
      <c r="G4" s="461">
        <f>EQ2</f>
        <v>54750000</v>
      </c>
      <c r="AI4" s="262" t="s">
        <v>198</v>
      </c>
      <c r="EB4" s="452" t="s">
        <v>53</v>
      </c>
      <c r="EC4" s="452"/>
      <c r="ED4" s="462"/>
      <c r="EE4" s="462">
        <f>IF(EE3=0,0,360*(AVERAGE(ED11:ED41)/EE3))</f>
        <v>2.7878149057697078E-2</v>
      </c>
      <c r="EI4" s="462">
        <f>IF(EI3=0,0,360*(AVERAGE(EH11:EH40)/EI3))</f>
        <v>0</v>
      </c>
      <c r="EM4" s="462"/>
      <c r="EN4" s="462">
        <f>IF(EN3=0,0,360*(AVERAGE(EM11:EM41)/EN3))</f>
        <v>2.7878149057697078E-2</v>
      </c>
      <c r="EO4" s="263" t="s">
        <v>199</v>
      </c>
      <c r="EQ4" s="264" t="s">
        <v>198</v>
      </c>
    </row>
    <row r="5" spans="1:147">
      <c r="D5" s="452"/>
      <c r="E5" s="460" t="s">
        <v>52</v>
      </c>
      <c r="F5" s="453"/>
      <c r="G5" s="461">
        <f>EE3</f>
        <v>116906451.61290322</v>
      </c>
      <c r="AI5" s="463" t="s">
        <v>120</v>
      </c>
      <c r="EB5" s="464" t="s">
        <v>57</v>
      </c>
      <c r="EC5" s="464"/>
      <c r="ED5" s="453"/>
      <c r="EE5" s="453">
        <f>MAX(EB11:EB41)</f>
        <v>506375000</v>
      </c>
      <c r="EI5" s="453">
        <f>MAX(EG11:EG40)</f>
        <v>0</v>
      </c>
      <c r="EM5" s="453"/>
      <c r="EN5" s="453">
        <f>MAX(EK11:EK41)</f>
        <v>506375000</v>
      </c>
    </row>
    <row r="6" spans="1:147">
      <c r="D6" s="452"/>
      <c r="E6" s="460" t="s">
        <v>53</v>
      </c>
      <c r="F6" s="453"/>
      <c r="G6" s="465">
        <f>EE4</f>
        <v>2.7878149057697078E-2</v>
      </c>
    </row>
    <row r="7" spans="1:147" ht="13.5" thickBot="1">
      <c r="D7" s="452"/>
      <c r="E7" s="466" t="s">
        <v>57</v>
      </c>
      <c r="F7" s="467"/>
      <c r="G7" s="468">
        <f>EE5</f>
        <v>506375000</v>
      </c>
      <c r="AI7" s="463" t="s">
        <v>120</v>
      </c>
      <c r="EB7" s="265" t="s">
        <v>54</v>
      </c>
      <c r="EC7" s="265"/>
      <c r="ED7" s="469"/>
      <c r="EE7" s="469"/>
      <c r="EG7" s="265" t="s">
        <v>55</v>
      </c>
      <c r="EH7" s="469"/>
      <c r="EI7" s="469"/>
      <c r="EJ7" s="470"/>
      <c r="EK7" s="265" t="s">
        <v>56</v>
      </c>
      <c r="EL7" s="265"/>
      <c r="EM7" s="469"/>
      <c r="EN7" s="469"/>
    </row>
    <row r="8" spans="1:147" ht="13.5" thickTop="1">
      <c r="AI8" s="266" t="s">
        <v>112</v>
      </c>
      <c r="AL8" s="266" t="s">
        <v>112</v>
      </c>
      <c r="AO8" s="266" t="s">
        <v>112</v>
      </c>
      <c r="AR8" s="266" t="s">
        <v>112</v>
      </c>
      <c r="AU8" s="266" t="s">
        <v>112</v>
      </c>
      <c r="AX8" s="266" t="s">
        <v>112</v>
      </c>
      <c r="BA8" s="266" t="s">
        <v>112</v>
      </c>
      <c r="BD8" s="266" t="s">
        <v>112</v>
      </c>
      <c r="BG8" s="266" t="s">
        <v>112</v>
      </c>
      <c r="BJ8" s="266" t="s">
        <v>112</v>
      </c>
      <c r="BM8" s="266" t="s">
        <v>112</v>
      </c>
      <c r="BP8" s="266" t="s">
        <v>112</v>
      </c>
      <c r="BS8" s="266" t="s">
        <v>112</v>
      </c>
      <c r="BV8" s="266" t="s">
        <v>112</v>
      </c>
      <c r="BY8" s="266" t="s">
        <v>112</v>
      </c>
      <c r="CB8" s="266" t="s">
        <v>112</v>
      </c>
      <c r="CE8" s="266" t="s">
        <v>112</v>
      </c>
      <c r="CH8" s="266" t="s">
        <v>112</v>
      </c>
      <c r="CK8" s="266" t="s">
        <v>112</v>
      </c>
      <c r="CN8" s="266" t="s">
        <v>112</v>
      </c>
      <c r="CQ8" s="266" t="s">
        <v>112</v>
      </c>
      <c r="CT8" s="266" t="s">
        <v>112</v>
      </c>
      <c r="CW8" s="266" t="s">
        <v>112</v>
      </c>
      <c r="CZ8" s="266" t="s">
        <v>112</v>
      </c>
      <c r="DC8" s="266" t="s">
        <v>112</v>
      </c>
      <c r="DF8" s="266" t="s">
        <v>112</v>
      </c>
      <c r="DI8" s="266" t="s">
        <v>112</v>
      </c>
      <c r="DL8" s="266" t="s">
        <v>112</v>
      </c>
      <c r="DO8" s="266" t="s">
        <v>112</v>
      </c>
      <c r="DR8" s="266" t="s">
        <v>112</v>
      </c>
      <c r="EB8" s="471"/>
      <c r="EC8" s="471"/>
      <c r="ED8" s="471"/>
      <c r="EE8" s="471" t="s">
        <v>58</v>
      </c>
      <c r="EG8" s="471"/>
      <c r="EH8" s="267" t="s">
        <v>59</v>
      </c>
      <c r="EI8" s="471" t="s">
        <v>58</v>
      </c>
      <c r="EJ8" s="471"/>
      <c r="EK8" s="264" t="s">
        <v>113</v>
      </c>
      <c r="EL8" s="264" t="s">
        <v>114</v>
      </c>
      <c r="EM8" s="267" t="s">
        <v>60</v>
      </c>
      <c r="EN8" s="471" t="s">
        <v>58</v>
      </c>
    </row>
    <row r="9" spans="1:147">
      <c r="B9" s="472" t="s">
        <v>61</v>
      </c>
      <c r="C9" s="473"/>
      <c r="D9" s="469"/>
      <c r="E9" s="472" t="s">
        <v>62</v>
      </c>
      <c r="F9" s="473"/>
      <c r="G9" s="469"/>
      <c r="H9" s="472" t="s">
        <v>63</v>
      </c>
      <c r="I9" s="473"/>
      <c r="J9" s="469"/>
      <c r="K9" s="472" t="s">
        <v>64</v>
      </c>
      <c r="L9" s="473"/>
      <c r="M9" s="469"/>
      <c r="N9" s="472" t="s">
        <v>65</v>
      </c>
      <c r="O9" s="473"/>
      <c r="P9" s="469"/>
      <c r="Q9" s="472" t="s">
        <v>66</v>
      </c>
      <c r="R9" s="473"/>
      <c r="S9" s="469"/>
      <c r="T9" s="472" t="s">
        <v>67</v>
      </c>
      <c r="U9" s="473"/>
      <c r="V9" s="469"/>
      <c r="W9" s="472" t="s">
        <v>68</v>
      </c>
      <c r="X9" s="473"/>
      <c r="Y9" s="469"/>
      <c r="Z9" s="472" t="s">
        <v>69</v>
      </c>
      <c r="AA9" s="473"/>
      <c r="AB9" s="469"/>
      <c r="AC9" s="268" t="s">
        <v>70</v>
      </c>
      <c r="AD9" s="473"/>
      <c r="AE9" s="469"/>
      <c r="AF9" s="268" t="s">
        <v>71</v>
      </c>
      <c r="AG9" s="473"/>
      <c r="AH9" s="469"/>
      <c r="AI9" s="472" t="s">
        <v>72</v>
      </c>
      <c r="AJ9" s="473"/>
      <c r="AK9" s="469"/>
      <c r="AL9" s="472" t="s">
        <v>73</v>
      </c>
      <c r="AM9" s="473"/>
      <c r="AN9" s="469"/>
      <c r="AO9" s="472" t="s">
        <v>74</v>
      </c>
      <c r="AP9" s="473"/>
      <c r="AQ9" s="469"/>
      <c r="AR9" s="472" t="s">
        <v>75</v>
      </c>
      <c r="AS9" s="473"/>
      <c r="AT9" s="469"/>
      <c r="AU9" s="472" t="s">
        <v>76</v>
      </c>
      <c r="AV9" s="473"/>
      <c r="AW9" s="469"/>
      <c r="AX9" s="472" t="s">
        <v>77</v>
      </c>
      <c r="AY9" s="473"/>
      <c r="AZ9" s="469"/>
      <c r="BA9" s="472" t="s">
        <v>78</v>
      </c>
      <c r="BB9" s="473"/>
      <c r="BC9" s="469"/>
      <c r="BD9" s="472" t="s">
        <v>79</v>
      </c>
      <c r="BE9" s="473"/>
      <c r="BF9" s="469"/>
      <c r="BG9" s="472" t="s">
        <v>80</v>
      </c>
      <c r="BH9" s="473"/>
      <c r="BI9" s="469"/>
      <c r="BJ9" s="472" t="s">
        <v>81</v>
      </c>
      <c r="BK9" s="473"/>
      <c r="BL9" s="469"/>
      <c r="BM9" s="472" t="s">
        <v>82</v>
      </c>
      <c r="BN9" s="473"/>
      <c r="BO9" s="469"/>
      <c r="BP9" s="472" t="s">
        <v>83</v>
      </c>
      <c r="BQ9" s="473"/>
      <c r="BR9" s="469"/>
      <c r="BS9" s="472" t="s">
        <v>84</v>
      </c>
      <c r="BT9" s="473"/>
      <c r="BU9" s="469"/>
      <c r="BV9" s="472" t="s">
        <v>85</v>
      </c>
      <c r="BW9" s="473"/>
      <c r="BX9" s="469"/>
      <c r="BY9" s="472" t="s">
        <v>86</v>
      </c>
      <c r="BZ9" s="473"/>
      <c r="CA9" s="469"/>
      <c r="CB9" s="472" t="s">
        <v>87</v>
      </c>
      <c r="CC9" s="473"/>
      <c r="CD9" s="469"/>
      <c r="CE9" s="472" t="s">
        <v>88</v>
      </c>
      <c r="CF9" s="473"/>
      <c r="CG9" s="469"/>
      <c r="CH9" s="472" t="s">
        <v>89</v>
      </c>
      <c r="CI9" s="473"/>
      <c r="CJ9" s="469"/>
      <c r="CK9" s="472" t="s">
        <v>90</v>
      </c>
      <c r="CL9" s="473"/>
      <c r="CM9" s="469"/>
      <c r="CN9" s="472" t="s">
        <v>91</v>
      </c>
      <c r="CO9" s="473"/>
      <c r="CP9" s="469"/>
      <c r="CQ9" s="472" t="s">
        <v>92</v>
      </c>
      <c r="CR9" s="473"/>
      <c r="CS9" s="469"/>
      <c r="CT9" s="472" t="s">
        <v>93</v>
      </c>
      <c r="CU9" s="473"/>
      <c r="CV9" s="469"/>
      <c r="CW9" s="472" t="s">
        <v>94</v>
      </c>
      <c r="CX9" s="473"/>
      <c r="CY9" s="469"/>
      <c r="CZ9" s="472" t="s">
        <v>95</v>
      </c>
      <c r="DA9" s="473"/>
      <c r="DB9" s="469"/>
      <c r="DC9" s="472" t="s">
        <v>96</v>
      </c>
      <c r="DD9" s="473"/>
      <c r="DE9" s="469"/>
      <c r="DF9" s="472" t="s">
        <v>97</v>
      </c>
      <c r="DG9" s="473"/>
      <c r="DH9" s="469"/>
      <c r="DI9" s="472" t="s">
        <v>98</v>
      </c>
      <c r="DJ9" s="473"/>
      <c r="DK9" s="469"/>
      <c r="DL9" s="472" t="s">
        <v>99</v>
      </c>
      <c r="DM9" s="473"/>
      <c r="DN9" s="469"/>
      <c r="DO9" s="472" t="s">
        <v>100</v>
      </c>
      <c r="DP9" s="473"/>
      <c r="DQ9" s="469"/>
      <c r="DR9" s="472" t="s">
        <v>101</v>
      </c>
      <c r="DS9" s="473"/>
      <c r="DT9" s="469"/>
      <c r="DU9" s="472" t="s">
        <v>102</v>
      </c>
      <c r="DV9" s="473"/>
      <c r="DW9" s="469"/>
      <c r="DX9" s="269" t="s">
        <v>115</v>
      </c>
      <c r="DY9" s="473"/>
      <c r="DZ9" s="469"/>
      <c r="EA9" s="470"/>
      <c r="EB9" s="264" t="s">
        <v>116</v>
      </c>
      <c r="EC9" s="264" t="s">
        <v>117</v>
      </c>
      <c r="ED9" s="471" t="s">
        <v>103</v>
      </c>
      <c r="EE9" s="471" t="s">
        <v>104</v>
      </c>
      <c r="EG9" s="267" t="s">
        <v>105</v>
      </c>
      <c r="EH9" s="471" t="s">
        <v>103</v>
      </c>
      <c r="EI9" s="471" t="s">
        <v>104</v>
      </c>
      <c r="EJ9" s="471"/>
      <c r="EK9" s="267" t="s">
        <v>60</v>
      </c>
      <c r="EL9" s="267" t="s">
        <v>60</v>
      </c>
      <c r="EM9" s="471" t="s">
        <v>103</v>
      </c>
      <c r="EN9" s="471" t="s">
        <v>104</v>
      </c>
    </row>
    <row r="10" spans="1:147">
      <c r="A10" s="471" t="s">
        <v>106</v>
      </c>
      <c r="B10" s="270" t="s">
        <v>107</v>
      </c>
      <c r="C10" s="271" t="s">
        <v>108</v>
      </c>
      <c r="D10" s="272" t="s">
        <v>109</v>
      </c>
      <c r="E10" s="270" t="s">
        <v>107</v>
      </c>
      <c r="F10" s="271" t="s">
        <v>108</v>
      </c>
      <c r="G10" s="272" t="s">
        <v>109</v>
      </c>
      <c r="H10" s="270" t="s">
        <v>107</v>
      </c>
      <c r="I10" s="271" t="s">
        <v>108</v>
      </c>
      <c r="J10" s="272" t="s">
        <v>109</v>
      </c>
      <c r="K10" s="270" t="s">
        <v>107</v>
      </c>
      <c r="L10" s="271" t="s">
        <v>108</v>
      </c>
      <c r="M10" s="272" t="s">
        <v>109</v>
      </c>
      <c r="N10" s="270" t="s">
        <v>107</v>
      </c>
      <c r="O10" s="271" t="s">
        <v>108</v>
      </c>
      <c r="P10" s="272" t="s">
        <v>109</v>
      </c>
      <c r="Q10" s="270" t="s">
        <v>107</v>
      </c>
      <c r="R10" s="271" t="s">
        <v>108</v>
      </c>
      <c r="S10" s="272" t="s">
        <v>109</v>
      </c>
      <c r="T10" s="270" t="s">
        <v>107</v>
      </c>
      <c r="U10" s="271" t="s">
        <v>108</v>
      </c>
      <c r="V10" s="272" t="s">
        <v>109</v>
      </c>
      <c r="W10" s="270" t="s">
        <v>107</v>
      </c>
      <c r="X10" s="271" t="s">
        <v>108</v>
      </c>
      <c r="Y10" s="272" t="s">
        <v>109</v>
      </c>
      <c r="Z10" s="270" t="s">
        <v>107</v>
      </c>
      <c r="AA10" s="271" t="s">
        <v>108</v>
      </c>
      <c r="AB10" s="272" t="s">
        <v>109</v>
      </c>
      <c r="AC10" s="270" t="s">
        <v>107</v>
      </c>
      <c r="AD10" s="271" t="s">
        <v>108</v>
      </c>
      <c r="AE10" s="272" t="s">
        <v>109</v>
      </c>
      <c r="AF10" s="270" t="s">
        <v>107</v>
      </c>
      <c r="AG10" s="271" t="s">
        <v>108</v>
      </c>
      <c r="AH10" s="272" t="s">
        <v>109</v>
      </c>
      <c r="AI10" s="270" t="s">
        <v>107</v>
      </c>
      <c r="AJ10" s="271" t="s">
        <v>108</v>
      </c>
      <c r="AK10" s="272" t="s">
        <v>109</v>
      </c>
      <c r="AL10" s="270" t="s">
        <v>107</v>
      </c>
      <c r="AM10" s="271" t="s">
        <v>108</v>
      </c>
      <c r="AN10" s="272" t="s">
        <v>109</v>
      </c>
      <c r="AO10" s="270" t="s">
        <v>107</v>
      </c>
      <c r="AP10" s="271" t="s">
        <v>108</v>
      </c>
      <c r="AQ10" s="272" t="s">
        <v>109</v>
      </c>
      <c r="AR10" s="270" t="s">
        <v>107</v>
      </c>
      <c r="AS10" s="271" t="s">
        <v>108</v>
      </c>
      <c r="AT10" s="272" t="s">
        <v>109</v>
      </c>
      <c r="AU10" s="270" t="s">
        <v>107</v>
      </c>
      <c r="AV10" s="271" t="s">
        <v>108</v>
      </c>
      <c r="AW10" s="272" t="s">
        <v>109</v>
      </c>
      <c r="AX10" s="270" t="s">
        <v>107</v>
      </c>
      <c r="AY10" s="271" t="s">
        <v>108</v>
      </c>
      <c r="AZ10" s="272" t="s">
        <v>109</v>
      </c>
      <c r="BA10" s="270" t="s">
        <v>107</v>
      </c>
      <c r="BB10" s="271" t="s">
        <v>108</v>
      </c>
      <c r="BC10" s="272" t="s">
        <v>109</v>
      </c>
      <c r="BD10" s="270" t="s">
        <v>107</v>
      </c>
      <c r="BE10" s="271" t="s">
        <v>108</v>
      </c>
      <c r="BF10" s="272" t="s">
        <v>109</v>
      </c>
      <c r="BG10" s="270" t="s">
        <v>107</v>
      </c>
      <c r="BH10" s="271" t="s">
        <v>108</v>
      </c>
      <c r="BI10" s="272" t="s">
        <v>109</v>
      </c>
      <c r="BJ10" s="270" t="s">
        <v>107</v>
      </c>
      <c r="BK10" s="271" t="s">
        <v>108</v>
      </c>
      <c r="BL10" s="272" t="s">
        <v>109</v>
      </c>
      <c r="BM10" s="270" t="s">
        <v>107</v>
      </c>
      <c r="BN10" s="271" t="s">
        <v>108</v>
      </c>
      <c r="BO10" s="272" t="s">
        <v>109</v>
      </c>
      <c r="BP10" s="270" t="s">
        <v>107</v>
      </c>
      <c r="BQ10" s="271" t="s">
        <v>108</v>
      </c>
      <c r="BR10" s="272" t="s">
        <v>109</v>
      </c>
      <c r="BS10" s="270" t="s">
        <v>107</v>
      </c>
      <c r="BT10" s="271" t="s">
        <v>108</v>
      </c>
      <c r="BU10" s="272" t="s">
        <v>109</v>
      </c>
      <c r="BV10" s="270" t="s">
        <v>107</v>
      </c>
      <c r="BW10" s="271" t="s">
        <v>108</v>
      </c>
      <c r="BX10" s="272" t="s">
        <v>109</v>
      </c>
      <c r="BY10" s="270" t="s">
        <v>107</v>
      </c>
      <c r="BZ10" s="271" t="s">
        <v>108</v>
      </c>
      <c r="CA10" s="272" t="s">
        <v>109</v>
      </c>
      <c r="CB10" s="270" t="s">
        <v>107</v>
      </c>
      <c r="CC10" s="271" t="s">
        <v>108</v>
      </c>
      <c r="CD10" s="272" t="s">
        <v>109</v>
      </c>
      <c r="CE10" s="270" t="s">
        <v>107</v>
      </c>
      <c r="CF10" s="271" t="s">
        <v>108</v>
      </c>
      <c r="CG10" s="272" t="s">
        <v>109</v>
      </c>
      <c r="CH10" s="270" t="s">
        <v>107</v>
      </c>
      <c r="CI10" s="271" t="s">
        <v>108</v>
      </c>
      <c r="CJ10" s="272" t="s">
        <v>109</v>
      </c>
      <c r="CK10" s="270" t="s">
        <v>107</v>
      </c>
      <c r="CL10" s="271" t="s">
        <v>108</v>
      </c>
      <c r="CM10" s="272" t="s">
        <v>109</v>
      </c>
      <c r="CN10" s="270" t="s">
        <v>107</v>
      </c>
      <c r="CO10" s="271" t="s">
        <v>108</v>
      </c>
      <c r="CP10" s="272" t="s">
        <v>109</v>
      </c>
      <c r="CQ10" s="270" t="s">
        <v>107</v>
      </c>
      <c r="CR10" s="271" t="s">
        <v>108</v>
      </c>
      <c r="CS10" s="272" t="s">
        <v>109</v>
      </c>
      <c r="CT10" s="270" t="s">
        <v>107</v>
      </c>
      <c r="CU10" s="271" t="s">
        <v>108</v>
      </c>
      <c r="CV10" s="272" t="s">
        <v>109</v>
      </c>
      <c r="CW10" s="270" t="s">
        <v>107</v>
      </c>
      <c r="CX10" s="271" t="s">
        <v>108</v>
      </c>
      <c r="CY10" s="272" t="s">
        <v>109</v>
      </c>
      <c r="CZ10" s="270" t="s">
        <v>107</v>
      </c>
      <c r="DA10" s="271" t="s">
        <v>108</v>
      </c>
      <c r="DB10" s="272" t="s">
        <v>109</v>
      </c>
      <c r="DC10" s="270" t="s">
        <v>107</v>
      </c>
      <c r="DD10" s="271" t="s">
        <v>108</v>
      </c>
      <c r="DE10" s="272" t="s">
        <v>109</v>
      </c>
      <c r="DF10" s="270" t="s">
        <v>107</v>
      </c>
      <c r="DG10" s="271" t="s">
        <v>108</v>
      </c>
      <c r="DH10" s="272" t="s">
        <v>109</v>
      </c>
      <c r="DI10" s="270" t="s">
        <v>107</v>
      </c>
      <c r="DJ10" s="271" t="s">
        <v>108</v>
      </c>
      <c r="DK10" s="272" t="s">
        <v>109</v>
      </c>
      <c r="DL10" s="270" t="s">
        <v>107</v>
      </c>
      <c r="DM10" s="271" t="s">
        <v>108</v>
      </c>
      <c r="DN10" s="272" t="s">
        <v>109</v>
      </c>
      <c r="DO10" s="270" t="s">
        <v>107</v>
      </c>
      <c r="DP10" s="271" t="s">
        <v>108</v>
      </c>
      <c r="DQ10" s="272" t="s">
        <v>109</v>
      </c>
      <c r="DR10" s="270" t="s">
        <v>107</v>
      </c>
      <c r="DS10" s="271" t="s">
        <v>108</v>
      </c>
      <c r="DT10" s="272" t="s">
        <v>109</v>
      </c>
      <c r="DU10" s="270" t="s">
        <v>107</v>
      </c>
      <c r="DV10" s="271" t="s">
        <v>108</v>
      </c>
      <c r="DW10" s="272" t="s">
        <v>109</v>
      </c>
      <c r="DX10" s="270" t="s">
        <v>107</v>
      </c>
      <c r="DY10" s="271"/>
      <c r="DZ10" s="272"/>
      <c r="EA10" s="272"/>
      <c r="EB10" s="272" t="s">
        <v>110</v>
      </c>
      <c r="EC10" s="272" t="s">
        <v>110</v>
      </c>
      <c r="ED10" s="272" t="s">
        <v>109</v>
      </c>
      <c r="EE10" s="273" t="s">
        <v>108</v>
      </c>
      <c r="EG10" s="272" t="s">
        <v>110</v>
      </c>
      <c r="EH10" s="272" t="s">
        <v>109</v>
      </c>
      <c r="EI10" s="273" t="s">
        <v>108</v>
      </c>
      <c r="EJ10" s="273"/>
      <c r="EK10" s="272" t="s">
        <v>110</v>
      </c>
      <c r="EL10" s="272" t="s">
        <v>110</v>
      </c>
      <c r="EM10" s="272" t="s">
        <v>109</v>
      </c>
      <c r="EN10" s="273" t="s">
        <v>108</v>
      </c>
    </row>
    <row r="11" spans="1:147">
      <c r="A11" s="474">
        <v>43525</v>
      </c>
      <c r="D11" s="455">
        <f>(B11*C11)/360</f>
        <v>0</v>
      </c>
      <c r="G11" s="455">
        <f>(E11*F11)/360</f>
        <v>0</v>
      </c>
      <c r="J11" s="455">
        <f>(H11*I11)/360</f>
        <v>0</v>
      </c>
      <c r="M11" s="455">
        <f>(K11*L11)/360</f>
        <v>0</v>
      </c>
      <c r="P11" s="455">
        <f>(N11*O11)/360</f>
        <v>0</v>
      </c>
      <c r="S11" s="455">
        <f>(Q11*R11)/360</f>
        <v>0</v>
      </c>
      <c r="V11" s="455">
        <f>(T11*U11)/360</f>
        <v>0</v>
      </c>
      <c r="Y11" s="455">
        <f>(W11*X11)/360</f>
        <v>0</v>
      </c>
      <c r="AB11" s="455">
        <f>(Z11*AA11)/360</f>
        <v>0</v>
      </c>
      <c r="AE11" s="455">
        <v>0</v>
      </c>
      <c r="AH11" s="455">
        <v>0</v>
      </c>
      <c r="AI11" s="475">
        <f>66375000</f>
        <v>66375000</v>
      </c>
      <c r="AJ11" s="476">
        <v>2.7E-2</v>
      </c>
      <c r="AK11" s="455">
        <f>(AI11*AJ11)/360</f>
        <v>4978.125</v>
      </c>
      <c r="AL11" s="475">
        <f>35000000</f>
        <v>35000000</v>
      </c>
      <c r="AM11" s="476">
        <v>2.8000000000000001E-2</v>
      </c>
      <c r="AN11" s="455">
        <f>(AL11*AM11)/360</f>
        <v>2722.2222222222222</v>
      </c>
      <c r="AO11" s="475">
        <f>30000000</f>
        <v>30000000</v>
      </c>
      <c r="AP11" s="476">
        <v>2.8299999999999999E-2</v>
      </c>
      <c r="AQ11" s="455">
        <f>(AO11*AP11)/360</f>
        <v>2358.3333333333335</v>
      </c>
      <c r="AR11" s="475">
        <f>130000000+120000000+125000000</f>
        <v>375000000</v>
      </c>
      <c r="AS11" s="476">
        <v>2.8500000000000001E-2</v>
      </c>
      <c r="AT11" s="455">
        <f>(AR11*AS11)/360</f>
        <v>29687.5</v>
      </c>
      <c r="AW11" s="455">
        <f>(AU11*AV11)/360</f>
        <v>0</v>
      </c>
      <c r="AZ11" s="455">
        <f>(AX11*AY11)/360</f>
        <v>0</v>
      </c>
      <c r="BC11" s="455">
        <f>(BA11*BB11)/360</f>
        <v>0</v>
      </c>
      <c r="BF11" s="455">
        <f>(BD11*BE11)/360</f>
        <v>0</v>
      </c>
      <c r="BI11" s="455">
        <f>(BG11*BH11)/360</f>
        <v>0</v>
      </c>
      <c r="BL11" s="455">
        <f>(BJ11*BK11)/360</f>
        <v>0</v>
      </c>
      <c r="BO11" s="455">
        <f>(BM11*BN11)/360</f>
        <v>0</v>
      </c>
      <c r="BR11" s="455">
        <f>(BP11*BQ11)/360</f>
        <v>0</v>
      </c>
      <c r="BU11" s="455">
        <f>(BS11*BT11)/360</f>
        <v>0</v>
      </c>
      <c r="BX11" s="455">
        <f>(BV11*BW11)/360</f>
        <v>0</v>
      </c>
      <c r="CA11" s="455">
        <f>(BY11*BZ11)/360</f>
        <v>0</v>
      </c>
      <c r="CD11" s="455">
        <f>(CB11*CC11)/360</f>
        <v>0</v>
      </c>
      <c r="CG11" s="455">
        <f>(CE11*CF11)/360</f>
        <v>0</v>
      </c>
      <c r="CJ11" s="455">
        <f>(CH11*CI11)/360</f>
        <v>0</v>
      </c>
      <c r="CM11" s="455">
        <f>(CK11*CL11)/360</f>
        <v>0</v>
      </c>
      <c r="CP11" s="455">
        <f>(CN11*CO11)/360</f>
        <v>0</v>
      </c>
      <c r="CS11" s="455">
        <f>(CQ11*CR11)/360</f>
        <v>0</v>
      </c>
      <c r="CV11" s="455">
        <f>(CT11*CU11)/360</f>
        <v>0</v>
      </c>
      <c r="CY11" s="455">
        <f>(CW11*CX11)/360</f>
        <v>0</v>
      </c>
      <c r="DB11" s="455">
        <f>(CZ11*DA11)/360</f>
        <v>0</v>
      </c>
      <c r="DE11" s="455">
        <f>(DC11*DD11)/360</f>
        <v>0</v>
      </c>
      <c r="DH11" s="455">
        <f>(DF11*DG11)/360</f>
        <v>0</v>
      </c>
      <c r="DK11" s="455">
        <f>(DI11*DJ11)/360</f>
        <v>0</v>
      </c>
      <c r="DN11" s="455">
        <f>(DL11*DM11)/360</f>
        <v>0</v>
      </c>
      <c r="DQ11" s="455">
        <f>(DO11*DP11)/360</f>
        <v>0</v>
      </c>
      <c r="DT11" s="455">
        <f>(DR11*DS11)/360</f>
        <v>0</v>
      </c>
      <c r="DW11" s="455">
        <f>(DU11*DV11)/360</f>
        <v>0</v>
      </c>
      <c r="DZ11" s="455"/>
      <c r="EA11" s="455"/>
      <c r="EB11" s="274">
        <f>B11+E11+H11+K11+N11+Q11+T11+W11+Z11+AC11+AF11+AL11+AO11+AR11+AU11+AX11+BA11+BD11+BG11+DU11+AI11+DR11+DO11+DL11+DI11+DF11+DC11+CZ11+CW11+CT11+CQ11+CN11+CK11+CH11+CE11+CB11+BY11+BV11+BS11+BP11+BM11+BJ11</f>
        <v>506375000</v>
      </c>
      <c r="EC11" s="274">
        <f>EB11-EK11+EL11</f>
        <v>0</v>
      </c>
      <c r="ED11" s="455">
        <f>D11+G11+J11+M11+P11+S11+V11+Y11+AB11+AE11+AH11+AK11+AN11+AQ11+AT11+AW11+AZ11+BC11+BF11+BI11+DW11+DT11+DQ11+DN11+DK11+DH11+DE11+DB11+CY11+CV11+CS11+CP11+CM11+CJ11+CG11+CD11+CA11+BX11+BU11+BR11+BO11+BL11</f>
        <v>39746.180555555555</v>
      </c>
      <c r="EE11" s="456">
        <f>IF(EB11&lt;&gt;0,((ED11/EB11)*360),0)</f>
        <v>2.8256973586768697E-2</v>
      </c>
      <c r="EG11" s="274">
        <f>Q11+T11+W11+Z11+AC11+AF11</f>
        <v>0</v>
      </c>
      <c r="EH11" s="455">
        <f>S11+V11+Y11+AB11+AE11+AH11</f>
        <v>0</v>
      </c>
      <c r="EI11" s="456">
        <f>IF(EG11&lt;&gt;0,((EH11/EG11)*360),0)</f>
        <v>0</v>
      </c>
      <c r="EJ11" s="456"/>
      <c r="EK11" s="274">
        <f>DR11+DL11+DI11+DF11+DC11+CZ11+CW11+CT11+CQ11+CN11+CK11+CH11+CE11+CB11+BY11+BV11+BS11+BP11+BM11+BJ11+BG11+BD11+BA11+AX11+AU11+AR11+AO11+AL11+AI11+DO11</f>
        <v>506375000</v>
      </c>
      <c r="EL11" s="274">
        <f>DX11</f>
        <v>0</v>
      </c>
      <c r="EM11" s="274">
        <f>DT11+DQ11+DN11+DK11+DH11+DE11+DB11+CY11+CV11+CS11+CP11+CM11+CJ11+CG11+CD11+CA11+BX11+BU11+BR11+BO11+BL11+BI11+BF11+BC11+AZ11+AW11+AT11+AQ11+AN11+AK11</f>
        <v>39746.180555555555</v>
      </c>
      <c r="EN11" s="456">
        <f>IF(EK11&lt;&gt;0,((EM11/EK11)*360),0)</f>
        <v>2.8256973586768697E-2</v>
      </c>
      <c r="EP11" s="455"/>
    </row>
    <row r="12" spans="1:147">
      <c r="A12" s="474">
        <f>1+A11</f>
        <v>43526</v>
      </c>
      <c r="D12" s="455">
        <f t="shared" ref="D12:D41" si="0">(B12*C12)/360</f>
        <v>0</v>
      </c>
      <c r="G12" s="455">
        <f t="shared" ref="G12:G41" si="1">(E12*F12)/360</f>
        <v>0</v>
      </c>
      <c r="J12" s="455">
        <f t="shared" ref="J12:J41" si="2">(H12*I12)/360</f>
        <v>0</v>
      </c>
      <c r="M12" s="455">
        <f t="shared" ref="M12:M41" si="3">(K12*L12)/360</f>
        <v>0</v>
      </c>
      <c r="P12" s="455">
        <f t="shared" ref="P12:P41" si="4">(N12*O12)/360</f>
        <v>0</v>
      </c>
      <c r="S12" s="455">
        <f t="shared" ref="S12:S41" si="5">(Q12*R12)/360</f>
        <v>0</v>
      </c>
      <c r="V12" s="455">
        <f t="shared" ref="V12:V41" si="6">(T12*U12)/360</f>
        <v>0</v>
      </c>
      <c r="Y12" s="455">
        <f t="shared" ref="Y12:Y41" si="7">(W12*X12)/360</f>
        <v>0</v>
      </c>
      <c r="AB12" s="455">
        <f t="shared" ref="AB12:AB41" si="8">(Z12*AA12)/360</f>
        <v>0</v>
      </c>
      <c r="AE12" s="455">
        <v>0</v>
      </c>
      <c r="AH12" s="455">
        <v>0</v>
      </c>
      <c r="AI12" s="475">
        <f>66375000</f>
        <v>66375000</v>
      </c>
      <c r="AJ12" s="476">
        <v>2.7E-2</v>
      </c>
      <c r="AK12" s="455">
        <f t="shared" ref="AK12:AK41" si="9">(AI12*AJ12)/360</f>
        <v>4978.125</v>
      </c>
      <c r="AL12" s="475">
        <f>35000000</f>
        <v>35000000</v>
      </c>
      <c r="AM12" s="476">
        <v>2.8000000000000001E-2</v>
      </c>
      <c r="AN12" s="455">
        <f t="shared" ref="AN12:AN41" si="10">(AL12*AM12)/360</f>
        <v>2722.2222222222222</v>
      </c>
      <c r="AO12" s="475">
        <f>30000000</f>
        <v>30000000</v>
      </c>
      <c r="AP12" s="476">
        <v>2.8299999999999999E-2</v>
      </c>
      <c r="AQ12" s="455">
        <f t="shared" ref="AQ12:AQ41" si="11">(AO12*AP12)/360</f>
        <v>2358.3333333333335</v>
      </c>
      <c r="AR12" s="475">
        <f>130000000+120000000+125000000</f>
        <v>375000000</v>
      </c>
      <c r="AS12" s="476">
        <v>2.8500000000000001E-2</v>
      </c>
      <c r="AT12" s="455">
        <f t="shared" ref="AT12:AT41" si="12">(AR12*AS12)/360</f>
        <v>29687.5</v>
      </c>
      <c r="AW12" s="455">
        <f t="shared" ref="AW12:AW41" si="13">(AU12*AV12)/360</f>
        <v>0</v>
      </c>
      <c r="AZ12" s="455">
        <f t="shared" ref="AZ12:AZ41" si="14">(AX12*AY12)/360</f>
        <v>0</v>
      </c>
      <c r="BC12" s="455">
        <f t="shared" ref="BC12:BC41" si="15">(BA12*BB12)/360</f>
        <v>0</v>
      </c>
      <c r="BF12" s="455">
        <f t="shared" ref="BF12:BF41" si="16">(BD12*BE12)/360</f>
        <v>0</v>
      </c>
      <c r="BI12" s="455">
        <f t="shared" ref="BI12:BI41" si="17">(BG12*BH12)/360</f>
        <v>0</v>
      </c>
      <c r="BL12" s="455">
        <f t="shared" ref="BL12:BL41" si="18">(BJ12*BK12)/360</f>
        <v>0</v>
      </c>
      <c r="BO12" s="455">
        <f t="shared" ref="BO12:BO41" si="19">(BM12*BN12)/360</f>
        <v>0</v>
      </c>
      <c r="BR12" s="455">
        <f t="shared" ref="BR12:BR41" si="20">(BP12*BQ12)/360</f>
        <v>0</v>
      </c>
      <c r="BU12" s="455">
        <f t="shared" ref="BU12:BU41" si="21">(BS12*BT12)/360</f>
        <v>0</v>
      </c>
      <c r="BX12" s="455">
        <f t="shared" ref="BX12:BX41" si="22">(BV12*BW12)/360</f>
        <v>0</v>
      </c>
      <c r="CA12" s="455">
        <f t="shared" ref="CA12:CA41" si="23">(BY12*BZ12)/360</f>
        <v>0</v>
      </c>
      <c r="CD12" s="455">
        <f t="shared" ref="CD12:CD41" si="24">(CB12*CC12)/360</f>
        <v>0</v>
      </c>
      <c r="CG12" s="455">
        <f t="shared" ref="CG12:CG41" si="25">(CE12*CF12)/360</f>
        <v>0</v>
      </c>
      <c r="CJ12" s="455">
        <f t="shared" ref="CJ12:CJ41" si="26">(CH12*CI12)/360</f>
        <v>0</v>
      </c>
      <c r="CM12" s="455">
        <f t="shared" ref="CM12:CM41" si="27">(CK12*CL12)/360</f>
        <v>0</v>
      </c>
      <c r="CP12" s="455">
        <f t="shared" ref="CP12:CP41" si="28">(CN12*CO12)/360</f>
        <v>0</v>
      </c>
      <c r="CS12" s="455">
        <f t="shared" ref="CS12:CS41" si="29">(CQ12*CR12)/360</f>
        <v>0</v>
      </c>
      <c r="CV12" s="455">
        <f t="shared" ref="CV12:CV41" si="30">(CT12*CU12)/360</f>
        <v>0</v>
      </c>
      <c r="CY12" s="455">
        <f t="shared" ref="CY12:CY41" si="31">(CW12*CX12)/360</f>
        <v>0</v>
      </c>
      <c r="DB12" s="455">
        <f t="shared" ref="DB12:DB41" si="32">(CZ12*DA12)/360</f>
        <v>0</v>
      </c>
      <c r="DE12" s="455">
        <f t="shared" ref="DE12:DE41" si="33">(DC12*DD12)/360</f>
        <v>0</v>
      </c>
      <c r="DH12" s="455">
        <f t="shared" ref="DH12:DH41" si="34">(DF12*DG12)/360</f>
        <v>0</v>
      </c>
      <c r="DK12" s="455">
        <f t="shared" ref="DK12:DK41" si="35">(DI12*DJ12)/360</f>
        <v>0</v>
      </c>
      <c r="DN12" s="455">
        <f t="shared" ref="DN12:DN41" si="36">(DL12*DM12)/360</f>
        <v>0</v>
      </c>
      <c r="DQ12" s="455">
        <f t="shared" ref="DQ12:DQ41" si="37">(DO12*DP12)/360</f>
        <v>0</v>
      </c>
      <c r="DT12" s="455">
        <f t="shared" ref="DT12:DT41" si="38">(DR12*DS12)/360</f>
        <v>0</v>
      </c>
      <c r="DW12" s="455">
        <f t="shared" ref="DW12:DW41" si="39">(DU12*DV12)/360</f>
        <v>0</v>
      </c>
      <c r="DZ12" s="455"/>
      <c r="EA12" s="455"/>
      <c r="EB12" s="274">
        <f t="shared" ref="EB12:EB41" si="40">B12+E12+H12+K12+N12+Q12+T12+W12+Z12+AC12+AF12+AL12+AO12+AR12+AU12+AX12+BA12+BD12+BG12+DU12+AI12+DR12+DO12+DL12+DI12+DF12+DC12+CZ12+CW12+CT12+CQ12+CN12+CK12+CH12+CE12+CB12+BY12+BV12+BS12+BP12+BM12+BJ12</f>
        <v>506375000</v>
      </c>
      <c r="EC12" s="274">
        <f t="shared" ref="EC12:EC41" si="41">EB12-EK12+EL12</f>
        <v>0</v>
      </c>
      <c r="ED12" s="455">
        <f t="shared" ref="ED12:ED41" si="42">D12+G12+J12+M12+P12+S12+V12+Y12+AB12+AE12+AH12+AK12+AN12+AQ12+AT12+AW12+AZ12+BC12+BF12+BI12+DW12+DT12+DQ12+DN12+DK12+DH12+DE12+DB12+CY12+CV12+CS12+CP12+CM12+CJ12+CG12+CD12+CA12+BX12+BU12+BR12+BO12+BL12</f>
        <v>39746.180555555555</v>
      </c>
      <c r="EE12" s="456">
        <f t="shared" ref="EE12:EE41" si="43">IF(EB12&lt;&gt;0,((ED12/EB12)*360),0)</f>
        <v>2.8256973586768697E-2</v>
      </c>
      <c r="EG12" s="274">
        <f t="shared" ref="EG12:EG41" si="44">Q12+T12+W12+Z12+AC12+AF12</f>
        <v>0</v>
      </c>
      <c r="EH12" s="455">
        <f t="shared" ref="EH12:EH41" si="45">S12+V12+Y12+AB12+AE12+AH12</f>
        <v>0</v>
      </c>
      <c r="EI12" s="456">
        <f t="shared" ref="EI12:EI41" si="46">IF(EG12&lt;&gt;0,((EH12/EG12)*360),0)</f>
        <v>0</v>
      </c>
      <c r="EJ12" s="456"/>
      <c r="EK12" s="274">
        <f t="shared" ref="EK12:EK41" si="47">DR12+DL12+DI12+DF12+DC12+CZ12+CW12+CT12+CQ12+CN12+CK12+CH12+CE12+CB12+BY12+BV12+BS12+BP12+BM12+BJ12+BG12+BD12+BA12+AX12+AU12+AR12+AO12+AL12+AI12+DO12</f>
        <v>506375000</v>
      </c>
      <c r="EL12" s="274">
        <f t="shared" ref="EL12:EL41" si="48">DX12</f>
        <v>0</v>
      </c>
      <c r="EM12" s="274">
        <f t="shared" ref="EM12:EM41" si="49">DT12+DQ12+DN12+DK12+DH12+DE12+DB12+CY12+CV12+CS12+CP12+CM12+CJ12+CG12+CD12+CA12+BX12+BU12+BR12+BO12+BL12+BI12+BF12+BC12+AZ12+AW12+AT12+AQ12+AN12+AK12</f>
        <v>39746.180555555555</v>
      </c>
      <c r="EN12" s="456">
        <f t="shared" ref="EN12:EN41" si="50">IF(EK12&lt;&gt;0,((EM12/EK12)*360),0)</f>
        <v>2.8256973586768697E-2</v>
      </c>
      <c r="EP12" s="455"/>
    </row>
    <row r="13" spans="1:147">
      <c r="A13" s="474">
        <f t="shared" ref="A13:A41" si="51">1+A12</f>
        <v>43527</v>
      </c>
      <c r="D13" s="455">
        <f t="shared" si="0"/>
        <v>0</v>
      </c>
      <c r="G13" s="455">
        <f t="shared" si="1"/>
        <v>0</v>
      </c>
      <c r="J13" s="455">
        <f t="shared" si="2"/>
        <v>0</v>
      </c>
      <c r="M13" s="455">
        <f t="shared" si="3"/>
        <v>0</v>
      </c>
      <c r="P13" s="455">
        <f t="shared" si="4"/>
        <v>0</v>
      </c>
      <c r="S13" s="455">
        <f t="shared" si="5"/>
        <v>0</v>
      </c>
      <c r="V13" s="455">
        <f t="shared" si="6"/>
        <v>0</v>
      </c>
      <c r="Y13" s="455">
        <f t="shared" si="7"/>
        <v>0</v>
      </c>
      <c r="AB13" s="455">
        <f t="shared" si="8"/>
        <v>0</v>
      </c>
      <c r="AE13" s="455">
        <v>0</v>
      </c>
      <c r="AH13" s="455">
        <v>0</v>
      </c>
      <c r="AI13" s="475">
        <f>66375000</f>
        <v>66375000</v>
      </c>
      <c r="AJ13" s="476">
        <v>2.7E-2</v>
      </c>
      <c r="AK13" s="455">
        <f t="shared" si="9"/>
        <v>4978.125</v>
      </c>
      <c r="AL13" s="475">
        <f>35000000</f>
        <v>35000000</v>
      </c>
      <c r="AM13" s="476">
        <v>2.8000000000000001E-2</v>
      </c>
      <c r="AN13" s="455">
        <f t="shared" si="10"/>
        <v>2722.2222222222222</v>
      </c>
      <c r="AO13" s="475">
        <f>30000000</f>
        <v>30000000</v>
      </c>
      <c r="AP13" s="476">
        <v>2.8299999999999999E-2</v>
      </c>
      <c r="AQ13" s="455">
        <f t="shared" si="11"/>
        <v>2358.3333333333335</v>
      </c>
      <c r="AR13" s="475">
        <f>130000000+120000000+125000000</f>
        <v>375000000</v>
      </c>
      <c r="AS13" s="476">
        <v>2.8500000000000001E-2</v>
      </c>
      <c r="AT13" s="455">
        <f t="shared" si="12"/>
        <v>29687.5</v>
      </c>
      <c r="AW13" s="455">
        <f t="shared" si="13"/>
        <v>0</v>
      </c>
      <c r="AZ13" s="455">
        <f t="shared" si="14"/>
        <v>0</v>
      </c>
      <c r="BC13" s="455">
        <f t="shared" si="15"/>
        <v>0</v>
      </c>
      <c r="BF13" s="455">
        <f t="shared" si="16"/>
        <v>0</v>
      </c>
      <c r="BI13" s="455">
        <f t="shared" si="17"/>
        <v>0</v>
      </c>
      <c r="BL13" s="455">
        <f t="shared" si="18"/>
        <v>0</v>
      </c>
      <c r="BO13" s="455">
        <f t="shared" si="19"/>
        <v>0</v>
      </c>
      <c r="BR13" s="455">
        <f t="shared" si="20"/>
        <v>0</v>
      </c>
      <c r="BU13" s="455">
        <f t="shared" si="21"/>
        <v>0</v>
      </c>
      <c r="BX13" s="455">
        <f t="shared" si="22"/>
        <v>0</v>
      </c>
      <c r="CA13" s="455">
        <f t="shared" si="23"/>
        <v>0</v>
      </c>
      <c r="CD13" s="455">
        <f t="shared" si="24"/>
        <v>0</v>
      </c>
      <c r="CG13" s="455">
        <f t="shared" si="25"/>
        <v>0</v>
      </c>
      <c r="CJ13" s="455">
        <f t="shared" si="26"/>
        <v>0</v>
      </c>
      <c r="CM13" s="455">
        <f t="shared" si="27"/>
        <v>0</v>
      </c>
      <c r="CP13" s="455">
        <f t="shared" si="28"/>
        <v>0</v>
      </c>
      <c r="CS13" s="455">
        <f t="shared" si="29"/>
        <v>0</v>
      </c>
      <c r="CV13" s="455">
        <f t="shared" si="30"/>
        <v>0</v>
      </c>
      <c r="CY13" s="455">
        <f t="shared" si="31"/>
        <v>0</v>
      </c>
      <c r="DB13" s="455">
        <f t="shared" si="32"/>
        <v>0</v>
      </c>
      <c r="DE13" s="455">
        <f t="shared" si="33"/>
        <v>0</v>
      </c>
      <c r="DH13" s="455">
        <f t="shared" si="34"/>
        <v>0</v>
      </c>
      <c r="DK13" s="455">
        <f t="shared" si="35"/>
        <v>0</v>
      </c>
      <c r="DN13" s="455">
        <f t="shared" si="36"/>
        <v>0</v>
      </c>
      <c r="DQ13" s="455">
        <f t="shared" si="37"/>
        <v>0</v>
      </c>
      <c r="DT13" s="455">
        <f t="shared" si="38"/>
        <v>0</v>
      </c>
      <c r="DW13" s="455">
        <f t="shared" si="39"/>
        <v>0</v>
      </c>
      <c r="DZ13" s="455"/>
      <c r="EA13" s="455"/>
      <c r="EB13" s="274">
        <f t="shared" si="40"/>
        <v>506375000</v>
      </c>
      <c r="EC13" s="274">
        <f t="shared" si="41"/>
        <v>0</v>
      </c>
      <c r="ED13" s="455">
        <f t="shared" si="42"/>
        <v>39746.180555555555</v>
      </c>
      <c r="EE13" s="456">
        <f t="shared" si="43"/>
        <v>2.8256973586768697E-2</v>
      </c>
      <c r="EG13" s="274">
        <f t="shared" si="44"/>
        <v>0</v>
      </c>
      <c r="EH13" s="455">
        <f t="shared" si="45"/>
        <v>0</v>
      </c>
      <c r="EI13" s="456">
        <f t="shared" si="46"/>
        <v>0</v>
      </c>
      <c r="EJ13" s="456"/>
      <c r="EK13" s="274">
        <f t="shared" si="47"/>
        <v>506375000</v>
      </c>
      <c r="EL13" s="274">
        <f t="shared" si="48"/>
        <v>0</v>
      </c>
      <c r="EM13" s="274">
        <f t="shared" si="49"/>
        <v>39746.180555555555</v>
      </c>
      <c r="EN13" s="456">
        <f t="shared" si="50"/>
        <v>2.8256973586768697E-2</v>
      </c>
      <c r="EP13" s="455"/>
    </row>
    <row r="14" spans="1:147">
      <c r="A14" s="474">
        <f t="shared" si="51"/>
        <v>43528</v>
      </c>
      <c r="D14" s="455">
        <f t="shared" si="0"/>
        <v>0</v>
      </c>
      <c r="G14" s="455">
        <f t="shared" si="1"/>
        <v>0</v>
      </c>
      <c r="J14" s="455">
        <f t="shared" si="2"/>
        <v>0</v>
      </c>
      <c r="M14" s="455">
        <f t="shared" si="3"/>
        <v>0</v>
      </c>
      <c r="P14" s="455">
        <f t="shared" si="4"/>
        <v>0</v>
      </c>
      <c r="S14" s="455">
        <f t="shared" si="5"/>
        <v>0</v>
      </c>
      <c r="V14" s="455">
        <f t="shared" si="6"/>
        <v>0</v>
      </c>
      <c r="Y14" s="455">
        <f t="shared" si="7"/>
        <v>0</v>
      </c>
      <c r="AB14" s="455">
        <f t="shared" si="8"/>
        <v>0</v>
      </c>
      <c r="AE14" s="455">
        <v>0</v>
      </c>
      <c r="AH14" s="455">
        <v>0</v>
      </c>
      <c r="AI14" s="475">
        <f>66250000</f>
        <v>66250000</v>
      </c>
      <c r="AJ14" s="476">
        <v>2.7E-2</v>
      </c>
      <c r="AK14" s="455">
        <f t="shared" si="9"/>
        <v>4968.75</v>
      </c>
      <c r="AL14" s="475">
        <f>35000000</f>
        <v>35000000</v>
      </c>
      <c r="AM14" s="476">
        <v>2.8000000000000001E-2</v>
      </c>
      <c r="AN14" s="455">
        <f t="shared" si="10"/>
        <v>2722.2222222222222</v>
      </c>
      <c r="AO14" s="475">
        <f>30000000</f>
        <v>30000000</v>
      </c>
      <c r="AP14" s="476">
        <v>2.8299999999999999E-2</v>
      </c>
      <c r="AQ14" s="455">
        <f t="shared" si="11"/>
        <v>2358.3333333333335</v>
      </c>
      <c r="AR14" s="475">
        <f>130000000+120000000+125000000</f>
        <v>375000000</v>
      </c>
      <c r="AS14" s="476">
        <v>2.8500000000000001E-2</v>
      </c>
      <c r="AT14" s="455">
        <f t="shared" si="12"/>
        <v>29687.5</v>
      </c>
      <c r="AW14" s="455">
        <f t="shared" si="13"/>
        <v>0</v>
      </c>
      <c r="AZ14" s="455">
        <f t="shared" si="14"/>
        <v>0</v>
      </c>
      <c r="BC14" s="455">
        <f t="shared" si="15"/>
        <v>0</v>
      </c>
      <c r="BF14" s="455">
        <f t="shared" si="16"/>
        <v>0</v>
      </c>
      <c r="BI14" s="455">
        <f t="shared" si="17"/>
        <v>0</v>
      </c>
      <c r="BL14" s="455">
        <f t="shared" si="18"/>
        <v>0</v>
      </c>
      <c r="BO14" s="455">
        <f t="shared" si="19"/>
        <v>0</v>
      </c>
      <c r="BR14" s="455">
        <f t="shared" si="20"/>
        <v>0</v>
      </c>
      <c r="BU14" s="455">
        <f t="shared" si="21"/>
        <v>0</v>
      </c>
      <c r="BX14" s="455">
        <f t="shared" si="22"/>
        <v>0</v>
      </c>
      <c r="CA14" s="455">
        <f t="shared" si="23"/>
        <v>0</v>
      </c>
      <c r="CD14" s="455">
        <f t="shared" si="24"/>
        <v>0</v>
      </c>
      <c r="CG14" s="455">
        <f t="shared" si="25"/>
        <v>0</v>
      </c>
      <c r="CJ14" s="455">
        <f t="shared" si="26"/>
        <v>0</v>
      </c>
      <c r="CM14" s="455">
        <f t="shared" si="27"/>
        <v>0</v>
      </c>
      <c r="CP14" s="455">
        <f t="shared" si="28"/>
        <v>0</v>
      </c>
      <c r="CS14" s="455">
        <f t="shared" si="29"/>
        <v>0</v>
      </c>
      <c r="CV14" s="455">
        <f t="shared" si="30"/>
        <v>0</v>
      </c>
      <c r="CY14" s="455">
        <f t="shared" si="31"/>
        <v>0</v>
      </c>
      <c r="DB14" s="455">
        <f t="shared" si="32"/>
        <v>0</v>
      </c>
      <c r="DE14" s="455">
        <f t="shared" si="33"/>
        <v>0</v>
      </c>
      <c r="DH14" s="455">
        <f t="shared" si="34"/>
        <v>0</v>
      </c>
      <c r="DK14" s="455">
        <f t="shared" si="35"/>
        <v>0</v>
      </c>
      <c r="DN14" s="455">
        <f t="shared" si="36"/>
        <v>0</v>
      </c>
      <c r="DQ14" s="455">
        <f t="shared" si="37"/>
        <v>0</v>
      </c>
      <c r="DT14" s="455">
        <f t="shared" si="38"/>
        <v>0</v>
      </c>
      <c r="DW14" s="455">
        <f t="shared" si="39"/>
        <v>0</v>
      </c>
      <c r="DZ14" s="455"/>
      <c r="EA14" s="455"/>
      <c r="EB14" s="274">
        <f t="shared" si="40"/>
        <v>506250000</v>
      </c>
      <c r="EC14" s="274">
        <f t="shared" si="41"/>
        <v>0</v>
      </c>
      <c r="ED14" s="455">
        <f t="shared" si="42"/>
        <v>39736.805555555555</v>
      </c>
      <c r="EE14" s="456">
        <f t="shared" si="43"/>
        <v>2.8257283950617284E-2</v>
      </c>
      <c r="EG14" s="274">
        <f t="shared" si="44"/>
        <v>0</v>
      </c>
      <c r="EH14" s="455">
        <f t="shared" si="45"/>
        <v>0</v>
      </c>
      <c r="EI14" s="456">
        <f t="shared" si="46"/>
        <v>0</v>
      </c>
      <c r="EJ14" s="456"/>
      <c r="EK14" s="274">
        <f t="shared" si="47"/>
        <v>506250000</v>
      </c>
      <c r="EL14" s="274">
        <f t="shared" si="48"/>
        <v>0</v>
      </c>
      <c r="EM14" s="274">
        <f t="shared" si="49"/>
        <v>39736.805555555555</v>
      </c>
      <c r="EN14" s="456">
        <f t="shared" si="50"/>
        <v>2.8257283950617284E-2</v>
      </c>
      <c r="EP14" s="455"/>
    </row>
    <row r="15" spans="1:147">
      <c r="A15" s="474">
        <f t="shared" si="51"/>
        <v>43529</v>
      </c>
      <c r="D15" s="455">
        <f t="shared" si="0"/>
        <v>0</v>
      </c>
      <c r="G15" s="455">
        <f t="shared" si="1"/>
        <v>0</v>
      </c>
      <c r="J15" s="455">
        <f t="shared" si="2"/>
        <v>0</v>
      </c>
      <c r="M15" s="455">
        <f t="shared" si="3"/>
        <v>0</v>
      </c>
      <c r="P15" s="455">
        <f t="shared" si="4"/>
        <v>0</v>
      </c>
      <c r="S15" s="455">
        <f t="shared" si="5"/>
        <v>0</v>
      </c>
      <c r="V15" s="455">
        <f t="shared" si="6"/>
        <v>0</v>
      </c>
      <c r="Y15" s="455">
        <f t="shared" si="7"/>
        <v>0</v>
      </c>
      <c r="AB15" s="455">
        <f t="shared" si="8"/>
        <v>0</v>
      </c>
      <c r="AE15" s="455">
        <v>0</v>
      </c>
      <c r="AH15" s="455">
        <v>0</v>
      </c>
      <c r="AI15" s="475">
        <f>56350000</f>
        <v>56350000</v>
      </c>
      <c r="AJ15" s="476">
        <v>2.7E-2</v>
      </c>
      <c r="AK15" s="455">
        <f t="shared" si="9"/>
        <v>4226.25</v>
      </c>
      <c r="AL15" s="475">
        <f>35000000</f>
        <v>35000000</v>
      </c>
      <c r="AM15" s="476">
        <v>2.8000000000000001E-2</v>
      </c>
      <c r="AN15" s="455">
        <f t="shared" si="10"/>
        <v>2722.2222222222222</v>
      </c>
      <c r="AO15" s="475">
        <f>30000000</f>
        <v>30000000</v>
      </c>
      <c r="AP15" s="476">
        <v>2.8299999999999999E-2</v>
      </c>
      <c r="AQ15" s="455">
        <f t="shared" si="11"/>
        <v>2358.3333333333335</v>
      </c>
      <c r="AR15" s="475">
        <f>130000000+120000000+125000000</f>
        <v>375000000</v>
      </c>
      <c r="AS15" s="476">
        <v>2.8500000000000001E-2</v>
      </c>
      <c r="AT15" s="455">
        <f t="shared" si="12"/>
        <v>29687.5</v>
      </c>
      <c r="AW15" s="455">
        <f t="shared" si="13"/>
        <v>0</v>
      </c>
      <c r="AZ15" s="455">
        <f t="shared" si="14"/>
        <v>0</v>
      </c>
      <c r="BC15" s="455">
        <f t="shared" si="15"/>
        <v>0</v>
      </c>
      <c r="BF15" s="455">
        <f t="shared" si="16"/>
        <v>0</v>
      </c>
      <c r="BI15" s="455">
        <f t="shared" si="17"/>
        <v>0</v>
      </c>
      <c r="BL15" s="455">
        <f t="shared" si="18"/>
        <v>0</v>
      </c>
      <c r="BO15" s="455">
        <f t="shared" si="19"/>
        <v>0</v>
      </c>
      <c r="BR15" s="455">
        <f t="shared" si="20"/>
        <v>0</v>
      </c>
      <c r="BU15" s="455">
        <f t="shared" si="21"/>
        <v>0</v>
      </c>
      <c r="BX15" s="455">
        <f t="shared" si="22"/>
        <v>0</v>
      </c>
      <c r="CA15" s="455">
        <f t="shared" si="23"/>
        <v>0</v>
      </c>
      <c r="CD15" s="455">
        <f t="shared" si="24"/>
        <v>0</v>
      </c>
      <c r="CG15" s="455">
        <f t="shared" si="25"/>
        <v>0</v>
      </c>
      <c r="CJ15" s="455">
        <f t="shared" si="26"/>
        <v>0</v>
      </c>
      <c r="CM15" s="455">
        <f t="shared" si="27"/>
        <v>0</v>
      </c>
      <c r="CP15" s="455">
        <f t="shared" si="28"/>
        <v>0</v>
      </c>
      <c r="CS15" s="455">
        <f t="shared" si="29"/>
        <v>0</v>
      </c>
      <c r="CV15" s="455">
        <f t="shared" si="30"/>
        <v>0</v>
      </c>
      <c r="CY15" s="455">
        <f t="shared" si="31"/>
        <v>0</v>
      </c>
      <c r="DB15" s="455">
        <f t="shared" si="32"/>
        <v>0</v>
      </c>
      <c r="DE15" s="455">
        <f t="shared" si="33"/>
        <v>0</v>
      </c>
      <c r="DH15" s="455">
        <f t="shared" si="34"/>
        <v>0</v>
      </c>
      <c r="DK15" s="455">
        <f t="shared" si="35"/>
        <v>0</v>
      </c>
      <c r="DN15" s="455">
        <f t="shared" si="36"/>
        <v>0</v>
      </c>
      <c r="DQ15" s="455">
        <f t="shared" si="37"/>
        <v>0</v>
      </c>
      <c r="DT15" s="455">
        <f t="shared" si="38"/>
        <v>0</v>
      </c>
      <c r="DW15" s="455">
        <f t="shared" si="39"/>
        <v>0</v>
      </c>
      <c r="DZ15" s="455"/>
      <c r="EA15" s="455"/>
      <c r="EB15" s="274">
        <f t="shared" si="40"/>
        <v>496350000</v>
      </c>
      <c r="EC15" s="274">
        <f t="shared" si="41"/>
        <v>0</v>
      </c>
      <c r="ED15" s="455">
        <f t="shared" si="42"/>
        <v>38994.305555555555</v>
      </c>
      <c r="EE15" s="456">
        <f t="shared" si="43"/>
        <v>2.8282361237030321E-2</v>
      </c>
      <c r="EG15" s="274">
        <f t="shared" si="44"/>
        <v>0</v>
      </c>
      <c r="EH15" s="455">
        <f t="shared" si="45"/>
        <v>0</v>
      </c>
      <c r="EI15" s="456">
        <f t="shared" si="46"/>
        <v>0</v>
      </c>
      <c r="EJ15" s="456"/>
      <c r="EK15" s="274">
        <f t="shared" si="47"/>
        <v>496350000</v>
      </c>
      <c r="EL15" s="274">
        <f t="shared" si="48"/>
        <v>0</v>
      </c>
      <c r="EM15" s="274">
        <f t="shared" si="49"/>
        <v>38994.305555555555</v>
      </c>
      <c r="EN15" s="456">
        <f t="shared" si="50"/>
        <v>2.8282361237030321E-2</v>
      </c>
      <c r="EP15" s="455"/>
    </row>
    <row r="16" spans="1:147">
      <c r="A16" s="474">
        <f t="shared" si="51"/>
        <v>43530</v>
      </c>
      <c r="D16" s="455">
        <f t="shared" si="0"/>
        <v>0</v>
      </c>
      <c r="G16" s="455">
        <f t="shared" si="1"/>
        <v>0</v>
      </c>
      <c r="J16" s="455">
        <f t="shared" si="2"/>
        <v>0</v>
      </c>
      <c r="M16" s="455">
        <f t="shared" si="3"/>
        <v>0</v>
      </c>
      <c r="P16" s="455">
        <f t="shared" si="4"/>
        <v>0</v>
      </c>
      <c r="S16" s="455">
        <f t="shared" si="5"/>
        <v>0</v>
      </c>
      <c r="V16" s="455">
        <f t="shared" si="6"/>
        <v>0</v>
      </c>
      <c r="Y16" s="455">
        <f t="shared" si="7"/>
        <v>0</v>
      </c>
      <c r="AB16" s="455">
        <f t="shared" si="8"/>
        <v>0</v>
      </c>
      <c r="AE16" s="455">
        <v>0</v>
      </c>
      <c r="AH16" s="455">
        <v>0</v>
      </c>
      <c r="AI16" s="475">
        <f>37150000</f>
        <v>37150000</v>
      </c>
      <c r="AJ16" s="476">
        <v>2.7E-2</v>
      </c>
      <c r="AK16" s="455">
        <f t="shared" si="9"/>
        <v>2786.25</v>
      </c>
      <c r="AL16" s="475"/>
      <c r="AM16" s="476"/>
      <c r="AN16" s="455">
        <f t="shared" si="10"/>
        <v>0</v>
      </c>
      <c r="AQ16" s="455">
        <f t="shared" si="11"/>
        <v>0</v>
      </c>
      <c r="AT16" s="455">
        <f t="shared" si="12"/>
        <v>0</v>
      </c>
      <c r="AW16" s="455">
        <f t="shared" si="13"/>
        <v>0</v>
      </c>
      <c r="AZ16" s="455">
        <f t="shared" si="14"/>
        <v>0</v>
      </c>
      <c r="BC16" s="455">
        <f t="shared" si="15"/>
        <v>0</v>
      </c>
      <c r="BF16" s="455">
        <f t="shared" si="16"/>
        <v>0</v>
      </c>
      <c r="BI16" s="455">
        <f t="shared" si="17"/>
        <v>0</v>
      </c>
      <c r="BL16" s="455">
        <f t="shared" si="18"/>
        <v>0</v>
      </c>
      <c r="BO16" s="455">
        <f t="shared" si="19"/>
        <v>0</v>
      </c>
      <c r="BR16" s="455">
        <f t="shared" si="20"/>
        <v>0</v>
      </c>
      <c r="BU16" s="455">
        <f t="shared" si="21"/>
        <v>0</v>
      </c>
      <c r="BX16" s="455">
        <f t="shared" si="22"/>
        <v>0</v>
      </c>
      <c r="CA16" s="455">
        <f t="shared" si="23"/>
        <v>0</v>
      </c>
      <c r="CD16" s="455">
        <f t="shared" si="24"/>
        <v>0</v>
      </c>
      <c r="CG16" s="455">
        <f t="shared" si="25"/>
        <v>0</v>
      </c>
      <c r="CJ16" s="455">
        <f t="shared" si="26"/>
        <v>0</v>
      </c>
      <c r="CM16" s="455">
        <f t="shared" si="27"/>
        <v>0</v>
      </c>
      <c r="CP16" s="455">
        <f t="shared" si="28"/>
        <v>0</v>
      </c>
      <c r="CS16" s="455">
        <f t="shared" si="29"/>
        <v>0</v>
      </c>
      <c r="CV16" s="455">
        <f t="shared" si="30"/>
        <v>0</v>
      </c>
      <c r="CY16" s="455">
        <f t="shared" si="31"/>
        <v>0</v>
      </c>
      <c r="DB16" s="455">
        <f t="shared" si="32"/>
        <v>0</v>
      </c>
      <c r="DE16" s="455">
        <f t="shared" si="33"/>
        <v>0</v>
      </c>
      <c r="DH16" s="455">
        <f t="shared" si="34"/>
        <v>0</v>
      </c>
      <c r="DK16" s="455">
        <f t="shared" si="35"/>
        <v>0</v>
      </c>
      <c r="DN16" s="455">
        <f t="shared" si="36"/>
        <v>0</v>
      </c>
      <c r="DQ16" s="455">
        <f t="shared" si="37"/>
        <v>0</v>
      </c>
      <c r="DT16" s="455">
        <f t="shared" si="38"/>
        <v>0</v>
      </c>
      <c r="DW16" s="455">
        <f t="shared" si="39"/>
        <v>0</v>
      </c>
      <c r="DZ16" s="455"/>
      <c r="EA16" s="455"/>
      <c r="EB16" s="274">
        <f t="shared" si="40"/>
        <v>37150000</v>
      </c>
      <c r="EC16" s="274">
        <f t="shared" si="41"/>
        <v>0</v>
      </c>
      <c r="ED16" s="455">
        <f t="shared" si="42"/>
        <v>2786.25</v>
      </c>
      <c r="EE16" s="456">
        <f t="shared" si="43"/>
        <v>2.6999999999999996E-2</v>
      </c>
      <c r="EG16" s="274">
        <f t="shared" si="44"/>
        <v>0</v>
      </c>
      <c r="EH16" s="455">
        <f t="shared" si="45"/>
        <v>0</v>
      </c>
      <c r="EI16" s="456">
        <f t="shared" si="46"/>
        <v>0</v>
      </c>
      <c r="EJ16" s="456"/>
      <c r="EK16" s="274">
        <f t="shared" si="47"/>
        <v>37150000</v>
      </c>
      <c r="EL16" s="274">
        <f t="shared" si="48"/>
        <v>0</v>
      </c>
      <c r="EM16" s="274">
        <f t="shared" si="49"/>
        <v>2786.25</v>
      </c>
      <c r="EN16" s="456">
        <f t="shared" si="50"/>
        <v>2.6999999999999996E-2</v>
      </c>
      <c r="EP16" s="455"/>
    </row>
    <row r="17" spans="1:146">
      <c r="A17" s="474">
        <f t="shared" si="51"/>
        <v>43531</v>
      </c>
      <c r="D17" s="455">
        <f t="shared" si="0"/>
        <v>0</v>
      </c>
      <c r="G17" s="455">
        <f t="shared" si="1"/>
        <v>0</v>
      </c>
      <c r="J17" s="455">
        <f t="shared" si="2"/>
        <v>0</v>
      </c>
      <c r="M17" s="455">
        <f t="shared" si="3"/>
        <v>0</v>
      </c>
      <c r="P17" s="455">
        <f t="shared" si="4"/>
        <v>0</v>
      </c>
      <c r="S17" s="455">
        <f t="shared" si="5"/>
        <v>0</v>
      </c>
      <c r="V17" s="455">
        <f t="shared" si="6"/>
        <v>0</v>
      </c>
      <c r="Y17" s="455">
        <f t="shared" si="7"/>
        <v>0</v>
      </c>
      <c r="AB17" s="455">
        <f t="shared" si="8"/>
        <v>0</v>
      </c>
      <c r="AE17" s="455">
        <v>0</v>
      </c>
      <c r="AH17" s="455">
        <v>0</v>
      </c>
      <c r="AI17" s="475">
        <f>25950000</f>
        <v>25950000</v>
      </c>
      <c r="AJ17" s="476">
        <v>2.7E-2</v>
      </c>
      <c r="AK17" s="455">
        <f t="shared" si="9"/>
        <v>1946.25</v>
      </c>
      <c r="AL17" s="475"/>
      <c r="AM17" s="476"/>
      <c r="AN17" s="455">
        <f t="shared" si="10"/>
        <v>0</v>
      </c>
      <c r="AQ17" s="455">
        <f t="shared" si="11"/>
        <v>0</v>
      </c>
      <c r="AT17" s="455">
        <f t="shared" si="12"/>
        <v>0</v>
      </c>
      <c r="AW17" s="455">
        <f t="shared" si="13"/>
        <v>0</v>
      </c>
      <c r="AZ17" s="455">
        <f t="shared" si="14"/>
        <v>0</v>
      </c>
      <c r="BC17" s="455">
        <f t="shared" si="15"/>
        <v>0</v>
      </c>
      <c r="BF17" s="455">
        <f t="shared" si="16"/>
        <v>0</v>
      </c>
      <c r="BI17" s="455">
        <f t="shared" si="17"/>
        <v>0</v>
      </c>
      <c r="BL17" s="455">
        <f t="shared" si="18"/>
        <v>0</v>
      </c>
      <c r="BO17" s="455">
        <f t="shared" si="19"/>
        <v>0</v>
      </c>
      <c r="BR17" s="455">
        <f t="shared" si="20"/>
        <v>0</v>
      </c>
      <c r="BU17" s="455">
        <f t="shared" si="21"/>
        <v>0</v>
      </c>
      <c r="BX17" s="455">
        <f t="shared" si="22"/>
        <v>0</v>
      </c>
      <c r="CA17" s="455">
        <f t="shared" si="23"/>
        <v>0</v>
      </c>
      <c r="CD17" s="455">
        <f t="shared" si="24"/>
        <v>0</v>
      </c>
      <c r="CG17" s="455">
        <f t="shared" si="25"/>
        <v>0</v>
      </c>
      <c r="CJ17" s="455">
        <f t="shared" si="26"/>
        <v>0</v>
      </c>
      <c r="CM17" s="455">
        <f t="shared" si="27"/>
        <v>0</v>
      </c>
      <c r="CP17" s="455">
        <f t="shared" si="28"/>
        <v>0</v>
      </c>
      <c r="CS17" s="455">
        <f t="shared" si="29"/>
        <v>0</v>
      </c>
      <c r="CV17" s="455">
        <f t="shared" si="30"/>
        <v>0</v>
      </c>
      <c r="CY17" s="455">
        <f t="shared" si="31"/>
        <v>0</v>
      </c>
      <c r="DB17" s="455">
        <f t="shared" si="32"/>
        <v>0</v>
      </c>
      <c r="DE17" s="455">
        <f t="shared" si="33"/>
        <v>0</v>
      </c>
      <c r="DH17" s="455">
        <f t="shared" si="34"/>
        <v>0</v>
      </c>
      <c r="DK17" s="455">
        <f t="shared" si="35"/>
        <v>0</v>
      </c>
      <c r="DN17" s="455">
        <f t="shared" si="36"/>
        <v>0</v>
      </c>
      <c r="DQ17" s="455">
        <f t="shared" si="37"/>
        <v>0</v>
      </c>
      <c r="DT17" s="455">
        <f t="shared" si="38"/>
        <v>0</v>
      </c>
      <c r="DW17" s="455">
        <f t="shared" si="39"/>
        <v>0</v>
      </c>
      <c r="DZ17" s="455"/>
      <c r="EA17" s="455"/>
      <c r="EB17" s="274">
        <f t="shared" si="40"/>
        <v>25950000</v>
      </c>
      <c r="EC17" s="274">
        <f t="shared" si="41"/>
        <v>0</v>
      </c>
      <c r="ED17" s="455">
        <f t="shared" si="42"/>
        <v>1946.25</v>
      </c>
      <c r="EE17" s="456">
        <f t="shared" si="43"/>
        <v>2.6999999999999996E-2</v>
      </c>
      <c r="EG17" s="274">
        <f t="shared" si="44"/>
        <v>0</v>
      </c>
      <c r="EH17" s="455">
        <f t="shared" si="45"/>
        <v>0</v>
      </c>
      <c r="EI17" s="456">
        <f t="shared" si="46"/>
        <v>0</v>
      </c>
      <c r="EJ17" s="456"/>
      <c r="EK17" s="274">
        <f t="shared" si="47"/>
        <v>25950000</v>
      </c>
      <c r="EL17" s="274">
        <f t="shared" si="48"/>
        <v>0</v>
      </c>
      <c r="EM17" s="274">
        <f t="shared" si="49"/>
        <v>1946.25</v>
      </c>
      <c r="EN17" s="456">
        <f t="shared" si="50"/>
        <v>2.6999999999999996E-2</v>
      </c>
      <c r="EP17" s="455"/>
    </row>
    <row r="18" spans="1:146">
      <c r="A18" s="474">
        <f t="shared" si="51"/>
        <v>43532</v>
      </c>
      <c r="D18" s="455">
        <f t="shared" si="0"/>
        <v>0</v>
      </c>
      <c r="G18" s="455">
        <f t="shared" si="1"/>
        <v>0</v>
      </c>
      <c r="J18" s="455">
        <f t="shared" si="2"/>
        <v>0</v>
      </c>
      <c r="M18" s="455">
        <f t="shared" si="3"/>
        <v>0</v>
      </c>
      <c r="P18" s="455">
        <f t="shared" si="4"/>
        <v>0</v>
      </c>
      <c r="S18" s="455">
        <f t="shared" si="5"/>
        <v>0</v>
      </c>
      <c r="V18" s="455">
        <f t="shared" si="6"/>
        <v>0</v>
      </c>
      <c r="Y18" s="455">
        <f t="shared" si="7"/>
        <v>0</v>
      </c>
      <c r="AB18" s="455">
        <f t="shared" si="8"/>
        <v>0</v>
      </c>
      <c r="AE18" s="455">
        <v>0</v>
      </c>
      <c r="AH18" s="455">
        <v>0</v>
      </c>
      <c r="AI18" s="475">
        <f>27850000</f>
        <v>27850000</v>
      </c>
      <c r="AJ18" s="476">
        <v>2.7E-2</v>
      </c>
      <c r="AK18" s="455">
        <f t="shared" si="9"/>
        <v>2088.75</v>
      </c>
      <c r="AL18" s="475"/>
      <c r="AM18" s="476"/>
      <c r="AN18" s="455">
        <f t="shared" si="10"/>
        <v>0</v>
      </c>
      <c r="AQ18" s="455">
        <f t="shared" si="11"/>
        <v>0</v>
      </c>
      <c r="AT18" s="455">
        <f t="shared" si="12"/>
        <v>0</v>
      </c>
      <c r="AW18" s="455">
        <f t="shared" si="13"/>
        <v>0</v>
      </c>
      <c r="AZ18" s="455">
        <f t="shared" si="14"/>
        <v>0</v>
      </c>
      <c r="BC18" s="455">
        <f t="shared" si="15"/>
        <v>0</v>
      </c>
      <c r="BF18" s="455">
        <f t="shared" si="16"/>
        <v>0</v>
      </c>
      <c r="BI18" s="455">
        <f t="shared" si="17"/>
        <v>0</v>
      </c>
      <c r="BL18" s="455">
        <f t="shared" si="18"/>
        <v>0</v>
      </c>
      <c r="BO18" s="455">
        <f t="shared" si="19"/>
        <v>0</v>
      </c>
      <c r="BR18" s="455">
        <f t="shared" si="20"/>
        <v>0</v>
      </c>
      <c r="BU18" s="455">
        <f t="shared" si="21"/>
        <v>0</v>
      </c>
      <c r="BX18" s="455">
        <f t="shared" si="22"/>
        <v>0</v>
      </c>
      <c r="CA18" s="455">
        <f t="shared" si="23"/>
        <v>0</v>
      </c>
      <c r="CD18" s="455">
        <f t="shared" si="24"/>
        <v>0</v>
      </c>
      <c r="CG18" s="455">
        <f t="shared" si="25"/>
        <v>0</v>
      </c>
      <c r="CJ18" s="455">
        <f t="shared" si="26"/>
        <v>0</v>
      </c>
      <c r="CM18" s="455">
        <f t="shared" si="27"/>
        <v>0</v>
      </c>
      <c r="CP18" s="455">
        <f t="shared" si="28"/>
        <v>0</v>
      </c>
      <c r="CS18" s="455">
        <f t="shared" si="29"/>
        <v>0</v>
      </c>
      <c r="CV18" s="455">
        <f t="shared" si="30"/>
        <v>0</v>
      </c>
      <c r="CY18" s="455">
        <f t="shared" si="31"/>
        <v>0</v>
      </c>
      <c r="DB18" s="455">
        <f t="shared" si="32"/>
        <v>0</v>
      </c>
      <c r="DE18" s="455">
        <f t="shared" si="33"/>
        <v>0</v>
      </c>
      <c r="DH18" s="455">
        <f t="shared" si="34"/>
        <v>0</v>
      </c>
      <c r="DK18" s="455">
        <f t="shared" si="35"/>
        <v>0</v>
      </c>
      <c r="DN18" s="455">
        <f t="shared" si="36"/>
        <v>0</v>
      </c>
      <c r="DQ18" s="455">
        <f t="shared" si="37"/>
        <v>0</v>
      </c>
      <c r="DT18" s="455">
        <f t="shared" si="38"/>
        <v>0</v>
      </c>
      <c r="DW18" s="455">
        <f t="shared" si="39"/>
        <v>0</v>
      </c>
      <c r="DZ18" s="455"/>
      <c r="EA18" s="455"/>
      <c r="EB18" s="274">
        <f t="shared" si="40"/>
        <v>27850000</v>
      </c>
      <c r="EC18" s="274">
        <f t="shared" si="41"/>
        <v>0</v>
      </c>
      <c r="ED18" s="455">
        <f t="shared" si="42"/>
        <v>2088.75</v>
      </c>
      <c r="EE18" s="456">
        <f t="shared" si="43"/>
        <v>2.6999999999999996E-2</v>
      </c>
      <c r="EG18" s="274">
        <f t="shared" si="44"/>
        <v>0</v>
      </c>
      <c r="EH18" s="455">
        <f t="shared" si="45"/>
        <v>0</v>
      </c>
      <c r="EI18" s="456">
        <f t="shared" si="46"/>
        <v>0</v>
      </c>
      <c r="EJ18" s="456"/>
      <c r="EK18" s="274">
        <f t="shared" si="47"/>
        <v>27850000</v>
      </c>
      <c r="EL18" s="274">
        <f t="shared" si="48"/>
        <v>0</v>
      </c>
      <c r="EM18" s="274">
        <f t="shared" si="49"/>
        <v>2088.75</v>
      </c>
      <c r="EN18" s="456">
        <f t="shared" si="50"/>
        <v>2.6999999999999996E-2</v>
      </c>
      <c r="EP18" s="455"/>
    </row>
    <row r="19" spans="1:146">
      <c r="A19" s="474">
        <f t="shared" si="51"/>
        <v>43533</v>
      </c>
      <c r="D19" s="455">
        <f t="shared" si="0"/>
        <v>0</v>
      </c>
      <c r="G19" s="455">
        <f t="shared" si="1"/>
        <v>0</v>
      </c>
      <c r="J19" s="455">
        <f t="shared" si="2"/>
        <v>0</v>
      </c>
      <c r="M19" s="455">
        <f t="shared" si="3"/>
        <v>0</v>
      </c>
      <c r="P19" s="455">
        <f t="shared" si="4"/>
        <v>0</v>
      </c>
      <c r="S19" s="455">
        <f t="shared" si="5"/>
        <v>0</v>
      </c>
      <c r="V19" s="455">
        <f t="shared" si="6"/>
        <v>0</v>
      </c>
      <c r="Y19" s="455">
        <f t="shared" si="7"/>
        <v>0</v>
      </c>
      <c r="AB19" s="455">
        <f t="shared" si="8"/>
        <v>0</v>
      </c>
      <c r="AE19" s="455">
        <v>0</v>
      </c>
      <c r="AH19" s="455">
        <v>0</v>
      </c>
      <c r="AI19" s="475">
        <f>27850000</f>
        <v>27850000</v>
      </c>
      <c r="AJ19" s="476">
        <v>2.7E-2</v>
      </c>
      <c r="AK19" s="455">
        <f t="shared" si="9"/>
        <v>2088.75</v>
      </c>
      <c r="AL19" s="475"/>
      <c r="AM19" s="476"/>
      <c r="AN19" s="455">
        <f t="shared" si="10"/>
        <v>0</v>
      </c>
      <c r="AQ19" s="455">
        <f t="shared" si="11"/>
        <v>0</v>
      </c>
      <c r="AT19" s="455">
        <f t="shared" si="12"/>
        <v>0</v>
      </c>
      <c r="AW19" s="455">
        <f t="shared" si="13"/>
        <v>0</v>
      </c>
      <c r="AZ19" s="455">
        <f t="shared" si="14"/>
        <v>0</v>
      </c>
      <c r="BC19" s="455">
        <f t="shared" si="15"/>
        <v>0</v>
      </c>
      <c r="BF19" s="455">
        <f t="shared" si="16"/>
        <v>0</v>
      </c>
      <c r="BI19" s="455">
        <f t="shared" si="17"/>
        <v>0</v>
      </c>
      <c r="BL19" s="455">
        <f t="shared" si="18"/>
        <v>0</v>
      </c>
      <c r="BO19" s="455">
        <f t="shared" si="19"/>
        <v>0</v>
      </c>
      <c r="BR19" s="455">
        <f t="shared" si="20"/>
        <v>0</v>
      </c>
      <c r="BU19" s="455">
        <f t="shared" si="21"/>
        <v>0</v>
      </c>
      <c r="BX19" s="455">
        <f t="shared" si="22"/>
        <v>0</v>
      </c>
      <c r="CA19" s="455">
        <f t="shared" si="23"/>
        <v>0</v>
      </c>
      <c r="CD19" s="455">
        <f t="shared" si="24"/>
        <v>0</v>
      </c>
      <c r="CG19" s="455">
        <f t="shared" si="25"/>
        <v>0</v>
      </c>
      <c r="CJ19" s="455">
        <f t="shared" si="26"/>
        <v>0</v>
      </c>
      <c r="CM19" s="455">
        <f t="shared" si="27"/>
        <v>0</v>
      </c>
      <c r="CP19" s="455">
        <f t="shared" si="28"/>
        <v>0</v>
      </c>
      <c r="CS19" s="455">
        <f t="shared" si="29"/>
        <v>0</v>
      </c>
      <c r="CV19" s="455">
        <f t="shared" si="30"/>
        <v>0</v>
      </c>
      <c r="CY19" s="455">
        <f t="shared" si="31"/>
        <v>0</v>
      </c>
      <c r="DB19" s="455">
        <f t="shared" si="32"/>
        <v>0</v>
      </c>
      <c r="DE19" s="455">
        <f t="shared" si="33"/>
        <v>0</v>
      </c>
      <c r="DH19" s="455">
        <f t="shared" si="34"/>
        <v>0</v>
      </c>
      <c r="DK19" s="455">
        <f t="shared" si="35"/>
        <v>0</v>
      </c>
      <c r="DN19" s="455">
        <f t="shared" si="36"/>
        <v>0</v>
      </c>
      <c r="DQ19" s="455">
        <f t="shared" si="37"/>
        <v>0</v>
      </c>
      <c r="DT19" s="455">
        <f t="shared" si="38"/>
        <v>0</v>
      </c>
      <c r="DW19" s="455">
        <f t="shared" si="39"/>
        <v>0</v>
      </c>
      <c r="DZ19" s="455"/>
      <c r="EA19" s="455"/>
      <c r="EB19" s="274">
        <f t="shared" si="40"/>
        <v>27850000</v>
      </c>
      <c r="EC19" s="274">
        <f t="shared" si="41"/>
        <v>0</v>
      </c>
      <c r="ED19" s="455">
        <f t="shared" si="42"/>
        <v>2088.75</v>
      </c>
      <c r="EE19" s="456">
        <f t="shared" si="43"/>
        <v>2.6999999999999996E-2</v>
      </c>
      <c r="EG19" s="274">
        <f t="shared" si="44"/>
        <v>0</v>
      </c>
      <c r="EH19" s="455">
        <f t="shared" si="45"/>
        <v>0</v>
      </c>
      <c r="EI19" s="456">
        <f t="shared" si="46"/>
        <v>0</v>
      </c>
      <c r="EJ19" s="456"/>
      <c r="EK19" s="274">
        <f t="shared" si="47"/>
        <v>27850000</v>
      </c>
      <c r="EL19" s="274">
        <f t="shared" si="48"/>
        <v>0</v>
      </c>
      <c r="EM19" s="274">
        <f t="shared" si="49"/>
        <v>2088.75</v>
      </c>
      <c r="EN19" s="456">
        <f t="shared" si="50"/>
        <v>2.6999999999999996E-2</v>
      </c>
      <c r="EP19" s="455"/>
    </row>
    <row r="20" spans="1:146">
      <c r="A20" s="474">
        <f t="shared" si="51"/>
        <v>43534</v>
      </c>
      <c r="D20" s="455">
        <f t="shared" si="0"/>
        <v>0</v>
      </c>
      <c r="G20" s="455">
        <f t="shared" si="1"/>
        <v>0</v>
      </c>
      <c r="J20" s="455">
        <f t="shared" si="2"/>
        <v>0</v>
      </c>
      <c r="M20" s="455">
        <f t="shared" si="3"/>
        <v>0</v>
      </c>
      <c r="P20" s="455">
        <f t="shared" si="4"/>
        <v>0</v>
      </c>
      <c r="S20" s="455">
        <f t="shared" si="5"/>
        <v>0</v>
      </c>
      <c r="V20" s="455">
        <f t="shared" si="6"/>
        <v>0</v>
      </c>
      <c r="Y20" s="455">
        <f t="shared" si="7"/>
        <v>0</v>
      </c>
      <c r="AB20" s="455">
        <f t="shared" si="8"/>
        <v>0</v>
      </c>
      <c r="AE20" s="455">
        <v>0</v>
      </c>
      <c r="AH20" s="455">
        <v>0</v>
      </c>
      <c r="AI20" s="475">
        <f>27850000</f>
        <v>27850000</v>
      </c>
      <c r="AJ20" s="476">
        <v>2.7E-2</v>
      </c>
      <c r="AK20" s="455">
        <f t="shared" si="9"/>
        <v>2088.75</v>
      </c>
      <c r="AL20" s="475"/>
      <c r="AM20" s="476"/>
      <c r="AN20" s="455">
        <f t="shared" si="10"/>
        <v>0</v>
      </c>
      <c r="AQ20" s="455">
        <f t="shared" si="11"/>
        <v>0</v>
      </c>
      <c r="AT20" s="455">
        <f t="shared" si="12"/>
        <v>0</v>
      </c>
      <c r="AW20" s="455">
        <f t="shared" si="13"/>
        <v>0</v>
      </c>
      <c r="AZ20" s="455">
        <f t="shared" si="14"/>
        <v>0</v>
      </c>
      <c r="BC20" s="455">
        <f t="shared" si="15"/>
        <v>0</v>
      </c>
      <c r="BF20" s="455">
        <f t="shared" si="16"/>
        <v>0</v>
      </c>
      <c r="BI20" s="455">
        <f t="shared" si="17"/>
        <v>0</v>
      </c>
      <c r="BL20" s="455">
        <f t="shared" si="18"/>
        <v>0</v>
      </c>
      <c r="BO20" s="455">
        <f t="shared" si="19"/>
        <v>0</v>
      </c>
      <c r="BR20" s="455">
        <f t="shared" si="20"/>
        <v>0</v>
      </c>
      <c r="BU20" s="455">
        <f t="shared" si="21"/>
        <v>0</v>
      </c>
      <c r="BX20" s="455">
        <f t="shared" si="22"/>
        <v>0</v>
      </c>
      <c r="CA20" s="455">
        <f t="shared" si="23"/>
        <v>0</v>
      </c>
      <c r="CD20" s="455">
        <f t="shared" si="24"/>
        <v>0</v>
      </c>
      <c r="CG20" s="455">
        <f t="shared" si="25"/>
        <v>0</v>
      </c>
      <c r="CJ20" s="455">
        <f t="shared" si="26"/>
        <v>0</v>
      </c>
      <c r="CM20" s="455">
        <f t="shared" si="27"/>
        <v>0</v>
      </c>
      <c r="CP20" s="455">
        <f t="shared" si="28"/>
        <v>0</v>
      </c>
      <c r="CS20" s="455">
        <f t="shared" si="29"/>
        <v>0</v>
      </c>
      <c r="CV20" s="455">
        <f t="shared" si="30"/>
        <v>0</v>
      </c>
      <c r="CY20" s="455">
        <f t="shared" si="31"/>
        <v>0</v>
      </c>
      <c r="DB20" s="455">
        <f t="shared" si="32"/>
        <v>0</v>
      </c>
      <c r="DE20" s="455">
        <f t="shared" si="33"/>
        <v>0</v>
      </c>
      <c r="DH20" s="455">
        <f t="shared" si="34"/>
        <v>0</v>
      </c>
      <c r="DK20" s="455">
        <f t="shared" si="35"/>
        <v>0</v>
      </c>
      <c r="DN20" s="455">
        <f t="shared" si="36"/>
        <v>0</v>
      </c>
      <c r="DQ20" s="455">
        <f t="shared" si="37"/>
        <v>0</v>
      </c>
      <c r="DT20" s="455">
        <f t="shared" si="38"/>
        <v>0</v>
      </c>
      <c r="DW20" s="455">
        <f t="shared" si="39"/>
        <v>0</v>
      </c>
      <c r="DZ20" s="455"/>
      <c r="EA20" s="455"/>
      <c r="EB20" s="274">
        <f t="shared" si="40"/>
        <v>27850000</v>
      </c>
      <c r="EC20" s="274">
        <f t="shared" si="41"/>
        <v>0</v>
      </c>
      <c r="ED20" s="455">
        <f t="shared" si="42"/>
        <v>2088.75</v>
      </c>
      <c r="EE20" s="456">
        <f t="shared" si="43"/>
        <v>2.6999999999999996E-2</v>
      </c>
      <c r="EG20" s="274">
        <f t="shared" si="44"/>
        <v>0</v>
      </c>
      <c r="EH20" s="455">
        <f t="shared" si="45"/>
        <v>0</v>
      </c>
      <c r="EI20" s="456">
        <f t="shared" si="46"/>
        <v>0</v>
      </c>
      <c r="EJ20" s="456"/>
      <c r="EK20" s="274">
        <f t="shared" si="47"/>
        <v>27850000</v>
      </c>
      <c r="EL20" s="274">
        <f t="shared" si="48"/>
        <v>0</v>
      </c>
      <c r="EM20" s="274">
        <f t="shared" si="49"/>
        <v>2088.75</v>
      </c>
      <c r="EN20" s="456">
        <f t="shared" si="50"/>
        <v>2.6999999999999996E-2</v>
      </c>
      <c r="EP20" s="455"/>
    </row>
    <row r="21" spans="1:146">
      <c r="A21" s="474">
        <f t="shared" si="51"/>
        <v>43535</v>
      </c>
      <c r="D21" s="455">
        <f t="shared" si="0"/>
        <v>0</v>
      </c>
      <c r="G21" s="455">
        <f t="shared" si="1"/>
        <v>0</v>
      </c>
      <c r="J21" s="455">
        <f t="shared" si="2"/>
        <v>0</v>
      </c>
      <c r="M21" s="455">
        <f t="shared" si="3"/>
        <v>0</v>
      </c>
      <c r="P21" s="455">
        <f t="shared" si="4"/>
        <v>0</v>
      </c>
      <c r="S21" s="455">
        <f t="shared" si="5"/>
        <v>0</v>
      </c>
      <c r="V21" s="455">
        <f t="shared" si="6"/>
        <v>0</v>
      </c>
      <c r="Y21" s="455">
        <f t="shared" si="7"/>
        <v>0</v>
      </c>
      <c r="AB21" s="455">
        <f t="shared" si="8"/>
        <v>0</v>
      </c>
      <c r="AE21" s="455">
        <v>0</v>
      </c>
      <c r="AH21" s="455">
        <v>0</v>
      </c>
      <c r="AI21" s="475">
        <f>15875000</f>
        <v>15875000</v>
      </c>
      <c r="AJ21" s="476">
        <v>2.7E-2</v>
      </c>
      <c r="AK21" s="455">
        <f t="shared" si="9"/>
        <v>1190.625</v>
      </c>
      <c r="AL21" s="475"/>
      <c r="AM21" s="476"/>
      <c r="AN21" s="455">
        <f t="shared" si="10"/>
        <v>0</v>
      </c>
      <c r="AQ21" s="455">
        <f t="shared" si="11"/>
        <v>0</v>
      </c>
      <c r="AT21" s="455">
        <f t="shared" si="12"/>
        <v>0</v>
      </c>
      <c r="AW21" s="455">
        <f t="shared" si="13"/>
        <v>0</v>
      </c>
      <c r="AZ21" s="455">
        <f t="shared" si="14"/>
        <v>0</v>
      </c>
      <c r="BC21" s="455">
        <f t="shared" si="15"/>
        <v>0</v>
      </c>
      <c r="BF21" s="455">
        <f t="shared" si="16"/>
        <v>0</v>
      </c>
      <c r="BI21" s="455">
        <f t="shared" si="17"/>
        <v>0</v>
      </c>
      <c r="BL21" s="455">
        <f t="shared" si="18"/>
        <v>0</v>
      </c>
      <c r="BO21" s="455">
        <f t="shared" si="19"/>
        <v>0</v>
      </c>
      <c r="BR21" s="455">
        <f t="shared" si="20"/>
        <v>0</v>
      </c>
      <c r="BU21" s="455">
        <f t="shared" si="21"/>
        <v>0</v>
      </c>
      <c r="BX21" s="455">
        <f t="shared" si="22"/>
        <v>0</v>
      </c>
      <c r="CA21" s="455">
        <f t="shared" si="23"/>
        <v>0</v>
      </c>
      <c r="CD21" s="455">
        <f t="shared" si="24"/>
        <v>0</v>
      </c>
      <c r="CG21" s="455">
        <f t="shared" si="25"/>
        <v>0</v>
      </c>
      <c r="CJ21" s="455">
        <f t="shared" si="26"/>
        <v>0</v>
      </c>
      <c r="CM21" s="455">
        <f t="shared" si="27"/>
        <v>0</v>
      </c>
      <c r="CP21" s="455">
        <f t="shared" si="28"/>
        <v>0</v>
      </c>
      <c r="CS21" s="455">
        <f t="shared" si="29"/>
        <v>0</v>
      </c>
      <c r="CV21" s="455">
        <f t="shared" si="30"/>
        <v>0</v>
      </c>
      <c r="CY21" s="455">
        <f t="shared" si="31"/>
        <v>0</v>
      </c>
      <c r="DB21" s="455">
        <f t="shared" si="32"/>
        <v>0</v>
      </c>
      <c r="DE21" s="455">
        <f t="shared" si="33"/>
        <v>0</v>
      </c>
      <c r="DH21" s="455">
        <f t="shared" si="34"/>
        <v>0</v>
      </c>
      <c r="DK21" s="455">
        <f t="shared" si="35"/>
        <v>0</v>
      </c>
      <c r="DN21" s="455">
        <f t="shared" si="36"/>
        <v>0</v>
      </c>
      <c r="DQ21" s="455">
        <f t="shared" si="37"/>
        <v>0</v>
      </c>
      <c r="DT21" s="455">
        <f t="shared" si="38"/>
        <v>0</v>
      </c>
      <c r="DW21" s="455">
        <f t="shared" si="39"/>
        <v>0</v>
      </c>
      <c r="DZ21" s="455"/>
      <c r="EA21" s="455"/>
      <c r="EB21" s="274">
        <f t="shared" si="40"/>
        <v>15875000</v>
      </c>
      <c r="EC21" s="274">
        <f t="shared" si="41"/>
        <v>0</v>
      </c>
      <c r="ED21" s="455">
        <f t="shared" si="42"/>
        <v>1190.625</v>
      </c>
      <c r="EE21" s="456">
        <f t="shared" si="43"/>
        <v>2.6999999999999996E-2</v>
      </c>
      <c r="EG21" s="274">
        <f t="shared" si="44"/>
        <v>0</v>
      </c>
      <c r="EH21" s="455">
        <f t="shared" si="45"/>
        <v>0</v>
      </c>
      <c r="EI21" s="456">
        <f t="shared" si="46"/>
        <v>0</v>
      </c>
      <c r="EJ21" s="456"/>
      <c r="EK21" s="274">
        <f t="shared" si="47"/>
        <v>15875000</v>
      </c>
      <c r="EL21" s="274">
        <f t="shared" si="48"/>
        <v>0</v>
      </c>
      <c r="EM21" s="274">
        <f t="shared" si="49"/>
        <v>1190.625</v>
      </c>
      <c r="EN21" s="456">
        <f t="shared" si="50"/>
        <v>2.6999999999999996E-2</v>
      </c>
      <c r="EP21" s="455"/>
    </row>
    <row r="22" spans="1:146">
      <c r="A22" s="474">
        <f t="shared" si="51"/>
        <v>43536</v>
      </c>
      <c r="D22" s="455">
        <f t="shared" si="0"/>
        <v>0</v>
      </c>
      <c r="G22" s="455">
        <f t="shared" si="1"/>
        <v>0</v>
      </c>
      <c r="J22" s="455">
        <f t="shared" si="2"/>
        <v>0</v>
      </c>
      <c r="M22" s="455">
        <f t="shared" si="3"/>
        <v>0</v>
      </c>
      <c r="P22" s="455">
        <f t="shared" si="4"/>
        <v>0</v>
      </c>
      <c r="S22" s="455">
        <f t="shared" si="5"/>
        <v>0</v>
      </c>
      <c r="V22" s="455">
        <f t="shared" si="6"/>
        <v>0</v>
      </c>
      <c r="Y22" s="455">
        <f t="shared" si="7"/>
        <v>0</v>
      </c>
      <c r="AB22" s="455">
        <f t="shared" si="8"/>
        <v>0</v>
      </c>
      <c r="AE22" s="455">
        <v>0</v>
      </c>
      <c r="AH22" s="455">
        <v>0</v>
      </c>
      <c r="AI22" s="475">
        <f>5625000</f>
        <v>5625000</v>
      </c>
      <c r="AJ22" s="476">
        <v>2.7E-2</v>
      </c>
      <c r="AK22" s="455">
        <f t="shared" si="9"/>
        <v>421.875</v>
      </c>
      <c r="AL22" s="475"/>
      <c r="AM22" s="476"/>
      <c r="AN22" s="455">
        <f t="shared" si="10"/>
        <v>0</v>
      </c>
      <c r="AQ22" s="455">
        <f t="shared" si="11"/>
        <v>0</v>
      </c>
      <c r="AT22" s="455">
        <f t="shared" si="12"/>
        <v>0</v>
      </c>
      <c r="AW22" s="455">
        <f t="shared" si="13"/>
        <v>0</v>
      </c>
      <c r="AZ22" s="455">
        <f t="shared" si="14"/>
        <v>0</v>
      </c>
      <c r="BC22" s="455">
        <f t="shared" si="15"/>
        <v>0</v>
      </c>
      <c r="BF22" s="455">
        <f t="shared" si="16"/>
        <v>0</v>
      </c>
      <c r="BI22" s="455">
        <f t="shared" si="17"/>
        <v>0</v>
      </c>
      <c r="BL22" s="455">
        <f t="shared" si="18"/>
        <v>0</v>
      </c>
      <c r="BO22" s="455">
        <f t="shared" si="19"/>
        <v>0</v>
      </c>
      <c r="BR22" s="455">
        <f t="shared" si="20"/>
        <v>0</v>
      </c>
      <c r="BU22" s="455">
        <f t="shared" si="21"/>
        <v>0</v>
      </c>
      <c r="BX22" s="455">
        <f t="shared" si="22"/>
        <v>0</v>
      </c>
      <c r="CA22" s="455">
        <f t="shared" si="23"/>
        <v>0</v>
      </c>
      <c r="CD22" s="455">
        <f t="shared" si="24"/>
        <v>0</v>
      </c>
      <c r="CG22" s="455">
        <f t="shared" si="25"/>
        <v>0</v>
      </c>
      <c r="CJ22" s="455">
        <f t="shared" si="26"/>
        <v>0</v>
      </c>
      <c r="CM22" s="455">
        <f t="shared" si="27"/>
        <v>0</v>
      </c>
      <c r="CP22" s="455">
        <f t="shared" si="28"/>
        <v>0</v>
      </c>
      <c r="CS22" s="455">
        <f t="shared" si="29"/>
        <v>0</v>
      </c>
      <c r="CV22" s="455">
        <f t="shared" si="30"/>
        <v>0</v>
      </c>
      <c r="CY22" s="455">
        <f t="shared" si="31"/>
        <v>0</v>
      </c>
      <c r="DB22" s="455">
        <f t="shared" si="32"/>
        <v>0</v>
      </c>
      <c r="DE22" s="455">
        <f t="shared" si="33"/>
        <v>0</v>
      </c>
      <c r="DH22" s="455">
        <f t="shared" si="34"/>
        <v>0</v>
      </c>
      <c r="DK22" s="455">
        <f t="shared" si="35"/>
        <v>0</v>
      </c>
      <c r="DN22" s="455">
        <f t="shared" si="36"/>
        <v>0</v>
      </c>
      <c r="DQ22" s="455">
        <f t="shared" si="37"/>
        <v>0</v>
      </c>
      <c r="DT22" s="455">
        <f t="shared" si="38"/>
        <v>0</v>
      </c>
      <c r="DW22" s="455">
        <f t="shared" si="39"/>
        <v>0</v>
      </c>
      <c r="DZ22" s="455"/>
      <c r="EA22" s="455"/>
      <c r="EB22" s="274">
        <f t="shared" si="40"/>
        <v>5625000</v>
      </c>
      <c r="EC22" s="274">
        <f t="shared" si="41"/>
        <v>0</v>
      </c>
      <c r="ED22" s="455">
        <f t="shared" si="42"/>
        <v>421.875</v>
      </c>
      <c r="EE22" s="456">
        <f t="shared" si="43"/>
        <v>2.6999999999999996E-2</v>
      </c>
      <c r="EG22" s="274">
        <f t="shared" si="44"/>
        <v>0</v>
      </c>
      <c r="EH22" s="455">
        <f t="shared" si="45"/>
        <v>0</v>
      </c>
      <c r="EI22" s="456">
        <f t="shared" si="46"/>
        <v>0</v>
      </c>
      <c r="EJ22" s="456"/>
      <c r="EK22" s="274">
        <f t="shared" si="47"/>
        <v>5625000</v>
      </c>
      <c r="EL22" s="274">
        <f t="shared" si="48"/>
        <v>0</v>
      </c>
      <c r="EM22" s="274">
        <f t="shared" si="49"/>
        <v>421.875</v>
      </c>
      <c r="EN22" s="456">
        <f t="shared" si="50"/>
        <v>2.6999999999999996E-2</v>
      </c>
      <c r="EP22" s="455"/>
    </row>
    <row r="23" spans="1:146">
      <c r="A23" s="474">
        <f t="shared" si="51"/>
        <v>43537</v>
      </c>
      <c r="D23" s="455">
        <f t="shared" si="0"/>
        <v>0</v>
      </c>
      <c r="G23" s="455">
        <f t="shared" si="1"/>
        <v>0</v>
      </c>
      <c r="J23" s="455">
        <f t="shared" si="2"/>
        <v>0</v>
      </c>
      <c r="M23" s="455">
        <f t="shared" si="3"/>
        <v>0</v>
      </c>
      <c r="P23" s="455">
        <f t="shared" si="4"/>
        <v>0</v>
      </c>
      <c r="S23" s="455">
        <f t="shared" si="5"/>
        <v>0</v>
      </c>
      <c r="V23" s="455">
        <f t="shared" si="6"/>
        <v>0</v>
      </c>
      <c r="Y23" s="455">
        <f t="shared" si="7"/>
        <v>0</v>
      </c>
      <c r="AB23" s="455">
        <f t="shared" si="8"/>
        <v>0</v>
      </c>
      <c r="AE23" s="455">
        <v>0</v>
      </c>
      <c r="AH23" s="455">
        <v>0</v>
      </c>
      <c r="AI23" s="475">
        <f>24175000</f>
        <v>24175000</v>
      </c>
      <c r="AJ23" s="476">
        <v>2.7E-2</v>
      </c>
      <c r="AK23" s="455">
        <f t="shared" si="9"/>
        <v>1813.125</v>
      </c>
      <c r="AL23" s="475"/>
      <c r="AM23" s="476"/>
      <c r="AN23" s="455">
        <f t="shared" si="10"/>
        <v>0</v>
      </c>
      <c r="AQ23" s="455">
        <f t="shared" si="11"/>
        <v>0</v>
      </c>
      <c r="AT23" s="455">
        <f t="shared" si="12"/>
        <v>0</v>
      </c>
      <c r="AW23" s="455">
        <f t="shared" si="13"/>
        <v>0</v>
      </c>
      <c r="AZ23" s="455">
        <f t="shared" si="14"/>
        <v>0</v>
      </c>
      <c r="BC23" s="455">
        <f t="shared" si="15"/>
        <v>0</v>
      </c>
      <c r="BF23" s="455">
        <f t="shared" si="16"/>
        <v>0</v>
      </c>
      <c r="BI23" s="455">
        <f t="shared" si="17"/>
        <v>0</v>
      </c>
      <c r="BL23" s="455">
        <f t="shared" si="18"/>
        <v>0</v>
      </c>
      <c r="BO23" s="455">
        <f t="shared" si="19"/>
        <v>0</v>
      </c>
      <c r="BR23" s="455">
        <f t="shared" si="20"/>
        <v>0</v>
      </c>
      <c r="BU23" s="455">
        <f t="shared" si="21"/>
        <v>0</v>
      </c>
      <c r="BX23" s="455">
        <f t="shared" si="22"/>
        <v>0</v>
      </c>
      <c r="CA23" s="455">
        <f t="shared" si="23"/>
        <v>0</v>
      </c>
      <c r="CD23" s="455">
        <f t="shared" si="24"/>
        <v>0</v>
      </c>
      <c r="CG23" s="455">
        <f t="shared" si="25"/>
        <v>0</v>
      </c>
      <c r="CJ23" s="455">
        <f t="shared" si="26"/>
        <v>0</v>
      </c>
      <c r="CM23" s="455">
        <f t="shared" si="27"/>
        <v>0</v>
      </c>
      <c r="CP23" s="455">
        <f t="shared" si="28"/>
        <v>0</v>
      </c>
      <c r="CS23" s="455">
        <f t="shared" si="29"/>
        <v>0</v>
      </c>
      <c r="CV23" s="455">
        <f t="shared" si="30"/>
        <v>0</v>
      </c>
      <c r="CY23" s="455">
        <f t="shared" si="31"/>
        <v>0</v>
      </c>
      <c r="DB23" s="455">
        <f t="shared" si="32"/>
        <v>0</v>
      </c>
      <c r="DE23" s="455">
        <f t="shared" si="33"/>
        <v>0</v>
      </c>
      <c r="DH23" s="455">
        <f t="shared" si="34"/>
        <v>0</v>
      </c>
      <c r="DK23" s="455">
        <f t="shared" si="35"/>
        <v>0</v>
      </c>
      <c r="DN23" s="455">
        <f t="shared" si="36"/>
        <v>0</v>
      </c>
      <c r="DQ23" s="455">
        <f t="shared" si="37"/>
        <v>0</v>
      </c>
      <c r="DT23" s="455">
        <f t="shared" si="38"/>
        <v>0</v>
      </c>
      <c r="DW23" s="455">
        <f t="shared" si="39"/>
        <v>0</v>
      </c>
      <c r="DZ23" s="455"/>
      <c r="EA23" s="455"/>
      <c r="EB23" s="274">
        <f t="shared" si="40"/>
        <v>24175000</v>
      </c>
      <c r="EC23" s="274">
        <f t="shared" si="41"/>
        <v>0</v>
      </c>
      <c r="ED23" s="455">
        <f t="shared" si="42"/>
        <v>1813.125</v>
      </c>
      <c r="EE23" s="456">
        <f t="shared" si="43"/>
        <v>2.6999999999999996E-2</v>
      </c>
      <c r="EG23" s="274">
        <f t="shared" si="44"/>
        <v>0</v>
      </c>
      <c r="EH23" s="455">
        <f t="shared" si="45"/>
        <v>0</v>
      </c>
      <c r="EI23" s="456">
        <f t="shared" si="46"/>
        <v>0</v>
      </c>
      <c r="EJ23" s="456"/>
      <c r="EK23" s="274">
        <f t="shared" si="47"/>
        <v>24175000</v>
      </c>
      <c r="EL23" s="274">
        <f t="shared" si="48"/>
        <v>0</v>
      </c>
      <c r="EM23" s="274">
        <f t="shared" si="49"/>
        <v>1813.125</v>
      </c>
      <c r="EN23" s="456">
        <f t="shared" si="50"/>
        <v>2.6999999999999996E-2</v>
      </c>
      <c r="EP23" s="455"/>
    </row>
    <row r="24" spans="1:146">
      <c r="A24" s="474">
        <f t="shared" si="51"/>
        <v>43538</v>
      </c>
      <c r="D24" s="455">
        <f t="shared" si="0"/>
        <v>0</v>
      </c>
      <c r="G24" s="455">
        <f t="shared" si="1"/>
        <v>0</v>
      </c>
      <c r="J24" s="455">
        <f t="shared" si="2"/>
        <v>0</v>
      </c>
      <c r="M24" s="455">
        <f t="shared" si="3"/>
        <v>0</v>
      </c>
      <c r="P24" s="455">
        <f t="shared" si="4"/>
        <v>0</v>
      </c>
      <c r="S24" s="455">
        <f t="shared" si="5"/>
        <v>0</v>
      </c>
      <c r="V24" s="455">
        <f t="shared" si="6"/>
        <v>0</v>
      </c>
      <c r="Y24" s="455">
        <f t="shared" si="7"/>
        <v>0</v>
      </c>
      <c r="AB24" s="455">
        <f t="shared" si="8"/>
        <v>0</v>
      </c>
      <c r="AE24" s="455">
        <v>0</v>
      </c>
      <c r="AH24" s="455">
        <v>0</v>
      </c>
      <c r="AI24" s="475">
        <f>21775000</f>
        <v>21775000</v>
      </c>
      <c r="AJ24" s="476">
        <v>2.7E-2</v>
      </c>
      <c r="AK24" s="455">
        <f t="shared" si="9"/>
        <v>1633.125</v>
      </c>
      <c r="AL24" s="475"/>
      <c r="AM24" s="476"/>
      <c r="AN24" s="455">
        <f t="shared" si="10"/>
        <v>0</v>
      </c>
      <c r="AQ24" s="455">
        <f t="shared" si="11"/>
        <v>0</v>
      </c>
      <c r="AT24" s="455">
        <f t="shared" si="12"/>
        <v>0</v>
      </c>
      <c r="AW24" s="455">
        <f t="shared" si="13"/>
        <v>0</v>
      </c>
      <c r="AZ24" s="455">
        <f t="shared" si="14"/>
        <v>0</v>
      </c>
      <c r="BC24" s="455">
        <f t="shared" si="15"/>
        <v>0</v>
      </c>
      <c r="BF24" s="455">
        <f t="shared" si="16"/>
        <v>0</v>
      </c>
      <c r="BI24" s="455">
        <f t="shared" si="17"/>
        <v>0</v>
      </c>
      <c r="BL24" s="455">
        <f t="shared" si="18"/>
        <v>0</v>
      </c>
      <c r="BO24" s="455">
        <f t="shared" si="19"/>
        <v>0</v>
      </c>
      <c r="BR24" s="455">
        <f t="shared" si="20"/>
        <v>0</v>
      </c>
      <c r="BU24" s="455">
        <f t="shared" si="21"/>
        <v>0</v>
      </c>
      <c r="BX24" s="455">
        <f t="shared" si="22"/>
        <v>0</v>
      </c>
      <c r="CA24" s="455">
        <f t="shared" si="23"/>
        <v>0</v>
      </c>
      <c r="CD24" s="455">
        <f t="shared" si="24"/>
        <v>0</v>
      </c>
      <c r="CG24" s="455">
        <f t="shared" si="25"/>
        <v>0</v>
      </c>
      <c r="CJ24" s="455">
        <f t="shared" si="26"/>
        <v>0</v>
      </c>
      <c r="CM24" s="455">
        <f t="shared" si="27"/>
        <v>0</v>
      </c>
      <c r="CP24" s="455">
        <f t="shared" si="28"/>
        <v>0</v>
      </c>
      <c r="CS24" s="455">
        <f t="shared" si="29"/>
        <v>0</v>
      </c>
      <c r="CV24" s="455">
        <f t="shared" si="30"/>
        <v>0</v>
      </c>
      <c r="CY24" s="455">
        <f t="shared" si="31"/>
        <v>0</v>
      </c>
      <c r="DB24" s="455">
        <f t="shared" si="32"/>
        <v>0</v>
      </c>
      <c r="DE24" s="455">
        <f t="shared" si="33"/>
        <v>0</v>
      </c>
      <c r="DH24" s="455">
        <f t="shared" si="34"/>
        <v>0</v>
      </c>
      <c r="DK24" s="455">
        <f t="shared" si="35"/>
        <v>0</v>
      </c>
      <c r="DN24" s="455">
        <f t="shared" si="36"/>
        <v>0</v>
      </c>
      <c r="DQ24" s="455">
        <f t="shared" si="37"/>
        <v>0</v>
      </c>
      <c r="DT24" s="455">
        <f t="shared" si="38"/>
        <v>0</v>
      </c>
      <c r="DW24" s="455">
        <f t="shared" si="39"/>
        <v>0</v>
      </c>
      <c r="DZ24" s="455"/>
      <c r="EA24" s="455"/>
      <c r="EB24" s="274">
        <f t="shared" si="40"/>
        <v>21775000</v>
      </c>
      <c r="EC24" s="274">
        <f t="shared" si="41"/>
        <v>0</v>
      </c>
      <c r="ED24" s="455">
        <f t="shared" si="42"/>
        <v>1633.125</v>
      </c>
      <c r="EE24" s="456">
        <f t="shared" si="43"/>
        <v>2.6999999999999996E-2</v>
      </c>
      <c r="EG24" s="274">
        <f t="shared" si="44"/>
        <v>0</v>
      </c>
      <c r="EH24" s="455">
        <f t="shared" si="45"/>
        <v>0</v>
      </c>
      <c r="EI24" s="456">
        <f t="shared" si="46"/>
        <v>0</v>
      </c>
      <c r="EJ24" s="456"/>
      <c r="EK24" s="274">
        <f t="shared" si="47"/>
        <v>21775000</v>
      </c>
      <c r="EL24" s="274">
        <f t="shared" si="48"/>
        <v>0</v>
      </c>
      <c r="EM24" s="274">
        <f t="shared" si="49"/>
        <v>1633.125</v>
      </c>
      <c r="EN24" s="456">
        <f t="shared" si="50"/>
        <v>2.6999999999999996E-2</v>
      </c>
      <c r="EP24" s="455"/>
    </row>
    <row r="25" spans="1:146">
      <c r="A25" s="474">
        <f t="shared" si="51"/>
        <v>43539</v>
      </c>
      <c r="D25" s="455">
        <f t="shared" si="0"/>
        <v>0</v>
      </c>
      <c r="G25" s="455">
        <f t="shared" si="1"/>
        <v>0</v>
      </c>
      <c r="J25" s="455">
        <f t="shared" si="2"/>
        <v>0</v>
      </c>
      <c r="M25" s="455">
        <f t="shared" si="3"/>
        <v>0</v>
      </c>
      <c r="P25" s="455">
        <f t="shared" si="4"/>
        <v>0</v>
      </c>
      <c r="S25" s="455">
        <f t="shared" si="5"/>
        <v>0</v>
      </c>
      <c r="V25" s="455">
        <f t="shared" si="6"/>
        <v>0</v>
      </c>
      <c r="Y25" s="455">
        <f t="shared" si="7"/>
        <v>0</v>
      </c>
      <c r="AB25" s="455">
        <f t="shared" si="8"/>
        <v>0</v>
      </c>
      <c r="AE25" s="455">
        <v>0</v>
      </c>
      <c r="AH25" s="455">
        <v>0</v>
      </c>
      <c r="AI25" s="475">
        <f>72350000</f>
        <v>72350000</v>
      </c>
      <c r="AJ25" s="476">
        <v>2.7E-2</v>
      </c>
      <c r="AK25" s="455">
        <f t="shared" si="9"/>
        <v>5426.25</v>
      </c>
      <c r="AL25" s="475"/>
      <c r="AM25" s="476"/>
      <c r="AN25" s="455">
        <f t="shared" si="10"/>
        <v>0</v>
      </c>
      <c r="AQ25" s="455">
        <f t="shared" si="11"/>
        <v>0</v>
      </c>
      <c r="AT25" s="455">
        <f t="shared" si="12"/>
        <v>0</v>
      </c>
      <c r="AW25" s="455">
        <f t="shared" si="13"/>
        <v>0</v>
      </c>
      <c r="AZ25" s="455">
        <f t="shared" si="14"/>
        <v>0</v>
      </c>
      <c r="BC25" s="455">
        <f t="shared" si="15"/>
        <v>0</v>
      </c>
      <c r="BF25" s="455">
        <f t="shared" si="16"/>
        <v>0</v>
      </c>
      <c r="BI25" s="455">
        <f t="shared" si="17"/>
        <v>0</v>
      </c>
      <c r="BL25" s="455">
        <f t="shared" si="18"/>
        <v>0</v>
      </c>
      <c r="BO25" s="455">
        <f t="shared" si="19"/>
        <v>0</v>
      </c>
      <c r="BR25" s="455">
        <f t="shared" si="20"/>
        <v>0</v>
      </c>
      <c r="BU25" s="455">
        <f t="shared" si="21"/>
        <v>0</v>
      </c>
      <c r="BX25" s="455">
        <f t="shared" si="22"/>
        <v>0</v>
      </c>
      <c r="CA25" s="455">
        <f t="shared" si="23"/>
        <v>0</v>
      </c>
      <c r="CD25" s="455">
        <f t="shared" si="24"/>
        <v>0</v>
      </c>
      <c r="CG25" s="455">
        <f t="shared" si="25"/>
        <v>0</v>
      </c>
      <c r="CJ25" s="455">
        <f t="shared" si="26"/>
        <v>0</v>
      </c>
      <c r="CM25" s="455">
        <f t="shared" si="27"/>
        <v>0</v>
      </c>
      <c r="CP25" s="455">
        <f t="shared" si="28"/>
        <v>0</v>
      </c>
      <c r="CS25" s="455">
        <f t="shared" si="29"/>
        <v>0</v>
      </c>
      <c r="CV25" s="455">
        <f t="shared" si="30"/>
        <v>0</v>
      </c>
      <c r="CY25" s="455">
        <f t="shared" si="31"/>
        <v>0</v>
      </c>
      <c r="DB25" s="455">
        <f t="shared" si="32"/>
        <v>0</v>
      </c>
      <c r="DE25" s="455">
        <f t="shared" si="33"/>
        <v>0</v>
      </c>
      <c r="DH25" s="455">
        <f t="shared" si="34"/>
        <v>0</v>
      </c>
      <c r="DK25" s="455">
        <f t="shared" si="35"/>
        <v>0</v>
      </c>
      <c r="DN25" s="455">
        <f t="shared" si="36"/>
        <v>0</v>
      </c>
      <c r="DQ25" s="455">
        <f t="shared" si="37"/>
        <v>0</v>
      </c>
      <c r="DT25" s="455">
        <f t="shared" si="38"/>
        <v>0</v>
      </c>
      <c r="DW25" s="455">
        <f t="shared" si="39"/>
        <v>0</v>
      </c>
      <c r="DZ25" s="455"/>
      <c r="EA25" s="455"/>
      <c r="EB25" s="274">
        <f t="shared" si="40"/>
        <v>72350000</v>
      </c>
      <c r="EC25" s="274">
        <f t="shared" si="41"/>
        <v>0</v>
      </c>
      <c r="ED25" s="455">
        <f t="shared" si="42"/>
        <v>5426.25</v>
      </c>
      <c r="EE25" s="456">
        <f t="shared" si="43"/>
        <v>2.6999999999999996E-2</v>
      </c>
      <c r="EG25" s="274">
        <f t="shared" si="44"/>
        <v>0</v>
      </c>
      <c r="EH25" s="455">
        <f t="shared" si="45"/>
        <v>0</v>
      </c>
      <c r="EI25" s="456">
        <f t="shared" si="46"/>
        <v>0</v>
      </c>
      <c r="EJ25" s="456"/>
      <c r="EK25" s="274">
        <f t="shared" si="47"/>
        <v>72350000</v>
      </c>
      <c r="EL25" s="274">
        <f t="shared" si="48"/>
        <v>0</v>
      </c>
      <c r="EM25" s="274">
        <f t="shared" si="49"/>
        <v>5426.25</v>
      </c>
      <c r="EN25" s="456">
        <f t="shared" si="50"/>
        <v>2.6999999999999996E-2</v>
      </c>
      <c r="EP25" s="455"/>
    </row>
    <row r="26" spans="1:146">
      <c r="A26" s="474">
        <f t="shared" si="51"/>
        <v>43540</v>
      </c>
      <c r="D26" s="455">
        <f t="shared" si="0"/>
        <v>0</v>
      </c>
      <c r="G26" s="455">
        <f t="shared" si="1"/>
        <v>0</v>
      </c>
      <c r="J26" s="455">
        <f t="shared" si="2"/>
        <v>0</v>
      </c>
      <c r="M26" s="455">
        <f t="shared" si="3"/>
        <v>0</v>
      </c>
      <c r="P26" s="455">
        <f t="shared" si="4"/>
        <v>0</v>
      </c>
      <c r="S26" s="455">
        <f t="shared" si="5"/>
        <v>0</v>
      </c>
      <c r="V26" s="455">
        <f t="shared" si="6"/>
        <v>0</v>
      </c>
      <c r="Y26" s="455">
        <f t="shared" si="7"/>
        <v>0</v>
      </c>
      <c r="AB26" s="455">
        <f t="shared" si="8"/>
        <v>0</v>
      </c>
      <c r="AE26" s="455">
        <v>0</v>
      </c>
      <c r="AH26" s="455">
        <v>0</v>
      </c>
      <c r="AI26" s="475">
        <f>72350000</f>
        <v>72350000</v>
      </c>
      <c r="AJ26" s="476">
        <v>2.7E-2</v>
      </c>
      <c r="AK26" s="455">
        <f t="shared" si="9"/>
        <v>5426.25</v>
      </c>
      <c r="AL26" s="475"/>
      <c r="AM26" s="476"/>
      <c r="AN26" s="455">
        <f t="shared" si="10"/>
        <v>0</v>
      </c>
      <c r="AQ26" s="455">
        <f t="shared" si="11"/>
        <v>0</v>
      </c>
      <c r="AT26" s="455">
        <f t="shared" si="12"/>
        <v>0</v>
      </c>
      <c r="AW26" s="455">
        <f t="shared" si="13"/>
        <v>0</v>
      </c>
      <c r="AZ26" s="455">
        <f t="shared" si="14"/>
        <v>0</v>
      </c>
      <c r="BC26" s="455">
        <f t="shared" si="15"/>
        <v>0</v>
      </c>
      <c r="BF26" s="455">
        <f t="shared" si="16"/>
        <v>0</v>
      </c>
      <c r="BI26" s="455">
        <f t="shared" si="17"/>
        <v>0</v>
      </c>
      <c r="BL26" s="455">
        <f t="shared" si="18"/>
        <v>0</v>
      </c>
      <c r="BO26" s="455">
        <f t="shared" si="19"/>
        <v>0</v>
      </c>
      <c r="BR26" s="455">
        <f t="shared" si="20"/>
        <v>0</v>
      </c>
      <c r="BU26" s="455">
        <f t="shared" si="21"/>
        <v>0</v>
      </c>
      <c r="BX26" s="455">
        <f t="shared" si="22"/>
        <v>0</v>
      </c>
      <c r="CA26" s="455">
        <f t="shared" si="23"/>
        <v>0</v>
      </c>
      <c r="CD26" s="455">
        <f t="shared" si="24"/>
        <v>0</v>
      </c>
      <c r="CG26" s="455">
        <f t="shared" si="25"/>
        <v>0</v>
      </c>
      <c r="CJ26" s="455">
        <f t="shared" si="26"/>
        <v>0</v>
      </c>
      <c r="CM26" s="455">
        <f t="shared" si="27"/>
        <v>0</v>
      </c>
      <c r="CP26" s="455">
        <f t="shared" si="28"/>
        <v>0</v>
      </c>
      <c r="CS26" s="455">
        <f t="shared" si="29"/>
        <v>0</v>
      </c>
      <c r="CV26" s="455">
        <f t="shared" si="30"/>
        <v>0</v>
      </c>
      <c r="CY26" s="455">
        <f t="shared" si="31"/>
        <v>0</v>
      </c>
      <c r="DB26" s="455">
        <f t="shared" si="32"/>
        <v>0</v>
      </c>
      <c r="DE26" s="455">
        <f t="shared" si="33"/>
        <v>0</v>
      </c>
      <c r="DH26" s="455">
        <f t="shared" si="34"/>
        <v>0</v>
      </c>
      <c r="DK26" s="455">
        <f t="shared" si="35"/>
        <v>0</v>
      </c>
      <c r="DN26" s="455">
        <f t="shared" si="36"/>
        <v>0</v>
      </c>
      <c r="DQ26" s="455">
        <f t="shared" si="37"/>
        <v>0</v>
      </c>
      <c r="DT26" s="455">
        <f t="shared" si="38"/>
        <v>0</v>
      </c>
      <c r="DW26" s="455">
        <f t="shared" si="39"/>
        <v>0</v>
      </c>
      <c r="DZ26" s="455"/>
      <c r="EA26" s="455"/>
      <c r="EB26" s="274">
        <f t="shared" si="40"/>
        <v>72350000</v>
      </c>
      <c r="EC26" s="274">
        <f t="shared" si="41"/>
        <v>0</v>
      </c>
      <c r="ED26" s="455">
        <f t="shared" si="42"/>
        <v>5426.25</v>
      </c>
      <c r="EE26" s="456">
        <f t="shared" si="43"/>
        <v>2.6999999999999996E-2</v>
      </c>
      <c r="EG26" s="274">
        <f t="shared" si="44"/>
        <v>0</v>
      </c>
      <c r="EH26" s="455">
        <f t="shared" si="45"/>
        <v>0</v>
      </c>
      <c r="EI26" s="456">
        <f t="shared" si="46"/>
        <v>0</v>
      </c>
      <c r="EJ26" s="456"/>
      <c r="EK26" s="274">
        <f t="shared" si="47"/>
        <v>72350000</v>
      </c>
      <c r="EL26" s="274">
        <f t="shared" si="48"/>
        <v>0</v>
      </c>
      <c r="EM26" s="274">
        <f t="shared" si="49"/>
        <v>5426.25</v>
      </c>
      <c r="EN26" s="456">
        <f t="shared" si="50"/>
        <v>2.6999999999999996E-2</v>
      </c>
      <c r="EP26" s="455"/>
    </row>
    <row r="27" spans="1:146">
      <c r="A27" s="474">
        <f t="shared" si="51"/>
        <v>43541</v>
      </c>
      <c r="D27" s="455">
        <f t="shared" si="0"/>
        <v>0</v>
      </c>
      <c r="G27" s="455">
        <f t="shared" si="1"/>
        <v>0</v>
      </c>
      <c r="J27" s="455">
        <f t="shared" si="2"/>
        <v>0</v>
      </c>
      <c r="M27" s="455">
        <f t="shared" si="3"/>
        <v>0</v>
      </c>
      <c r="P27" s="455">
        <f t="shared" si="4"/>
        <v>0</v>
      </c>
      <c r="S27" s="455">
        <f t="shared" si="5"/>
        <v>0</v>
      </c>
      <c r="V27" s="455">
        <f t="shared" si="6"/>
        <v>0</v>
      </c>
      <c r="Y27" s="455">
        <f t="shared" si="7"/>
        <v>0</v>
      </c>
      <c r="AB27" s="455">
        <f t="shared" si="8"/>
        <v>0</v>
      </c>
      <c r="AE27" s="455">
        <v>0</v>
      </c>
      <c r="AH27" s="455">
        <v>0</v>
      </c>
      <c r="AI27" s="475">
        <f>72350000</f>
        <v>72350000</v>
      </c>
      <c r="AJ27" s="476">
        <v>2.7E-2</v>
      </c>
      <c r="AK27" s="455">
        <f t="shared" si="9"/>
        <v>5426.25</v>
      </c>
      <c r="AL27" s="475"/>
      <c r="AM27" s="476"/>
      <c r="AN27" s="455">
        <f t="shared" si="10"/>
        <v>0</v>
      </c>
      <c r="AQ27" s="455">
        <f t="shared" si="11"/>
        <v>0</v>
      </c>
      <c r="AT27" s="455">
        <f t="shared" si="12"/>
        <v>0</v>
      </c>
      <c r="AW27" s="455">
        <f t="shared" si="13"/>
        <v>0</v>
      </c>
      <c r="AZ27" s="455">
        <f t="shared" si="14"/>
        <v>0</v>
      </c>
      <c r="BC27" s="455">
        <f t="shared" si="15"/>
        <v>0</v>
      </c>
      <c r="BF27" s="455">
        <f t="shared" si="16"/>
        <v>0</v>
      </c>
      <c r="BI27" s="455">
        <f t="shared" si="17"/>
        <v>0</v>
      </c>
      <c r="BL27" s="455">
        <f t="shared" si="18"/>
        <v>0</v>
      </c>
      <c r="BO27" s="455">
        <f t="shared" si="19"/>
        <v>0</v>
      </c>
      <c r="BR27" s="455">
        <f t="shared" si="20"/>
        <v>0</v>
      </c>
      <c r="BU27" s="455">
        <f t="shared" si="21"/>
        <v>0</v>
      </c>
      <c r="BX27" s="455">
        <f t="shared" si="22"/>
        <v>0</v>
      </c>
      <c r="CA27" s="455">
        <f t="shared" si="23"/>
        <v>0</v>
      </c>
      <c r="CD27" s="455">
        <f t="shared" si="24"/>
        <v>0</v>
      </c>
      <c r="CG27" s="455">
        <f t="shared" si="25"/>
        <v>0</v>
      </c>
      <c r="CJ27" s="455">
        <f t="shared" si="26"/>
        <v>0</v>
      </c>
      <c r="CM27" s="455">
        <f t="shared" si="27"/>
        <v>0</v>
      </c>
      <c r="CP27" s="455">
        <f t="shared" si="28"/>
        <v>0</v>
      </c>
      <c r="CS27" s="455">
        <f t="shared" si="29"/>
        <v>0</v>
      </c>
      <c r="CV27" s="455">
        <f t="shared" si="30"/>
        <v>0</v>
      </c>
      <c r="CY27" s="455">
        <f t="shared" si="31"/>
        <v>0</v>
      </c>
      <c r="DB27" s="455">
        <f t="shared" si="32"/>
        <v>0</v>
      </c>
      <c r="DE27" s="455">
        <f t="shared" si="33"/>
        <v>0</v>
      </c>
      <c r="DH27" s="455">
        <f t="shared" si="34"/>
        <v>0</v>
      </c>
      <c r="DK27" s="455">
        <f t="shared" si="35"/>
        <v>0</v>
      </c>
      <c r="DN27" s="455">
        <f t="shared" si="36"/>
        <v>0</v>
      </c>
      <c r="DQ27" s="455">
        <f t="shared" si="37"/>
        <v>0</v>
      </c>
      <c r="DT27" s="455">
        <f t="shared" si="38"/>
        <v>0</v>
      </c>
      <c r="DW27" s="455">
        <f t="shared" si="39"/>
        <v>0</v>
      </c>
      <c r="DZ27" s="455"/>
      <c r="EA27" s="455"/>
      <c r="EB27" s="274">
        <f t="shared" si="40"/>
        <v>72350000</v>
      </c>
      <c r="EC27" s="274">
        <f t="shared" si="41"/>
        <v>0</v>
      </c>
      <c r="ED27" s="455">
        <f t="shared" si="42"/>
        <v>5426.25</v>
      </c>
      <c r="EE27" s="456">
        <f t="shared" si="43"/>
        <v>2.6999999999999996E-2</v>
      </c>
      <c r="EG27" s="274">
        <f t="shared" si="44"/>
        <v>0</v>
      </c>
      <c r="EH27" s="455">
        <f t="shared" si="45"/>
        <v>0</v>
      </c>
      <c r="EI27" s="456">
        <f t="shared" si="46"/>
        <v>0</v>
      </c>
      <c r="EJ27" s="456"/>
      <c r="EK27" s="274">
        <f t="shared" si="47"/>
        <v>72350000</v>
      </c>
      <c r="EL27" s="274">
        <f t="shared" si="48"/>
        <v>0</v>
      </c>
      <c r="EM27" s="274">
        <f t="shared" si="49"/>
        <v>5426.25</v>
      </c>
      <c r="EN27" s="456">
        <f t="shared" si="50"/>
        <v>2.6999999999999996E-2</v>
      </c>
      <c r="EP27" s="455"/>
    </row>
    <row r="28" spans="1:146">
      <c r="A28" s="474">
        <f t="shared" si="51"/>
        <v>43542</v>
      </c>
      <c r="D28" s="455">
        <f t="shared" si="0"/>
        <v>0</v>
      </c>
      <c r="G28" s="455">
        <f t="shared" si="1"/>
        <v>0</v>
      </c>
      <c r="J28" s="455">
        <f t="shared" si="2"/>
        <v>0</v>
      </c>
      <c r="M28" s="455">
        <f t="shared" si="3"/>
        <v>0</v>
      </c>
      <c r="P28" s="455">
        <f t="shared" si="4"/>
        <v>0</v>
      </c>
      <c r="S28" s="455">
        <f t="shared" si="5"/>
        <v>0</v>
      </c>
      <c r="V28" s="455">
        <f t="shared" si="6"/>
        <v>0</v>
      </c>
      <c r="Y28" s="455">
        <f t="shared" si="7"/>
        <v>0</v>
      </c>
      <c r="AB28" s="455">
        <f t="shared" si="8"/>
        <v>0</v>
      </c>
      <c r="AE28" s="455">
        <v>0</v>
      </c>
      <c r="AH28" s="455">
        <v>0</v>
      </c>
      <c r="AI28" s="475">
        <f>68425000</f>
        <v>68425000</v>
      </c>
      <c r="AJ28" s="476">
        <v>2.7E-2</v>
      </c>
      <c r="AK28" s="455">
        <f t="shared" si="9"/>
        <v>5131.875</v>
      </c>
      <c r="AL28" s="475"/>
      <c r="AM28" s="476"/>
      <c r="AN28" s="455">
        <f t="shared" si="10"/>
        <v>0</v>
      </c>
      <c r="AQ28" s="455">
        <f t="shared" si="11"/>
        <v>0</v>
      </c>
      <c r="AT28" s="455">
        <f t="shared" si="12"/>
        <v>0</v>
      </c>
      <c r="AW28" s="455">
        <f t="shared" si="13"/>
        <v>0</v>
      </c>
      <c r="AZ28" s="455">
        <f t="shared" si="14"/>
        <v>0</v>
      </c>
      <c r="BC28" s="455">
        <f t="shared" si="15"/>
        <v>0</v>
      </c>
      <c r="BF28" s="455">
        <f t="shared" si="16"/>
        <v>0</v>
      </c>
      <c r="BI28" s="455">
        <f t="shared" si="17"/>
        <v>0</v>
      </c>
      <c r="BL28" s="455">
        <f t="shared" si="18"/>
        <v>0</v>
      </c>
      <c r="BO28" s="455">
        <f t="shared" si="19"/>
        <v>0</v>
      </c>
      <c r="BR28" s="455">
        <f t="shared" si="20"/>
        <v>0</v>
      </c>
      <c r="BU28" s="455">
        <f t="shared" si="21"/>
        <v>0</v>
      </c>
      <c r="BX28" s="455">
        <f t="shared" si="22"/>
        <v>0</v>
      </c>
      <c r="CA28" s="455">
        <f t="shared" si="23"/>
        <v>0</v>
      </c>
      <c r="CD28" s="455">
        <f t="shared" si="24"/>
        <v>0</v>
      </c>
      <c r="CG28" s="455">
        <f t="shared" si="25"/>
        <v>0</v>
      </c>
      <c r="CJ28" s="455">
        <f t="shared" si="26"/>
        <v>0</v>
      </c>
      <c r="CM28" s="455">
        <f t="shared" si="27"/>
        <v>0</v>
      </c>
      <c r="CP28" s="455">
        <f t="shared" si="28"/>
        <v>0</v>
      </c>
      <c r="CS28" s="455">
        <f t="shared" si="29"/>
        <v>0</v>
      </c>
      <c r="CV28" s="455">
        <f t="shared" si="30"/>
        <v>0</v>
      </c>
      <c r="CY28" s="455">
        <f t="shared" si="31"/>
        <v>0</v>
      </c>
      <c r="DB28" s="455">
        <f t="shared" si="32"/>
        <v>0</v>
      </c>
      <c r="DE28" s="455">
        <f t="shared" si="33"/>
        <v>0</v>
      </c>
      <c r="DH28" s="455">
        <f t="shared" si="34"/>
        <v>0</v>
      </c>
      <c r="DK28" s="455">
        <f t="shared" si="35"/>
        <v>0</v>
      </c>
      <c r="DN28" s="455">
        <f t="shared" si="36"/>
        <v>0</v>
      </c>
      <c r="DQ28" s="455">
        <f t="shared" si="37"/>
        <v>0</v>
      </c>
      <c r="DT28" s="455">
        <f t="shared" si="38"/>
        <v>0</v>
      </c>
      <c r="DW28" s="455">
        <f t="shared" si="39"/>
        <v>0</v>
      </c>
      <c r="DZ28" s="455"/>
      <c r="EA28" s="455"/>
      <c r="EB28" s="274">
        <f t="shared" si="40"/>
        <v>68425000</v>
      </c>
      <c r="EC28" s="274">
        <f t="shared" si="41"/>
        <v>0</v>
      </c>
      <c r="ED28" s="455">
        <f t="shared" si="42"/>
        <v>5131.875</v>
      </c>
      <c r="EE28" s="456">
        <f t="shared" si="43"/>
        <v>2.6999999999999996E-2</v>
      </c>
      <c r="EG28" s="274">
        <f t="shared" si="44"/>
        <v>0</v>
      </c>
      <c r="EH28" s="455">
        <f t="shared" si="45"/>
        <v>0</v>
      </c>
      <c r="EI28" s="456">
        <f t="shared" si="46"/>
        <v>0</v>
      </c>
      <c r="EJ28" s="456"/>
      <c r="EK28" s="274">
        <f t="shared" si="47"/>
        <v>68425000</v>
      </c>
      <c r="EL28" s="274">
        <f t="shared" si="48"/>
        <v>0</v>
      </c>
      <c r="EM28" s="274">
        <f t="shared" si="49"/>
        <v>5131.875</v>
      </c>
      <c r="EN28" s="456">
        <f t="shared" si="50"/>
        <v>2.6999999999999996E-2</v>
      </c>
      <c r="EP28" s="455"/>
    </row>
    <row r="29" spans="1:146">
      <c r="A29" s="474">
        <f t="shared" si="51"/>
        <v>43543</v>
      </c>
      <c r="D29" s="455">
        <f t="shared" si="0"/>
        <v>0</v>
      </c>
      <c r="G29" s="455">
        <f t="shared" si="1"/>
        <v>0</v>
      </c>
      <c r="J29" s="455">
        <f t="shared" si="2"/>
        <v>0</v>
      </c>
      <c r="M29" s="455">
        <f t="shared" si="3"/>
        <v>0</v>
      </c>
      <c r="P29" s="455">
        <f t="shared" si="4"/>
        <v>0</v>
      </c>
      <c r="S29" s="455">
        <f t="shared" si="5"/>
        <v>0</v>
      </c>
      <c r="V29" s="455">
        <f t="shared" si="6"/>
        <v>0</v>
      </c>
      <c r="Y29" s="455">
        <f t="shared" si="7"/>
        <v>0</v>
      </c>
      <c r="AB29" s="455">
        <f t="shared" si="8"/>
        <v>0</v>
      </c>
      <c r="AE29" s="455">
        <v>0</v>
      </c>
      <c r="AH29" s="455">
        <v>0</v>
      </c>
      <c r="AI29" s="475">
        <f>57325000</f>
        <v>57325000</v>
      </c>
      <c r="AJ29" s="476">
        <v>2.7E-2</v>
      </c>
      <c r="AK29" s="455">
        <f t="shared" si="9"/>
        <v>4299.375</v>
      </c>
      <c r="AL29" s="475"/>
      <c r="AM29" s="476"/>
      <c r="AN29" s="455">
        <f t="shared" si="10"/>
        <v>0</v>
      </c>
      <c r="AQ29" s="455">
        <f t="shared" si="11"/>
        <v>0</v>
      </c>
      <c r="AT29" s="455">
        <f t="shared" si="12"/>
        <v>0</v>
      </c>
      <c r="AW29" s="455">
        <f t="shared" si="13"/>
        <v>0</v>
      </c>
      <c r="AZ29" s="455">
        <f t="shared" si="14"/>
        <v>0</v>
      </c>
      <c r="BC29" s="455">
        <f t="shared" si="15"/>
        <v>0</v>
      </c>
      <c r="BF29" s="455">
        <f t="shared" si="16"/>
        <v>0</v>
      </c>
      <c r="BI29" s="455">
        <f t="shared" si="17"/>
        <v>0</v>
      </c>
      <c r="BL29" s="455">
        <f t="shared" si="18"/>
        <v>0</v>
      </c>
      <c r="BO29" s="455">
        <f t="shared" si="19"/>
        <v>0</v>
      </c>
      <c r="BR29" s="455">
        <f t="shared" si="20"/>
        <v>0</v>
      </c>
      <c r="BU29" s="455">
        <f t="shared" si="21"/>
        <v>0</v>
      </c>
      <c r="BX29" s="455">
        <f t="shared" si="22"/>
        <v>0</v>
      </c>
      <c r="CA29" s="455">
        <f t="shared" si="23"/>
        <v>0</v>
      </c>
      <c r="CD29" s="455">
        <f t="shared" si="24"/>
        <v>0</v>
      </c>
      <c r="CG29" s="455">
        <f t="shared" si="25"/>
        <v>0</v>
      </c>
      <c r="CJ29" s="455">
        <f t="shared" si="26"/>
        <v>0</v>
      </c>
      <c r="CM29" s="455">
        <f t="shared" si="27"/>
        <v>0</v>
      </c>
      <c r="CP29" s="455">
        <f t="shared" si="28"/>
        <v>0</v>
      </c>
      <c r="CS29" s="455">
        <f t="shared" si="29"/>
        <v>0</v>
      </c>
      <c r="CV29" s="455">
        <f t="shared" si="30"/>
        <v>0</v>
      </c>
      <c r="CY29" s="455">
        <f t="shared" si="31"/>
        <v>0</v>
      </c>
      <c r="DB29" s="455">
        <f t="shared" si="32"/>
        <v>0</v>
      </c>
      <c r="DE29" s="455">
        <f t="shared" si="33"/>
        <v>0</v>
      </c>
      <c r="DH29" s="455">
        <f t="shared" si="34"/>
        <v>0</v>
      </c>
      <c r="DK29" s="455">
        <f t="shared" si="35"/>
        <v>0</v>
      </c>
      <c r="DN29" s="455">
        <f t="shared" si="36"/>
        <v>0</v>
      </c>
      <c r="DQ29" s="455">
        <f t="shared" si="37"/>
        <v>0</v>
      </c>
      <c r="DT29" s="455">
        <f t="shared" si="38"/>
        <v>0</v>
      </c>
      <c r="DW29" s="455">
        <f t="shared" si="39"/>
        <v>0</v>
      </c>
      <c r="DZ29" s="455"/>
      <c r="EA29" s="455"/>
      <c r="EB29" s="274">
        <f t="shared" si="40"/>
        <v>57325000</v>
      </c>
      <c r="EC29" s="274">
        <f t="shared" si="41"/>
        <v>0</v>
      </c>
      <c r="ED29" s="455">
        <f t="shared" si="42"/>
        <v>4299.375</v>
      </c>
      <c r="EE29" s="456">
        <f t="shared" si="43"/>
        <v>2.6999999999999996E-2</v>
      </c>
      <c r="EG29" s="274">
        <f t="shared" si="44"/>
        <v>0</v>
      </c>
      <c r="EH29" s="455">
        <f t="shared" si="45"/>
        <v>0</v>
      </c>
      <c r="EI29" s="456">
        <f t="shared" si="46"/>
        <v>0</v>
      </c>
      <c r="EJ29" s="456"/>
      <c r="EK29" s="274">
        <f t="shared" si="47"/>
        <v>57325000</v>
      </c>
      <c r="EL29" s="274">
        <f t="shared" si="48"/>
        <v>0</v>
      </c>
      <c r="EM29" s="274">
        <f t="shared" si="49"/>
        <v>4299.375</v>
      </c>
      <c r="EN29" s="456">
        <f t="shared" si="50"/>
        <v>2.6999999999999996E-2</v>
      </c>
      <c r="EP29" s="455"/>
    </row>
    <row r="30" spans="1:146">
      <c r="A30" s="474">
        <f t="shared" si="51"/>
        <v>43544</v>
      </c>
      <c r="D30" s="455">
        <f t="shared" si="0"/>
        <v>0</v>
      </c>
      <c r="G30" s="455">
        <f t="shared" si="1"/>
        <v>0</v>
      </c>
      <c r="J30" s="455">
        <f t="shared" si="2"/>
        <v>0</v>
      </c>
      <c r="M30" s="455">
        <f t="shared" si="3"/>
        <v>0</v>
      </c>
      <c r="P30" s="455">
        <f t="shared" si="4"/>
        <v>0</v>
      </c>
      <c r="S30" s="455">
        <f t="shared" si="5"/>
        <v>0</v>
      </c>
      <c r="V30" s="455">
        <f t="shared" si="6"/>
        <v>0</v>
      </c>
      <c r="Y30" s="455">
        <f t="shared" si="7"/>
        <v>0</v>
      </c>
      <c r="AB30" s="455">
        <f t="shared" si="8"/>
        <v>0</v>
      </c>
      <c r="AE30" s="455">
        <v>0</v>
      </c>
      <c r="AH30" s="455">
        <v>0</v>
      </c>
      <c r="AI30" s="475">
        <f>51775000</f>
        <v>51775000</v>
      </c>
      <c r="AJ30" s="476">
        <v>2.7E-2</v>
      </c>
      <c r="AK30" s="455">
        <f t="shared" si="9"/>
        <v>3883.125</v>
      </c>
      <c r="AL30" s="475"/>
      <c r="AM30" s="476"/>
      <c r="AN30" s="455">
        <f t="shared" si="10"/>
        <v>0</v>
      </c>
      <c r="AQ30" s="455">
        <f t="shared" si="11"/>
        <v>0</v>
      </c>
      <c r="AT30" s="455">
        <f t="shared" si="12"/>
        <v>0</v>
      </c>
      <c r="AW30" s="455">
        <f t="shared" si="13"/>
        <v>0</v>
      </c>
      <c r="AZ30" s="455">
        <f t="shared" si="14"/>
        <v>0</v>
      </c>
      <c r="BC30" s="455">
        <f t="shared" si="15"/>
        <v>0</v>
      </c>
      <c r="BF30" s="455">
        <f t="shared" si="16"/>
        <v>0</v>
      </c>
      <c r="BI30" s="455">
        <f t="shared" si="17"/>
        <v>0</v>
      </c>
      <c r="BL30" s="455">
        <f t="shared" si="18"/>
        <v>0</v>
      </c>
      <c r="BO30" s="455">
        <f t="shared" si="19"/>
        <v>0</v>
      </c>
      <c r="BR30" s="455">
        <f t="shared" si="20"/>
        <v>0</v>
      </c>
      <c r="BU30" s="455">
        <f t="shared" si="21"/>
        <v>0</v>
      </c>
      <c r="BX30" s="455">
        <f t="shared" si="22"/>
        <v>0</v>
      </c>
      <c r="CA30" s="455">
        <f t="shared" si="23"/>
        <v>0</v>
      </c>
      <c r="CD30" s="455">
        <f t="shared" si="24"/>
        <v>0</v>
      </c>
      <c r="CG30" s="455">
        <f t="shared" si="25"/>
        <v>0</v>
      </c>
      <c r="CJ30" s="455">
        <f t="shared" si="26"/>
        <v>0</v>
      </c>
      <c r="CM30" s="455">
        <f t="shared" si="27"/>
        <v>0</v>
      </c>
      <c r="CP30" s="455">
        <f t="shared" si="28"/>
        <v>0</v>
      </c>
      <c r="CS30" s="455">
        <f t="shared" si="29"/>
        <v>0</v>
      </c>
      <c r="CV30" s="455">
        <f t="shared" si="30"/>
        <v>0</v>
      </c>
      <c r="CY30" s="455">
        <f t="shared" si="31"/>
        <v>0</v>
      </c>
      <c r="DB30" s="455">
        <f t="shared" si="32"/>
        <v>0</v>
      </c>
      <c r="DE30" s="455">
        <f t="shared" si="33"/>
        <v>0</v>
      </c>
      <c r="DH30" s="455">
        <f t="shared" si="34"/>
        <v>0</v>
      </c>
      <c r="DK30" s="455">
        <f t="shared" si="35"/>
        <v>0</v>
      </c>
      <c r="DN30" s="455">
        <f t="shared" si="36"/>
        <v>0</v>
      </c>
      <c r="DQ30" s="455">
        <f t="shared" si="37"/>
        <v>0</v>
      </c>
      <c r="DT30" s="455">
        <f t="shared" si="38"/>
        <v>0</v>
      </c>
      <c r="DW30" s="455">
        <f t="shared" si="39"/>
        <v>0</v>
      </c>
      <c r="DZ30" s="455"/>
      <c r="EA30" s="455"/>
      <c r="EB30" s="274">
        <f t="shared" si="40"/>
        <v>51775000</v>
      </c>
      <c r="EC30" s="274">
        <f t="shared" si="41"/>
        <v>0</v>
      </c>
      <c r="ED30" s="455">
        <f t="shared" si="42"/>
        <v>3883.125</v>
      </c>
      <c r="EE30" s="456">
        <f t="shared" si="43"/>
        <v>2.6999999999999996E-2</v>
      </c>
      <c r="EG30" s="274">
        <f t="shared" si="44"/>
        <v>0</v>
      </c>
      <c r="EH30" s="455">
        <f t="shared" si="45"/>
        <v>0</v>
      </c>
      <c r="EI30" s="456">
        <f t="shared" si="46"/>
        <v>0</v>
      </c>
      <c r="EJ30" s="456"/>
      <c r="EK30" s="274">
        <f t="shared" si="47"/>
        <v>51775000</v>
      </c>
      <c r="EL30" s="274">
        <f t="shared" si="48"/>
        <v>0</v>
      </c>
      <c r="EM30" s="274">
        <f t="shared" si="49"/>
        <v>3883.125</v>
      </c>
      <c r="EN30" s="456">
        <f t="shared" si="50"/>
        <v>2.6999999999999996E-2</v>
      </c>
      <c r="EP30" s="455"/>
    </row>
    <row r="31" spans="1:146">
      <c r="A31" s="474">
        <f t="shared" si="51"/>
        <v>43545</v>
      </c>
      <c r="D31" s="455">
        <f t="shared" si="0"/>
        <v>0</v>
      </c>
      <c r="G31" s="455">
        <f t="shared" si="1"/>
        <v>0</v>
      </c>
      <c r="J31" s="455">
        <f t="shared" si="2"/>
        <v>0</v>
      </c>
      <c r="M31" s="455">
        <f t="shared" si="3"/>
        <v>0</v>
      </c>
      <c r="P31" s="455">
        <f t="shared" si="4"/>
        <v>0</v>
      </c>
      <c r="S31" s="455">
        <f t="shared" si="5"/>
        <v>0</v>
      </c>
      <c r="V31" s="455">
        <f t="shared" si="6"/>
        <v>0</v>
      </c>
      <c r="Y31" s="455">
        <f t="shared" si="7"/>
        <v>0</v>
      </c>
      <c r="AB31" s="455">
        <f t="shared" si="8"/>
        <v>0</v>
      </c>
      <c r="AE31" s="455">
        <v>0</v>
      </c>
      <c r="AH31" s="455">
        <v>0</v>
      </c>
      <c r="AI31" s="475">
        <f>42575000</f>
        <v>42575000</v>
      </c>
      <c r="AJ31" s="476">
        <v>2.7E-2</v>
      </c>
      <c r="AK31" s="455">
        <f t="shared" si="9"/>
        <v>3193.125</v>
      </c>
      <c r="AL31" s="475"/>
      <c r="AM31" s="476"/>
      <c r="AN31" s="455">
        <f t="shared" si="10"/>
        <v>0</v>
      </c>
      <c r="AQ31" s="455">
        <f t="shared" si="11"/>
        <v>0</v>
      </c>
      <c r="AT31" s="455">
        <f t="shared" si="12"/>
        <v>0</v>
      </c>
      <c r="AW31" s="455">
        <f t="shared" si="13"/>
        <v>0</v>
      </c>
      <c r="AZ31" s="455">
        <f t="shared" si="14"/>
        <v>0</v>
      </c>
      <c r="BC31" s="455">
        <f t="shared" si="15"/>
        <v>0</v>
      </c>
      <c r="BF31" s="455">
        <f t="shared" si="16"/>
        <v>0</v>
      </c>
      <c r="BI31" s="455">
        <f t="shared" si="17"/>
        <v>0</v>
      </c>
      <c r="BL31" s="455">
        <f t="shared" si="18"/>
        <v>0</v>
      </c>
      <c r="BO31" s="455">
        <f t="shared" si="19"/>
        <v>0</v>
      </c>
      <c r="BR31" s="455">
        <f t="shared" si="20"/>
        <v>0</v>
      </c>
      <c r="BU31" s="455">
        <f t="shared" si="21"/>
        <v>0</v>
      </c>
      <c r="BX31" s="455">
        <f t="shared" si="22"/>
        <v>0</v>
      </c>
      <c r="CA31" s="455">
        <f t="shared" si="23"/>
        <v>0</v>
      </c>
      <c r="CD31" s="455">
        <f t="shared" si="24"/>
        <v>0</v>
      </c>
      <c r="CG31" s="455">
        <f t="shared" si="25"/>
        <v>0</v>
      </c>
      <c r="CJ31" s="455">
        <f t="shared" si="26"/>
        <v>0</v>
      </c>
      <c r="CM31" s="455">
        <f t="shared" si="27"/>
        <v>0</v>
      </c>
      <c r="CP31" s="455">
        <f t="shared" si="28"/>
        <v>0</v>
      </c>
      <c r="CS31" s="455">
        <f t="shared" si="29"/>
        <v>0</v>
      </c>
      <c r="CV31" s="455">
        <f t="shared" si="30"/>
        <v>0</v>
      </c>
      <c r="CY31" s="455">
        <f t="shared" si="31"/>
        <v>0</v>
      </c>
      <c r="DB31" s="455">
        <f t="shared" si="32"/>
        <v>0</v>
      </c>
      <c r="DE31" s="455">
        <f t="shared" si="33"/>
        <v>0</v>
      </c>
      <c r="DH31" s="455">
        <f t="shared" si="34"/>
        <v>0</v>
      </c>
      <c r="DK31" s="455">
        <f t="shared" si="35"/>
        <v>0</v>
      </c>
      <c r="DN31" s="455">
        <f t="shared" si="36"/>
        <v>0</v>
      </c>
      <c r="DQ31" s="455">
        <f t="shared" si="37"/>
        <v>0</v>
      </c>
      <c r="DT31" s="455">
        <f t="shared" si="38"/>
        <v>0</v>
      </c>
      <c r="DW31" s="455">
        <f t="shared" si="39"/>
        <v>0</v>
      </c>
      <c r="DZ31" s="455"/>
      <c r="EA31" s="455"/>
      <c r="EB31" s="274">
        <f t="shared" si="40"/>
        <v>42575000</v>
      </c>
      <c r="EC31" s="274">
        <f t="shared" si="41"/>
        <v>0</v>
      </c>
      <c r="ED31" s="455">
        <f t="shared" si="42"/>
        <v>3193.125</v>
      </c>
      <c r="EE31" s="456">
        <f t="shared" si="43"/>
        <v>2.6999999999999996E-2</v>
      </c>
      <c r="EG31" s="274">
        <f t="shared" si="44"/>
        <v>0</v>
      </c>
      <c r="EH31" s="455">
        <f t="shared" si="45"/>
        <v>0</v>
      </c>
      <c r="EI31" s="456">
        <f t="shared" si="46"/>
        <v>0</v>
      </c>
      <c r="EJ31" s="456"/>
      <c r="EK31" s="274">
        <f t="shared" si="47"/>
        <v>42575000</v>
      </c>
      <c r="EL31" s="274">
        <f t="shared" si="48"/>
        <v>0</v>
      </c>
      <c r="EM31" s="274">
        <f t="shared" si="49"/>
        <v>3193.125</v>
      </c>
      <c r="EN31" s="456">
        <f t="shared" si="50"/>
        <v>2.6999999999999996E-2</v>
      </c>
      <c r="EP31" s="455"/>
    </row>
    <row r="32" spans="1:146">
      <c r="A32" s="474">
        <f t="shared" si="51"/>
        <v>43546</v>
      </c>
      <c r="D32" s="455">
        <f t="shared" si="0"/>
        <v>0</v>
      </c>
      <c r="G32" s="455">
        <f t="shared" si="1"/>
        <v>0</v>
      </c>
      <c r="J32" s="455">
        <f t="shared" si="2"/>
        <v>0</v>
      </c>
      <c r="M32" s="455">
        <f t="shared" si="3"/>
        <v>0</v>
      </c>
      <c r="P32" s="455">
        <f t="shared" si="4"/>
        <v>0</v>
      </c>
      <c r="S32" s="455">
        <f t="shared" si="5"/>
        <v>0</v>
      </c>
      <c r="V32" s="455">
        <f t="shared" si="6"/>
        <v>0</v>
      </c>
      <c r="Y32" s="455">
        <f t="shared" si="7"/>
        <v>0</v>
      </c>
      <c r="AB32" s="455">
        <f t="shared" si="8"/>
        <v>0</v>
      </c>
      <c r="AE32" s="455">
        <v>0</v>
      </c>
      <c r="AH32" s="455">
        <v>0</v>
      </c>
      <c r="AI32" s="475">
        <f>47800000</f>
        <v>47800000</v>
      </c>
      <c r="AJ32" s="476">
        <v>2.7E-2</v>
      </c>
      <c r="AK32" s="455">
        <f t="shared" si="9"/>
        <v>3585</v>
      </c>
      <c r="AL32" s="475"/>
      <c r="AM32" s="476"/>
      <c r="AN32" s="455">
        <f t="shared" si="10"/>
        <v>0</v>
      </c>
      <c r="AQ32" s="455">
        <f t="shared" si="11"/>
        <v>0</v>
      </c>
      <c r="AT32" s="455">
        <f t="shared" si="12"/>
        <v>0</v>
      </c>
      <c r="AW32" s="455">
        <f t="shared" si="13"/>
        <v>0</v>
      </c>
      <c r="AZ32" s="455">
        <f t="shared" si="14"/>
        <v>0</v>
      </c>
      <c r="BC32" s="455">
        <f t="shared" si="15"/>
        <v>0</v>
      </c>
      <c r="BF32" s="455">
        <f t="shared" si="16"/>
        <v>0</v>
      </c>
      <c r="BI32" s="455">
        <f t="shared" si="17"/>
        <v>0</v>
      </c>
      <c r="BL32" s="455">
        <f t="shared" si="18"/>
        <v>0</v>
      </c>
      <c r="BO32" s="455">
        <f t="shared" si="19"/>
        <v>0</v>
      </c>
      <c r="BR32" s="455">
        <f t="shared" si="20"/>
        <v>0</v>
      </c>
      <c r="BU32" s="455">
        <f t="shared" si="21"/>
        <v>0</v>
      </c>
      <c r="BX32" s="455">
        <f t="shared" si="22"/>
        <v>0</v>
      </c>
      <c r="CA32" s="455">
        <f t="shared" si="23"/>
        <v>0</v>
      </c>
      <c r="CD32" s="455">
        <f t="shared" si="24"/>
        <v>0</v>
      </c>
      <c r="CG32" s="455">
        <f t="shared" si="25"/>
        <v>0</v>
      </c>
      <c r="CJ32" s="455">
        <f t="shared" si="26"/>
        <v>0</v>
      </c>
      <c r="CM32" s="455">
        <f t="shared" si="27"/>
        <v>0</v>
      </c>
      <c r="CP32" s="455">
        <f t="shared" si="28"/>
        <v>0</v>
      </c>
      <c r="CS32" s="455">
        <f t="shared" si="29"/>
        <v>0</v>
      </c>
      <c r="CV32" s="455">
        <f t="shared" si="30"/>
        <v>0</v>
      </c>
      <c r="CY32" s="455">
        <f t="shared" si="31"/>
        <v>0</v>
      </c>
      <c r="DB32" s="455">
        <f t="shared" si="32"/>
        <v>0</v>
      </c>
      <c r="DE32" s="455">
        <f t="shared" si="33"/>
        <v>0</v>
      </c>
      <c r="DH32" s="455">
        <f t="shared" si="34"/>
        <v>0</v>
      </c>
      <c r="DK32" s="455">
        <f t="shared" si="35"/>
        <v>0</v>
      </c>
      <c r="DN32" s="455">
        <f t="shared" si="36"/>
        <v>0</v>
      </c>
      <c r="DQ32" s="455">
        <f t="shared" si="37"/>
        <v>0</v>
      </c>
      <c r="DT32" s="455">
        <f t="shared" si="38"/>
        <v>0</v>
      </c>
      <c r="DW32" s="455">
        <f t="shared" si="39"/>
        <v>0</v>
      </c>
      <c r="DZ32" s="455"/>
      <c r="EA32" s="455"/>
      <c r="EB32" s="274">
        <f t="shared" si="40"/>
        <v>47800000</v>
      </c>
      <c r="EC32" s="274">
        <f t="shared" si="41"/>
        <v>0</v>
      </c>
      <c r="ED32" s="455">
        <f t="shared" si="42"/>
        <v>3585</v>
      </c>
      <c r="EE32" s="456">
        <f t="shared" si="43"/>
        <v>2.6999999999999996E-2</v>
      </c>
      <c r="EG32" s="274">
        <f t="shared" si="44"/>
        <v>0</v>
      </c>
      <c r="EH32" s="455">
        <f t="shared" si="45"/>
        <v>0</v>
      </c>
      <c r="EI32" s="456">
        <f t="shared" si="46"/>
        <v>0</v>
      </c>
      <c r="EJ32" s="456"/>
      <c r="EK32" s="274">
        <f t="shared" si="47"/>
        <v>47800000</v>
      </c>
      <c r="EL32" s="274">
        <f t="shared" si="48"/>
        <v>0</v>
      </c>
      <c r="EM32" s="274">
        <f t="shared" si="49"/>
        <v>3585</v>
      </c>
      <c r="EN32" s="456">
        <f t="shared" si="50"/>
        <v>2.6999999999999996E-2</v>
      </c>
      <c r="EP32" s="455"/>
    </row>
    <row r="33" spans="1:146">
      <c r="A33" s="474">
        <f t="shared" si="51"/>
        <v>43547</v>
      </c>
      <c r="D33" s="455">
        <f t="shared" si="0"/>
        <v>0</v>
      </c>
      <c r="G33" s="455">
        <f t="shared" si="1"/>
        <v>0</v>
      </c>
      <c r="J33" s="455">
        <f t="shared" si="2"/>
        <v>0</v>
      </c>
      <c r="M33" s="455">
        <f t="shared" si="3"/>
        <v>0</v>
      </c>
      <c r="P33" s="455">
        <f t="shared" si="4"/>
        <v>0</v>
      </c>
      <c r="S33" s="455">
        <f t="shared" si="5"/>
        <v>0</v>
      </c>
      <c r="V33" s="455">
        <f t="shared" si="6"/>
        <v>0</v>
      </c>
      <c r="Y33" s="455">
        <f t="shared" si="7"/>
        <v>0</v>
      </c>
      <c r="AB33" s="455">
        <f t="shared" si="8"/>
        <v>0</v>
      </c>
      <c r="AE33" s="455">
        <v>0</v>
      </c>
      <c r="AH33" s="455">
        <v>0</v>
      </c>
      <c r="AI33" s="475">
        <f>47800000</f>
        <v>47800000</v>
      </c>
      <c r="AJ33" s="476">
        <v>2.7E-2</v>
      </c>
      <c r="AK33" s="455">
        <f t="shared" si="9"/>
        <v>3585</v>
      </c>
      <c r="AL33" s="475"/>
      <c r="AM33" s="476"/>
      <c r="AN33" s="455">
        <f t="shared" si="10"/>
        <v>0</v>
      </c>
      <c r="AQ33" s="455">
        <f t="shared" si="11"/>
        <v>0</v>
      </c>
      <c r="AT33" s="455">
        <f t="shared" si="12"/>
        <v>0</v>
      </c>
      <c r="AW33" s="455">
        <f t="shared" si="13"/>
        <v>0</v>
      </c>
      <c r="AZ33" s="455">
        <f t="shared" si="14"/>
        <v>0</v>
      </c>
      <c r="BC33" s="455">
        <f t="shared" si="15"/>
        <v>0</v>
      </c>
      <c r="BF33" s="455">
        <f t="shared" si="16"/>
        <v>0</v>
      </c>
      <c r="BI33" s="455">
        <f t="shared" si="17"/>
        <v>0</v>
      </c>
      <c r="BL33" s="455">
        <f t="shared" si="18"/>
        <v>0</v>
      </c>
      <c r="BO33" s="455">
        <f t="shared" si="19"/>
        <v>0</v>
      </c>
      <c r="BR33" s="455">
        <f t="shared" si="20"/>
        <v>0</v>
      </c>
      <c r="BU33" s="455">
        <f t="shared" si="21"/>
        <v>0</v>
      </c>
      <c r="BX33" s="455">
        <f t="shared" si="22"/>
        <v>0</v>
      </c>
      <c r="CA33" s="455">
        <f t="shared" si="23"/>
        <v>0</v>
      </c>
      <c r="CD33" s="455">
        <f t="shared" si="24"/>
        <v>0</v>
      </c>
      <c r="CG33" s="455">
        <f t="shared" si="25"/>
        <v>0</v>
      </c>
      <c r="CJ33" s="455">
        <f t="shared" si="26"/>
        <v>0</v>
      </c>
      <c r="CM33" s="455">
        <f t="shared" si="27"/>
        <v>0</v>
      </c>
      <c r="CP33" s="455">
        <f t="shared" si="28"/>
        <v>0</v>
      </c>
      <c r="CS33" s="455">
        <f t="shared" si="29"/>
        <v>0</v>
      </c>
      <c r="CV33" s="455">
        <f t="shared" si="30"/>
        <v>0</v>
      </c>
      <c r="CY33" s="455">
        <f t="shared" si="31"/>
        <v>0</v>
      </c>
      <c r="DB33" s="455">
        <f t="shared" si="32"/>
        <v>0</v>
      </c>
      <c r="DE33" s="455">
        <f t="shared" si="33"/>
        <v>0</v>
      </c>
      <c r="DH33" s="455">
        <f t="shared" si="34"/>
        <v>0</v>
      </c>
      <c r="DK33" s="455">
        <f t="shared" si="35"/>
        <v>0</v>
      </c>
      <c r="DN33" s="455">
        <f t="shared" si="36"/>
        <v>0</v>
      </c>
      <c r="DQ33" s="455">
        <f t="shared" si="37"/>
        <v>0</v>
      </c>
      <c r="DT33" s="455">
        <f t="shared" si="38"/>
        <v>0</v>
      </c>
      <c r="DW33" s="455">
        <f t="shared" si="39"/>
        <v>0</v>
      </c>
      <c r="DZ33" s="455"/>
      <c r="EA33" s="455"/>
      <c r="EB33" s="274">
        <f t="shared" si="40"/>
        <v>47800000</v>
      </c>
      <c r="EC33" s="274">
        <f t="shared" si="41"/>
        <v>0</v>
      </c>
      <c r="ED33" s="455">
        <f t="shared" si="42"/>
        <v>3585</v>
      </c>
      <c r="EE33" s="456">
        <f t="shared" si="43"/>
        <v>2.6999999999999996E-2</v>
      </c>
      <c r="EG33" s="274">
        <f t="shared" si="44"/>
        <v>0</v>
      </c>
      <c r="EH33" s="455">
        <f t="shared" si="45"/>
        <v>0</v>
      </c>
      <c r="EI33" s="456">
        <f t="shared" si="46"/>
        <v>0</v>
      </c>
      <c r="EJ33" s="456"/>
      <c r="EK33" s="274">
        <f t="shared" si="47"/>
        <v>47800000</v>
      </c>
      <c r="EL33" s="274">
        <f t="shared" si="48"/>
        <v>0</v>
      </c>
      <c r="EM33" s="274">
        <f t="shared" si="49"/>
        <v>3585</v>
      </c>
      <c r="EN33" s="456">
        <f t="shared" si="50"/>
        <v>2.6999999999999996E-2</v>
      </c>
      <c r="EP33" s="455"/>
    </row>
    <row r="34" spans="1:146">
      <c r="A34" s="474">
        <f t="shared" si="51"/>
        <v>43548</v>
      </c>
      <c r="D34" s="455">
        <f t="shared" si="0"/>
        <v>0</v>
      </c>
      <c r="G34" s="455">
        <f t="shared" si="1"/>
        <v>0</v>
      </c>
      <c r="J34" s="455">
        <f t="shared" si="2"/>
        <v>0</v>
      </c>
      <c r="M34" s="455">
        <f t="shared" si="3"/>
        <v>0</v>
      </c>
      <c r="P34" s="455">
        <f t="shared" si="4"/>
        <v>0</v>
      </c>
      <c r="S34" s="455">
        <f t="shared" si="5"/>
        <v>0</v>
      </c>
      <c r="V34" s="455">
        <f t="shared" si="6"/>
        <v>0</v>
      </c>
      <c r="Y34" s="455">
        <f t="shared" si="7"/>
        <v>0</v>
      </c>
      <c r="AB34" s="455">
        <f t="shared" si="8"/>
        <v>0</v>
      </c>
      <c r="AE34" s="455">
        <v>0</v>
      </c>
      <c r="AH34" s="455">
        <v>0</v>
      </c>
      <c r="AI34" s="475">
        <f>47800000</f>
        <v>47800000</v>
      </c>
      <c r="AJ34" s="476">
        <v>2.7E-2</v>
      </c>
      <c r="AK34" s="455">
        <f t="shared" si="9"/>
        <v>3585</v>
      </c>
      <c r="AL34" s="475"/>
      <c r="AM34" s="476"/>
      <c r="AN34" s="455">
        <f t="shared" si="10"/>
        <v>0</v>
      </c>
      <c r="AQ34" s="455">
        <f t="shared" si="11"/>
        <v>0</v>
      </c>
      <c r="AT34" s="455">
        <f t="shared" si="12"/>
        <v>0</v>
      </c>
      <c r="AW34" s="455">
        <f t="shared" si="13"/>
        <v>0</v>
      </c>
      <c r="AZ34" s="455">
        <f t="shared" si="14"/>
        <v>0</v>
      </c>
      <c r="BC34" s="455">
        <f t="shared" si="15"/>
        <v>0</v>
      </c>
      <c r="BF34" s="455">
        <f t="shared" si="16"/>
        <v>0</v>
      </c>
      <c r="BI34" s="455">
        <f t="shared" si="17"/>
        <v>0</v>
      </c>
      <c r="BL34" s="455">
        <f t="shared" si="18"/>
        <v>0</v>
      </c>
      <c r="BO34" s="455">
        <f t="shared" si="19"/>
        <v>0</v>
      </c>
      <c r="BR34" s="455">
        <f t="shared" si="20"/>
        <v>0</v>
      </c>
      <c r="BU34" s="455">
        <f t="shared" si="21"/>
        <v>0</v>
      </c>
      <c r="BX34" s="455">
        <f t="shared" si="22"/>
        <v>0</v>
      </c>
      <c r="CA34" s="455">
        <f t="shared" si="23"/>
        <v>0</v>
      </c>
      <c r="CD34" s="455">
        <f t="shared" si="24"/>
        <v>0</v>
      </c>
      <c r="CG34" s="455">
        <f t="shared" si="25"/>
        <v>0</v>
      </c>
      <c r="CJ34" s="455">
        <f t="shared" si="26"/>
        <v>0</v>
      </c>
      <c r="CM34" s="455">
        <f t="shared" si="27"/>
        <v>0</v>
      </c>
      <c r="CP34" s="455">
        <f t="shared" si="28"/>
        <v>0</v>
      </c>
      <c r="CS34" s="455">
        <f t="shared" si="29"/>
        <v>0</v>
      </c>
      <c r="CV34" s="455">
        <f t="shared" si="30"/>
        <v>0</v>
      </c>
      <c r="CY34" s="455">
        <f t="shared" si="31"/>
        <v>0</v>
      </c>
      <c r="DB34" s="455">
        <f t="shared" si="32"/>
        <v>0</v>
      </c>
      <c r="DE34" s="455">
        <f t="shared" si="33"/>
        <v>0</v>
      </c>
      <c r="DH34" s="455">
        <f t="shared" si="34"/>
        <v>0</v>
      </c>
      <c r="DK34" s="455">
        <f t="shared" si="35"/>
        <v>0</v>
      </c>
      <c r="DN34" s="455">
        <f t="shared" si="36"/>
        <v>0</v>
      </c>
      <c r="DQ34" s="455">
        <f t="shared" si="37"/>
        <v>0</v>
      </c>
      <c r="DT34" s="455">
        <f t="shared" si="38"/>
        <v>0</v>
      </c>
      <c r="DW34" s="455">
        <f t="shared" si="39"/>
        <v>0</v>
      </c>
      <c r="DZ34" s="455"/>
      <c r="EA34" s="455"/>
      <c r="EB34" s="274">
        <f t="shared" si="40"/>
        <v>47800000</v>
      </c>
      <c r="EC34" s="274">
        <f t="shared" si="41"/>
        <v>0</v>
      </c>
      <c r="ED34" s="455">
        <f t="shared" si="42"/>
        <v>3585</v>
      </c>
      <c r="EE34" s="456">
        <f t="shared" si="43"/>
        <v>2.6999999999999996E-2</v>
      </c>
      <c r="EG34" s="274">
        <f t="shared" si="44"/>
        <v>0</v>
      </c>
      <c r="EH34" s="455">
        <f t="shared" si="45"/>
        <v>0</v>
      </c>
      <c r="EI34" s="456">
        <f t="shared" si="46"/>
        <v>0</v>
      </c>
      <c r="EJ34" s="456"/>
      <c r="EK34" s="274">
        <f t="shared" si="47"/>
        <v>47800000</v>
      </c>
      <c r="EL34" s="274">
        <f t="shared" si="48"/>
        <v>0</v>
      </c>
      <c r="EM34" s="274">
        <f t="shared" si="49"/>
        <v>3585</v>
      </c>
      <c r="EN34" s="456">
        <f t="shared" si="50"/>
        <v>2.6999999999999996E-2</v>
      </c>
      <c r="EP34" s="455"/>
    </row>
    <row r="35" spans="1:146">
      <c r="A35" s="474">
        <f t="shared" si="51"/>
        <v>43549</v>
      </c>
      <c r="D35" s="455">
        <f t="shared" si="0"/>
        <v>0</v>
      </c>
      <c r="G35" s="455">
        <f t="shared" si="1"/>
        <v>0</v>
      </c>
      <c r="J35" s="455">
        <f t="shared" si="2"/>
        <v>0</v>
      </c>
      <c r="M35" s="455">
        <f t="shared" si="3"/>
        <v>0</v>
      </c>
      <c r="P35" s="455">
        <f t="shared" si="4"/>
        <v>0</v>
      </c>
      <c r="S35" s="455">
        <f t="shared" si="5"/>
        <v>0</v>
      </c>
      <c r="V35" s="455">
        <f t="shared" si="6"/>
        <v>0</v>
      </c>
      <c r="Y35" s="455">
        <f t="shared" si="7"/>
        <v>0</v>
      </c>
      <c r="AB35" s="455">
        <f t="shared" si="8"/>
        <v>0</v>
      </c>
      <c r="AE35" s="455">
        <v>0</v>
      </c>
      <c r="AH35" s="455">
        <v>0</v>
      </c>
      <c r="AI35" s="475">
        <f>45000000</f>
        <v>45000000</v>
      </c>
      <c r="AJ35" s="476">
        <v>2.7E-2</v>
      </c>
      <c r="AK35" s="455">
        <f t="shared" si="9"/>
        <v>3375</v>
      </c>
      <c r="AL35" s="475"/>
      <c r="AM35" s="476"/>
      <c r="AN35" s="455">
        <f t="shared" si="10"/>
        <v>0</v>
      </c>
      <c r="AQ35" s="455">
        <f t="shared" si="11"/>
        <v>0</v>
      </c>
      <c r="AT35" s="455">
        <f t="shared" si="12"/>
        <v>0</v>
      </c>
      <c r="AW35" s="455">
        <f t="shared" si="13"/>
        <v>0</v>
      </c>
      <c r="AZ35" s="455">
        <f t="shared" si="14"/>
        <v>0</v>
      </c>
      <c r="BC35" s="455">
        <f t="shared" si="15"/>
        <v>0</v>
      </c>
      <c r="BF35" s="455">
        <f t="shared" si="16"/>
        <v>0</v>
      </c>
      <c r="BI35" s="455">
        <f t="shared" si="17"/>
        <v>0</v>
      </c>
      <c r="BL35" s="455">
        <f t="shared" si="18"/>
        <v>0</v>
      </c>
      <c r="BO35" s="455">
        <f t="shared" si="19"/>
        <v>0</v>
      </c>
      <c r="BR35" s="455">
        <f t="shared" si="20"/>
        <v>0</v>
      </c>
      <c r="BU35" s="455">
        <f t="shared" si="21"/>
        <v>0</v>
      </c>
      <c r="BX35" s="455">
        <f t="shared" si="22"/>
        <v>0</v>
      </c>
      <c r="CA35" s="455">
        <f t="shared" si="23"/>
        <v>0</v>
      </c>
      <c r="CD35" s="455">
        <f t="shared" si="24"/>
        <v>0</v>
      </c>
      <c r="CG35" s="455">
        <f t="shared" si="25"/>
        <v>0</v>
      </c>
      <c r="CJ35" s="455">
        <f t="shared" si="26"/>
        <v>0</v>
      </c>
      <c r="CM35" s="455">
        <f t="shared" si="27"/>
        <v>0</v>
      </c>
      <c r="CP35" s="455">
        <f t="shared" si="28"/>
        <v>0</v>
      </c>
      <c r="CS35" s="455">
        <f t="shared" si="29"/>
        <v>0</v>
      </c>
      <c r="CV35" s="455">
        <f t="shared" si="30"/>
        <v>0</v>
      </c>
      <c r="CY35" s="455">
        <f t="shared" si="31"/>
        <v>0</v>
      </c>
      <c r="DB35" s="455">
        <f t="shared" si="32"/>
        <v>0</v>
      </c>
      <c r="DE35" s="455">
        <f t="shared" si="33"/>
        <v>0</v>
      </c>
      <c r="DH35" s="455">
        <f t="shared" si="34"/>
        <v>0</v>
      </c>
      <c r="DK35" s="455">
        <f t="shared" si="35"/>
        <v>0</v>
      </c>
      <c r="DN35" s="455">
        <f t="shared" si="36"/>
        <v>0</v>
      </c>
      <c r="DQ35" s="455">
        <f t="shared" si="37"/>
        <v>0</v>
      </c>
      <c r="DT35" s="455">
        <f t="shared" si="38"/>
        <v>0</v>
      </c>
      <c r="DW35" s="455">
        <f t="shared" si="39"/>
        <v>0</v>
      </c>
      <c r="DZ35" s="455"/>
      <c r="EA35" s="455"/>
      <c r="EB35" s="274">
        <f t="shared" si="40"/>
        <v>45000000</v>
      </c>
      <c r="EC35" s="274">
        <f t="shared" si="41"/>
        <v>0</v>
      </c>
      <c r="ED35" s="455">
        <f t="shared" si="42"/>
        <v>3375</v>
      </c>
      <c r="EE35" s="456">
        <f t="shared" si="43"/>
        <v>2.6999999999999996E-2</v>
      </c>
      <c r="EG35" s="274">
        <f t="shared" si="44"/>
        <v>0</v>
      </c>
      <c r="EH35" s="455">
        <f t="shared" si="45"/>
        <v>0</v>
      </c>
      <c r="EI35" s="456">
        <f t="shared" si="46"/>
        <v>0</v>
      </c>
      <c r="EJ35" s="456"/>
      <c r="EK35" s="274">
        <f t="shared" si="47"/>
        <v>45000000</v>
      </c>
      <c r="EL35" s="274">
        <f t="shared" si="48"/>
        <v>0</v>
      </c>
      <c r="EM35" s="274">
        <f t="shared" si="49"/>
        <v>3375</v>
      </c>
      <c r="EN35" s="456">
        <f t="shared" si="50"/>
        <v>2.6999999999999996E-2</v>
      </c>
      <c r="EP35" s="455"/>
    </row>
    <row r="36" spans="1:146">
      <c r="A36" s="474">
        <f t="shared" si="51"/>
        <v>43550</v>
      </c>
      <c r="D36" s="455">
        <f t="shared" si="0"/>
        <v>0</v>
      </c>
      <c r="G36" s="455">
        <f t="shared" si="1"/>
        <v>0</v>
      </c>
      <c r="J36" s="455">
        <f t="shared" si="2"/>
        <v>0</v>
      </c>
      <c r="M36" s="455">
        <f t="shared" si="3"/>
        <v>0</v>
      </c>
      <c r="P36" s="455">
        <f t="shared" si="4"/>
        <v>0</v>
      </c>
      <c r="S36" s="455">
        <f t="shared" si="5"/>
        <v>0</v>
      </c>
      <c r="V36" s="455">
        <f t="shared" si="6"/>
        <v>0</v>
      </c>
      <c r="Y36" s="455">
        <f t="shared" si="7"/>
        <v>0</v>
      </c>
      <c r="AB36" s="455">
        <f t="shared" si="8"/>
        <v>0</v>
      </c>
      <c r="AE36" s="455">
        <v>0</v>
      </c>
      <c r="AH36" s="455">
        <v>0</v>
      </c>
      <c r="AI36" s="475">
        <f>34375000</f>
        <v>34375000</v>
      </c>
      <c r="AJ36" s="476">
        <v>2.7E-2</v>
      </c>
      <c r="AK36" s="455">
        <f t="shared" si="9"/>
        <v>2578.125</v>
      </c>
      <c r="AL36" s="475"/>
      <c r="AM36" s="476"/>
      <c r="AN36" s="455">
        <f t="shared" si="10"/>
        <v>0</v>
      </c>
      <c r="AQ36" s="455">
        <f t="shared" si="11"/>
        <v>0</v>
      </c>
      <c r="AT36" s="455">
        <f t="shared" si="12"/>
        <v>0</v>
      </c>
      <c r="AW36" s="455">
        <f t="shared" si="13"/>
        <v>0</v>
      </c>
      <c r="AZ36" s="455">
        <f t="shared" si="14"/>
        <v>0</v>
      </c>
      <c r="BC36" s="455">
        <f t="shared" si="15"/>
        <v>0</v>
      </c>
      <c r="BF36" s="455">
        <f t="shared" si="16"/>
        <v>0</v>
      </c>
      <c r="BI36" s="455">
        <f t="shared" si="17"/>
        <v>0</v>
      </c>
      <c r="BL36" s="455">
        <f t="shared" si="18"/>
        <v>0</v>
      </c>
      <c r="BO36" s="455">
        <f t="shared" si="19"/>
        <v>0</v>
      </c>
      <c r="BR36" s="455">
        <f t="shared" si="20"/>
        <v>0</v>
      </c>
      <c r="BU36" s="455">
        <f t="shared" si="21"/>
        <v>0</v>
      </c>
      <c r="BX36" s="455">
        <f t="shared" si="22"/>
        <v>0</v>
      </c>
      <c r="CA36" s="455">
        <f t="shared" si="23"/>
        <v>0</v>
      </c>
      <c r="CD36" s="455">
        <f t="shared" si="24"/>
        <v>0</v>
      </c>
      <c r="CG36" s="455">
        <f t="shared" si="25"/>
        <v>0</v>
      </c>
      <c r="CJ36" s="455">
        <f t="shared" si="26"/>
        <v>0</v>
      </c>
      <c r="CM36" s="455">
        <f t="shared" si="27"/>
        <v>0</v>
      </c>
      <c r="CP36" s="455">
        <f t="shared" si="28"/>
        <v>0</v>
      </c>
      <c r="CS36" s="455">
        <f t="shared" si="29"/>
        <v>0</v>
      </c>
      <c r="CV36" s="455">
        <f t="shared" si="30"/>
        <v>0</v>
      </c>
      <c r="CY36" s="455">
        <f t="shared" si="31"/>
        <v>0</v>
      </c>
      <c r="DB36" s="455">
        <f t="shared" si="32"/>
        <v>0</v>
      </c>
      <c r="DE36" s="455">
        <f t="shared" si="33"/>
        <v>0</v>
      </c>
      <c r="DH36" s="455">
        <f t="shared" si="34"/>
        <v>0</v>
      </c>
      <c r="DK36" s="455">
        <f t="shared" si="35"/>
        <v>0</v>
      </c>
      <c r="DN36" s="455">
        <f t="shared" si="36"/>
        <v>0</v>
      </c>
      <c r="DQ36" s="455">
        <f t="shared" si="37"/>
        <v>0</v>
      </c>
      <c r="DT36" s="455">
        <f t="shared" si="38"/>
        <v>0</v>
      </c>
      <c r="DW36" s="455">
        <f t="shared" si="39"/>
        <v>0</v>
      </c>
      <c r="DZ36" s="455"/>
      <c r="EA36" s="455"/>
      <c r="EB36" s="274">
        <f t="shared" si="40"/>
        <v>34375000</v>
      </c>
      <c r="EC36" s="274">
        <f t="shared" si="41"/>
        <v>0</v>
      </c>
      <c r="ED36" s="455">
        <f t="shared" si="42"/>
        <v>2578.125</v>
      </c>
      <c r="EE36" s="456">
        <f t="shared" si="43"/>
        <v>2.6999999999999996E-2</v>
      </c>
      <c r="EG36" s="274">
        <f t="shared" si="44"/>
        <v>0</v>
      </c>
      <c r="EH36" s="455">
        <f t="shared" si="45"/>
        <v>0</v>
      </c>
      <c r="EI36" s="456">
        <f t="shared" si="46"/>
        <v>0</v>
      </c>
      <c r="EJ36" s="456"/>
      <c r="EK36" s="274">
        <f t="shared" si="47"/>
        <v>34375000</v>
      </c>
      <c r="EL36" s="274">
        <f t="shared" si="48"/>
        <v>0</v>
      </c>
      <c r="EM36" s="274">
        <f t="shared" si="49"/>
        <v>2578.125</v>
      </c>
      <c r="EN36" s="456">
        <f t="shared" si="50"/>
        <v>2.6999999999999996E-2</v>
      </c>
      <c r="EP36" s="455"/>
    </row>
    <row r="37" spans="1:146">
      <c r="A37" s="474">
        <f t="shared" si="51"/>
        <v>43551</v>
      </c>
      <c r="D37" s="455">
        <f t="shared" si="0"/>
        <v>0</v>
      </c>
      <c r="G37" s="455">
        <f t="shared" si="1"/>
        <v>0</v>
      </c>
      <c r="J37" s="455">
        <f t="shared" si="2"/>
        <v>0</v>
      </c>
      <c r="M37" s="455">
        <f t="shared" si="3"/>
        <v>0</v>
      </c>
      <c r="P37" s="455">
        <f t="shared" si="4"/>
        <v>0</v>
      </c>
      <c r="S37" s="455">
        <f t="shared" si="5"/>
        <v>0</v>
      </c>
      <c r="V37" s="455">
        <f t="shared" si="6"/>
        <v>0</v>
      </c>
      <c r="Y37" s="455">
        <f t="shared" si="7"/>
        <v>0</v>
      </c>
      <c r="AB37" s="455">
        <f t="shared" si="8"/>
        <v>0</v>
      </c>
      <c r="AE37" s="455">
        <v>0</v>
      </c>
      <c r="AH37" s="455">
        <v>0</v>
      </c>
      <c r="AI37" s="475">
        <f>25450000</f>
        <v>25450000</v>
      </c>
      <c r="AJ37" s="476">
        <v>2.7E-2</v>
      </c>
      <c r="AK37" s="455">
        <f t="shared" si="9"/>
        <v>1908.75</v>
      </c>
      <c r="AL37" s="475"/>
      <c r="AM37" s="476"/>
      <c r="AN37" s="455">
        <f t="shared" si="10"/>
        <v>0</v>
      </c>
      <c r="AQ37" s="455">
        <f t="shared" si="11"/>
        <v>0</v>
      </c>
      <c r="AT37" s="455">
        <f t="shared" si="12"/>
        <v>0</v>
      </c>
      <c r="AW37" s="455">
        <f t="shared" si="13"/>
        <v>0</v>
      </c>
      <c r="AZ37" s="455">
        <f t="shared" si="14"/>
        <v>0</v>
      </c>
      <c r="BC37" s="455">
        <f t="shared" si="15"/>
        <v>0</v>
      </c>
      <c r="BF37" s="455">
        <f t="shared" si="16"/>
        <v>0</v>
      </c>
      <c r="BI37" s="455">
        <f t="shared" si="17"/>
        <v>0</v>
      </c>
      <c r="BL37" s="455">
        <f t="shared" si="18"/>
        <v>0</v>
      </c>
      <c r="BO37" s="455">
        <f t="shared" si="19"/>
        <v>0</v>
      </c>
      <c r="BR37" s="455">
        <f t="shared" si="20"/>
        <v>0</v>
      </c>
      <c r="BU37" s="455">
        <f t="shared" si="21"/>
        <v>0</v>
      </c>
      <c r="BX37" s="455">
        <f t="shared" si="22"/>
        <v>0</v>
      </c>
      <c r="CA37" s="455">
        <f t="shared" si="23"/>
        <v>0</v>
      </c>
      <c r="CD37" s="455">
        <f t="shared" si="24"/>
        <v>0</v>
      </c>
      <c r="CG37" s="455">
        <f t="shared" si="25"/>
        <v>0</v>
      </c>
      <c r="CJ37" s="455">
        <f t="shared" si="26"/>
        <v>0</v>
      </c>
      <c r="CM37" s="455">
        <f t="shared" si="27"/>
        <v>0</v>
      </c>
      <c r="CP37" s="455">
        <f t="shared" si="28"/>
        <v>0</v>
      </c>
      <c r="CS37" s="455">
        <f t="shared" si="29"/>
        <v>0</v>
      </c>
      <c r="CV37" s="455">
        <f t="shared" si="30"/>
        <v>0</v>
      </c>
      <c r="CY37" s="455">
        <f t="shared" si="31"/>
        <v>0</v>
      </c>
      <c r="DB37" s="455">
        <f t="shared" si="32"/>
        <v>0</v>
      </c>
      <c r="DE37" s="455">
        <f t="shared" si="33"/>
        <v>0</v>
      </c>
      <c r="DH37" s="455">
        <f t="shared" si="34"/>
        <v>0</v>
      </c>
      <c r="DK37" s="455">
        <f t="shared" si="35"/>
        <v>0</v>
      </c>
      <c r="DN37" s="455">
        <f t="shared" si="36"/>
        <v>0</v>
      </c>
      <c r="DQ37" s="455">
        <f t="shared" si="37"/>
        <v>0</v>
      </c>
      <c r="DT37" s="455">
        <f t="shared" si="38"/>
        <v>0</v>
      </c>
      <c r="DW37" s="455">
        <f t="shared" si="39"/>
        <v>0</v>
      </c>
      <c r="DZ37" s="455"/>
      <c r="EA37" s="455"/>
      <c r="EB37" s="274">
        <f t="shared" si="40"/>
        <v>25450000</v>
      </c>
      <c r="EC37" s="274">
        <f t="shared" si="41"/>
        <v>0</v>
      </c>
      <c r="ED37" s="455">
        <f t="shared" si="42"/>
        <v>1908.75</v>
      </c>
      <c r="EE37" s="456">
        <f t="shared" si="43"/>
        <v>2.6999999999999996E-2</v>
      </c>
      <c r="EG37" s="274">
        <f t="shared" si="44"/>
        <v>0</v>
      </c>
      <c r="EH37" s="455">
        <f t="shared" si="45"/>
        <v>0</v>
      </c>
      <c r="EI37" s="456">
        <f t="shared" si="46"/>
        <v>0</v>
      </c>
      <c r="EJ37" s="456"/>
      <c r="EK37" s="274">
        <f t="shared" si="47"/>
        <v>25450000</v>
      </c>
      <c r="EL37" s="274">
        <f t="shared" si="48"/>
        <v>0</v>
      </c>
      <c r="EM37" s="274">
        <f t="shared" si="49"/>
        <v>1908.75</v>
      </c>
      <c r="EN37" s="456">
        <f t="shared" si="50"/>
        <v>2.6999999999999996E-2</v>
      </c>
      <c r="EP37" s="455"/>
    </row>
    <row r="38" spans="1:146">
      <c r="A38" s="474">
        <f t="shared" si="51"/>
        <v>43552</v>
      </c>
      <c r="D38" s="455">
        <f t="shared" si="0"/>
        <v>0</v>
      </c>
      <c r="G38" s="455">
        <f t="shared" si="1"/>
        <v>0</v>
      </c>
      <c r="J38" s="455">
        <f t="shared" si="2"/>
        <v>0</v>
      </c>
      <c r="M38" s="455">
        <f t="shared" si="3"/>
        <v>0</v>
      </c>
      <c r="P38" s="455">
        <f t="shared" si="4"/>
        <v>0</v>
      </c>
      <c r="S38" s="455">
        <f t="shared" si="5"/>
        <v>0</v>
      </c>
      <c r="V38" s="455">
        <f t="shared" si="6"/>
        <v>0</v>
      </c>
      <c r="Y38" s="455">
        <f t="shared" si="7"/>
        <v>0</v>
      </c>
      <c r="AB38" s="455">
        <f t="shared" si="8"/>
        <v>0</v>
      </c>
      <c r="AE38" s="455">
        <v>0</v>
      </c>
      <c r="AH38" s="455">
        <v>0</v>
      </c>
      <c r="AI38" s="475">
        <f>38650000</f>
        <v>38650000</v>
      </c>
      <c r="AJ38" s="476">
        <v>2.7E-2</v>
      </c>
      <c r="AK38" s="455">
        <f t="shared" si="9"/>
        <v>2898.75</v>
      </c>
      <c r="AL38" s="475"/>
      <c r="AM38" s="476"/>
      <c r="AN38" s="455">
        <f t="shared" si="10"/>
        <v>0</v>
      </c>
      <c r="AQ38" s="455">
        <f t="shared" si="11"/>
        <v>0</v>
      </c>
      <c r="AT38" s="455">
        <f t="shared" si="12"/>
        <v>0</v>
      </c>
      <c r="AW38" s="455">
        <f t="shared" si="13"/>
        <v>0</v>
      </c>
      <c r="AZ38" s="455">
        <f t="shared" si="14"/>
        <v>0</v>
      </c>
      <c r="BC38" s="455">
        <f t="shared" si="15"/>
        <v>0</v>
      </c>
      <c r="BF38" s="455">
        <f t="shared" si="16"/>
        <v>0</v>
      </c>
      <c r="BI38" s="455">
        <f t="shared" si="17"/>
        <v>0</v>
      </c>
      <c r="BL38" s="455">
        <f t="shared" si="18"/>
        <v>0</v>
      </c>
      <c r="BO38" s="455">
        <f t="shared" si="19"/>
        <v>0</v>
      </c>
      <c r="BR38" s="455">
        <f t="shared" si="20"/>
        <v>0</v>
      </c>
      <c r="BU38" s="455">
        <f t="shared" si="21"/>
        <v>0</v>
      </c>
      <c r="BX38" s="455">
        <f t="shared" si="22"/>
        <v>0</v>
      </c>
      <c r="CA38" s="455">
        <f t="shared" si="23"/>
        <v>0</v>
      </c>
      <c r="CD38" s="455">
        <f t="shared" si="24"/>
        <v>0</v>
      </c>
      <c r="CG38" s="455">
        <f t="shared" si="25"/>
        <v>0</v>
      </c>
      <c r="CJ38" s="455">
        <f t="shared" si="26"/>
        <v>0</v>
      </c>
      <c r="CM38" s="455">
        <f t="shared" si="27"/>
        <v>0</v>
      </c>
      <c r="CP38" s="455">
        <f t="shared" si="28"/>
        <v>0</v>
      </c>
      <c r="CS38" s="455">
        <f t="shared" si="29"/>
        <v>0</v>
      </c>
      <c r="CV38" s="455">
        <f t="shared" si="30"/>
        <v>0</v>
      </c>
      <c r="CY38" s="455">
        <f t="shared" si="31"/>
        <v>0</v>
      </c>
      <c r="DB38" s="455">
        <f t="shared" si="32"/>
        <v>0</v>
      </c>
      <c r="DE38" s="455">
        <f t="shared" si="33"/>
        <v>0</v>
      </c>
      <c r="DH38" s="455">
        <f t="shared" si="34"/>
        <v>0</v>
      </c>
      <c r="DK38" s="455">
        <f t="shared" si="35"/>
        <v>0</v>
      </c>
      <c r="DN38" s="455">
        <f t="shared" si="36"/>
        <v>0</v>
      </c>
      <c r="DQ38" s="455">
        <f t="shared" si="37"/>
        <v>0</v>
      </c>
      <c r="DT38" s="455">
        <f t="shared" si="38"/>
        <v>0</v>
      </c>
      <c r="DW38" s="455">
        <f t="shared" si="39"/>
        <v>0</v>
      </c>
      <c r="DZ38" s="455"/>
      <c r="EA38" s="455"/>
      <c r="EB38" s="274">
        <f t="shared" si="40"/>
        <v>38650000</v>
      </c>
      <c r="EC38" s="274">
        <f t="shared" si="41"/>
        <v>0</v>
      </c>
      <c r="ED38" s="455">
        <f t="shared" si="42"/>
        <v>2898.75</v>
      </c>
      <c r="EE38" s="456">
        <f t="shared" si="43"/>
        <v>2.6999999999999996E-2</v>
      </c>
      <c r="EG38" s="274">
        <f t="shared" si="44"/>
        <v>0</v>
      </c>
      <c r="EH38" s="455">
        <f t="shared" si="45"/>
        <v>0</v>
      </c>
      <c r="EI38" s="456">
        <f t="shared" si="46"/>
        <v>0</v>
      </c>
      <c r="EJ38" s="456"/>
      <c r="EK38" s="274">
        <f t="shared" si="47"/>
        <v>38650000</v>
      </c>
      <c r="EL38" s="274">
        <f t="shared" si="48"/>
        <v>0</v>
      </c>
      <c r="EM38" s="274">
        <f t="shared" si="49"/>
        <v>2898.75</v>
      </c>
      <c r="EN38" s="456">
        <f t="shared" si="50"/>
        <v>2.6999999999999996E-2</v>
      </c>
      <c r="EP38" s="455"/>
    </row>
    <row r="39" spans="1:146">
      <c r="A39" s="474">
        <f t="shared" si="51"/>
        <v>43553</v>
      </c>
      <c r="D39" s="455">
        <f t="shared" si="0"/>
        <v>0</v>
      </c>
      <c r="G39" s="455">
        <f t="shared" si="1"/>
        <v>0</v>
      </c>
      <c r="J39" s="455">
        <f t="shared" si="2"/>
        <v>0</v>
      </c>
      <c r="M39" s="455">
        <f t="shared" si="3"/>
        <v>0</v>
      </c>
      <c r="P39" s="455">
        <f t="shared" si="4"/>
        <v>0</v>
      </c>
      <c r="S39" s="455">
        <f t="shared" si="5"/>
        <v>0</v>
      </c>
      <c r="V39" s="455">
        <f t="shared" si="6"/>
        <v>0</v>
      </c>
      <c r="Y39" s="455">
        <f t="shared" si="7"/>
        <v>0</v>
      </c>
      <c r="AB39" s="455">
        <f t="shared" si="8"/>
        <v>0</v>
      </c>
      <c r="AE39" s="455">
        <v>0</v>
      </c>
      <c r="AH39" s="455">
        <v>0</v>
      </c>
      <c r="AI39" s="475">
        <f>54750000</f>
        <v>54750000</v>
      </c>
      <c r="AJ39" s="476">
        <v>2.7E-2</v>
      </c>
      <c r="AK39" s="455">
        <f t="shared" si="9"/>
        <v>4106.25</v>
      </c>
      <c r="AL39" s="475"/>
      <c r="AM39" s="476"/>
      <c r="AN39" s="455">
        <f t="shared" si="10"/>
        <v>0</v>
      </c>
      <c r="AQ39" s="455">
        <f t="shared" si="11"/>
        <v>0</v>
      </c>
      <c r="AT39" s="455">
        <f t="shared" si="12"/>
        <v>0</v>
      </c>
      <c r="AW39" s="455">
        <f t="shared" si="13"/>
        <v>0</v>
      </c>
      <c r="AZ39" s="455">
        <f t="shared" si="14"/>
        <v>0</v>
      </c>
      <c r="BC39" s="455">
        <f t="shared" si="15"/>
        <v>0</v>
      </c>
      <c r="BF39" s="455">
        <f t="shared" si="16"/>
        <v>0</v>
      </c>
      <c r="BI39" s="455">
        <f t="shared" si="17"/>
        <v>0</v>
      </c>
      <c r="BL39" s="455">
        <f t="shared" si="18"/>
        <v>0</v>
      </c>
      <c r="BO39" s="455">
        <f t="shared" si="19"/>
        <v>0</v>
      </c>
      <c r="BR39" s="455">
        <f t="shared" si="20"/>
        <v>0</v>
      </c>
      <c r="BU39" s="455">
        <f t="shared" si="21"/>
        <v>0</v>
      </c>
      <c r="BX39" s="455">
        <f t="shared" si="22"/>
        <v>0</v>
      </c>
      <c r="CA39" s="455">
        <f t="shared" si="23"/>
        <v>0</v>
      </c>
      <c r="CD39" s="455">
        <f t="shared" si="24"/>
        <v>0</v>
      </c>
      <c r="CG39" s="455">
        <f t="shared" si="25"/>
        <v>0</v>
      </c>
      <c r="CJ39" s="455">
        <f t="shared" si="26"/>
        <v>0</v>
      </c>
      <c r="CM39" s="455">
        <f t="shared" si="27"/>
        <v>0</v>
      </c>
      <c r="CP39" s="455">
        <f t="shared" si="28"/>
        <v>0</v>
      </c>
      <c r="CS39" s="455">
        <f t="shared" si="29"/>
        <v>0</v>
      </c>
      <c r="CV39" s="455">
        <f t="shared" si="30"/>
        <v>0</v>
      </c>
      <c r="CY39" s="455">
        <f t="shared" si="31"/>
        <v>0</v>
      </c>
      <c r="DB39" s="455">
        <f t="shared" si="32"/>
        <v>0</v>
      </c>
      <c r="DE39" s="455">
        <f t="shared" si="33"/>
        <v>0</v>
      </c>
      <c r="DH39" s="455">
        <f t="shared" si="34"/>
        <v>0</v>
      </c>
      <c r="DK39" s="455">
        <f t="shared" si="35"/>
        <v>0</v>
      </c>
      <c r="DN39" s="455">
        <f t="shared" si="36"/>
        <v>0</v>
      </c>
      <c r="DQ39" s="455">
        <f t="shared" si="37"/>
        <v>0</v>
      </c>
      <c r="DT39" s="455">
        <f t="shared" si="38"/>
        <v>0</v>
      </c>
      <c r="DW39" s="455">
        <f t="shared" si="39"/>
        <v>0</v>
      </c>
      <c r="DZ39" s="455"/>
      <c r="EA39" s="455"/>
      <c r="EB39" s="274">
        <f t="shared" si="40"/>
        <v>54750000</v>
      </c>
      <c r="EC39" s="274">
        <f t="shared" si="41"/>
        <v>0</v>
      </c>
      <c r="ED39" s="455">
        <f t="shared" si="42"/>
        <v>4106.25</v>
      </c>
      <c r="EE39" s="456">
        <f t="shared" si="43"/>
        <v>2.6999999999999996E-2</v>
      </c>
      <c r="EG39" s="274">
        <f t="shared" si="44"/>
        <v>0</v>
      </c>
      <c r="EH39" s="455">
        <f t="shared" si="45"/>
        <v>0</v>
      </c>
      <c r="EI39" s="456">
        <f t="shared" si="46"/>
        <v>0</v>
      </c>
      <c r="EJ39" s="456"/>
      <c r="EK39" s="274">
        <f t="shared" si="47"/>
        <v>54750000</v>
      </c>
      <c r="EL39" s="274">
        <f t="shared" si="48"/>
        <v>0</v>
      </c>
      <c r="EM39" s="274">
        <f t="shared" si="49"/>
        <v>4106.25</v>
      </c>
      <c r="EN39" s="456">
        <f t="shared" si="50"/>
        <v>2.6999999999999996E-2</v>
      </c>
      <c r="EP39" s="455"/>
    </row>
    <row r="40" spans="1:146">
      <c r="A40" s="474">
        <f t="shared" si="51"/>
        <v>43554</v>
      </c>
      <c r="D40" s="455">
        <f t="shared" si="0"/>
        <v>0</v>
      </c>
      <c r="G40" s="455">
        <f t="shared" si="1"/>
        <v>0</v>
      </c>
      <c r="J40" s="455">
        <f t="shared" si="2"/>
        <v>0</v>
      </c>
      <c r="M40" s="455">
        <f t="shared" si="3"/>
        <v>0</v>
      </c>
      <c r="P40" s="455">
        <f t="shared" si="4"/>
        <v>0</v>
      </c>
      <c r="S40" s="455">
        <f t="shared" si="5"/>
        <v>0</v>
      </c>
      <c r="V40" s="455">
        <f t="shared" si="6"/>
        <v>0</v>
      </c>
      <c r="Y40" s="455">
        <f t="shared" si="7"/>
        <v>0</v>
      </c>
      <c r="AB40" s="455">
        <f t="shared" si="8"/>
        <v>0</v>
      </c>
      <c r="AE40" s="455">
        <v>0</v>
      </c>
      <c r="AH40" s="455">
        <v>0</v>
      </c>
      <c r="AI40" s="475">
        <f>54750000</f>
        <v>54750000</v>
      </c>
      <c r="AJ40" s="476">
        <v>2.7E-2</v>
      </c>
      <c r="AK40" s="455">
        <f t="shared" si="9"/>
        <v>4106.25</v>
      </c>
      <c r="AL40" s="475"/>
      <c r="AM40" s="476"/>
      <c r="AN40" s="455">
        <f t="shared" si="10"/>
        <v>0</v>
      </c>
      <c r="AQ40" s="455">
        <f t="shared" si="11"/>
        <v>0</v>
      </c>
      <c r="AT40" s="455">
        <f t="shared" si="12"/>
        <v>0</v>
      </c>
      <c r="AW40" s="455">
        <f t="shared" si="13"/>
        <v>0</v>
      </c>
      <c r="AZ40" s="455">
        <f t="shared" si="14"/>
        <v>0</v>
      </c>
      <c r="BC40" s="455">
        <f t="shared" si="15"/>
        <v>0</v>
      </c>
      <c r="BF40" s="455">
        <f t="shared" si="16"/>
        <v>0</v>
      </c>
      <c r="BI40" s="455">
        <f t="shared" si="17"/>
        <v>0</v>
      </c>
      <c r="BL40" s="455">
        <f t="shared" si="18"/>
        <v>0</v>
      </c>
      <c r="BO40" s="455">
        <f t="shared" si="19"/>
        <v>0</v>
      </c>
      <c r="BR40" s="455">
        <f t="shared" si="20"/>
        <v>0</v>
      </c>
      <c r="BU40" s="455">
        <f t="shared" si="21"/>
        <v>0</v>
      </c>
      <c r="BX40" s="455">
        <f t="shared" si="22"/>
        <v>0</v>
      </c>
      <c r="CA40" s="455">
        <f t="shared" si="23"/>
        <v>0</v>
      </c>
      <c r="CD40" s="455">
        <f t="shared" si="24"/>
        <v>0</v>
      </c>
      <c r="CG40" s="455">
        <f t="shared" si="25"/>
        <v>0</v>
      </c>
      <c r="CJ40" s="455">
        <f t="shared" si="26"/>
        <v>0</v>
      </c>
      <c r="CM40" s="455">
        <f t="shared" si="27"/>
        <v>0</v>
      </c>
      <c r="CP40" s="455">
        <f t="shared" si="28"/>
        <v>0</v>
      </c>
      <c r="CS40" s="455">
        <f t="shared" si="29"/>
        <v>0</v>
      </c>
      <c r="CV40" s="455">
        <f t="shared" si="30"/>
        <v>0</v>
      </c>
      <c r="CY40" s="455">
        <f t="shared" si="31"/>
        <v>0</v>
      </c>
      <c r="DB40" s="455">
        <f t="shared" si="32"/>
        <v>0</v>
      </c>
      <c r="DE40" s="455">
        <f t="shared" si="33"/>
        <v>0</v>
      </c>
      <c r="DH40" s="455">
        <f t="shared" si="34"/>
        <v>0</v>
      </c>
      <c r="DK40" s="455">
        <f t="shared" si="35"/>
        <v>0</v>
      </c>
      <c r="DN40" s="455">
        <f t="shared" si="36"/>
        <v>0</v>
      </c>
      <c r="DQ40" s="455">
        <f t="shared" si="37"/>
        <v>0</v>
      </c>
      <c r="DT40" s="455">
        <f t="shared" si="38"/>
        <v>0</v>
      </c>
      <c r="DW40" s="455">
        <f t="shared" si="39"/>
        <v>0</v>
      </c>
      <c r="DZ40" s="453"/>
      <c r="EA40" s="455"/>
      <c r="EB40" s="274">
        <f t="shared" si="40"/>
        <v>54750000</v>
      </c>
      <c r="EC40" s="274">
        <f t="shared" si="41"/>
        <v>0</v>
      </c>
      <c r="ED40" s="455">
        <f t="shared" si="42"/>
        <v>4106.25</v>
      </c>
      <c r="EE40" s="456">
        <f t="shared" si="43"/>
        <v>2.6999999999999996E-2</v>
      </c>
      <c r="EG40" s="274">
        <f t="shared" si="44"/>
        <v>0</v>
      </c>
      <c r="EH40" s="455">
        <f t="shared" si="45"/>
        <v>0</v>
      </c>
      <c r="EI40" s="456">
        <f t="shared" si="46"/>
        <v>0</v>
      </c>
      <c r="EJ40" s="456"/>
      <c r="EK40" s="274">
        <f t="shared" si="47"/>
        <v>54750000</v>
      </c>
      <c r="EL40" s="274">
        <f t="shared" si="48"/>
        <v>0</v>
      </c>
      <c r="EM40" s="274">
        <f t="shared" si="49"/>
        <v>4106.25</v>
      </c>
      <c r="EN40" s="456">
        <f t="shared" si="50"/>
        <v>2.6999999999999996E-2</v>
      </c>
      <c r="EP40" s="455"/>
    </row>
    <row r="41" spans="1:146">
      <c r="A41" s="474">
        <f t="shared" si="51"/>
        <v>43555</v>
      </c>
      <c r="D41" s="455">
        <f t="shared" si="0"/>
        <v>0</v>
      </c>
      <c r="G41" s="455">
        <f t="shared" si="1"/>
        <v>0</v>
      </c>
      <c r="J41" s="455">
        <f t="shared" si="2"/>
        <v>0</v>
      </c>
      <c r="M41" s="455">
        <f t="shared" si="3"/>
        <v>0</v>
      </c>
      <c r="P41" s="455">
        <f t="shared" si="4"/>
        <v>0</v>
      </c>
      <c r="S41" s="455">
        <f t="shared" si="5"/>
        <v>0</v>
      </c>
      <c r="V41" s="455">
        <f t="shared" si="6"/>
        <v>0</v>
      </c>
      <c r="Y41" s="455">
        <f t="shared" si="7"/>
        <v>0</v>
      </c>
      <c r="AB41" s="455">
        <f t="shared" si="8"/>
        <v>0</v>
      </c>
      <c r="AE41" s="455">
        <v>0</v>
      </c>
      <c r="AH41" s="455">
        <v>0</v>
      </c>
      <c r="AI41" s="475">
        <f>54750000</f>
        <v>54750000</v>
      </c>
      <c r="AJ41" s="476">
        <v>2.7E-2</v>
      </c>
      <c r="AK41" s="455">
        <f t="shared" si="9"/>
        <v>4106.25</v>
      </c>
      <c r="AL41" s="475"/>
      <c r="AM41" s="476"/>
      <c r="AN41" s="455">
        <f t="shared" si="10"/>
        <v>0</v>
      </c>
      <c r="AQ41" s="455">
        <f t="shared" si="11"/>
        <v>0</v>
      </c>
      <c r="AT41" s="455">
        <f t="shared" si="12"/>
        <v>0</v>
      </c>
      <c r="AW41" s="455">
        <f t="shared" si="13"/>
        <v>0</v>
      </c>
      <c r="AZ41" s="455">
        <f t="shared" si="14"/>
        <v>0</v>
      </c>
      <c r="BC41" s="455">
        <f t="shared" si="15"/>
        <v>0</v>
      </c>
      <c r="BF41" s="455">
        <f t="shared" si="16"/>
        <v>0</v>
      </c>
      <c r="BI41" s="455">
        <f t="shared" si="17"/>
        <v>0</v>
      </c>
      <c r="BL41" s="455">
        <f t="shared" si="18"/>
        <v>0</v>
      </c>
      <c r="BO41" s="455">
        <f t="shared" si="19"/>
        <v>0</v>
      </c>
      <c r="BR41" s="455">
        <f t="shared" si="20"/>
        <v>0</v>
      </c>
      <c r="BU41" s="455">
        <f t="shared" si="21"/>
        <v>0</v>
      </c>
      <c r="BX41" s="455">
        <f t="shared" si="22"/>
        <v>0</v>
      </c>
      <c r="CA41" s="455">
        <f t="shared" si="23"/>
        <v>0</v>
      </c>
      <c r="CD41" s="455">
        <f t="shared" si="24"/>
        <v>0</v>
      </c>
      <c r="CG41" s="455">
        <f t="shared" si="25"/>
        <v>0</v>
      </c>
      <c r="CJ41" s="455">
        <f t="shared" si="26"/>
        <v>0</v>
      </c>
      <c r="CM41" s="455">
        <f t="shared" si="27"/>
        <v>0</v>
      </c>
      <c r="CP41" s="455">
        <f t="shared" si="28"/>
        <v>0</v>
      </c>
      <c r="CS41" s="455">
        <f t="shared" si="29"/>
        <v>0</v>
      </c>
      <c r="CV41" s="455">
        <f t="shared" si="30"/>
        <v>0</v>
      </c>
      <c r="CY41" s="455">
        <f t="shared" si="31"/>
        <v>0</v>
      </c>
      <c r="DB41" s="455">
        <f t="shared" si="32"/>
        <v>0</v>
      </c>
      <c r="DE41" s="455">
        <f t="shared" si="33"/>
        <v>0</v>
      </c>
      <c r="DH41" s="455">
        <f t="shared" si="34"/>
        <v>0</v>
      </c>
      <c r="DK41" s="455">
        <f t="shared" si="35"/>
        <v>0</v>
      </c>
      <c r="DN41" s="455">
        <f t="shared" si="36"/>
        <v>0</v>
      </c>
      <c r="DQ41" s="455">
        <f t="shared" si="37"/>
        <v>0</v>
      </c>
      <c r="DT41" s="455">
        <f t="shared" si="38"/>
        <v>0</v>
      </c>
      <c r="DW41" s="455">
        <f t="shared" si="39"/>
        <v>0</v>
      </c>
      <c r="DZ41" s="453"/>
      <c r="EA41" s="455"/>
      <c r="EB41" s="274">
        <f t="shared" si="40"/>
        <v>54750000</v>
      </c>
      <c r="EC41" s="274">
        <f t="shared" si="41"/>
        <v>0</v>
      </c>
      <c r="ED41" s="455">
        <f t="shared" si="42"/>
        <v>4106.25</v>
      </c>
      <c r="EE41" s="456">
        <f t="shared" si="43"/>
        <v>2.6999999999999996E-2</v>
      </c>
      <c r="EG41" s="274">
        <f t="shared" si="44"/>
        <v>0</v>
      </c>
      <c r="EH41" s="455">
        <f t="shared" si="45"/>
        <v>0</v>
      </c>
      <c r="EI41" s="456">
        <f t="shared" si="46"/>
        <v>0</v>
      </c>
      <c r="EJ41" s="456"/>
      <c r="EK41" s="274">
        <f t="shared" si="47"/>
        <v>54750000</v>
      </c>
      <c r="EL41" s="274">
        <f t="shared" si="48"/>
        <v>0</v>
      </c>
      <c r="EM41" s="274">
        <f t="shared" si="49"/>
        <v>4106.25</v>
      </c>
      <c r="EN41" s="456">
        <f t="shared" si="50"/>
        <v>2.6999999999999996E-2</v>
      </c>
      <c r="EP41" s="455"/>
    </row>
    <row r="42" spans="1:146">
      <c r="A42" s="275" t="s">
        <v>13</v>
      </c>
      <c r="D42" s="477">
        <f>SUM(D11:D41)</f>
        <v>0</v>
      </c>
      <c r="G42" s="477">
        <f>SUM(G11:G41)</f>
        <v>0</v>
      </c>
      <c r="J42" s="477">
        <f>SUM(J11:J41)</f>
        <v>0</v>
      </c>
      <c r="M42" s="477">
        <f>SUM(M11:M41)</f>
        <v>0</v>
      </c>
      <c r="P42" s="477">
        <f>SUM(P11:P41)</f>
        <v>0</v>
      </c>
      <c r="S42" s="477">
        <f>SUM(S11:S41)</f>
        <v>0</v>
      </c>
      <c r="V42" s="477">
        <f>SUM(V11:V41)</f>
        <v>0</v>
      </c>
      <c r="Y42" s="477">
        <f>SUM(Y11:Y41)</f>
        <v>0</v>
      </c>
      <c r="AB42" s="477">
        <f>SUM(AB11:AB41)</f>
        <v>0</v>
      </c>
      <c r="AE42" s="477">
        <f>SUM(AE11:AE41)</f>
        <v>0</v>
      </c>
      <c r="AH42" s="477">
        <f>SUM(AH11:AH41)</f>
        <v>0</v>
      </c>
      <c r="AK42" s="477">
        <f>SUM(AK11:AK41)</f>
        <v>106807.5</v>
      </c>
      <c r="AN42" s="477">
        <f>SUM(AN11:AN41)</f>
        <v>13611.111111111111</v>
      </c>
      <c r="AQ42" s="477">
        <f>SUM(AQ11:AQ41)</f>
        <v>11791.666666666668</v>
      </c>
      <c r="AT42" s="477">
        <f>SUM(AT11:AT41)</f>
        <v>148437.5</v>
      </c>
      <c r="AW42" s="477">
        <f>SUM(AW11:AW41)</f>
        <v>0</v>
      </c>
      <c r="AZ42" s="477">
        <f>SUM(AZ11:AZ41)</f>
        <v>0</v>
      </c>
      <c r="BC42" s="477">
        <f>SUM(BC11:BC41)</f>
        <v>0</v>
      </c>
      <c r="BF42" s="477">
        <f>SUM(BF11:BF41)</f>
        <v>0</v>
      </c>
      <c r="BI42" s="477">
        <f>SUM(BI11:BI41)</f>
        <v>0</v>
      </c>
      <c r="BL42" s="477">
        <f>SUM(BL11:BL41)</f>
        <v>0</v>
      </c>
      <c r="BO42" s="477">
        <f>SUM(BO11:BO41)</f>
        <v>0</v>
      </c>
      <c r="BR42" s="477">
        <f>SUM(BR11:BR41)</f>
        <v>0</v>
      </c>
      <c r="BU42" s="477">
        <f>SUM(BU11:BU41)</f>
        <v>0</v>
      </c>
      <c r="BX42" s="477">
        <f>SUM(BX11:BX41)</f>
        <v>0</v>
      </c>
      <c r="CA42" s="477">
        <f>SUM(CA11:CA41)</f>
        <v>0</v>
      </c>
      <c r="CD42" s="477">
        <f>SUM(CD11:CD41)</f>
        <v>0</v>
      </c>
      <c r="CG42" s="477">
        <f>SUM(CG11:CG41)</f>
        <v>0</v>
      </c>
      <c r="CJ42" s="477">
        <f>SUM(CJ11:CJ41)</f>
        <v>0</v>
      </c>
      <c r="CM42" s="477">
        <f>SUM(CM11:CM41)</f>
        <v>0</v>
      </c>
      <c r="CP42" s="477">
        <f>SUM(CP11:CP41)</f>
        <v>0</v>
      </c>
      <c r="CS42" s="477">
        <f>SUM(CS11:CS41)</f>
        <v>0</v>
      </c>
      <c r="CV42" s="477">
        <f>SUM(CV11:CV41)</f>
        <v>0</v>
      </c>
      <c r="CY42" s="477">
        <f>SUM(CY11:CY41)</f>
        <v>0</v>
      </c>
      <c r="DB42" s="477">
        <f>SUM(DB11:DB41)</f>
        <v>0</v>
      </c>
      <c r="DE42" s="477">
        <f>SUM(DE11:DE41)</f>
        <v>0</v>
      </c>
      <c r="DH42" s="477">
        <f>SUM(DH11:DH41)</f>
        <v>0</v>
      </c>
      <c r="DK42" s="477">
        <f>SUM(DK11:DK41)</f>
        <v>0</v>
      </c>
      <c r="DN42" s="477">
        <f>SUM(DN11:DN41)</f>
        <v>0</v>
      </c>
      <c r="DQ42" s="477">
        <f>SUM(DQ11:DQ41)</f>
        <v>0</v>
      </c>
      <c r="DT42" s="477">
        <f>SUM(DT11:DT41)</f>
        <v>0</v>
      </c>
      <c r="DW42" s="477">
        <f>SUM(DW11:DW41)</f>
        <v>0</v>
      </c>
      <c r="DZ42" s="453"/>
      <c r="EA42" s="453"/>
      <c r="EB42" s="455"/>
      <c r="EC42" s="455"/>
      <c r="ED42" s="477">
        <f>SUM(ED11:ED41)</f>
        <v>280647.77777777775</v>
      </c>
      <c r="EE42" s="456"/>
      <c r="EG42" s="455"/>
      <c r="EH42" s="477">
        <f>SUM(EH11:EH41)</f>
        <v>0</v>
      </c>
      <c r="EI42" s="456"/>
      <c r="EJ42" s="456"/>
      <c r="EK42" s="455"/>
      <c r="EL42" s="455"/>
      <c r="EM42" s="477">
        <f>SUM(EM11:EM41)</f>
        <v>280647.77777777775</v>
      </c>
      <c r="EN42" s="456"/>
      <c r="EP42" s="455"/>
    </row>
    <row r="44" spans="1:146">
      <c r="EM44" s="478"/>
    </row>
    <row r="46" spans="1:146">
      <c r="EM46" s="455"/>
    </row>
  </sheetData>
  <pageMargins left="0.7" right="0.7" top="0.75" bottom="0.75" header="0.3" footer="0.3"/>
  <pageSetup scale="48" orientation="portrait" r:id="rId1"/>
  <headerFooter>
    <oddFooter>&amp;CSchedule MA-TU&amp;RMarch 2019 &amp;P of &amp;N
Confidential
4 CSR 240-2.090(9(A).2(D).II)</oddFooter>
  </headerFooter>
  <colBreaks count="2" manualBreakCount="2">
    <brk id="37" max="1048575" man="1"/>
    <brk id="13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zoomScale="80" zoomScaleNormal="80" workbookViewId="0">
      <selection activeCell="A23" sqref="A23"/>
    </sheetView>
  </sheetViews>
  <sheetFormatPr defaultColWidth="9.140625" defaultRowHeight="12.75"/>
  <cols>
    <col min="1" max="1" width="14.5703125" style="457" bestFit="1" customWidth="1"/>
    <col min="2" max="2" width="15.5703125" style="455" hidden="1" customWidth="1"/>
    <col min="3" max="3" width="15.42578125" style="456" hidden="1" customWidth="1"/>
    <col min="4" max="4" width="15.42578125" style="457" hidden="1" customWidth="1"/>
    <col min="5" max="5" width="15.5703125" style="455" bestFit="1" customWidth="1"/>
    <col min="6" max="6" width="12.28515625" style="456" bestFit="1" customWidth="1"/>
    <col min="7" max="7" width="17.28515625" style="457" bestFit="1" customWidth="1"/>
    <col min="8" max="8" width="15.42578125" style="455" hidden="1" customWidth="1"/>
    <col min="9" max="9" width="10.28515625" style="456" hidden="1" customWidth="1"/>
    <col min="10" max="10" width="13.42578125" style="457" hidden="1" customWidth="1"/>
    <col min="11" max="11" width="14.42578125" style="455" hidden="1" customWidth="1"/>
    <col min="12" max="12" width="10.28515625" style="456" hidden="1" customWidth="1"/>
    <col min="13" max="13" width="11.7109375" style="457" hidden="1" customWidth="1"/>
    <col min="14" max="14" width="14.42578125" style="455" hidden="1" customWidth="1"/>
    <col min="15" max="15" width="10.28515625" style="456" hidden="1" customWidth="1"/>
    <col min="16" max="16" width="11.7109375" style="457" hidden="1" customWidth="1"/>
    <col min="17" max="17" width="15.42578125" style="455" hidden="1" customWidth="1"/>
    <col min="18" max="18" width="10.28515625" style="456" hidden="1" customWidth="1"/>
    <col min="19" max="19" width="11.7109375" style="457" hidden="1" customWidth="1"/>
    <col min="20" max="20" width="15.42578125" style="455" hidden="1" customWidth="1"/>
    <col min="21" max="21" width="10.28515625" style="456" hidden="1" customWidth="1"/>
    <col min="22" max="22" width="11.7109375" style="457" hidden="1" customWidth="1"/>
    <col min="23" max="23" width="15.42578125" style="455" hidden="1" customWidth="1"/>
    <col min="24" max="24" width="10.28515625" style="456" hidden="1" customWidth="1"/>
    <col min="25" max="25" width="11.7109375" style="457" hidden="1" customWidth="1"/>
    <col min="26" max="26" width="15.42578125" style="455" hidden="1" customWidth="1"/>
    <col min="27" max="27" width="10.28515625" style="456" hidden="1" customWidth="1"/>
    <col min="28" max="28" width="11.7109375" style="457" hidden="1" customWidth="1"/>
    <col min="29" max="29" width="15.42578125" style="455" hidden="1" customWidth="1"/>
    <col min="30" max="30" width="10.28515625" style="456" hidden="1" customWidth="1"/>
    <col min="31" max="31" width="11.7109375" style="457" hidden="1" customWidth="1"/>
    <col min="32" max="32" width="14.42578125" style="455" hidden="1" customWidth="1"/>
    <col min="33" max="33" width="10.28515625" style="456" hidden="1" customWidth="1"/>
    <col min="34" max="34" width="10.7109375" style="457" hidden="1" customWidth="1"/>
    <col min="35" max="35" width="14.42578125" style="455" customWidth="1"/>
    <col min="36" max="36" width="12" style="456" bestFit="1" customWidth="1"/>
    <col min="37" max="37" width="13.7109375" style="457" bestFit="1" customWidth="1"/>
    <col min="38" max="38" width="14.42578125" style="455" hidden="1" customWidth="1"/>
    <col min="39" max="39" width="10.28515625" style="456" hidden="1" customWidth="1"/>
    <col min="40" max="40" width="10.7109375" style="457" hidden="1" customWidth="1"/>
    <col min="41" max="41" width="15.42578125" style="455" hidden="1" customWidth="1"/>
    <col min="42" max="42" width="12.28515625" style="456" hidden="1" customWidth="1"/>
    <col min="43" max="43" width="11.7109375" style="457" hidden="1" customWidth="1"/>
    <col min="44" max="44" width="15.42578125" style="455" hidden="1" customWidth="1"/>
    <col min="45" max="45" width="10.28515625" style="456" hidden="1" customWidth="1"/>
    <col min="46" max="46" width="11.7109375" style="457" hidden="1" customWidth="1"/>
    <col min="47" max="47" width="14.42578125" style="455" hidden="1" customWidth="1"/>
    <col min="48" max="48" width="10.28515625" style="456" hidden="1" customWidth="1"/>
    <col min="49" max="49" width="10.7109375" style="457" hidden="1" customWidth="1"/>
    <col min="50" max="50" width="14.42578125" style="455" hidden="1" customWidth="1"/>
    <col min="51" max="51" width="10.28515625" style="456" hidden="1" customWidth="1"/>
    <col min="52" max="52" width="10.7109375" style="457" hidden="1" customWidth="1"/>
    <col min="53" max="53" width="14.42578125" style="455" hidden="1" customWidth="1"/>
    <col min="54" max="54" width="10.28515625" style="456" hidden="1" customWidth="1"/>
    <col min="55" max="55" width="10.7109375" style="457" hidden="1" customWidth="1"/>
    <col min="56" max="56" width="14.42578125" style="455" hidden="1" customWidth="1"/>
    <col min="57" max="57" width="10.28515625" style="456" hidden="1" customWidth="1"/>
    <col min="58" max="58" width="10.7109375" style="457" hidden="1" customWidth="1"/>
    <col min="59" max="59" width="14.42578125" style="455" hidden="1" customWidth="1"/>
    <col min="60" max="60" width="10.28515625" style="456" hidden="1" customWidth="1"/>
    <col min="61" max="61" width="10.7109375" style="457" hidden="1" customWidth="1"/>
    <col min="62" max="62" width="14.42578125" style="455" hidden="1" customWidth="1"/>
    <col min="63" max="63" width="10.28515625" style="456" hidden="1" customWidth="1"/>
    <col min="64" max="64" width="10.7109375" style="457" hidden="1" customWidth="1"/>
    <col min="65" max="65" width="14.42578125" style="455" hidden="1" customWidth="1"/>
    <col min="66" max="66" width="10.28515625" style="456" hidden="1" customWidth="1"/>
    <col min="67" max="67" width="10.7109375" style="457" hidden="1" customWidth="1"/>
    <col min="68" max="68" width="14.42578125" style="455" hidden="1" customWidth="1"/>
    <col min="69" max="69" width="10.28515625" style="456" hidden="1" customWidth="1"/>
    <col min="70" max="70" width="10.7109375" style="457" hidden="1" customWidth="1"/>
    <col min="71" max="71" width="14.42578125" style="455" hidden="1" customWidth="1"/>
    <col min="72" max="72" width="10.28515625" style="456" hidden="1" customWidth="1"/>
    <col min="73" max="73" width="10.7109375" style="457" hidden="1" customWidth="1"/>
    <col min="74" max="74" width="14.42578125" style="455" hidden="1" customWidth="1"/>
    <col min="75" max="75" width="10.28515625" style="456" hidden="1" customWidth="1"/>
    <col min="76" max="76" width="10.7109375" style="457" hidden="1" customWidth="1"/>
    <col min="77" max="77" width="14.42578125" style="455" hidden="1" customWidth="1"/>
    <col min="78" max="78" width="10.28515625" style="456" hidden="1" customWidth="1"/>
    <col min="79" max="79" width="10.7109375" style="457" hidden="1" customWidth="1"/>
    <col min="80" max="80" width="14.42578125" style="455" hidden="1" customWidth="1"/>
    <col min="81" max="81" width="10.28515625" style="456" hidden="1" customWidth="1"/>
    <col min="82" max="82" width="10.7109375" style="457" hidden="1" customWidth="1"/>
    <col min="83" max="83" width="14.42578125" style="455" hidden="1" customWidth="1"/>
    <col min="84" max="84" width="10.28515625" style="456" hidden="1" customWidth="1"/>
    <col min="85" max="85" width="10.7109375" style="457" hidden="1" customWidth="1"/>
    <col min="86" max="86" width="14.42578125" style="455" hidden="1" customWidth="1"/>
    <col min="87" max="87" width="10.28515625" style="456" hidden="1" customWidth="1"/>
    <col min="88" max="88" width="10.7109375" style="457" hidden="1" customWidth="1"/>
    <col min="89" max="89" width="14.42578125" style="455" hidden="1" customWidth="1"/>
    <col min="90" max="90" width="10.28515625" style="456" hidden="1" customWidth="1"/>
    <col min="91" max="91" width="10.7109375" style="457" hidden="1" customWidth="1"/>
    <col min="92" max="92" width="14.42578125" style="455" hidden="1" customWidth="1"/>
    <col min="93" max="93" width="10.28515625" style="456" hidden="1" customWidth="1"/>
    <col min="94" max="94" width="10.7109375" style="457" hidden="1" customWidth="1"/>
    <col min="95" max="95" width="14.42578125" style="455" hidden="1" customWidth="1"/>
    <col min="96" max="96" width="10.28515625" style="456" hidden="1" customWidth="1"/>
    <col min="97" max="97" width="10.7109375" style="457" hidden="1" customWidth="1"/>
    <col min="98" max="98" width="14.42578125" style="455" hidden="1" customWidth="1"/>
    <col min="99" max="99" width="10.28515625" style="456" hidden="1" customWidth="1"/>
    <col min="100" max="100" width="10.7109375" style="457" hidden="1" customWidth="1"/>
    <col min="101" max="101" width="14.42578125" style="455" hidden="1" customWidth="1"/>
    <col min="102" max="102" width="10.28515625" style="456" hidden="1" customWidth="1"/>
    <col min="103" max="103" width="10.7109375" style="457" hidden="1" customWidth="1"/>
    <col min="104" max="104" width="14.42578125" style="455" hidden="1" customWidth="1"/>
    <col min="105" max="105" width="10.28515625" style="456" hidden="1" customWidth="1"/>
    <col min="106" max="106" width="10.7109375" style="457" hidden="1" customWidth="1"/>
    <col min="107" max="107" width="14.42578125" style="455" hidden="1" customWidth="1"/>
    <col min="108" max="108" width="10.28515625" style="456" hidden="1" customWidth="1"/>
    <col min="109" max="109" width="10.7109375" style="457" hidden="1" customWidth="1"/>
    <col min="110" max="110" width="14.42578125" style="455" hidden="1" customWidth="1"/>
    <col min="111" max="111" width="10.28515625" style="456" hidden="1" customWidth="1"/>
    <col min="112" max="112" width="10.7109375" style="457" hidden="1" customWidth="1"/>
    <col min="113" max="113" width="14.42578125" style="455" hidden="1" customWidth="1"/>
    <col min="114" max="114" width="10.28515625" style="456" hidden="1" customWidth="1"/>
    <col min="115" max="115" width="10.7109375" style="457" hidden="1" customWidth="1"/>
    <col min="116" max="116" width="14.42578125" style="455" hidden="1" customWidth="1"/>
    <col min="117" max="117" width="10.28515625" style="456" hidden="1" customWidth="1"/>
    <col min="118" max="118" width="10.7109375" style="457" hidden="1" customWidth="1"/>
    <col min="119" max="119" width="14.42578125" style="455" hidden="1" customWidth="1"/>
    <col min="120" max="120" width="10.28515625" style="456" hidden="1" customWidth="1"/>
    <col min="121" max="121" width="10.7109375" style="457" hidden="1" customWidth="1"/>
    <col min="122" max="122" width="14.42578125" style="455" hidden="1" customWidth="1"/>
    <col min="123" max="123" width="10.28515625" style="456" hidden="1" customWidth="1"/>
    <col min="124" max="124" width="10.7109375" style="457" hidden="1" customWidth="1"/>
    <col min="125" max="125" width="14.42578125" style="455" hidden="1" customWidth="1"/>
    <col min="126" max="126" width="10.28515625" style="456" hidden="1" customWidth="1"/>
    <col min="127" max="127" width="10.7109375" style="457" hidden="1" customWidth="1"/>
    <col min="128" max="128" width="14.42578125" style="455" hidden="1" customWidth="1"/>
    <col min="129" max="129" width="10.28515625" style="456" hidden="1" customWidth="1"/>
    <col min="130" max="130" width="10.7109375" style="457" hidden="1" customWidth="1"/>
    <col min="131" max="131" width="2.7109375" style="457" hidden="1" customWidth="1"/>
    <col min="132" max="132" width="20.140625" style="457" customWidth="1"/>
    <col min="133" max="133" width="15.42578125" style="457" hidden="1" customWidth="1"/>
    <col min="134" max="134" width="14.42578125" style="457" bestFit="1" customWidth="1"/>
    <col min="135" max="135" width="17.7109375" style="457" bestFit="1" customWidth="1"/>
    <col min="136" max="136" width="2.7109375" style="457" customWidth="1"/>
    <col min="137" max="137" width="15.42578125" style="457" hidden="1" customWidth="1"/>
    <col min="138" max="138" width="14.42578125" style="457" hidden="1" customWidth="1"/>
    <col min="139" max="139" width="12.42578125" style="457" hidden="1" customWidth="1"/>
    <col min="140" max="140" width="2.7109375" style="457" hidden="1" customWidth="1"/>
    <col min="141" max="141" width="16.85546875" style="457" bestFit="1" customWidth="1"/>
    <col min="142" max="142" width="15.42578125" style="457" hidden="1" customWidth="1"/>
    <col min="143" max="143" width="14.42578125" style="457" bestFit="1" customWidth="1"/>
    <col min="144" max="144" width="17.28515625" style="457" bestFit="1" customWidth="1"/>
    <col min="145" max="145" width="42.85546875" style="457" bestFit="1" customWidth="1"/>
    <col min="146" max="146" width="20.42578125" style="457" bestFit="1" customWidth="1"/>
    <col min="147" max="147" width="23.140625" style="457" bestFit="1" customWidth="1"/>
    <col min="148" max="16384" width="9.140625" style="457"/>
  </cols>
  <sheetData>
    <row r="1" spans="1:147" s="263" customFormat="1">
      <c r="A1" s="262" t="s">
        <v>0</v>
      </c>
      <c r="B1" s="274"/>
      <c r="C1" s="450"/>
      <c r="E1" s="274"/>
      <c r="F1" s="450"/>
      <c r="H1" s="274"/>
      <c r="I1" s="450"/>
      <c r="K1" s="274"/>
      <c r="L1" s="450"/>
      <c r="N1" s="274"/>
      <c r="O1" s="450"/>
      <c r="Q1" s="274"/>
      <c r="R1" s="450"/>
      <c r="T1" s="274"/>
      <c r="U1" s="450"/>
      <c r="W1" s="274"/>
      <c r="X1" s="450"/>
      <c r="Z1" s="274"/>
      <c r="AA1" s="450"/>
      <c r="AC1" s="274"/>
      <c r="AD1" s="450"/>
      <c r="AF1" s="274"/>
      <c r="AG1" s="450"/>
      <c r="AI1" s="274"/>
      <c r="AJ1" s="450"/>
      <c r="AL1" s="274"/>
      <c r="AM1" s="450"/>
      <c r="AO1" s="274"/>
      <c r="AP1" s="450"/>
      <c r="AR1" s="274"/>
      <c r="AS1" s="450"/>
      <c r="AU1" s="274"/>
      <c r="AV1" s="450"/>
      <c r="AX1" s="274"/>
      <c r="AY1" s="450"/>
      <c r="BA1" s="274"/>
      <c r="BB1" s="450"/>
      <c r="BD1" s="274"/>
      <c r="BE1" s="450"/>
      <c r="BG1" s="274"/>
      <c r="BH1" s="450"/>
      <c r="BJ1" s="274"/>
      <c r="BK1" s="450"/>
      <c r="BM1" s="274"/>
      <c r="BN1" s="450"/>
      <c r="BP1" s="274"/>
      <c r="BQ1" s="450"/>
      <c r="BS1" s="274"/>
      <c r="BT1" s="450"/>
      <c r="BV1" s="274"/>
      <c r="BW1" s="450"/>
      <c r="BY1" s="274"/>
      <c r="BZ1" s="450"/>
      <c r="CB1" s="274"/>
      <c r="CC1" s="450"/>
      <c r="CE1" s="274"/>
      <c r="CF1" s="450"/>
      <c r="CH1" s="274"/>
      <c r="CI1" s="450"/>
      <c r="CK1" s="274"/>
      <c r="CL1" s="450"/>
      <c r="CN1" s="274"/>
      <c r="CO1" s="450"/>
      <c r="CQ1" s="274"/>
      <c r="CR1" s="450"/>
      <c r="CT1" s="274"/>
      <c r="CU1" s="450"/>
      <c r="CW1" s="274"/>
      <c r="CX1" s="450"/>
      <c r="CZ1" s="274"/>
      <c r="DA1" s="450"/>
      <c r="DC1" s="274"/>
      <c r="DD1" s="450"/>
      <c r="DF1" s="274"/>
      <c r="DG1" s="450"/>
      <c r="DI1" s="274"/>
      <c r="DJ1" s="450"/>
      <c r="DL1" s="274"/>
      <c r="DM1" s="450"/>
      <c r="DO1" s="274"/>
      <c r="DP1" s="450"/>
      <c r="DR1" s="274"/>
      <c r="DS1" s="450"/>
      <c r="DU1" s="274"/>
      <c r="DV1" s="450"/>
      <c r="DX1" s="274"/>
      <c r="DY1" s="450"/>
      <c r="DZ1" s="260"/>
      <c r="ED1" s="264"/>
      <c r="EE1" s="451" t="s">
        <v>118</v>
      </c>
      <c r="EI1" s="264" t="s">
        <v>59</v>
      </c>
      <c r="EM1" s="264"/>
      <c r="EN1" s="264" t="s">
        <v>120</v>
      </c>
      <c r="EO1" s="262" t="s">
        <v>121</v>
      </c>
      <c r="EP1" s="262" t="s">
        <v>122</v>
      </c>
      <c r="EQ1" s="262" t="s">
        <v>123</v>
      </c>
    </row>
    <row r="2" spans="1:147" s="263" customFormat="1" ht="13.5" thickBot="1">
      <c r="A2" s="262" t="s">
        <v>49</v>
      </c>
      <c r="B2" s="274"/>
      <c r="C2" s="450"/>
      <c r="E2" s="266"/>
      <c r="F2" s="450"/>
      <c r="G2" s="264"/>
      <c r="H2" s="274"/>
      <c r="I2" s="450"/>
      <c r="K2" s="274"/>
      <c r="L2" s="450"/>
      <c r="N2" s="274"/>
      <c r="O2" s="450"/>
      <c r="Q2" s="274"/>
      <c r="R2" s="450"/>
      <c r="T2" s="274"/>
      <c r="U2" s="450"/>
      <c r="W2" s="274"/>
      <c r="X2" s="450"/>
      <c r="Z2" s="274"/>
      <c r="AA2" s="450"/>
      <c r="AC2" s="274"/>
      <c r="AD2" s="450"/>
      <c r="AF2" s="274"/>
      <c r="AG2" s="450"/>
      <c r="AI2" s="274"/>
      <c r="AJ2" s="450"/>
      <c r="AL2" s="274"/>
      <c r="AM2" s="450"/>
      <c r="AO2" s="274"/>
      <c r="AP2" s="450"/>
      <c r="AR2" s="274"/>
      <c r="AS2" s="450"/>
      <c r="AU2" s="274"/>
      <c r="AV2" s="450"/>
      <c r="AX2" s="274"/>
      <c r="AY2" s="450"/>
      <c r="BA2" s="274"/>
      <c r="BB2" s="450"/>
      <c r="BD2" s="274"/>
      <c r="BE2" s="450"/>
      <c r="BG2" s="274"/>
      <c r="BH2" s="450"/>
      <c r="BJ2" s="274"/>
      <c r="BK2" s="450"/>
      <c r="BM2" s="274"/>
      <c r="BN2" s="450"/>
      <c r="BP2" s="274"/>
      <c r="BQ2" s="450"/>
      <c r="BS2" s="274"/>
      <c r="BT2" s="450"/>
      <c r="BV2" s="274"/>
      <c r="BW2" s="450"/>
      <c r="BY2" s="274"/>
      <c r="BZ2" s="450"/>
      <c r="CB2" s="274"/>
      <c r="CC2" s="450"/>
      <c r="CE2" s="274"/>
      <c r="CF2" s="450"/>
      <c r="CH2" s="274"/>
      <c r="CI2" s="450"/>
      <c r="CK2" s="274"/>
      <c r="CL2" s="450"/>
      <c r="CN2" s="274"/>
      <c r="CO2" s="450"/>
      <c r="CQ2" s="274"/>
      <c r="CR2" s="450"/>
      <c r="CT2" s="274"/>
      <c r="CU2" s="450"/>
      <c r="CW2" s="274"/>
      <c r="CX2" s="450"/>
      <c r="CZ2" s="274"/>
      <c r="DA2" s="450"/>
      <c r="DC2" s="274"/>
      <c r="DD2" s="450"/>
      <c r="DF2" s="274"/>
      <c r="DG2" s="450"/>
      <c r="DI2" s="274"/>
      <c r="DJ2" s="450"/>
      <c r="DL2" s="274"/>
      <c r="DM2" s="450"/>
      <c r="DO2" s="274"/>
      <c r="DP2" s="450"/>
      <c r="DR2" s="274"/>
      <c r="DS2" s="450"/>
      <c r="DU2" s="274"/>
      <c r="DV2" s="450"/>
      <c r="DX2" s="274"/>
      <c r="DY2" s="450"/>
      <c r="EB2" s="452" t="s">
        <v>51</v>
      </c>
      <c r="EC2" s="452"/>
      <c r="ED2" s="453"/>
      <c r="EE2" s="453">
        <f>EB40</f>
        <v>92325000</v>
      </c>
      <c r="EI2" s="453">
        <f>EG40</f>
        <v>0</v>
      </c>
      <c r="EM2" s="453"/>
      <c r="EN2" s="453">
        <f>EK40</f>
        <v>92325000</v>
      </c>
      <c r="EO2" s="274">
        <v>0</v>
      </c>
      <c r="EP2" s="274">
        <f>EN2+EO2</f>
        <v>92325000</v>
      </c>
      <c r="EQ2" s="274">
        <f>EE2+EO2</f>
        <v>92325000</v>
      </c>
    </row>
    <row r="3" spans="1:147" ht="13.5" thickTop="1">
      <c r="A3" s="454" t="s">
        <v>219</v>
      </c>
      <c r="E3" s="261" t="s">
        <v>50</v>
      </c>
      <c r="F3" s="458"/>
      <c r="G3" s="459"/>
      <c r="EB3" s="452" t="s">
        <v>52</v>
      </c>
      <c r="EC3" s="452"/>
      <c r="ED3" s="453"/>
      <c r="EE3" s="453">
        <f>AVERAGE(EB11:EB40)</f>
        <v>73955000</v>
      </c>
      <c r="EI3" s="453">
        <f>AVERAGE(EG11:EG40)</f>
        <v>0</v>
      </c>
      <c r="EM3" s="453"/>
      <c r="EN3" s="453">
        <f>AVERAGE(EK11:EK40)</f>
        <v>73955000</v>
      </c>
    </row>
    <row r="4" spans="1:147">
      <c r="D4" s="452"/>
      <c r="E4" s="460" t="s">
        <v>51</v>
      </c>
      <c r="F4" s="453"/>
      <c r="G4" s="461">
        <f>EQ2</f>
        <v>92325000</v>
      </c>
      <c r="AI4" s="262" t="s">
        <v>198</v>
      </c>
      <c r="EB4" s="452" t="s">
        <v>53</v>
      </c>
      <c r="EC4" s="452"/>
      <c r="ED4" s="462"/>
      <c r="EE4" s="462">
        <f>IF(EE3=0,0,360*(AVERAGE(ED11:ED40)/EE3))</f>
        <v>2.6622737926216396E-2</v>
      </c>
      <c r="EI4" s="462">
        <f>IF(EI3=0,0,360*(AVERAGE(EH11:EH40)/EI3))</f>
        <v>0</v>
      </c>
      <c r="EM4" s="462"/>
      <c r="EN4" s="462">
        <f>IF(EN3=0,0,360*(AVERAGE(EM11:EM40)/EN3))</f>
        <v>2.6622737926216396E-2</v>
      </c>
      <c r="EO4" s="263" t="s">
        <v>199</v>
      </c>
      <c r="EQ4" s="264" t="s">
        <v>198</v>
      </c>
    </row>
    <row r="5" spans="1:147">
      <c r="D5" s="452"/>
      <c r="E5" s="460" t="s">
        <v>52</v>
      </c>
      <c r="F5" s="453"/>
      <c r="G5" s="461">
        <f>EE3</f>
        <v>73955000</v>
      </c>
      <c r="AI5" s="463" t="s">
        <v>120</v>
      </c>
      <c r="EB5" s="464" t="s">
        <v>57</v>
      </c>
      <c r="EC5" s="464"/>
      <c r="ED5" s="453"/>
      <c r="EE5" s="453">
        <f>MAX(EB11:EB40)</f>
        <v>92325000</v>
      </c>
      <c r="EI5" s="453">
        <f>MAX(EG11:EG40)</f>
        <v>0</v>
      </c>
      <c r="EM5" s="453"/>
      <c r="EN5" s="453">
        <f>MAX(EK11:EK40)</f>
        <v>92325000</v>
      </c>
    </row>
    <row r="6" spans="1:147">
      <c r="D6" s="452"/>
      <c r="E6" s="460" t="s">
        <v>53</v>
      </c>
      <c r="F6" s="453"/>
      <c r="G6" s="465">
        <f>EE4</f>
        <v>2.6622737926216396E-2</v>
      </c>
    </row>
    <row r="7" spans="1:147" ht="13.5" thickBot="1">
      <c r="D7" s="452"/>
      <c r="E7" s="466" t="s">
        <v>57</v>
      </c>
      <c r="F7" s="467"/>
      <c r="G7" s="468">
        <f>EE5</f>
        <v>92325000</v>
      </c>
      <c r="AI7" s="463" t="s">
        <v>120</v>
      </c>
      <c r="EB7" s="265" t="s">
        <v>54</v>
      </c>
      <c r="EC7" s="265"/>
      <c r="ED7" s="469"/>
      <c r="EE7" s="469"/>
      <c r="EG7" s="265" t="s">
        <v>55</v>
      </c>
      <c r="EH7" s="469"/>
      <c r="EI7" s="469"/>
      <c r="EJ7" s="470"/>
      <c r="EK7" s="265" t="s">
        <v>56</v>
      </c>
      <c r="EL7" s="265"/>
      <c r="EM7" s="469"/>
      <c r="EN7" s="469"/>
    </row>
    <row r="8" spans="1:147" ht="13.5" thickTop="1">
      <c r="AI8" s="266" t="s">
        <v>112</v>
      </c>
      <c r="AL8" s="266" t="s">
        <v>112</v>
      </c>
      <c r="AO8" s="266" t="s">
        <v>112</v>
      </c>
      <c r="AR8" s="266" t="s">
        <v>112</v>
      </c>
      <c r="AU8" s="266" t="s">
        <v>112</v>
      </c>
      <c r="AX8" s="266" t="s">
        <v>112</v>
      </c>
      <c r="BA8" s="266" t="s">
        <v>112</v>
      </c>
      <c r="BD8" s="266" t="s">
        <v>112</v>
      </c>
      <c r="BG8" s="266" t="s">
        <v>112</v>
      </c>
      <c r="BJ8" s="266" t="s">
        <v>112</v>
      </c>
      <c r="BM8" s="266" t="s">
        <v>112</v>
      </c>
      <c r="BP8" s="266" t="s">
        <v>112</v>
      </c>
      <c r="BS8" s="266" t="s">
        <v>112</v>
      </c>
      <c r="BV8" s="266" t="s">
        <v>112</v>
      </c>
      <c r="BY8" s="266" t="s">
        <v>112</v>
      </c>
      <c r="CB8" s="266" t="s">
        <v>112</v>
      </c>
      <c r="CE8" s="266" t="s">
        <v>112</v>
      </c>
      <c r="CH8" s="266" t="s">
        <v>112</v>
      </c>
      <c r="CK8" s="266" t="s">
        <v>112</v>
      </c>
      <c r="CN8" s="266" t="s">
        <v>112</v>
      </c>
      <c r="CQ8" s="266" t="s">
        <v>112</v>
      </c>
      <c r="CT8" s="266" t="s">
        <v>112</v>
      </c>
      <c r="CW8" s="266" t="s">
        <v>112</v>
      </c>
      <c r="CZ8" s="266" t="s">
        <v>112</v>
      </c>
      <c r="DC8" s="266" t="s">
        <v>112</v>
      </c>
      <c r="DF8" s="266" t="s">
        <v>112</v>
      </c>
      <c r="DI8" s="266" t="s">
        <v>112</v>
      </c>
      <c r="DL8" s="266" t="s">
        <v>112</v>
      </c>
      <c r="DO8" s="266" t="s">
        <v>112</v>
      </c>
      <c r="DR8" s="266" t="s">
        <v>112</v>
      </c>
      <c r="EB8" s="471"/>
      <c r="EC8" s="471"/>
      <c r="ED8" s="471"/>
      <c r="EE8" s="471" t="s">
        <v>58</v>
      </c>
      <c r="EG8" s="471"/>
      <c r="EH8" s="267" t="s">
        <v>59</v>
      </c>
      <c r="EI8" s="471" t="s">
        <v>58</v>
      </c>
      <c r="EJ8" s="471"/>
      <c r="EK8" s="264" t="s">
        <v>113</v>
      </c>
      <c r="EL8" s="264" t="s">
        <v>114</v>
      </c>
      <c r="EM8" s="267" t="s">
        <v>60</v>
      </c>
      <c r="EN8" s="471" t="s">
        <v>58</v>
      </c>
    </row>
    <row r="9" spans="1:147">
      <c r="B9" s="472" t="s">
        <v>61</v>
      </c>
      <c r="C9" s="473"/>
      <c r="D9" s="469"/>
      <c r="E9" s="472" t="s">
        <v>62</v>
      </c>
      <c r="F9" s="473"/>
      <c r="G9" s="469"/>
      <c r="H9" s="472" t="s">
        <v>63</v>
      </c>
      <c r="I9" s="473"/>
      <c r="J9" s="469"/>
      <c r="K9" s="472" t="s">
        <v>64</v>
      </c>
      <c r="L9" s="473"/>
      <c r="M9" s="469"/>
      <c r="N9" s="472" t="s">
        <v>65</v>
      </c>
      <c r="O9" s="473"/>
      <c r="P9" s="469"/>
      <c r="Q9" s="472" t="s">
        <v>66</v>
      </c>
      <c r="R9" s="473"/>
      <c r="S9" s="469"/>
      <c r="T9" s="472" t="s">
        <v>67</v>
      </c>
      <c r="U9" s="473"/>
      <c r="V9" s="469"/>
      <c r="W9" s="472" t="s">
        <v>68</v>
      </c>
      <c r="X9" s="473"/>
      <c r="Y9" s="469"/>
      <c r="Z9" s="472" t="s">
        <v>69</v>
      </c>
      <c r="AA9" s="473"/>
      <c r="AB9" s="469"/>
      <c r="AC9" s="268" t="s">
        <v>70</v>
      </c>
      <c r="AD9" s="473"/>
      <c r="AE9" s="469"/>
      <c r="AF9" s="268" t="s">
        <v>71</v>
      </c>
      <c r="AG9" s="473"/>
      <c r="AH9" s="469"/>
      <c r="AI9" s="472" t="s">
        <v>72</v>
      </c>
      <c r="AJ9" s="473"/>
      <c r="AK9" s="469"/>
      <c r="AL9" s="472" t="s">
        <v>73</v>
      </c>
      <c r="AM9" s="473"/>
      <c r="AN9" s="469"/>
      <c r="AO9" s="472" t="s">
        <v>74</v>
      </c>
      <c r="AP9" s="473"/>
      <c r="AQ9" s="469"/>
      <c r="AR9" s="472" t="s">
        <v>75</v>
      </c>
      <c r="AS9" s="473"/>
      <c r="AT9" s="469"/>
      <c r="AU9" s="472" t="s">
        <v>76</v>
      </c>
      <c r="AV9" s="473"/>
      <c r="AW9" s="469"/>
      <c r="AX9" s="472" t="s">
        <v>77</v>
      </c>
      <c r="AY9" s="473"/>
      <c r="AZ9" s="469"/>
      <c r="BA9" s="472" t="s">
        <v>78</v>
      </c>
      <c r="BB9" s="473"/>
      <c r="BC9" s="469"/>
      <c r="BD9" s="472" t="s">
        <v>79</v>
      </c>
      <c r="BE9" s="473"/>
      <c r="BF9" s="469"/>
      <c r="BG9" s="472" t="s">
        <v>80</v>
      </c>
      <c r="BH9" s="473"/>
      <c r="BI9" s="469"/>
      <c r="BJ9" s="472" t="s">
        <v>81</v>
      </c>
      <c r="BK9" s="473"/>
      <c r="BL9" s="469"/>
      <c r="BM9" s="472" t="s">
        <v>82</v>
      </c>
      <c r="BN9" s="473"/>
      <c r="BO9" s="469"/>
      <c r="BP9" s="472" t="s">
        <v>83</v>
      </c>
      <c r="BQ9" s="473"/>
      <c r="BR9" s="469"/>
      <c r="BS9" s="472" t="s">
        <v>84</v>
      </c>
      <c r="BT9" s="473"/>
      <c r="BU9" s="469"/>
      <c r="BV9" s="472" t="s">
        <v>85</v>
      </c>
      <c r="BW9" s="473"/>
      <c r="BX9" s="469"/>
      <c r="BY9" s="472" t="s">
        <v>86</v>
      </c>
      <c r="BZ9" s="473"/>
      <c r="CA9" s="469"/>
      <c r="CB9" s="472" t="s">
        <v>87</v>
      </c>
      <c r="CC9" s="473"/>
      <c r="CD9" s="469"/>
      <c r="CE9" s="472" t="s">
        <v>88</v>
      </c>
      <c r="CF9" s="473"/>
      <c r="CG9" s="469"/>
      <c r="CH9" s="472" t="s">
        <v>89</v>
      </c>
      <c r="CI9" s="473"/>
      <c r="CJ9" s="469"/>
      <c r="CK9" s="472" t="s">
        <v>90</v>
      </c>
      <c r="CL9" s="473"/>
      <c r="CM9" s="469"/>
      <c r="CN9" s="472" t="s">
        <v>91</v>
      </c>
      <c r="CO9" s="473"/>
      <c r="CP9" s="469"/>
      <c r="CQ9" s="472" t="s">
        <v>92</v>
      </c>
      <c r="CR9" s="473"/>
      <c r="CS9" s="469"/>
      <c r="CT9" s="472" t="s">
        <v>93</v>
      </c>
      <c r="CU9" s="473"/>
      <c r="CV9" s="469"/>
      <c r="CW9" s="472" t="s">
        <v>94</v>
      </c>
      <c r="CX9" s="473"/>
      <c r="CY9" s="469"/>
      <c r="CZ9" s="472" t="s">
        <v>95</v>
      </c>
      <c r="DA9" s="473"/>
      <c r="DB9" s="469"/>
      <c r="DC9" s="472" t="s">
        <v>96</v>
      </c>
      <c r="DD9" s="473"/>
      <c r="DE9" s="469"/>
      <c r="DF9" s="472" t="s">
        <v>97</v>
      </c>
      <c r="DG9" s="473"/>
      <c r="DH9" s="469"/>
      <c r="DI9" s="472" t="s">
        <v>98</v>
      </c>
      <c r="DJ9" s="473"/>
      <c r="DK9" s="469"/>
      <c r="DL9" s="472" t="s">
        <v>99</v>
      </c>
      <c r="DM9" s="473"/>
      <c r="DN9" s="469"/>
      <c r="DO9" s="472" t="s">
        <v>100</v>
      </c>
      <c r="DP9" s="473"/>
      <c r="DQ9" s="469"/>
      <c r="DR9" s="472" t="s">
        <v>101</v>
      </c>
      <c r="DS9" s="473"/>
      <c r="DT9" s="469"/>
      <c r="DU9" s="472" t="s">
        <v>102</v>
      </c>
      <c r="DV9" s="473"/>
      <c r="DW9" s="469"/>
      <c r="DX9" s="269" t="s">
        <v>115</v>
      </c>
      <c r="DY9" s="473"/>
      <c r="DZ9" s="469"/>
      <c r="EA9" s="470"/>
      <c r="EB9" s="264" t="s">
        <v>116</v>
      </c>
      <c r="EC9" s="264" t="s">
        <v>117</v>
      </c>
      <c r="ED9" s="471" t="s">
        <v>103</v>
      </c>
      <c r="EE9" s="471" t="s">
        <v>104</v>
      </c>
      <c r="EG9" s="267" t="s">
        <v>105</v>
      </c>
      <c r="EH9" s="471" t="s">
        <v>103</v>
      </c>
      <c r="EI9" s="471" t="s">
        <v>104</v>
      </c>
      <c r="EJ9" s="471"/>
      <c r="EK9" s="267" t="s">
        <v>60</v>
      </c>
      <c r="EL9" s="267" t="s">
        <v>60</v>
      </c>
      <c r="EM9" s="471" t="s">
        <v>103</v>
      </c>
      <c r="EN9" s="471" t="s">
        <v>104</v>
      </c>
    </row>
    <row r="10" spans="1:147">
      <c r="A10" s="471" t="s">
        <v>106</v>
      </c>
      <c r="B10" s="270" t="s">
        <v>107</v>
      </c>
      <c r="C10" s="271" t="s">
        <v>108</v>
      </c>
      <c r="D10" s="272" t="s">
        <v>109</v>
      </c>
      <c r="E10" s="270" t="s">
        <v>107</v>
      </c>
      <c r="F10" s="271" t="s">
        <v>108</v>
      </c>
      <c r="G10" s="272" t="s">
        <v>109</v>
      </c>
      <c r="H10" s="270" t="s">
        <v>107</v>
      </c>
      <c r="I10" s="271" t="s">
        <v>108</v>
      </c>
      <c r="J10" s="272" t="s">
        <v>109</v>
      </c>
      <c r="K10" s="270" t="s">
        <v>107</v>
      </c>
      <c r="L10" s="271" t="s">
        <v>108</v>
      </c>
      <c r="M10" s="272" t="s">
        <v>109</v>
      </c>
      <c r="N10" s="270" t="s">
        <v>107</v>
      </c>
      <c r="O10" s="271" t="s">
        <v>108</v>
      </c>
      <c r="P10" s="272" t="s">
        <v>109</v>
      </c>
      <c r="Q10" s="270" t="s">
        <v>107</v>
      </c>
      <c r="R10" s="271" t="s">
        <v>108</v>
      </c>
      <c r="S10" s="272" t="s">
        <v>109</v>
      </c>
      <c r="T10" s="270" t="s">
        <v>107</v>
      </c>
      <c r="U10" s="271" t="s">
        <v>108</v>
      </c>
      <c r="V10" s="272" t="s">
        <v>109</v>
      </c>
      <c r="W10" s="270" t="s">
        <v>107</v>
      </c>
      <c r="X10" s="271" t="s">
        <v>108</v>
      </c>
      <c r="Y10" s="272" t="s">
        <v>109</v>
      </c>
      <c r="Z10" s="270" t="s">
        <v>107</v>
      </c>
      <c r="AA10" s="271" t="s">
        <v>108</v>
      </c>
      <c r="AB10" s="272" t="s">
        <v>109</v>
      </c>
      <c r="AC10" s="270" t="s">
        <v>107</v>
      </c>
      <c r="AD10" s="271" t="s">
        <v>108</v>
      </c>
      <c r="AE10" s="272" t="s">
        <v>109</v>
      </c>
      <c r="AF10" s="270" t="s">
        <v>107</v>
      </c>
      <c r="AG10" s="271" t="s">
        <v>108</v>
      </c>
      <c r="AH10" s="272" t="s">
        <v>109</v>
      </c>
      <c r="AI10" s="270" t="s">
        <v>107</v>
      </c>
      <c r="AJ10" s="271" t="s">
        <v>108</v>
      </c>
      <c r="AK10" s="272" t="s">
        <v>109</v>
      </c>
      <c r="AL10" s="270" t="s">
        <v>107</v>
      </c>
      <c r="AM10" s="271" t="s">
        <v>108</v>
      </c>
      <c r="AN10" s="272" t="s">
        <v>109</v>
      </c>
      <c r="AO10" s="270" t="s">
        <v>107</v>
      </c>
      <c r="AP10" s="271" t="s">
        <v>108</v>
      </c>
      <c r="AQ10" s="272" t="s">
        <v>109</v>
      </c>
      <c r="AR10" s="270" t="s">
        <v>107</v>
      </c>
      <c r="AS10" s="271" t="s">
        <v>108</v>
      </c>
      <c r="AT10" s="272" t="s">
        <v>109</v>
      </c>
      <c r="AU10" s="270" t="s">
        <v>107</v>
      </c>
      <c r="AV10" s="271" t="s">
        <v>108</v>
      </c>
      <c r="AW10" s="272" t="s">
        <v>109</v>
      </c>
      <c r="AX10" s="270" t="s">
        <v>107</v>
      </c>
      <c r="AY10" s="271" t="s">
        <v>108</v>
      </c>
      <c r="AZ10" s="272" t="s">
        <v>109</v>
      </c>
      <c r="BA10" s="270" t="s">
        <v>107</v>
      </c>
      <c r="BB10" s="271" t="s">
        <v>108</v>
      </c>
      <c r="BC10" s="272" t="s">
        <v>109</v>
      </c>
      <c r="BD10" s="270" t="s">
        <v>107</v>
      </c>
      <c r="BE10" s="271" t="s">
        <v>108</v>
      </c>
      <c r="BF10" s="272" t="s">
        <v>109</v>
      </c>
      <c r="BG10" s="270" t="s">
        <v>107</v>
      </c>
      <c r="BH10" s="271" t="s">
        <v>108</v>
      </c>
      <c r="BI10" s="272" t="s">
        <v>109</v>
      </c>
      <c r="BJ10" s="270" t="s">
        <v>107</v>
      </c>
      <c r="BK10" s="271" t="s">
        <v>108</v>
      </c>
      <c r="BL10" s="272" t="s">
        <v>109</v>
      </c>
      <c r="BM10" s="270" t="s">
        <v>107</v>
      </c>
      <c r="BN10" s="271" t="s">
        <v>108</v>
      </c>
      <c r="BO10" s="272" t="s">
        <v>109</v>
      </c>
      <c r="BP10" s="270" t="s">
        <v>107</v>
      </c>
      <c r="BQ10" s="271" t="s">
        <v>108</v>
      </c>
      <c r="BR10" s="272" t="s">
        <v>109</v>
      </c>
      <c r="BS10" s="270" t="s">
        <v>107</v>
      </c>
      <c r="BT10" s="271" t="s">
        <v>108</v>
      </c>
      <c r="BU10" s="272" t="s">
        <v>109</v>
      </c>
      <c r="BV10" s="270" t="s">
        <v>107</v>
      </c>
      <c r="BW10" s="271" t="s">
        <v>108</v>
      </c>
      <c r="BX10" s="272" t="s">
        <v>109</v>
      </c>
      <c r="BY10" s="270" t="s">
        <v>107</v>
      </c>
      <c r="BZ10" s="271" t="s">
        <v>108</v>
      </c>
      <c r="CA10" s="272" t="s">
        <v>109</v>
      </c>
      <c r="CB10" s="270" t="s">
        <v>107</v>
      </c>
      <c r="CC10" s="271" t="s">
        <v>108</v>
      </c>
      <c r="CD10" s="272" t="s">
        <v>109</v>
      </c>
      <c r="CE10" s="270" t="s">
        <v>107</v>
      </c>
      <c r="CF10" s="271" t="s">
        <v>108</v>
      </c>
      <c r="CG10" s="272" t="s">
        <v>109</v>
      </c>
      <c r="CH10" s="270" t="s">
        <v>107</v>
      </c>
      <c r="CI10" s="271" t="s">
        <v>108</v>
      </c>
      <c r="CJ10" s="272" t="s">
        <v>109</v>
      </c>
      <c r="CK10" s="270" t="s">
        <v>107</v>
      </c>
      <c r="CL10" s="271" t="s">
        <v>108</v>
      </c>
      <c r="CM10" s="272" t="s">
        <v>109</v>
      </c>
      <c r="CN10" s="270" t="s">
        <v>107</v>
      </c>
      <c r="CO10" s="271" t="s">
        <v>108</v>
      </c>
      <c r="CP10" s="272" t="s">
        <v>109</v>
      </c>
      <c r="CQ10" s="270" t="s">
        <v>107</v>
      </c>
      <c r="CR10" s="271" t="s">
        <v>108</v>
      </c>
      <c r="CS10" s="272" t="s">
        <v>109</v>
      </c>
      <c r="CT10" s="270" t="s">
        <v>107</v>
      </c>
      <c r="CU10" s="271" t="s">
        <v>108</v>
      </c>
      <c r="CV10" s="272" t="s">
        <v>109</v>
      </c>
      <c r="CW10" s="270" t="s">
        <v>107</v>
      </c>
      <c r="CX10" s="271" t="s">
        <v>108</v>
      </c>
      <c r="CY10" s="272" t="s">
        <v>109</v>
      </c>
      <c r="CZ10" s="270" t="s">
        <v>107</v>
      </c>
      <c r="DA10" s="271" t="s">
        <v>108</v>
      </c>
      <c r="DB10" s="272" t="s">
        <v>109</v>
      </c>
      <c r="DC10" s="270" t="s">
        <v>107</v>
      </c>
      <c r="DD10" s="271" t="s">
        <v>108</v>
      </c>
      <c r="DE10" s="272" t="s">
        <v>109</v>
      </c>
      <c r="DF10" s="270" t="s">
        <v>107</v>
      </c>
      <c r="DG10" s="271" t="s">
        <v>108</v>
      </c>
      <c r="DH10" s="272" t="s">
        <v>109</v>
      </c>
      <c r="DI10" s="270" t="s">
        <v>107</v>
      </c>
      <c r="DJ10" s="271" t="s">
        <v>108</v>
      </c>
      <c r="DK10" s="272" t="s">
        <v>109</v>
      </c>
      <c r="DL10" s="270" t="s">
        <v>107</v>
      </c>
      <c r="DM10" s="271" t="s">
        <v>108</v>
      </c>
      <c r="DN10" s="272" t="s">
        <v>109</v>
      </c>
      <c r="DO10" s="270" t="s">
        <v>107</v>
      </c>
      <c r="DP10" s="271" t="s">
        <v>108</v>
      </c>
      <c r="DQ10" s="272" t="s">
        <v>109</v>
      </c>
      <c r="DR10" s="270" t="s">
        <v>107</v>
      </c>
      <c r="DS10" s="271" t="s">
        <v>108</v>
      </c>
      <c r="DT10" s="272" t="s">
        <v>109</v>
      </c>
      <c r="DU10" s="270" t="s">
        <v>107</v>
      </c>
      <c r="DV10" s="271" t="s">
        <v>108</v>
      </c>
      <c r="DW10" s="272" t="s">
        <v>109</v>
      </c>
      <c r="DX10" s="270" t="s">
        <v>107</v>
      </c>
      <c r="DY10" s="271"/>
      <c r="DZ10" s="272"/>
      <c r="EA10" s="272"/>
      <c r="EB10" s="272" t="s">
        <v>110</v>
      </c>
      <c r="EC10" s="272" t="s">
        <v>110</v>
      </c>
      <c r="ED10" s="272" t="s">
        <v>109</v>
      </c>
      <c r="EE10" s="273" t="s">
        <v>108</v>
      </c>
      <c r="EG10" s="272" t="s">
        <v>110</v>
      </c>
      <c r="EH10" s="272" t="s">
        <v>109</v>
      </c>
      <c r="EI10" s="273" t="s">
        <v>108</v>
      </c>
      <c r="EJ10" s="273"/>
      <c r="EK10" s="272" t="s">
        <v>110</v>
      </c>
      <c r="EL10" s="272" t="s">
        <v>110</v>
      </c>
      <c r="EM10" s="272" t="s">
        <v>109</v>
      </c>
      <c r="EN10" s="273" t="s">
        <v>108</v>
      </c>
    </row>
    <row r="11" spans="1:147">
      <c r="A11" s="474">
        <v>43556</v>
      </c>
      <c r="D11" s="455">
        <f>(B11*C11)/360</f>
        <v>0</v>
      </c>
      <c r="G11" s="455">
        <f>(E11*F11)/360</f>
        <v>0</v>
      </c>
      <c r="J11" s="455">
        <f>(H11*I11)/360</f>
        <v>0</v>
      </c>
      <c r="M11" s="455">
        <f>(K11*L11)/360</f>
        <v>0</v>
      </c>
      <c r="P11" s="455">
        <f>(N11*O11)/360</f>
        <v>0</v>
      </c>
      <c r="S11" s="455">
        <f>(Q11*R11)/360</f>
        <v>0</v>
      </c>
      <c r="V11" s="455">
        <f>(T11*U11)/360</f>
        <v>0</v>
      </c>
      <c r="Y11" s="455">
        <f>(W11*X11)/360</f>
        <v>0</v>
      </c>
      <c r="AB11" s="455">
        <f>(Z11*AA11)/360</f>
        <v>0</v>
      </c>
      <c r="AE11" s="455">
        <v>0</v>
      </c>
      <c r="AH11" s="455">
        <v>0</v>
      </c>
      <c r="AI11" s="475">
        <f>82025000</f>
        <v>82025000</v>
      </c>
      <c r="AJ11" s="476">
        <v>2.7E-2</v>
      </c>
      <c r="AK11" s="455">
        <f>(AI11*AJ11)/360</f>
        <v>6151.875</v>
      </c>
      <c r="AN11" s="455">
        <f>(AL11*AM11)/360</f>
        <v>0</v>
      </c>
      <c r="AQ11" s="455">
        <f>(AO11*AP11)/360</f>
        <v>0</v>
      </c>
      <c r="AT11" s="455">
        <f>(AR11*AS11)/360</f>
        <v>0</v>
      </c>
      <c r="AW11" s="455">
        <f>(AU11*AV11)/360</f>
        <v>0</v>
      </c>
      <c r="AZ11" s="455">
        <f>(AX11*AY11)/360</f>
        <v>0</v>
      </c>
      <c r="BC11" s="455">
        <f>(BA11*BB11)/360</f>
        <v>0</v>
      </c>
      <c r="BF11" s="455">
        <f>(BD11*BE11)/360</f>
        <v>0</v>
      </c>
      <c r="BI11" s="455">
        <f>(BG11*BH11)/360</f>
        <v>0</v>
      </c>
      <c r="BL11" s="455">
        <f>(BJ11*BK11)/360</f>
        <v>0</v>
      </c>
      <c r="BO11" s="455">
        <f>(BM11*BN11)/360</f>
        <v>0</v>
      </c>
      <c r="BR11" s="455">
        <f>(BP11*BQ11)/360</f>
        <v>0</v>
      </c>
      <c r="BU11" s="455">
        <f>(BS11*BT11)/360</f>
        <v>0</v>
      </c>
      <c r="BX11" s="455">
        <f>(BV11*BW11)/360</f>
        <v>0</v>
      </c>
      <c r="CA11" s="455">
        <f>(BY11*BZ11)/360</f>
        <v>0</v>
      </c>
      <c r="CD11" s="455">
        <f>(CB11*CC11)/360</f>
        <v>0</v>
      </c>
      <c r="CG11" s="455">
        <f>(CE11*CF11)/360</f>
        <v>0</v>
      </c>
      <c r="CJ11" s="455">
        <f>(CH11*CI11)/360</f>
        <v>0</v>
      </c>
      <c r="CM11" s="455">
        <f>(CK11*CL11)/360</f>
        <v>0</v>
      </c>
      <c r="CP11" s="455">
        <f>(CN11*CO11)/360</f>
        <v>0</v>
      </c>
      <c r="CS11" s="455">
        <f>(CQ11*CR11)/360</f>
        <v>0</v>
      </c>
      <c r="CV11" s="455">
        <f>(CT11*CU11)/360</f>
        <v>0</v>
      </c>
      <c r="CY11" s="455">
        <f>(CW11*CX11)/360</f>
        <v>0</v>
      </c>
      <c r="DB11" s="455">
        <f>(CZ11*DA11)/360</f>
        <v>0</v>
      </c>
      <c r="DE11" s="455">
        <f>(DC11*DD11)/360</f>
        <v>0</v>
      </c>
      <c r="DH11" s="455">
        <f>(DF11*DG11)/360</f>
        <v>0</v>
      </c>
      <c r="DK11" s="455">
        <f>(DI11*DJ11)/360</f>
        <v>0</v>
      </c>
      <c r="DN11" s="455">
        <f>(DL11*DM11)/360</f>
        <v>0</v>
      </c>
      <c r="DQ11" s="455">
        <f>(DO11*DP11)/360</f>
        <v>0</v>
      </c>
      <c r="DT11" s="455">
        <f>(DR11*DS11)/360</f>
        <v>0</v>
      </c>
      <c r="DW11" s="455">
        <f>(DU11*DV11)/360</f>
        <v>0</v>
      </c>
      <c r="DZ11" s="455"/>
      <c r="EA11" s="455"/>
      <c r="EB11" s="274">
        <f>B11+E11+H11+K11+N11+Q11+T11+W11+Z11+AC11+AF11+AL11+AO11+AR11+AU11+AX11+BA11+BD11+BG11+DU11+AI11+DR11+DO11+DL11+DI11+DF11+DC11+CZ11+CW11+CT11+CQ11+CN11+CK11+CH11+CE11+CB11+BY11+BV11+BS11+BP11+BM11+BJ11</f>
        <v>82025000</v>
      </c>
      <c r="EC11" s="274">
        <f>EB11-EK11+EL11</f>
        <v>0</v>
      </c>
      <c r="ED11" s="455">
        <f>D11+G11+J11+M11+P11+S11+V11+Y11+AB11+AE11+AH11+AK11+AN11+AQ11+AT11+AW11+AZ11+BC11+BF11+BI11+DW11+DT11+DQ11+DN11+DK11+DH11+DE11+DB11+CY11+CV11+CS11+CP11+CM11+CJ11+CG11+CD11+CA11+BX11+BU11+BR11+BO11+BL11</f>
        <v>6151.875</v>
      </c>
      <c r="EE11" s="456">
        <f>IF(EB11&lt;&gt;0,((ED11/EB11)*360),0)</f>
        <v>2.6999999999999996E-2</v>
      </c>
      <c r="EG11" s="274">
        <f>Q11+T11+W11+Z11+AC11+AF11</f>
        <v>0</v>
      </c>
      <c r="EH11" s="455">
        <f>S11+V11+Y11+AB11+AE11+AH11</f>
        <v>0</v>
      </c>
      <c r="EI11" s="456">
        <f>IF(EG11&lt;&gt;0,((EH11/EG11)*360),0)</f>
        <v>0</v>
      </c>
      <c r="EJ11" s="456"/>
      <c r="EK11" s="274">
        <f>DR11+DL11+DI11+DF11+DC11+CZ11+CW11+CT11+CQ11+CN11+CK11+CH11+CE11+CB11+BY11+BV11+BS11+BP11+BM11+BJ11+BG11+BD11+BA11+AX11+AU11+AR11+AO11+AL11+AI11+DO11</f>
        <v>82025000</v>
      </c>
      <c r="EL11" s="274">
        <f>DX11</f>
        <v>0</v>
      </c>
      <c r="EM11" s="274">
        <f>DT11+DQ11+DN11+DK11+DH11+DE11+DB11+CY11+CV11+CS11+CP11+CM11+CJ11+CG11+CD11+CA11+BX11+BU11+BR11+BO11+BL11+BI11+BF11+BC11+AZ11+AW11+AT11+AQ11+AN11+AK11</f>
        <v>6151.875</v>
      </c>
      <c r="EN11" s="456">
        <f>IF(EK11&lt;&gt;0,((EM11/EK11)*360),0)</f>
        <v>2.6999999999999996E-2</v>
      </c>
    </row>
    <row r="12" spans="1:147">
      <c r="A12" s="474">
        <f>1+A11</f>
        <v>43557</v>
      </c>
      <c r="D12" s="455">
        <f t="shared" ref="D12:D40" si="0">(B12*C12)/360</f>
        <v>0</v>
      </c>
      <c r="G12" s="455">
        <f t="shared" ref="G12:G40" si="1">(E12*F12)/360</f>
        <v>0</v>
      </c>
      <c r="J12" s="455">
        <f t="shared" ref="J12:J40" si="2">(H12*I12)/360</f>
        <v>0</v>
      </c>
      <c r="M12" s="455">
        <f t="shared" ref="M12:M40" si="3">(K12*L12)/360</f>
        <v>0</v>
      </c>
      <c r="P12" s="455">
        <f t="shared" ref="P12:P40" si="4">(N12*O12)/360</f>
        <v>0</v>
      </c>
      <c r="S12" s="455">
        <f t="shared" ref="S12:S40" si="5">(Q12*R12)/360</f>
        <v>0</v>
      </c>
      <c r="V12" s="455">
        <f t="shared" ref="V12:V40" si="6">(T12*U12)/360</f>
        <v>0</v>
      </c>
      <c r="Y12" s="455">
        <f t="shared" ref="Y12:Y40" si="7">(W12*X12)/360</f>
        <v>0</v>
      </c>
      <c r="AB12" s="455">
        <f t="shared" ref="AB12:AB40" si="8">(Z12*AA12)/360</f>
        <v>0</v>
      </c>
      <c r="AE12" s="455">
        <v>0</v>
      </c>
      <c r="AH12" s="455">
        <v>0</v>
      </c>
      <c r="AI12" s="475">
        <f>66700000</f>
        <v>66700000</v>
      </c>
      <c r="AJ12" s="476">
        <v>2.7E-2</v>
      </c>
      <c r="AK12" s="455">
        <f t="shared" ref="AK12:AK40" si="9">(AI12*AJ12)/360</f>
        <v>5002.5</v>
      </c>
      <c r="AN12" s="455">
        <f t="shared" ref="AN12:AN40" si="10">(AL12*AM12)/360</f>
        <v>0</v>
      </c>
      <c r="AQ12" s="455">
        <f t="shared" ref="AQ12:AQ40" si="11">(AO12*AP12)/360</f>
        <v>0</v>
      </c>
      <c r="AT12" s="455">
        <f t="shared" ref="AT12:AT40" si="12">(AR12*AS12)/360</f>
        <v>0</v>
      </c>
      <c r="AW12" s="455">
        <f t="shared" ref="AW12:AW40" si="13">(AU12*AV12)/360</f>
        <v>0</v>
      </c>
      <c r="AZ12" s="455">
        <f t="shared" ref="AZ12:AZ40" si="14">(AX12*AY12)/360</f>
        <v>0</v>
      </c>
      <c r="BC12" s="455">
        <f t="shared" ref="BC12:BC40" si="15">(BA12*BB12)/360</f>
        <v>0</v>
      </c>
      <c r="BF12" s="455">
        <f t="shared" ref="BF12:BF40" si="16">(BD12*BE12)/360</f>
        <v>0</v>
      </c>
      <c r="BI12" s="455">
        <f t="shared" ref="BI12:BI40" si="17">(BG12*BH12)/360</f>
        <v>0</v>
      </c>
      <c r="BL12" s="455">
        <f t="shared" ref="BL12:BL40" si="18">(BJ12*BK12)/360</f>
        <v>0</v>
      </c>
      <c r="BO12" s="455">
        <f t="shared" ref="BO12:BO40" si="19">(BM12*BN12)/360</f>
        <v>0</v>
      </c>
      <c r="BR12" s="455">
        <f t="shared" ref="BR12:BR40" si="20">(BP12*BQ12)/360</f>
        <v>0</v>
      </c>
      <c r="BU12" s="455">
        <f t="shared" ref="BU12:BU40" si="21">(BS12*BT12)/360</f>
        <v>0</v>
      </c>
      <c r="BX12" s="455">
        <f t="shared" ref="BX12:BX40" si="22">(BV12*BW12)/360</f>
        <v>0</v>
      </c>
      <c r="CA12" s="455">
        <f t="shared" ref="CA12:CA40" si="23">(BY12*BZ12)/360</f>
        <v>0</v>
      </c>
      <c r="CD12" s="455">
        <f t="shared" ref="CD12:CD40" si="24">(CB12*CC12)/360</f>
        <v>0</v>
      </c>
      <c r="CG12" s="455">
        <f t="shared" ref="CG12:CG40" si="25">(CE12*CF12)/360</f>
        <v>0</v>
      </c>
      <c r="CJ12" s="455">
        <f t="shared" ref="CJ12:CJ40" si="26">(CH12*CI12)/360</f>
        <v>0</v>
      </c>
      <c r="CM12" s="455">
        <f t="shared" ref="CM12:CM40" si="27">(CK12*CL12)/360</f>
        <v>0</v>
      </c>
      <c r="CP12" s="455">
        <f t="shared" ref="CP12:CP40" si="28">(CN12*CO12)/360</f>
        <v>0</v>
      </c>
      <c r="CS12" s="455">
        <f t="shared" ref="CS12:CS40" si="29">(CQ12*CR12)/360</f>
        <v>0</v>
      </c>
      <c r="CV12" s="455">
        <f t="shared" ref="CV12:CV40" si="30">(CT12*CU12)/360</f>
        <v>0</v>
      </c>
      <c r="CY12" s="455">
        <f t="shared" ref="CY12:CY40" si="31">(CW12*CX12)/360</f>
        <v>0</v>
      </c>
      <c r="DB12" s="455">
        <f t="shared" ref="DB12:DB40" si="32">(CZ12*DA12)/360</f>
        <v>0</v>
      </c>
      <c r="DE12" s="455">
        <f t="shared" ref="DE12:DE40" si="33">(DC12*DD12)/360</f>
        <v>0</v>
      </c>
      <c r="DH12" s="455">
        <f t="shared" ref="DH12:DH40" si="34">(DF12*DG12)/360</f>
        <v>0</v>
      </c>
      <c r="DK12" s="455">
        <f t="shared" ref="DK12:DK40" si="35">(DI12*DJ12)/360</f>
        <v>0</v>
      </c>
      <c r="DN12" s="455">
        <f t="shared" ref="DN12:DN40" si="36">(DL12*DM12)/360</f>
        <v>0</v>
      </c>
      <c r="DQ12" s="455">
        <f t="shared" ref="DQ12:DQ40" si="37">(DO12*DP12)/360</f>
        <v>0</v>
      </c>
      <c r="DT12" s="455">
        <f t="shared" ref="DT12:DT40" si="38">(DR12*DS12)/360</f>
        <v>0</v>
      </c>
      <c r="DW12" s="455">
        <f t="shared" ref="DW12:DW40" si="39">(DU12*DV12)/360</f>
        <v>0</v>
      </c>
      <c r="DZ12" s="455"/>
      <c r="EA12" s="455"/>
      <c r="EB12" s="274">
        <f t="shared" ref="EB12:EB40" si="40">B12+E12+H12+K12+N12+Q12+T12+W12+Z12+AC12+AF12+AL12+AO12+AR12+AU12+AX12+BA12+BD12+BG12+DU12+AI12+DR12+DO12+DL12+DI12+DF12+DC12+CZ12+CW12+CT12+CQ12+CN12+CK12+CH12+CE12+CB12+BY12+BV12+BS12+BP12+BM12+BJ12</f>
        <v>66700000</v>
      </c>
      <c r="EC12" s="274">
        <f t="shared" ref="EC12:EC40" si="41">EB12-EK12+EL12</f>
        <v>0</v>
      </c>
      <c r="ED12" s="455">
        <f t="shared" ref="ED12:ED40" si="42">D12+G12+J12+M12+P12+S12+V12+Y12+AB12+AE12+AH12+AK12+AN12+AQ12+AT12+AW12+AZ12+BC12+BF12+BI12+DW12+DT12+DQ12+DN12+DK12+DH12+DE12+DB12+CY12+CV12+CS12+CP12+CM12+CJ12+CG12+CD12+CA12+BX12+BU12+BR12+BO12+BL12</f>
        <v>5002.5</v>
      </c>
      <c r="EE12" s="456">
        <f t="shared" ref="EE12:EE40" si="43">IF(EB12&lt;&gt;0,((ED12/EB12)*360),0)</f>
        <v>2.6999999999999996E-2</v>
      </c>
      <c r="EG12" s="274">
        <f t="shared" ref="EG12:EG40" si="44">Q12+T12+W12+Z12+AC12+AF12</f>
        <v>0</v>
      </c>
      <c r="EH12" s="455">
        <f t="shared" ref="EH12:EH40" si="45">S12+V12+Y12+AB12+AE12+AH12</f>
        <v>0</v>
      </c>
      <c r="EI12" s="456">
        <f t="shared" ref="EI12:EI40" si="46">IF(EG12&lt;&gt;0,((EH12/EG12)*360),0)</f>
        <v>0</v>
      </c>
      <c r="EJ12" s="456"/>
      <c r="EK12" s="274">
        <f t="shared" ref="EK12:EK40" si="47">DR12+DL12+DI12+DF12+DC12+CZ12+CW12+CT12+CQ12+CN12+CK12+CH12+CE12+CB12+BY12+BV12+BS12+BP12+BM12+BJ12+BG12+BD12+BA12+AX12+AU12+AR12+AO12+AL12+AI12+DO12</f>
        <v>66700000</v>
      </c>
      <c r="EL12" s="274">
        <f t="shared" ref="EL12:EL40" si="48">DX12</f>
        <v>0</v>
      </c>
      <c r="EM12" s="274">
        <f t="shared" ref="EM12:EM40" si="49">DT12+DQ12+DN12+DK12+DH12+DE12+DB12+CY12+CV12+CS12+CP12+CM12+CJ12+CG12+CD12+CA12+BX12+BU12+BR12+BO12+BL12+BI12+BF12+BC12+AZ12+AW12+AT12+AQ12+AN12+AK12</f>
        <v>5002.5</v>
      </c>
      <c r="EN12" s="456">
        <f t="shared" ref="EN12:EN40" si="50">IF(EK12&lt;&gt;0,((EM12/EK12)*360),0)</f>
        <v>2.6999999999999996E-2</v>
      </c>
    </row>
    <row r="13" spans="1:147">
      <c r="A13" s="474">
        <f t="shared" ref="A13:A40" si="51">1+A12</f>
        <v>43558</v>
      </c>
      <c r="D13" s="455">
        <f t="shared" si="0"/>
        <v>0</v>
      </c>
      <c r="G13" s="455">
        <f t="shared" si="1"/>
        <v>0</v>
      </c>
      <c r="J13" s="455">
        <f t="shared" si="2"/>
        <v>0</v>
      </c>
      <c r="M13" s="455">
        <f t="shared" si="3"/>
        <v>0</v>
      </c>
      <c r="P13" s="455">
        <f t="shared" si="4"/>
        <v>0</v>
      </c>
      <c r="S13" s="455">
        <f t="shared" si="5"/>
        <v>0</v>
      </c>
      <c r="V13" s="455">
        <f t="shared" si="6"/>
        <v>0</v>
      </c>
      <c r="Y13" s="455">
        <f t="shared" si="7"/>
        <v>0</v>
      </c>
      <c r="AB13" s="455">
        <f t="shared" si="8"/>
        <v>0</v>
      </c>
      <c r="AE13" s="455">
        <v>0</v>
      </c>
      <c r="AH13" s="455">
        <v>0</v>
      </c>
      <c r="AI13" s="475">
        <f>59775000</f>
        <v>59775000</v>
      </c>
      <c r="AJ13" s="476">
        <v>2.7E-2</v>
      </c>
      <c r="AK13" s="455">
        <f t="shared" si="9"/>
        <v>4483.125</v>
      </c>
      <c r="AN13" s="455">
        <f t="shared" si="10"/>
        <v>0</v>
      </c>
      <c r="AQ13" s="455">
        <f t="shared" si="11"/>
        <v>0</v>
      </c>
      <c r="AT13" s="455">
        <f t="shared" si="12"/>
        <v>0</v>
      </c>
      <c r="AW13" s="455">
        <f t="shared" si="13"/>
        <v>0</v>
      </c>
      <c r="AZ13" s="455">
        <f t="shared" si="14"/>
        <v>0</v>
      </c>
      <c r="BC13" s="455">
        <f t="shared" si="15"/>
        <v>0</v>
      </c>
      <c r="BF13" s="455">
        <f t="shared" si="16"/>
        <v>0</v>
      </c>
      <c r="BI13" s="455">
        <f t="shared" si="17"/>
        <v>0</v>
      </c>
      <c r="BL13" s="455">
        <f t="shared" si="18"/>
        <v>0</v>
      </c>
      <c r="BO13" s="455">
        <f t="shared" si="19"/>
        <v>0</v>
      </c>
      <c r="BR13" s="455">
        <f t="shared" si="20"/>
        <v>0</v>
      </c>
      <c r="BU13" s="455">
        <f t="shared" si="21"/>
        <v>0</v>
      </c>
      <c r="BX13" s="455">
        <f t="shared" si="22"/>
        <v>0</v>
      </c>
      <c r="CA13" s="455">
        <f t="shared" si="23"/>
        <v>0</v>
      </c>
      <c r="CD13" s="455">
        <f t="shared" si="24"/>
        <v>0</v>
      </c>
      <c r="CG13" s="455">
        <f t="shared" si="25"/>
        <v>0</v>
      </c>
      <c r="CJ13" s="455">
        <f t="shared" si="26"/>
        <v>0</v>
      </c>
      <c r="CM13" s="455">
        <f t="shared" si="27"/>
        <v>0</v>
      </c>
      <c r="CP13" s="455">
        <f t="shared" si="28"/>
        <v>0</v>
      </c>
      <c r="CS13" s="455">
        <f t="shared" si="29"/>
        <v>0</v>
      </c>
      <c r="CV13" s="455">
        <f t="shared" si="30"/>
        <v>0</v>
      </c>
      <c r="CY13" s="455">
        <f t="shared" si="31"/>
        <v>0</v>
      </c>
      <c r="DB13" s="455">
        <f t="shared" si="32"/>
        <v>0</v>
      </c>
      <c r="DE13" s="455">
        <f t="shared" si="33"/>
        <v>0</v>
      </c>
      <c r="DH13" s="455">
        <f t="shared" si="34"/>
        <v>0</v>
      </c>
      <c r="DK13" s="455">
        <f t="shared" si="35"/>
        <v>0</v>
      </c>
      <c r="DN13" s="455">
        <f t="shared" si="36"/>
        <v>0</v>
      </c>
      <c r="DQ13" s="455">
        <f t="shared" si="37"/>
        <v>0</v>
      </c>
      <c r="DT13" s="455">
        <f t="shared" si="38"/>
        <v>0</v>
      </c>
      <c r="DW13" s="455">
        <f t="shared" si="39"/>
        <v>0</v>
      </c>
      <c r="DZ13" s="455"/>
      <c r="EA13" s="455"/>
      <c r="EB13" s="274">
        <f t="shared" si="40"/>
        <v>59775000</v>
      </c>
      <c r="EC13" s="274">
        <f t="shared" si="41"/>
        <v>0</v>
      </c>
      <c r="ED13" s="455">
        <f t="shared" si="42"/>
        <v>4483.125</v>
      </c>
      <c r="EE13" s="456">
        <f t="shared" si="43"/>
        <v>2.6999999999999996E-2</v>
      </c>
      <c r="EG13" s="274">
        <f t="shared" si="44"/>
        <v>0</v>
      </c>
      <c r="EH13" s="455">
        <f t="shared" si="45"/>
        <v>0</v>
      </c>
      <c r="EI13" s="456">
        <f t="shared" si="46"/>
        <v>0</v>
      </c>
      <c r="EJ13" s="456"/>
      <c r="EK13" s="274">
        <f t="shared" si="47"/>
        <v>59775000</v>
      </c>
      <c r="EL13" s="274">
        <f t="shared" si="48"/>
        <v>0</v>
      </c>
      <c r="EM13" s="274">
        <f t="shared" si="49"/>
        <v>4483.125</v>
      </c>
      <c r="EN13" s="456">
        <f t="shared" si="50"/>
        <v>2.6999999999999996E-2</v>
      </c>
    </row>
    <row r="14" spans="1:147">
      <c r="A14" s="474">
        <f t="shared" si="51"/>
        <v>43559</v>
      </c>
      <c r="D14" s="455">
        <f t="shared" si="0"/>
        <v>0</v>
      </c>
      <c r="G14" s="455">
        <f t="shared" si="1"/>
        <v>0</v>
      </c>
      <c r="J14" s="455">
        <f t="shared" si="2"/>
        <v>0</v>
      </c>
      <c r="M14" s="455">
        <f t="shared" si="3"/>
        <v>0</v>
      </c>
      <c r="P14" s="455">
        <f t="shared" si="4"/>
        <v>0</v>
      </c>
      <c r="S14" s="455">
        <f t="shared" si="5"/>
        <v>0</v>
      </c>
      <c r="V14" s="455">
        <f t="shared" si="6"/>
        <v>0</v>
      </c>
      <c r="Y14" s="455">
        <f t="shared" si="7"/>
        <v>0</v>
      </c>
      <c r="AB14" s="455">
        <f t="shared" si="8"/>
        <v>0</v>
      </c>
      <c r="AE14" s="455">
        <v>0</v>
      </c>
      <c r="AH14" s="455">
        <v>0</v>
      </c>
      <c r="AI14" s="475">
        <f>83225000</f>
        <v>83225000</v>
      </c>
      <c r="AJ14" s="476">
        <v>2.7E-2</v>
      </c>
      <c r="AK14" s="455">
        <f t="shared" si="9"/>
        <v>6241.875</v>
      </c>
      <c r="AN14" s="455">
        <f t="shared" si="10"/>
        <v>0</v>
      </c>
      <c r="AQ14" s="455">
        <f t="shared" si="11"/>
        <v>0</v>
      </c>
      <c r="AT14" s="455">
        <f t="shared" si="12"/>
        <v>0</v>
      </c>
      <c r="AW14" s="455">
        <f t="shared" si="13"/>
        <v>0</v>
      </c>
      <c r="AZ14" s="455">
        <f t="shared" si="14"/>
        <v>0</v>
      </c>
      <c r="BC14" s="455">
        <f t="shared" si="15"/>
        <v>0</v>
      </c>
      <c r="BF14" s="455">
        <f t="shared" si="16"/>
        <v>0</v>
      </c>
      <c r="BI14" s="455">
        <f t="shared" si="17"/>
        <v>0</v>
      </c>
      <c r="BL14" s="455">
        <f t="shared" si="18"/>
        <v>0</v>
      </c>
      <c r="BO14" s="455">
        <f t="shared" si="19"/>
        <v>0</v>
      </c>
      <c r="BR14" s="455">
        <f t="shared" si="20"/>
        <v>0</v>
      </c>
      <c r="BU14" s="455">
        <f t="shared" si="21"/>
        <v>0</v>
      </c>
      <c r="BX14" s="455">
        <f t="shared" si="22"/>
        <v>0</v>
      </c>
      <c r="CA14" s="455">
        <f t="shared" si="23"/>
        <v>0</v>
      </c>
      <c r="CD14" s="455">
        <f t="shared" si="24"/>
        <v>0</v>
      </c>
      <c r="CG14" s="455">
        <f t="shared" si="25"/>
        <v>0</v>
      </c>
      <c r="CJ14" s="455">
        <f t="shared" si="26"/>
        <v>0</v>
      </c>
      <c r="CM14" s="455">
        <f t="shared" si="27"/>
        <v>0</v>
      </c>
      <c r="CP14" s="455">
        <f t="shared" si="28"/>
        <v>0</v>
      </c>
      <c r="CS14" s="455">
        <f t="shared" si="29"/>
        <v>0</v>
      </c>
      <c r="CV14" s="455">
        <f t="shared" si="30"/>
        <v>0</v>
      </c>
      <c r="CY14" s="455">
        <f t="shared" si="31"/>
        <v>0</v>
      </c>
      <c r="DB14" s="455">
        <f t="shared" si="32"/>
        <v>0</v>
      </c>
      <c r="DE14" s="455">
        <f t="shared" si="33"/>
        <v>0</v>
      </c>
      <c r="DH14" s="455">
        <f t="shared" si="34"/>
        <v>0</v>
      </c>
      <c r="DK14" s="455">
        <f t="shared" si="35"/>
        <v>0</v>
      </c>
      <c r="DN14" s="455">
        <f t="shared" si="36"/>
        <v>0</v>
      </c>
      <c r="DQ14" s="455">
        <f t="shared" si="37"/>
        <v>0</v>
      </c>
      <c r="DT14" s="455">
        <f t="shared" si="38"/>
        <v>0</v>
      </c>
      <c r="DW14" s="455">
        <f t="shared" si="39"/>
        <v>0</v>
      </c>
      <c r="DZ14" s="455"/>
      <c r="EA14" s="455"/>
      <c r="EB14" s="274">
        <f t="shared" si="40"/>
        <v>83225000</v>
      </c>
      <c r="EC14" s="274">
        <f t="shared" si="41"/>
        <v>0</v>
      </c>
      <c r="ED14" s="455">
        <f t="shared" si="42"/>
        <v>6241.875</v>
      </c>
      <c r="EE14" s="456">
        <f t="shared" si="43"/>
        <v>2.6999999999999996E-2</v>
      </c>
      <c r="EG14" s="274">
        <f t="shared" si="44"/>
        <v>0</v>
      </c>
      <c r="EH14" s="455">
        <f t="shared" si="45"/>
        <v>0</v>
      </c>
      <c r="EI14" s="456">
        <f t="shared" si="46"/>
        <v>0</v>
      </c>
      <c r="EJ14" s="456"/>
      <c r="EK14" s="274">
        <f t="shared" si="47"/>
        <v>83225000</v>
      </c>
      <c r="EL14" s="274">
        <f t="shared" si="48"/>
        <v>0</v>
      </c>
      <c r="EM14" s="274">
        <f t="shared" si="49"/>
        <v>6241.875</v>
      </c>
      <c r="EN14" s="456">
        <f t="shared" si="50"/>
        <v>2.6999999999999996E-2</v>
      </c>
    </row>
    <row r="15" spans="1:147">
      <c r="A15" s="474">
        <f t="shared" si="51"/>
        <v>43560</v>
      </c>
      <c r="D15" s="455">
        <f t="shared" si="0"/>
        <v>0</v>
      </c>
      <c r="G15" s="455">
        <f t="shared" si="1"/>
        <v>0</v>
      </c>
      <c r="J15" s="455">
        <f t="shared" si="2"/>
        <v>0</v>
      </c>
      <c r="M15" s="455">
        <f t="shared" si="3"/>
        <v>0</v>
      </c>
      <c r="P15" s="455">
        <f t="shared" si="4"/>
        <v>0</v>
      </c>
      <c r="S15" s="455">
        <f t="shared" si="5"/>
        <v>0</v>
      </c>
      <c r="V15" s="455">
        <f t="shared" si="6"/>
        <v>0</v>
      </c>
      <c r="Y15" s="455">
        <f t="shared" si="7"/>
        <v>0</v>
      </c>
      <c r="AB15" s="455">
        <f t="shared" si="8"/>
        <v>0</v>
      </c>
      <c r="AE15" s="455">
        <v>0</v>
      </c>
      <c r="AH15" s="455">
        <v>0</v>
      </c>
      <c r="AI15" s="475">
        <f>84300000</f>
        <v>84300000</v>
      </c>
      <c r="AJ15" s="476">
        <v>2.7E-2</v>
      </c>
      <c r="AK15" s="455">
        <f t="shared" si="9"/>
        <v>6322.5</v>
      </c>
      <c r="AN15" s="455">
        <f t="shared" si="10"/>
        <v>0</v>
      </c>
      <c r="AQ15" s="455">
        <f t="shared" si="11"/>
        <v>0</v>
      </c>
      <c r="AT15" s="455">
        <f t="shared" si="12"/>
        <v>0</v>
      </c>
      <c r="AW15" s="455">
        <f t="shared" si="13"/>
        <v>0</v>
      </c>
      <c r="AZ15" s="455">
        <f t="shared" si="14"/>
        <v>0</v>
      </c>
      <c r="BC15" s="455">
        <f t="shared" si="15"/>
        <v>0</v>
      </c>
      <c r="BF15" s="455">
        <f t="shared" si="16"/>
        <v>0</v>
      </c>
      <c r="BI15" s="455">
        <f t="shared" si="17"/>
        <v>0</v>
      </c>
      <c r="BL15" s="455">
        <f t="shared" si="18"/>
        <v>0</v>
      </c>
      <c r="BO15" s="455">
        <f t="shared" si="19"/>
        <v>0</v>
      </c>
      <c r="BR15" s="455">
        <f t="shared" si="20"/>
        <v>0</v>
      </c>
      <c r="BU15" s="455">
        <f t="shared" si="21"/>
        <v>0</v>
      </c>
      <c r="BX15" s="455">
        <f t="shared" si="22"/>
        <v>0</v>
      </c>
      <c r="CA15" s="455">
        <f t="shared" si="23"/>
        <v>0</v>
      </c>
      <c r="CD15" s="455">
        <f t="shared" si="24"/>
        <v>0</v>
      </c>
      <c r="CG15" s="455">
        <f t="shared" si="25"/>
        <v>0</v>
      </c>
      <c r="CJ15" s="455">
        <f t="shared" si="26"/>
        <v>0</v>
      </c>
      <c r="CM15" s="455">
        <f t="shared" si="27"/>
        <v>0</v>
      </c>
      <c r="CP15" s="455">
        <f t="shared" si="28"/>
        <v>0</v>
      </c>
      <c r="CS15" s="455">
        <f t="shared" si="29"/>
        <v>0</v>
      </c>
      <c r="CV15" s="455">
        <f t="shared" si="30"/>
        <v>0</v>
      </c>
      <c r="CY15" s="455">
        <f t="shared" si="31"/>
        <v>0</v>
      </c>
      <c r="DB15" s="455">
        <f t="shared" si="32"/>
        <v>0</v>
      </c>
      <c r="DE15" s="455">
        <f t="shared" si="33"/>
        <v>0</v>
      </c>
      <c r="DH15" s="455">
        <f t="shared" si="34"/>
        <v>0</v>
      </c>
      <c r="DK15" s="455">
        <f t="shared" si="35"/>
        <v>0</v>
      </c>
      <c r="DN15" s="455">
        <f t="shared" si="36"/>
        <v>0</v>
      </c>
      <c r="DQ15" s="455">
        <f t="shared" si="37"/>
        <v>0</v>
      </c>
      <c r="DT15" s="455">
        <f t="shared" si="38"/>
        <v>0</v>
      </c>
      <c r="DW15" s="455">
        <f t="shared" si="39"/>
        <v>0</v>
      </c>
      <c r="DZ15" s="455"/>
      <c r="EA15" s="455"/>
      <c r="EB15" s="274">
        <f t="shared" si="40"/>
        <v>84300000</v>
      </c>
      <c r="EC15" s="274">
        <f t="shared" si="41"/>
        <v>0</v>
      </c>
      <c r="ED15" s="455">
        <f t="shared" si="42"/>
        <v>6322.5</v>
      </c>
      <c r="EE15" s="456">
        <f t="shared" si="43"/>
        <v>2.6999999999999996E-2</v>
      </c>
      <c r="EG15" s="274">
        <f t="shared" si="44"/>
        <v>0</v>
      </c>
      <c r="EH15" s="455">
        <f t="shared" si="45"/>
        <v>0</v>
      </c>
      <c r="EI15" s="456">
        <f t="shared" si="46"/>
        <v>0</v>
      </c>
      <c r="EJ15" s="456"/>
      <c r="EK15" s="274">
        <f t="shared" si="47"/>
        <v>84300000</v>
      </c>
      <c r="EL15" s="274">
        <f t="shared" si="48"/>
        <v>0</v>
      </c>
      <c r="EM15" s="274">
        <f t="shared" si="49"/>
        <v>6322.5</v>
      </c>
      <c r="EN15" s="456">
        <f t="shared" si="50"/>
        <v>2.6999999999999996E-2</v>
      </c>
    </row>
    <row r="16" spans="1:147">
      <c r="A16" s="474">
        <f t="shared" si="51"/>
        <v>43561</v>
      </c>
      <c r="D16" s="455">
        <f t="shared" si="0"/>
        <v>0</v>
      </c>
      <c r="G16" s="455">
        <f t="shared" si="1"/>
        <v>0</v>
      </c>
      <c r="J16" s="455">
        <f t="shared" si="2"/>
        <v>0</v>
      </c>
      <c r="M16" s="455">
        <f t="shared" si="3"/>
        <v>0</v>
      </c>
      <c r="P16" s="455">
        <f t="shared" si="4"/>
        <v>0</v>
      </c>
      <c r="S16" s="455">
        <f t="shared" si="5"/>
        <v>0</v>
      </c>
      <c r="V16" s="455">
        <f t="shared" si="6"/>
        <v>0</v>
      </c>
      <c r="Y16" s="455">
        <f t="shared" si="7"/>
        <v>0</v>
      </c>
      <c r="AB16" s="455">
        <f t="shared" si="8"/>
        <v>0</v>
      </c>
      <c r="AE16" s="455">
        <v>0</v>
      </c>
      <c r="AH16" s="455">
        <v>0</v>
      </c>
      <c r="AI16" s="475">
        <f>84300000</f>
        <v>84300000</v>
      </c>
      <c r="AJ16" s="476">
        <v>2.7E-2</v>
      </c>
      <c r="AK16" s="455">
        <f t="shared" si="9"/>
        <v>6322.5</v>
      </c>
      <c r="AN16" s="455">
        <f t="shared" si="10"/>
        <v>0</v>
      </c>
      <c r="AQ16" s="455">
        <f t="shared" si="11"/>
        <v>0</v>
      </c>
      <c r="AT16" s="455">
        <f t="shared" si="12"/>
        <v>0</v>
      </c>
      <c r="AW16" s="455">
        <f t="shared" si="13"/>
        <v>0</v>
      </c>
      <c r="AZ16" s="455">
        <f t="shared" si="14"/>
        <v>0</v>
      </c>
      <c r="BC16" s="455">
        <f t="shared" si="15"/>
        <v>0</v>
      </c>
      <c r="BF16" s="455">
        <f t="shared" si="16"/>
        <v>0</v>
      </c>
      <c r="BI16" s="455">
        <f t="shared" si="17"/>
        <v>0</v>
      </c>
      <c r="BL16" s="455">
        <f t="shared" si="18"/>
        <v>0</v>
      </c>
      <c r="BO16" s="455">
        <f t="shared" si="19"/>
        <v>0</v>
      </c>
      <c r="BR16" s="455">
        <f t="shared" si="20"/>
        <v>0</v>
      </c>
      <c r="BU16" s="455">
        <f t="shared" si="21"/>
        <v>0</v>
      </c>
      <c r="BX16" s="455">
        <f t="shared" si="22"/>
        <v>0</v>
      </c>
      <c r="CA16" s="455">
        <f t="shared" si="23"/>
        <v>0</v>
      </c>
      <c r="CD16" s="455">
        <f t="shared" si="24"/>
        <v>0</v>
      </c>
      <c r="CG16" s="455">
        <f t="shared" si="25"/>
        <v>0</v>
      </c>
      <c r="CJ16" s="455">
        <f t="shared" si="26"/>
        <v>0</v>
      </c>
      <c r="CM16" s="455">
        <f t="shared" si="27"/>
        <v>0</v>
      </c>
      <c r="CP16" s="455">
        <f t="shared" si="28"/>
        <v>0</v>
      </c>
      <c r="CS16" s="455">
        <f t="shared" si="29"/>
        <v>0</v>
      </c>
      <c r="CV16" s="455">
        <f t="shared" si="30"/>
        <v>0</v>
      </c>
      <c r="CY16" s="455">
        <f t="shared" si="31"/>
        <v>0</v>
      </c>
      <c r="DB16" s="455">
        <f t="shared" si="32"/>
        <v>0</v>
      </c>
      <c r="DE16" s="455">
        <f t="shared" si="33"/>
        <v>0</v>
      </c>
      <c r="DH16" s="455">
        <f t="shared" si="34"/>
        <v>0</v>
      </c>
      <c r="DK16" s="455">
        <f t="shared" si="35"/>
        <v>0</v>
      </c>
      <c r="DN16" s="455">
        <f t="shared" si="36"/>
        <v>0</v>
      </c>
      <c r="DQ16" s="455">
        <f t="shared" si="37"/>
        <v>0</v>
      </c>
      <c r="DT16" s="455">
        <f t="shared" si="38"/>
        <v>0</v>
      </c>
      <c r="DW16" s="455">
        <f t="shared" si="39"/>
        <v>0</v>
      </c>
      <c r="DZ16" s="455"/>
      <c r="EA16" s="455"/>
      <c r="EB16" s="274">
        <f t="shared" si="40"/>
        <v>84300000</v>
      </c>
      <c r="EC16" s="274">
        <f t="shared" si="41"/>
        <v>0</v>
      </c>
      <c r="ED16" s="455">
        <f t="shared" si="42"/>
        <v>6322.5</v>
      </c>
      <c r="EE16" s="456">
        <f t="shared" si="43"/>
        <v>2.6999999999999996E-2</v>
      </c>
      <c r="EG16" s="274">
        <f t="shared" si="44"/>
        <v>0</v>
      </c>
      <c r="EH16" s="455">
        <f t="shared" si="45"/>
        <v>0</v>
      </c>
      <c r="EI16" s="456">
        <f t="shared" si="46"/>
        <v>0</v>
      </c>
      <c r="EJ16" s="456"/>
      <c r="EK16" s="274">
        <f t="shared" si="47"/>
        <v>84300000</v>
      </c>
      <c r="EL16" s="274">
        <f t="shared" si="48"/>
        <v>0</v>
      </c>
      <c r="EM16" s="274">
        <f t="shared" si="49"/>
        <v>6322.5</v>
      </c>
      <c r="EN16" s="456">
        <f t="shared" si="50"/>
        <v>2.6999999999999996E-2</v>
      </c>
    </row>
    <row r="17" spans="1:144">
      <c r="A17" s="474">
        <f t="shared" si="51"/>
        <v>43562</v>
      </c>
      <c r="D17" s="455">
        <f t="shared" si="0"/>
        <v>0</v>
      </c>
      <c r="G17" s="455">
        <f t="shared" si="1"/>
        <v>0</v>
      </c>
      <c r="J17" s="455">
        <f t="shared" si="2"/>
        <v>0</v>
      </c>
      <c r="M17" s="455">
        <f t="shared" si="3"/>
        <v>0</v>
      </c>
      <c r="P17" s="455">
        <f t="shared" si="4"/>
        <v>0</v>
      </c>
      <c r="S17" s="455">
        <f t="shared" si="5"/>
        <v>0</v>
      </c>
      <c r="V17" s="455">
        <f t="shared" si="6"/>
        <v>0</v>
      </c>
      <c r="Y17" s="455">
        <f t="shared" si="7"/>
        <v>0</v>
      </c>
      <c r="AB17" s="455">
        <f t="shared" si="8"/>
        <v>0</v>
      </c>
      <c r="AE17" s="455">
        <v>0</v>
      </c>
      <c r="AH17" s="455">
        <v>0</v>
      </c>
      <c r="AI17" s="475">
        <f>84300000</f>
        <v>84300000</v>
      </c>
      <c r="AJ17" s="476">
        <v>2.7E-2</v>
      </c>
      <c r="AK17" s="455">
        <f t="shared" si="9"/>
        <v>6322.5</v>
      </c>
      <c r="AN17" s="455">
        <f t="shared" si="10"/>
        <v>0</v>
      </c>
      <c r="AQ17" s="455">
        <f t="shared" si="11"/>
        <v>0</v>
      </c>
      <c r="AT17" s="455">
        <f t="shared" si="12"/>
        <v>0</v>
      </c>
      <c r="AW17" s="455">
        <f t="shared" si="13"/>
        <v>0</v>
      </c>
      <c r="AZ17" s="455">
        <f t="shared" si="14"/>
        <v>0</v>
      </c>
      <c r="BC17" s="455">
        <f t="shared" si="15"/>
        <v>0</v>
      </c>
      <c r="BF17" s="455">
        <f t="shared" si="16"/>
        <v>0</v>
      </c>
      <c r="BI17" s="455">
        <f t="shared" si="17"/>
        <v>0</v>
      </c>
      <c r="BL17" s="455">
        <f t="shared" si="18"/>
        <v>0</v>
      </c>
      <c r="BO17" s="455">
        <f t="shared" si="19"/>
        <v>0</v>
      </c>
      <c r="BR17" s="455">
        <f t="shared" si="20"/>
        <v>0</v>
      </c>
      <c r="BU17" s="455">
        <f t="shared" si="21"/>
        <v>0</v>
      </c>
      <c r="BX17" s="455">
        <f t="shared" si="22"/>
        <v>0</v>
      </c>
      <c r="CA17" s="455">
        <f t="shared" si="23"/>
        <v>0</v>
      </c>
      <c r="CD17" s="455">
        <f t="shared" si="24"/>
        <v>0</v>
      </c>
      <c r="CG17" s="455">
        <f t="shared" si="25"/>
        <v>0</v>
      </c>
      <c r="CJ17" s="455">
        <f t="shared" si="26"/>
        <v>0</v>
      </c>
      <c r="CM17" s="455">
        <f t="shared" si="27"/>
        <v>0</v>
      </c>
      <c r="CP17" s="455">
        <f t="shared" si="28"/>
        <v>0</v>
      </c>
      <c r="CS17" s="455">
        <f t="shared" si="29"/>
        <v>0</v>
      </c>
      <c r="CV17" s="455">
        <f t="shared" si="30"/>
        <v>0</v>
      </c>
      <c r="CY17" s="455">
        <f t="shared" si="31"/>
        <v>0</v>
      </c>
      <c r="DB17" s="455">
        <f t="shared" si="32"/>
        <v>0</v>
      </c>
      <c r="DE17" s="455">
        <f t="shared" si="33"/>
        <v>0</v>
      </c>
      <c r="DH17" s="455">
        <f t="shared" si="34"/>
        <v>0</v>
      </c>
      <c r="DK17" s="455">
        <f t="shared" si="35"/>
        <v>0</v>
      </c>
      <c r="DN17" s="455">
        <f t="shared" si="36"/>
        <v>0</v>
      </c>
      <c r="DQ17" s="455">
        <f t="shared" si="37"/>
        <v>0</v>
      </c>
      <c r="DT17" s="455">
        <f t="shared" si="38"/>
        <v>0</v>
      </c>
      <c r="DW17" s="455">
        <f t="shared" si="39"/>
        <v>0</v>
      </c>
      <c r="DZ17" s="455"/>
      <c r="EA17" s="455"/>
      <c r="EB17" s="274">
        <f t="shared" si="40"/>
        <v>84300000</v>
      </c>
      <c r="EC17" s="274">
        <f t="shared" si="41"/>
        <v>0</v>
      </c>
      <c r="ED17" s="455">
        <f t="shared" si="42"/>
        <v>6322.5</v>
      </c>
      <c r="EE17" s="456">
        <f t="shared" si="43"/>
        <v>2.6999999999999996E-2</v>
      </c>
      <c r="EG17" s="274">
        <f t="shared" si="44"/>
        <v>0</v>
      </c>
      <c r="EH17" s="455">
        <f t="shared" si="45"/>
        <v>0</v>
      </c>
      <c r="EI17" s="456">
        <f t="shared" si="46"/>
        <v>0</v>
      </c>
      <c r="EJ17" s="456"/>
      <c r="EK17" s="274">
        <f t="shared" si="47"/>
        <v>84300000</v>
      </c>
      <c r="EL17" s="274">
        <f t="shared" si="48"/>
        <v>0</v>
      </c>
      <c r="EM17" s="274">
        <f t="shared" si="49"/>
        <v>6322.5</v>
      </c>
      <c r="EN17" s="456">
        <f t="shared" si="50"/>
        <v>2.6999999999999996E-2</v>
      </c>
    </row>
    <row r="18" spans="1:144">
      <c r="A18" s="474">
        <f t="shared" si="51"/>
        <v>43563</v>
      </c>
      <c r="D18" s="455">
        <f t="shared" si="0"/>
        <v>0</v>
      </c>
      <c r="G18" s="455">
        <f t="shared" si="1"/>
        <v>0</v>
      </c>
      <c r="J18" s="455">
        <f t="shared" si="2"/>
        <v>0</v>
      </c>
      <c r="M18" s="455">
        <f t="shared" si="3"/>
        <v>0</v>
      </c>
      <c r="P18" s="455">
        <f t="shared" si="4"/>
        <v>0</v>
      </c>
      <c r="S18" s="455">
        <f t="shared" si="5"/>
        <v>0</v>
      </c>
      <c r="V18" s="455">
        <f t="shared" si="6"/>
        <v>0</v>
      </c>
      <c r="Y18" s="455">
        <f t="shared" si="7"/>
        <v>0</v>
      </c>
      <c r="AB18" s="455">
        <f t="shared" si="8"/>
        <v>0</v>
      </c>
      <c r="AE18" s="455">
        <v>0</v>
      </c>
      <c r="AH18" s="455">
        <v>0</v>
      </c>
      <c r="AI18" s="475">
        <f>82575000</f>
        <v>82575000</v>
      </c>
      <c r="AJ18" s="476">
        <v>2.6499999999999999E-2</v>
      </c>
      <c r="AK18" s="455">
        <f t="shared" si="9"/>
        <v>6078.4375</v>
      </c>
      <c r="AN18" s="455">
        <f t="shared" si="10"/>
        <v>0</v>
      </c>
      <c r="AQ18" s="455">
        <f t="shared" si="11"/>
        <v>0</v>
      </c>
      <c r="AT18" s="455">
        <f t="shared" si="12"/>
        <v>0</v>
      </c>
      <c r="AW18" s="455">
        <f t="shared" si="13"/>
        <v>0</v>
      </c>
      <c r="AZ18" s="455">
        <f t="shared" si="14"/>
        <v>0</v>
      </c>
      <c r="BC18" s="455">
        <f t="shared" si="15"/>
        <v>0</v>
      </c>
      <c r="BF18" s="455">
        <f t="shared" si="16"/>
        <v>0</v>
      </c>
      <c r="BI18" s="455">
        <f t="shared" si="17"/>
        <v>0</v>
      </c>
      <c r="BL18" s="455">
        <f t="shared" si="18"/>
        <v>0</v>
      </c>
      <c r="BO18" s="455">
        <f t="shared" si="19"/>
        <v>0</v>
      </c>
      <c r="BR18" s="455">
        <f t="shared" si="20"/>
        <v>0</v>
      </c>
      <c r="BU18" s="455">
        <f t="shared" si="21"/>
        <v>0</v>
      </c>
      <c r="BX18" s="455">
        <f t="shared" si="22"/>
        <v>0</v>
      </c>
      <c r="CA18" s="455">
        <f t="shared" si="23"/>
        <v>0</v>
      </c>
      <c r="CD18" s="455">
        <f t="shared" si="24"/>
        <v>0</v>
      </c>
      <c r="CG18" s="455">
        <f t="shared" si="25"/>
        <v>0</v>
      </c>
      <c r="CJ18" s="455">
        <f t="shared" si="26"/>
        <v>0</v>
      </c>
      <c r="CM18" s="455">
        <f t="shared" si="27"/>
        <v>0</v>
      </c>
      <c r="CP18" s="455">
        <f t="shared" si="28"/>
        <v>0</v>
      </c>
      <c r="CS18" s="455">
        <f t="shared" si="29"/>
        <v>0</v>
      </c>
      <c r="CV18" s="455">
        <f t="shared" si="30"/>
        <v>0</v>
      </c>
      <c r="CY18" s="455">
        <f t="shared" si="31"/>
        <v>0</v>
      </c>
      <c r="DB18" s="455">
        <f t="shared" si="32"/>
        <v>0</v>
      </c>
      <c r="DE18" s="455">
        <f t="shared" si="33"/>
        <v>0</v>
      </c>
      <c r="DH18" s="455">
        <f t="shared" si="34"/>
        <v>0</v>
      </c>
      <c r="DK18" s="455">
        <f t="shared" si="35"/>
        <v>0</v>
      </c>
      <c r="DN18" s="455">
        <f t="shared" si="36"/>
        <v>0</v>
      </c>
      <c r="DQ18" s="455">
        <f t="shared" si="37"/>
        <v>0</v>
      </c>
      <c r="DT18" s="455">
        <f t="shared" si="38"/>
        <v>0</v>
      </c>
      <c r="DW18" s="455">
        <f t="shared" si="39"/>
        <v>0</v>
      </c>
      <c r="DZ18" s="455"/>
      <c r="EA18" s="455"/>
      <c r="EB18" s="274">
        <f t="shared" si="40"/>
        <v>82575000</v>
      </c>
      <c r="EC18" s="274">
        <f t="shared" si="41"/>
        <v>0</v>
      </c>
      <c r="ED18" s="455">
        <f t="shared" si="42"/>
        <v>6078.4375</v>
      </c>
      <c r="EE18" s="456">
        <f t="shared" si="43"/>
        <v>2.6499999999999999E-2</v>
      </c>
      <c r="EG18" s="274">
        <f t="shared" si="44"/>
        <v>0</v>
      </c>
      <c r="EH18" s="455">
        <f t="shared" si="45"/>
        <v>0</v>
      </c>
      <c r="EI18" s="456">
        <f t="shared" si="46"/>
        <v>0</v>
      </c>
      <c r="EJ18" s="456"/>
      <c r="EK18" s="274">
        <f t="shared" si="47"/>
        <v>82575000</v>
      </c>
      <c r="EL18" s="274">
        <f t="shared" si="48"/>
        <v>0</v>
      </c>
      <c r="EM18" s="274">
        <f t="shared" si="49"/>
        <v>6078.4375</v>
      </c>
      <c r="EN18" s="456">
        <f t="shared" si="50"/>
        <v>2.6499999999999999E-2</v>
      </c>
    </row>
    <row r="19" spans="1:144">
      <c r="A19" s="474">
        <f t="shared" si="51"/>
        <v>43564</v>
      </c>
      <c r="D19" s="455">
        <f t="shared" si="0"/>
        <v>0</v>
      </c>
      <c r="G19" s="455">
        <f t="shared" si="1"/>
        <v>0</v>
      </c>
      <c r="J19" s="455">
        <f t="shared" si="2"/>
        <v>0</v>
      </c>
      <c r="M19" s="455">
        <f t="shared" si="3"/>
        <v>0</v>
      </c>
      <c r="P19" s="455">
        <f t="shared" si="4"/>
        <v>0</v>
      </c>
      <c r="S19" s="455">
        <f t="shared" si="5"/>
        <v>0</v>
      </c>
      <c r="V19" s="455">
        <f t="shared" si="6"/>
        <v>0</v>
      </c>
      <c r="Y19" s="455">
        <f t="shared" si="7"/>
        <v>0</v>
      </c>
      <c r="AB19" s="455">
        <f t="shared" si="8"/>
        <v>0</v>
      </c>
      <c r="AE19" s="455">
        <v>0</v>
      </c>
      <c r="AH19" s="455">
        <v>0</v>
      </c>
      <c r="AI19" s="475">
        <f>70700000</f>
        <v>70700000</v>
      </c>
      <c r="AJ19" s="476">
        <v>2.6499999999999999E-2</v>
      </c>
      <c r="AK19" s="455">
        <f t="shared" si="9"/>
        <v>5204.3055555555557</v>
      </c>
      <c r="AN19" s="455">
        <f t="shared" si="10"/>
        <v>0</v>
      </c>
      <c r="AQ19" s="455">
        <f t="shared" si="11"/>
        <v>0</v>
      </c>
      <c r="AT19" s="455">
        <f t="shared" si="12"/>
        <v>0</v>
      </c>
      <c r="AW19" s="455">
        <f t="shared" si="13"/>
        <v>0</v>
      </c>
      <c r="AZ19" s="455">
        <f t="shared" si="14"/>
        <v>0</v>
      </c>
      <c r="BC19" s="455">
        <f t="shared" si="15"/>
        <v>0</v>
      </c>
      <c r="BF19" s="455">
        <f t="shared" si="16"/>
        <v>0</v>
      </c>
      <c r="BI19" s="455">
        <f t="shared" si="17"/>
        <v>0</v>
      </c>
      <c r="BL19" s="455">
        <f t="shared" si="18"/>
        <v>0</v>
      </c>
      <c r="BO19" s="455">
        <f t="shared" si="19"/>
        <v>0</v>
      </c>
      <c r="BR19" s="455">
        <f t="shared" si="20"/>
        <v>0</v>
      </c>
      <c r="BU19" s="455">
        <f t="shared" si="21"/>
        <v>0</v>
      </c>
      <c r="BX19" s="455">
        <f t="shared" si="22"/>
        <v>0</v>
      </c>
      <c r="CA19" s="455">
        <f t="shared" si="23"/>
        <v>0</v>
      </c>
      <c r="CD19" s="455">
        <f t="shared" si="24"/>
        <v>0</v>
      </c>
      <c r="CG19" s="455">
        <f t="shared" si="25"/>
        <v>0</v>
      </c>
      <c r="CJ19" s="455">
        <f t="shared" si="26"/>
        <v>0</v>
      </c>
      <c r="CM19" s="455">
        <f t="shared" si="27"/>
        <v>0</v>
      </c>
      <c r="CP19" s="455">
        <f t="shared" si="28"/>
        <v>0</v>
      </c>
      <c r="CS19" s="455">
        <f t="shared" si="29"/>
        <v>0</v>
      </c>
      <c r="CV19" s="455">
        <f t="shared" si="30"/>
        <v>0</v>
      </c>
      <c r="CY19" s="455">
        <f t="shared" si="31"/>
        <v>0</v>
      </c>
      <c r="DB19" s="455">
        <f t="shared" si="32"/>
        <v>0</v>
      </c>
      <c r="DE19" s="455">
        <f t="shared" si="33"/>
        <v>0</v>
      </c>
      <c r="DH19" s="455">
        <f t="shared" si="34"/>
        <v>0</v>
      </c>
      <c r="DK19" s="455">
        <f t="shared" si="35"/>
        <v>0</v>
      </c>
      <c r="DN19" s="455">
        <f t="shared" si="36"/>
        <v>0</v>
      </c>
      <c r="DQ19" s="455">
        <f t="shared" si="37"/>
        <v>0</v>
      </c>
      <c r="DT19" s="455">
        <f t="shared" si="38"/>
        <v>0</v>
      </c>
      <c r="DW19" s="455">
        <f t="shared" si="39"/>
        <v>0</v>
      </c>
      <c r="DZ19" s="455"/>
      <c r="EA19" s="455"/>
      <c r="EB19" s="274">
        <f t="shared" si="40"/>
        <v>70700000</v>
      </c>
      <c r="EC19" s="274">
        <f t="shared" si="41"/>
        <v>0</v>
      </c>
      <c r="ED19" s="455">
        <f t="shared" si="42"/>
        <v>5204.3055555555557</v>
      </c>
      <c r="EE19" s="456">
        <f t="shared" si="43"/>
        <v>2.6499999999999999E-2</v>
      </c>
      <c r="EG19" s="274">
        <f t="shared" si="44"/>
        <v>0</v>
      </c>
      <c r="EH19" s="455">
        <f t="shared" si="45"/>
        <v>0</v>
      </c>
      <c r="EI19" s="456">
        <f t="shared" si="46"/>
        <v>0</v>
      </c>
      <c r="EJ19" s="456"/>
      <c r="EK19" s="274">
        <f t="shared" si="47"/>
        <v>70700000</v>
      </c>
      <c r="EL19" s="274">
        <f t="shared" si="48"/>
        <v>0</v>
      </c>
      <c r="EM19" s="274">
        <f t="shared" si="49"/>
        <v>5204.3055555555557</v>
      </c>
      <c r="EN19" s="456">
        <f t="shared" si="50"/>
        <v>2.6499999999999999E-2</v>
      </c>
    </row>
    <row r="20" spans="1:144">
      <c r="A20" s="474">
        <f t="shared" si="51"/>
        <v>43565</v>
      </c>
      <c r="D20" s="455">
        <f t="shared" si="0"/>
        <v>0</v>
      </c>
      <c r="G20" s="455">
        <f t="shared" si="1"/>
        <v>0</v>
      </c>
      <c r="J20" s="455">
        <f t="shared" si="2"/>
        <v>0</v>
      </c>
      <c r="M20" s="455">
        <f t="shared" si="3"/>
        <v>0</v>
      </c>
      <c r="P20" s="455">
        <f t="shared" si="4"/>
        <v>0</v>
      </c>
      <c r="S20" s="455">
        <f t="shared" si="5"/>
        <v>0</v>
      </c>
      <c r="V20" s="455">
        <f t="shared" si="6"/>
        <v>0</v>
      </c>
      <c r="Y20" s="455">
        <f t="shared" si="7"/>
        <v>0</v>
      </c>
      <c r="AB20" s="455">
        <f t="shared" si="8"/>
        <v>0</v>
      </c>
      <c r="AE20" s="455">
        <v>0</v>
      </c>
      <c r="AH20" s="455">
        <v>0</v>
      </c>
      <c r="AI20" s="475">
        <f>61675000</f>
        <v>61675000</v>
      </c>
      <c r="AJ20" s="476">
        <v>2.6499999999999999E-2</v>
      </c>
      <c r="AK20" s="455">
        <f t="shared" si="9"/>
        <v>4539.9652777777774</v>
      </c>
      <c r="AN20" s="455">
        <f t="shared" si="10"/>
        <v>0</v>
      </c>
      <c r="AQ20" s="455">
        <f t="shared" si="11"/>
        <v>0</v>
      </c>
      <c r="AT20" s="455">
        <f t="shared" si="12"/>
        <v>0</v>
      </c>
      <c r="AW20" s="455">
        <f t="shared" si="13"/>
        <v>0</v>
      </c>
      <c r="AZ20" s="455">
        <f t="shared" si="14"/>
        <v>0</v>
      </c>
      <c r="BC20" s="455">
        <f t="shared" si="15"/>
        <v>0</v>
      </c>
      <c r="BF20" s="455">
        <f t="shared" si="16"/>
        <v>0</v>
      </c>
      <c r="BI20" s="455">
        <f t="shared" si="17"/>
        <v>0</v>
      </c>
      <c r="BL20" s="455">
        <f t="shared" si="18"/>
        <v>0</v>
      </c>
      <c r="BO20" s="455">
        <f t="shared" si="19"/>
        <v>0</v>
      </c>
      <c r="BR20" s="455">
        <f t="shared" si="20"/>
        <v>0</v>
      </c>
      <c r="BU20" s="455">
        <f t="shared" si="21"/>
        <v>0</v>
      </c>
      <c r="BX20" s="455">
        <f t="shared" si="22"/>
        <v>0</v>
      </c>
      <c r="CA20" s="455">
        <f t="shared" si="23"/>
        <v>0</v>
      </c>
      <c r="CD20" s="455">
        <f t="shared" si="24"/>
        <v>0</v>
      </c>
      <c r="CG20" s="455">
        <f t="shared" si="25"/>
        <v>0</v>
      </c>
      <c r="CJ20" s="455">
        <f t="shared" si="26"/>
        <v>0</v>
      </c>
      <c r="CM20" s="455">
        <f t="shared" si="27"/>
        <v>0</v>
      </c>
      <c r="CP20" s="455">
        <f t="shared" si="28"/>
        <v>0</v>
      </c>
      <c r="CS20" s="455">
        <f t="shared" si="29"/>
        <v>0</v>
      </c>
      <c r="CV20" s="455">
        <f t="shared" si="30"/>
        <v>0</v>
      </c>
      <c r="CY20" s="455">
        <f t="shared" si="31"/>
        <v>0</v>
      </c>
      <c r="DB20" s="455">
        <f t="shared" si="32"/>
        <v>0</v>
      </c>
      <c r="DE20" s="455">
        <f t="shared" si="33"/>
        <v>0</v>
      </c>
      <c r="DH20" s="455">
        <f t="shared" si="34"/>
        <v>0</v>
      </c>
      <c r="DK20" s="455">
        <f t="shared" si="35"/>
        <v>0</v>
      </c>
      <c r="DN20" s="455">
        <f t="shared" si="36"/>
        <v>0</v>
      </c>
      <c r="DQ20" s="455">
        <f t="shared" si="37"/>
        <v>0</v>
      </c>
      <c r="DT20" s="455">
        <f t="shared" si="38"/>
        <v>0</v>
      </c>
      <c r="DW20" s="455">
        <f t="shared" si="39"/>
        <v>0</v>
      </c>
      <c r="DZ20" s="455"/>
      <c r="EA20" s="455"/>
      <c r="EB20" s="274">
        <f t="shared" si="40"/>
        <v>61675000</v>
      </c>
      <c r="EC20" s="274">
        <f t="shared" si="41"/>
        <v>0</v>
      </c>
      <c r="ED20" s="455">
        <f t="shared" si="42"/>
        <v>4539.9652777777774</v>
      </c>
      <c r="EE20" s="456">
        <f t="shared" si="43"/>
        <v>2.6499999999999996E-2</v>
      </c>
      <c r="EG20" s="274">
        <f t="shared" si="44"/>
        <v>0</v>
      </c>
      <c r="EH20" s="455">
        <f t="shared" si="45"/>
        <v>0</v>
      </c>
      <c r="EI20" s="456">
        <f t="shared" si="46"/>
        <v>0</v>
      </c>
      <c r="EJ20" s="456"/>
      <c r="EK20" s="274">
        <f t="shared" si="47"/>
        <v>61675000</v>
      </c>
      <c r="EL20" s="274">
        <f t="shared" si="48"/>
        <v>0</v>
      </c>
      <c r="EM20" s="274">
        <f t="shared" si="49"/>
        <v>4539.9652777777774</v>
      </c>
      <c r="EN20" s="456">
        <f t="shared" si="50"/>
        <v>2.6499999999999996E-2</v>
      </c>
    </row>
    <row r="21" spans="1:144">
      <c r="A21" s="474">
        <f t="shared" si="51"/>
        <v>43566</v>
      </c>
      <c r="D21" s="455">
        <f t="shared" si="0"/>
        <v>0</v>
      </c>
      <c r="G21" s="455">
        <f t="shared" si="1"/>
        <v>0</v>
      </c>
      <c r="J21" s="455">
        <f t="shared" si="2"/>
        <v>0</v>
      </c>
      <c r="M21" s="455">
        <f t="shared" si="3"/>
        <v>0</v>
      </c>
      <c r="P21" s="455">
        <f t="shared" si="4"/>
        <v>0</v>
      </c>
      <c r="S21" s="455">
        <f t="shared" si="5"/>
        <v>0</v>
      </c>
      <c r="V21" s="455">
        <f t="shared" si="6"/>
        <v>0</v>
      </c>
      <c r="Y21" s="455">
        <f t="shared" si="7"/>
        <v>0</v>
      </c>
      <c r="AB21" s="455">
        <f t="shared" si="8"/>
        <v>0</v>
      </c>
      <c r="AE21" s="455">
        <v>0</v>
      </c>
      <c r="AH21" s="455">
        <v>0</v>
      </c>
      <c r="AI21" s="475">
        <f>53250000</f>
        <v>53250000</v>
      </c>
      <c r="AJ21" s="476">
        <v>2.6499999999999999E-2</v>
      </c>
      <c r="AK21" s="455">
        <f t="shared" si="9"/>
        <v>3919.7916666666665</v>
      </c>
      <c r="AN21" s="455">
        <f t="shared" si="10"/>
        <v>0</v>
      </c>
      <c r="AQ21" s="455">
        <f t="shared" si="11"/>
        <v>0</v>
      </c>
      <c r="AT21" s="455">
        <f t="shared" si="12"/>
        <v>0</v>
      </c>
      <c r="AW21" s="455">
        <f t="shared" si="13"/>
        <v>0</v>
      </c>
      <c r="AZ21" s="455">
        <f t="shared" si="14"/>
        <v>0</v>
      </c>
      <c r="BC21" s="455">
        <f t="shared" si="15"/>
        <v>0</v>
      </c>
      <c r="BF21" s="455">
        <f t="shared" si="16"/>
        <v>0</v>
      </c>
      <c r="BI21" s="455">
        <f t="shared" si="17"/>
        <v>0</v>
      </c>
      <c r="BL21" s="455">
        <f t="shared" si="18"/>
        <v>0</v>
      </c>
      <c r="BO21" s="455">
        <f t="shared" si="19"/>
        <v>0</v>
      </c>
      <c r="BR21" s="455">
        <f t="shared" si="20"/>
        <v>0</v>
      </c>
      <c r="BU21" s="455">
        <f t="shared" si="21"/>
        <v>0</v>
      </c>
      <c r="BX21" s="455">
        <f t="shared" si="22"/>
        <v>0</v>
      </c>
      <c r="CA21" s="455">
        <f t="shared" si="23"/>
        <v>0</v>
      </c>
      <c r="CD21" s="455">
        <f t="shared" si="24"/>
        <v>0</v>
      </c>
      <c r="CG21" s="455">
        <f t="shared" si="25"/>
        <v>0</v>
      </c>
      <c r="CJ21" s="455">
        <f t="shared" si="26"/>
        <v>0</v>
      </c>
      <c r="CM21" s="455">
        <f t="shared" si="27"/>
        <v>0</v>
      </c>
      <c r="CP21" s="455">
        <f t="shared" si="28"/>
        <v>0</v>
      </c>
      <c r="CS21" s="455">
        <f t="shared" si="29"/>
        <v>0</v>
      </c>
      <c r="CV21" s="455">
        <f t="shared" si="30"/>
        <v>0</v>
      </c>
      <c r="CY21" s="455">
        <f t="shared" si="31"/>
        <v>0</v>
      </c>
      <c r="DB21" s="455">
        <f t="shared" si="32"/>
        <v>0</v>
      </c>
      <c r="DE21" s="455">
        <f t="shared" si="33"/>
        <v>0</v>
      </c>
      <c r="DH21" s="455">
        <f t="shared" si="34"/>
        <v>0</v>
      </c>
      <c r="DK21" s="455">
        <f t="shared" si="35"/>
        <v>0</v>
      </c>
      <c r="DN21" s="455">
        <f t="shared" si="36"/>
        <v>0</v>
      </c>
      <c r="DQ21" s="455">
        <f t="shared" si="37"/>
        <v>0</v>
      </c>
      <c r="DT21" s="455">
        <f t="shared" si="38"/>
        <v>0</v>
      </c>
      <c r="DW21" s="455">
        <f t="shared" si="39"/>
        <v>0</v>
      </c>
      <c r="DZ21" s="455"/>
      <c r="EA21" s="455"/>
      <c r="EB21" s="274">
        <f t="shared" si="40"/>
        <v>53250000</v>
      </c>
      <c r="EC21" s="274">
        <f t="shared" si="41"/>
        <v>0</v>
      </c>
      <c r="ED21" s="455">
        <f t="shared" si="42"/>
        <v>3919.7916666666665</v>
      </c>
      <c r="EE21" s="456">
        <f t="shared" si="43"/>
        <v>2.6499999999999999E-2</v>
      </c>
      <c r="EG21" s="274">
        <f t="shared" si="44"/>
        <v>0</v>
      </c>
      <c r="EH21" s="455">
        <f t="shared" si="45"/>
        <v>0</v>
      </c>
      <c r="EI21" s="456">
        <f t="shared" si="46"/>
        <v>0</v>
      </c>
      <c r="EJ21" s="456"/>
      <c r="EK21" s="274">
        <f t="shared" si="47"/>
        <v>53250000</v>
      </c>
      <c r="EL21" s="274">
        <f t="shared" si="48"/>
        <v>0</v>
      </c>
      <c r="EM21" s="274">
        <f t="shared" si="49"/>
        <v>3919.7916666666665</v>
      </c>
      <c r="EN21" s="456">
        <f t="shared" si="50"/>
        <v>2.6499999999999999E-2</v>
      </c>
    </row>
    <row r="22" spans="1:144">
      <c r="A22" s="474">
        <f t="shared" si="51"/>
        <v>43567</v>
      </c>
      <c r="D22" s="455">
        <f t="shared" si="0"/>
        <v>0</v>
      </c>
      <c r="G22" s="455">
        <f t="shared" si="1"/>
        <v>0</v>
      </c>
      <c r="J22" s="455">
        <f t="shared" si="2"/>
        <v>0</v>
      </c>
      <c r="M22" s="455">
        <f t="shared" si="3"/>
        <v>0</v>
      </c>
      <c r="P22" s="455">
        <f t="shared" si="4"/>
        <v>0</v>
      </c>
      <c r="S22" s="455">
        <f t="shared" si="5"/>
        <v>0</v>
      </c>
      <c r="V22" s="455">
        <f t="shared" si="6"/>
        <v>0</v>
      </c>
      <c r="Y22" s="455">
        <f t="shared" si="7"/>
        <v>0</v>
      </c>
      <c r="AB22" s="455">
        <f t="shared" si="8"/>
        <v>0</v>
      </c>
      <c r="AE22" s="455">
        <v>0</v>
      </c>
      <c r="AH22" s="455">
        <v>0</v>
      </c>
      <c r="AI22" s="475">
        <f>70750000</f>
        <v>70750000</v>
      </c>
      <c r="AJ22" s="476">
        <v>2.6499999999999999E-2</v>
      </c>
      <c r="AK22" s="455">
        <f t="shared" si="9"/>
        <v>5207.9861111111113</v>
      </c>
      <c r="AN22" s="455">
        <f t="shared" si="10"/>
        <v>0</v>
      </c>
      <c r="AQ22" s="455">
        <f t="shared" si="11"/>
        <v>0</v>
      </c>
      <c r="AT22" s="455">
        <f t="shared" si="12"/>
        <v>0</v>
      </c>
      <c r="AW22" s="455">
        <f t="shared" si="13"/>
        <v>0</v>
      </c>
      <c r="AZ22" s="455">
        <f t="shared" si="14"/>
        <v>0</v>
      </c>
      <c r="BC22" s="455">
        <f t="shared" si="15"/>
        <v>0</v>
      </c>
      <c r="BF22" s="455">
        <f t="shared" si="16"/>
        <v>0</v>
      </c>
      <c r="BI22" s="455">
        <f t="shared" si="17"/>
        <v>0</v>
      </c>
      <c r="BL22" s="455">
        <f t="shared" si="18"/>
        <v>0</v>
      </c>
      <c r="BO22" s="455">
        <f t="shared" si="19"/>
        <v>0</v>
      </c>
      <c r="BR22" s="455">
        <f t="shared" si="20"/>
        <v>0</v>
      </c>
      <c r="BU22" s="455">
        <f t="shared" si="21"/>
        <v>0</v>
      </c>
      <c r="BX22" s="455">
        <f t="shared" si="22"/>
        <v>0</v>
      </c>
      <c r="CA22" s="455">
        <f t="shared" si="23"/>
        <v>0</v>
      </c>
      <c r="CD22" s="455">
        <f t="shared" si="24"/>
        <v>0</v>
      </c>
      <c r="CG22" s="455">
        <f t="shared" si="25"/>
        <v>0</v>
      </c>
      <c r="CJ22" s="455">
        <f t="shared" si="26"/>
        <v>0</v>
      </c>
      <c r="CM22" s="455">
        <f t="shared" si="27"/>
        <v>0</v>
      </c>
      <c r="CP22" s="455">
        <f t="shared" si="28"/>
        <v>0</v>
      </c>
      <c r="CS22" s="455">
        <f t="shared" si="29"/>
        <v>0</v>
      </c>
      <c r="CV22" s="455">
        <f t="shared" si="30"/>
        <v>0</v>
      </c>
      <c r="CY22" s="455">
        <f t="shared" si="31"/>
        <v>0</v>
      </c>
      <c r="DB22" s="455">
        <f t="shared" si="32"/>
        <v>0</v>
      </c>
      <c r="DE22" s="455">
        <f t="shared" si="33"/>
        <v>0</v>
      </c>
      <c r="DH22" s="455">
        <f t="shared" si="34"/>
        <v>0</v>
      </c>
      <c r="DK22" s="455">
        <f t="shared" si="35"/>
        <v>0</v>
      </c>
      <c r="DN22" s="455">
        <f t="shared" si="36"/>
        <v>0</v>
      </c>
      <c r="DQ22" s="455">
        <f t="shared" si="37"/>
        <v>0</v>
      </c>
      <c r="DT22" s="455">
        <f t="shared" si="38"/>
        <v>0</v>
      </c>
      <c r="DW22" s="455">
        <f t="shared" si="39"/>
        <v>0</v>
      </c>
      <c r="DZ22" s="455"/>
      <c r="EA22" s="455"/>
      <c r="EB22" s="274">
        <f t="shared" si="40"/>
        <v>70750000</v>
      </c>
      <c r="EC22" s="274">
        <f t="shared" si="41"/>
        <v>0</v>
      </c>
      <c r="ED22" s="455">
        <f t="shared" si="42"/>
        <v>5207.9861111111113</v>
      </c>
      <c r="EE22" s="456">
        <f t="shared" si="43"/>
        <v>2.6499999999999999E-2</v>
      </c>
      <c r="EG22" s="274">
        <f t="shared" si="44"/>
        <v>0</v>
      </c>
      <c r="EH22" s="455">
        <f t="shared" si="45"/>
        <v>0</v>
      </c>
      <c r="EI22" s="456">
        <f t="shared" si="46"/>
        <v>0</v>
      </c>
      <c r="EJ22" s="456"/>
      <c r="EK22" s="274">
        <f t="shared" si="47"/>
        <v>70750000</v>
      </c>
      <c r="EL22" s="274">
        <f t="shared" si="48"/>
        <v>0</v>
      </c>
      <c r="EM22" s="274">
        <f t="shared" si="49"/>
        <v>5207.9861111111113</v>
      </c>
      <c r="EN22" s="456">
        <f t="shared" si="50"/>
        <v>2.6499999999999999E-2</v>
      </c>
    </row>
    <row r="23" spans="1:144">
      <c r="A23" s="474">
        <f t="shared" si="51"/>
        <v>43568</v>
      </c>
      <c r="D23" s="455">
        <f t="shared" si="0"/>
        <v>0</v>
      </c>
      <c r="G23" s="455">
        <f t="shared" si="1"/>
        <v>0</v>
      </c>
      <c r="J23" s="455">
        <f t="shared" si="2"/>
        <v>0</v>
      </c>
      <c r="M23" s="455">
        <f t="shared" si="3"/>
        <v>0</v>
      </c>
      <c r="P23" s="455">
        <f t="shared" si="4"/>
        <v>0</v>
      </c>
      <c r="S23" s="455">
        <f t="shared" si="5"/>
        <v>0</v>
      </c>
      <c r="V23" s="455">
        <f t="shared" si="6"/>
        <v>0</v>
      </c>
      <c r="Y23" s="455">
        <f t="shared" si="7"/>
        <v>0</v>
      </c>
      <c r="AB23" s="455">
        <f t="shared" si="8"/>
        <v>0</v>
      </c>
      <c r="AE23" s="455">
        <v>0</v>
      </c>
      <c r="AH23" s="455">
        <v>0</v>
      </c>
      <c r="AI23" s="475">
        <f>70750000</f>
        <v>70750000</v>
      </c>
      <c r="AJ23" s="476">
        <v>2.6499999999999999E-2</v>
      </c>
      <c r="AK23" s="455">
        <f t="shared" si="9"/>
        <v>5207.9861111111113</v>
      </c>
      <c r="AN23" s="455">
        <f t="shared" si="10"/>
        <v>0</v>
      </c>
      <c r="AQ23" s="455">
        <f t="shared" si="11"/>
        <v>0</v>
      </c>
      <c r="AT23" s="455">
        <f t="shared" si="12"/>
        <v>0</v>
      </c>
      <c r="AW23" s="455">
        <f t="shared" si="13"/>
        <v>0</v>
      </c>
      <c r="AZ23" s="455">
        <f t="shared" si="14"/>
        <v>0</v>
      </c>
      <c r="BC23" s="455">
        <f t="shared" si="15"/>
        <v>0</v>
      </c>
      <c r="BF23" s="455">
        <f t="shared" si="16"/>
        <v>0</v>
      </c>
      <c r="BI23" s="455">
        <f t="shared" si="17"/>
        <v>0</v>
      </c>
      <c r="BL23" s="455">
        <f t="shared" si="18"/>
        <v>0</v>
      </c>
      <c r="BO23" s="455">
        <f t="shared" si="19"/>
        <v>0</v>
      </c>
      <c r="BR23" s="455">
        <f t="shared" si="20"/>
        <v>0</v>
      </c>
      <c r="BU23" s="455">
        <f t="shared" si="21"/>
        <v>0</v>
      </c>
      <c r="BX23" s="455">
        <f t="shared" si="22"/>
        <v>0</v>
      </c>
      <c r="CA23" s="455">
        <f t="shared" si="23"/>
        <v>0</v>
      </c>
      <c r="CD23" s="455">
        <f t="shared" si="24"/>
        <v>0</v>
      </c>
      <c r="CG23" s="455">
        <f t="shared" si="25"/>
        <v>0</v>
      </c>
      <c r="CJ23" s="455">
        <f t="shared" si="26"/>
        <v>0</v>
      </c>
      <c r="CM23" s="455">
        <f t="shared" si="27"/>
        <v>0</v>
      </c>
      <c r="CP23" s="455">
        <f t="shared" si="28"/>
        <v>0</v>
      </c>
      <c r="CS23" s="455">
        <f t="shared" si="29"/>
        <v>0</v>
      </c>
      <c r="CV23" s="455">
        <f t="shared" si="30"/>
        <v>0</v>
      </c>
      <c r="CY23" s="455">
        <f t="shared" si="31"/>
        <v>0</v>
      </c>
      <c r="DB23" s="455">
        <f t="shared" si="32"/>
        <v>0</v>
      </c>
      <c r="DE23" s="455">
        <f t="shared" si="33"/>
        <v>0</v>
      </c>
      <c r="DH23" s="455">
        <f t="shared" si="34"/>
        <v>0</v>
      </c>
      <c r="DK23" s="455">
        <f t="shared" si="35"/>
        <v>0</v>
      </c>
      <c r="DN23" s="455">
        <f t="shared" si="36"/>
        <v>0</v>
      </c>
      <c r="DQ23" s="455">
        <f t="shared" si="37"/>
        <v>0</v>
      </c>
      <c r="DT23" s="455">
        <f t="shared" si="38"/>
        <v>0</v>
      </c>
      <c r="DW23" s="455">
        <f t="shared" si="39"/>
        <v>0</v>
      </c>
      <c r="DZ23" s="455"/>
      <c r="EA23" s="455"/>
      <c r="EB23" s="274">
        <f t="shared" si="40"/>
        <v>70750000</v>
      </c>
      <c r="EC23" s="274">
        <f t="shared" si="41"/>
        <v>0</v>
      </c>
      <c r="ED23" s="455">
        <f t="shared" si="42"/>
        <v>5207.9861111111113</v>
      </c>
      <c r="EE23" s="456">
        <f t="shared" si="43"/>
        <v>2.6499999999999999E-2</v>
      </c>
      <c r="EG23" s="274">
        <f t="shared" si="44"/>
        <v>0</v>
      </c>
      <c r="EH23" s="455">
        <f t="shared" si="45"/>
        <v>0</v>
      </c>
      <c r="EI23" s="456">
        <f t="shared" si="46"/>
        <v>0</v>
      </c>
      <c r="EJ23" s="456"/>
      <c r="EK23" s="274">
        <f t="shared" si="47"/>
        <v>70750000</v>
      </c>
      <c r="EL23" s="274">
        <f t="shared" si="48"/>
        <v>0</v>
      </c>
      <c r="EM23" s="274">
        <f t="shared" si="49"/>
        <v>5207.9861111111113</v>
      </c>
      <c r="EN23" s="456">
        <f t="shared" si="50"/>
        <v>2.6499999999999999E-2</v>
      </c>
    </row>
    <row r="24" spans="1:144">
      <c r="A24" s="474">
        <f t="shared" si="51"/>
        <v>43569</v>
      </c>
      <c r="D24" s="455">
        <f t="shared" si="0"/>
        <v>0</v>
      </c>
      <c r="G24" s="455">
        <f t="shared" si="1"/>
        <v>0</v>
      </c>
      <c r="J24" s="455">
        <f t="shared" si="2"/>
        <v>0</v>
      </c>
      <c r="M24" s="455">
        <f t="shared" si="3"/>
        <v>0</v>
      </c>
      <c r="P24" s="455">
        <f t="shared" si="4"/>
        <v>0</v>
      </c>
      <c r="S24" s="455">
        <f t="shared" si="5"/>
        <v>0</v>
      </c>
      <c r="V24" s="455">
        <f t="shared" si="6"/>
        <v>0</v>
      </c>
      <c r="Y24" s="455">
        <f t="shared" si="7"/>
        <v>0</v>
      </c>
      <c r="AB24" s="455">
        <f t="shared" si="8"/>
        <v>0</v>
      </c>
      <c r="AE24" s="455">
        <v>0</v>
      </c>
      <c r="AH24" s="455">
        <v>0</v>
      </c>
      <c r="AI24" s="475">
        <f>70750000</f>
        <v>70750000</v>
      </c>
      <c r="AJ24" s="476">
        <v>2.6499999999999999E-2</v>
      </c>
      <c r="AK24" s="455">
        <f t="shared" si="9"/>
        <v>5207.9861111111113</v>
      </c>
      <c r="AN24" s="455">
        <f t="shared" si="10"/>
        <v>0</v>
      </c>
      <c r="AQ24" s="455">
        <f t="shared" si="11"/>
        <v>0</v>
      </c>
      <c r="AT24" s="455">
        <f t="shared" si="12"/>
        <v>0</v>
      </c>
      <c r="AW24" s="455">
        <f t="shared" si="13"/>
        <v>0</v>
      </c>
      <c r="AZ24" s="455">
        <f t="shared" si="14"/>
        <v>0</v>
      </c>
      <c r="BC24" s="455">
        <f t="shared" si="15"/>
        <v>0</v>
      </c>
      <c r="BF24" s="455">
        <f t="shared" si="16"/>
        <v>0</v>
      </c>
      <c r="BI24" s="455">
        <f t="shared" si="17"/>
        <v>0</v>
      </c>
      <c r="BL24" s="455">
        <f t="shared" si="18"/>
        <v>0</v>
      </c>
      <c r="BO24" s="455">
        <f t="shared" si="19"/>
        <v>0</v>
      </c>
      <c r="BR24" s="455">
        <f t="shared" si="20"/>
        <v>0</v>
      </c>
      <c r="BU24" s="455">
        <f t="shared" si="21"/>
        <v>0</v>
      </c>
      <c r="BX24" s="455">
        <f t="shared" si="22"/>
        <v>0</v>
      </c>
      <c r="CA24" s="455">
        <f t="shared" si="23"/>
        <v>0</v>
      </c>
      <c r="CD24" s="455">
        <f t="shared" si="24"/>
        <v>0</v>
      </c>
      <c r="CG24" s="455">
        <f t="shared" si="25"/>
        <v>0</v>
      </c>
      <c r="CJ24" s="455">
        <f t="shared" si="26"/>
        <v>0</v>
      </c>
      <c r="CM24" s="455">
        <f t="shared" si="27"/>
        <v>0</v>
      </c>
      <c r="CP24" s="455">
        <f t="shared" si="28"/>
        <v>0</v>
      </c>
      <c r="CS24" s="455">
        <f t="shared" si="29"/>
        <v>0</v>
      </c>
      <c r="CV24" s="455">
        <f t="shared" si="30"/>
        <v>0</v>
      </c>
      <c r="CY24" s="455">
        <f t="shared" si="31"/>
        <v>0</v>
      </c>
      <c r="DB24" s="455">
        <f t="shared" si="32"/>
        <v>0</v>
      </c>
      <c r="DE24" s="455">
        <f t="shared" si="33"/>
        <v>0</v>
      </c>
      <c r="DH24" s="455">
        <f t="shared" si="34"/>
        <v>0</v>
      </c>
      <c r="DK24" s="455">
        <f t="shared" si="35"/>
        <v>0</v>
      </c>
      <c r="DN24" s="455">
        <f t="shared" si="36"/>
        <v>0</v>
      </c>
      <c r="DQ24" s="455">
        <f t="shared" si="37"/>
        <v>0</v>
      </c>
      <c r="DT24" s="455">
        <f t="shared" si="38"/>
        <v>0</v>
      </c>
      <c r="DW24" s="455">
        <f t="shared" si="39"/>
        <v>0</v>
      </c>
      <c r="DZ24" s="455"/>
      <c r="EA24" s="455"/>
      <c r="EB24" s="274">
        <f t="shared" si="40"/>
        <v>70750000</v>
      </c>
      <c r="EC24" s="274">
        <f t="shared" si="41"/>
        <v>0</v>
      </c>
      <c r="ED24" s="455">
        <f t="shared" si="42"/>
        <v>5207.9861111111113</v>
      </c>
      <c r="EE24" s="456">
        <f t="shared" si="43"/>
        <v>2.6499999999999999E-2</v>
      </c>
      <c r="EG24" s="274">
        <f t="shared" si="44"/>
        <v>0</v>
      </c>
      <c r="EH24" s="455">
        <f t="shared" si="45"/>
        <v>0</v>
      </c>
      <c r="EI24" s="456">
        <f t="shared" si="46"/>
        <v>0</v>
      </c>
      <c r="EJ24" s="456"/>
      <c r="EK24" s="274">
        <f t="shared" si="47"/>
        <v>70750000</v>
      </c>
      <c r="EL24" s="274">
        <f t="shared" si="48"/>
        <v>0</v>
      </c>
      <c r="EM24" s="274">
        <f t="shared" si="49"/>
        <v>5207.9861111111113</v>
      </c>
      <c r="EN24" s="456">
        <f t="shared" si="50"/>
        <v>2.6499999999999999E-2</v>
      </c>
    </row>
    <row r="25" spans="1:144">
      <c r="A25" s="474">
        <f t="shared" si="51"/>
        <v>43570</v>
      </c>
      <c r="D25" s="455">
        <f t="shared" si="0"/>
        <v>0</v>
      </c>
      <c r="G25" s="455">
        <f t="shared" si="1"/>
        <v>0</v>
      </c>
      <c r="J25" s="455">
        <f t="shared" si="2"/>
        <v>0</v>
      </c>
      <c r="M25" s="455">
        <f t="shared" si="3"/>
        <v>0</v>
      </c>
      <c r="P25" s="455">
        <f t="shared" si="4"/>
        <v>0</v>
      </c>
      <c r="S25" s="455">
        <f t="shared" si="5"/>
        <v>0</v>
      </c>
      <c r="V25" s="455">
        <f t="shared" si="6"/>
        <v>0</v>
      </c>
      <c r="Y25" s="455">
        <f t="shared" si="7"/>
        <v>0</v>
      </c>
      <c r="AB25" s="455">
        <f t="shared" si="8"/>
        <v>0</v>
      </c>
      <c r="AE25" s="455">
        <v>0</v>
      </c>
      <c r="AH25" s="455">
        <v>0</v>
      </c>
      <c r="AI25" s="475">
        <f>84125000</f>
        <v>84125000</v>
      </c>
      <c r="AJ25" s="476">
        <v>2.6499999999999999E-2</v>
      </c>
      <c r="AK25" s="455">
        <f t="shared" si="9"/>
        <v>6192.5347222222226</v>
      </c>
      <c r="AN25" s="455">
        <f t="shared" si="10"/>
        <v>0</v>
      </c>
      <c r="AQ25" s="455">
        <f t="shared" si="11"/>
        <v>0</v>
      </c>
      <c r="AT25" s="455">
        <f t="shared" si="12"/>
        <v>0</v>
      </c>
      <c r="AW25" s="455">
        <f t="shared" si="13"/>
        <v>0</v>
      </c>
      <c r="AZ25" s="455">
        <f t="shared" si="14"/>
        <v>0</v>
      </c>
      <c r="BC25" s="455">
        <f t="shared" si="15"/>
        <v>0</v>
      </c>
      <c r="BF25" s="455">
        <f t="shared" si="16"/>
        <v>0</v>
      </c>
      <c r="BI25" s="455">
        <f t="shared" si="17"/>
        <v>0</v>
      </c>
      <c r="BL25" s="455">
        <f t="shared" si="18"/>
        <v>0</v>
      </c>
      <c r="BO25" s="455">
        <f t="shared" si="19"/>
        <v>0</v>
      </c>
      <c r="BR25" s="455">
        <f t="shared" si="20"/>
        <v>0</v>
      </c>
      <c r="BU25" s="455">
        <f t="shared" si="21"/>
        <v>0</v>
      </c>
      <c r="BX25" s="455">
        <f t="shared" si="22"/>
        <v>0</v>
      </c>
      <c r="CA25" s="455">
        <f t="shared" si="23"/>
        <v>0</v>
      </c>
      <c r="CD25" s="455">
        <f t="shared" si="24"/>
        <v>0</v>
      </c>
      <c r="CG25" s="455">
        <f t="shared" si="25"/>
        <v>0</v>
      </c>
      <c r="CJ25" s="455">
        <f t="shared" si="26"/>
        <v>0</v>
      </c>
      <c r="CM25" s="455">
        <f t="shared" si="27"/>
        <v>0</v>
      </c>
      <c r="CP25" s="455">
        <f t="shared" si="28"/>
        <v>0</v>
      </c>
      <c r="CS25" s="455">
        <f t="shared" si="29"/>
        <v>0</v>
      </c>
      <c r="CV25" s="455">
        <f t="shared" si="30"/>
        <v>0</v>
      </c>
      <c r="CY25" s="455">
        <f t="shared" si="31"/>
        <v>0</v>
      </c>
      <c r="DB25" s="455">
        <f t="shared" si="32"/>
        <v>0</v>
      </c>
      <c r="DE25" s="455">
        <f t="shared" si="33"/>
        <v>0</v>
      </c>
      <c r="DH25" s="455">
        <f t="shared" si="34"/>
        <v>0</v>
      </c>
      <c r="DK25" s="455">
        <f t="shared" si="35"/>
        <v>0</v>
      </c>
      <c r="DN25" s="455">
        <f t="shared" si="36"/>
        <v>0</v>
      </c>
      <c r="DQ25" s="455">
        <f t="shared" si="37"/>
        <v>0</v>
      </c>
      <c r="DT25" s="455">
        <f t="shared" si="38"/>
        <v>0</v>
      </c>
      <c r="DW25" s="455">
        <f t="shared" si="39"/>
        <v>0</v>
      </c>
      <c r="DZ25" s="455"/>
      <c r="EA25" s="455"/>
      <c r="EB25" s="274">
        <f t="shared" si="40"/>
        <v>84125000</v>
      </c>
      <c r="EC25" s="274">
        <f t="shared" si="41"/>
        <v>0</v>
      </c>
      <c r="ED25" s="455">
        <f t="shared" si="42"/>
        <v>6192.5347222222226</v>
      </c>
      <c r="EE25" s="456">
        <f t="shared" si="43"/>
        <v>2.6499999999999999E-2</v>
      </c>
      <c r="EG25" s="274">
        <f t="shared" si="44"/>
        <v>0</v>
      </c>
      <c r="EH25" s="455">
        <f t="shared" si="45"/>
        <v>0</v>
      </c>
      <c r="EI25" s="456">
        <f t="shared" si="46"/>
        <v>0</v>
      </c>
      <c r="EJ25" s="456"/>
      <c r="EK25" s="274">
        <f t="shared" si="47"/>
        <v>84125000</v>
      </c>
      <c r="EL25" s="274">
        <f t="shared" si="48"/>
        <v>0</v>
      </c>
      <c r="EM25" s="274">
        <f t="shared" si="49"/>
        <v>6192.5347222222226</v>
      </c>
      <c r="EN25" s="456">
        <f t="shared" si="50"/>
        <v>2.6499999999999999E-2</v>
      </c>
    </row>
    <row r="26" spans="1:144">
      <c r="A26" s="474">
        <f t="shared" si="51"/>
        <v>43571</v>
      </c>
      <c r="D26" s="455">
        <f t="shared" si="0"/>
        <v>0</v>
      </c>
      <c r="G26" s="455">
        <f t="shared" si="1"/>
        <v>0</v>
      </c>
      <c r="J26" s="455">
        <f t="shared" si="2"/>
        <v>0</v>
      </c>
      <c r="M26" s="455">
        <f t="shared" si="3"/>
        <v>0</v>
      </c>
      <c r="P26" s="455">
        <f t="shared" si="4"/>
        <v>0</v>
      </c>
      <c r="S26" s="455">
        <f t="shared" si="5"/>
        <v>0</v>
      </c>
      <c r="V26" s="455">
        <f t="shared" si="6"/>
        <v>0</v>
      </c>
      <c r="Y26" s="455">
        <f t="shared" si="7"/>
        <v>0</v>
      </c>
      <c r="AB26" s="455">
        <f t="shared" si="8"/>
        <v>0</v>
      </c>
      <c r="AE26" s="455">
        <v>0</v>
      </c>
      <c r="AH26" s="455">
        <v>0</v>
      </c>
      <c r="AI26" s="475">
        <f>80425000</f>
        <v>80425000</v>
      </c>
      <c r="AJ26" s="476">
        <v>2.6499999999999999E-2</v>
      </c>
      <c r="AK26" s="455">
        <f t="shared" si="9"/>
        <v>5920.1736111111113</v>
      </c>
      <c r="AN26" s="455">
        <f t="shared" si="10"/>
        <v>0</v>
      </c>
      <c r="AQ26" s="455">
        <f t="shared" si="11"/>
        <v>0</v>
      </c>
      <c r="AT26" s="455">
        <f t="shared" si="12"/>
        <v>0</v>
      </c>
      <c r="AW26" s="455">
        <f t="shared" si="13"/>
        <v>0</v>
      </c>
      <c r="AZ26" s="455">
        <f t="shared" si="14"/>
        <v>0</v>
      </c>
      <c r="BC26" s="455">
        <f t="shared" si="15"/>
        <v>0</v>
      </c>
      <c r="BF26" s="455">
        <f t="shared" si="16"/>
        <v>0</v>
      </c>
      <c r="BI26" s="455">
        <f t="shared" si="17"/>
        <v>0</v>
      </c>
      <c r="BL26" s="455">
        <f t="shared" si="18"/>
        <v>0</v>
      </c>
      <c r="BO26" s="455">
        <f t="shared" si="19"/>
        <v>0</v>
      </c>
      <c r="BR26" s="455">
        <f t="shared" si="20"/>
        <v>0</v>
      </c>
      <c r="BU26" s="455">
        <f t="shared" si="21"/>
        <v>0</v>
      </c>
      <c r="BX26" s="455">
        <f t="shared" si="22"/>
        <v>0</v>
      </c>
      <c r="CA26" s="455">
        <f t="shared" si="23"/>
        <v>0</v>
      </c>
      <c r="CD26" s="455">
        <f t="shared" si="24"/>
        <v>0</v>
      </c>
      <c r="CG26" s="455">
        <f t="shared" si="25"/>
        <v>0</v>
      </c>
      <c r="CJ26" s="455">
        <f t="shared" si="26"/>
        <v>0</v>
      </c>
      <c r="CM26" s="455">
        <f t="shared" si="27"/>
        <v>0</v>
      </c>
      <c r="CP26" s="455">
        <f t="shared" si="28"/>
        <v>0</v>
      </c>
      <c r="CS26" s="455">
        <f t="shared" si="29"/>
        <v>0</v>
      </c>
      <c r="CV26" s="455">
        <f t="shared" si="30"/>
        <v>0</v>
      </c>
      <c r="CY26" s="455">
        <f t="shared" si="31"/>
        <v>0</v>
      </c>
      <c r="DB26" s="455">
        <f t="shared" si="32"/>
        <v>0</v>
      </c>
      <c r="DE26" s="455">
        <f t="shared" si="33"/>
        <v>0</v>
      </c>
      <c r="DH26" s="455">
        <f t="shared" si="34"/>
        <v>0</v>
      </c>
      <c r="DK26" s="455">
        <f t="shared" si="35"/>
        <v>0</v>
      </c>
      <c r="DN26" s="455">
        <f t="shared" si="36"/>
        <v>0</v>
      </c>
      <c r="DQ26" s="455">
        <f t="shared" si="37"/>
        <v>0</v>
      </c>
      <c r="DT26" s="455">
        <f t="shared" si="38"/>
        <v>0</v>
      </c>
      <c r="DW26" s="455">
        <f t="shared" si="39"/>
        <v>0</v>
      </c>
      <c r="DZ26" s="455"/>
      <c r="EA26" s="455"/>
      <c r="EB26" s="274">
        <f t="shared" si="40"/>
        <v>80425000</v>
      </c>
      <c r="EC26" s="274">
        <f t="shared" si="41"/>
        <v>0</v>
      </c>
      <c r="ED26" s="455">
        <f t="shared" si="42"/>
        <v>5920.1736111111113</v>
      </c>
      <c r="EE26" s="456">
        <f t="shared" si="43"/>
        <v>2.6499999999999999E-2</v>
      </c>
      <c r="EG26" s="274">
        <f t="shared" si="44"/>
        <v>0</v>
      </c>
      <c r="EH26" s="455">
        <f t="shared" si="45"/>
        <v>0</v>
      </c>
      <c r="EI26" s="456">
        <f t="shared" si="46"/>
        <v>0</v>
      </c>
      <c r="EJ26" s="456"/>
      <c r="EK26" s="274">
        <f t="shared" si="47"/>
        <v>80425000</v>
      </c>
      <c r="EL26" s="274">
        <f t="shared" si="48"/>
        <v>0</v>
      </c>
      <c r="EM26" s="274">
        <f t="shared" si="49"/>
        <v>5920.1736111111113</v>
      </c>
      <c r="EN26" s="456">
        <f t="shared" si="50"/>
        <v>2.6499999999999999E-2</v>
      </c>
    </row>
    <row r="27" spans="1:144">
      <c r="A27" s="474">
        <f t="shared" si="51"/>
        <v>43572</v>
      </c>
      <c r="D27" s="455">
        <f t="shared" si="0"/>
        <v>0</v>
      </c>
      <c r="G27" s="455">
        <f t="shared" si="1"/>
        <v>0</v>
      </c>
      <c r="J27" s="455">
        <f t="shared" si="2"/>
        <v>0</v>
      </c>
      <c r="M27" s="455">
        <f t="shared" si="3"/>
        <v>0</v>
      </c>
      <c r="P27" s="455">
        <f t="shared" si="4"/>
        <v>0</v>
      </c>
      <c r="S27" s="455">
        <f t="shared" si="5"/>
        <v>0</v>
      </c>
      <c r="V27" s="455">
        <f t="shared" si="6"/>
        <v>0</v>
      </c>
      <c r="Y27" s="455">
        <f t="shared" si="7"/>
        <v>0</v>
      </c>
      <c r="AB27" s="455">
        <f t="shared" si="8"/>
        <v>0</v>
      </c>
      <c r="AE27" s="455">
        <v>0</v>
      </c>
      <c r="AH27" s="455">
        <v>0</v>
      </c>
      <c r="AI27" s="475">
        <f>71525000</f>
        <v>71525000</v>
      </c>
      <c r="AJ27" s="476">
        <v>2.6499999999999999E-2</v>
      </c>
      <c r="AK27" s="455">
        <f t="shared" si="9"/>
        <v>5265.0347222222226</v>
      </c>
      <c r="AN27" s="455">
        <f t="shared" si="10"/>
        <v>0</v>
      </c>
      <c r="AQ27" s="455">
        <f t="shared" si="11"/>
        <v>0</v>
      </c>
      <c r="AT27" s="455">
        <f t="shared" si="12"/>
        <v>0</v>
      </c>
      <c r="AW27" s="455">
        <f t="shared" si="13"/>
        <v>0</v>
      </c>
      <c r="AZ27" s="455">
        <f t="shared" si="14"/>
        <v>0</v>
      </c>
      <c r="BC27" s="455">
        <f t="shared" si="15"/>
        <v>0</v>
      </c>
      <c r="BF27" s="455">
        <f t="shared" si="16"/>
        <v>0</v>
      </c>
      <c r="BI27" s="455">
        <f t="shared" si="17"/>
        <v>0</v>
      </c>
      <c r="BL27" s="455">
        <f t="shared" si="18"/>
        <v>0</v>
      </c>
      <c r="BO27" s="455">
        <f t="shared" si="19"/>
        <v>0</v>
      </c>
      <c r="BR27" s="455">
        <f t="shared" si="20"/>
        <v>0</v>
      </c>
      <c r="BU27" s="455">
        <f t="shared" si="21"/>
        <v>0</v>
      </c>
      <c r="BX27" s="455">
        <f t="shared" si="22"/>
        <v>0</v>
      </c>
      <c r="CA27" s="455">
        <f t="shared" si="23"/>
        <v>0</v>
      </c>
      <c r="CD27" s="455">
        <f t="shared" si="24"/>
        <v>0</v>
      </c>
      <c r="CG27" s="455">
        <f t="shared" si="25"/>
        <v>0</v>
      </c>
      <c r="CJ27" s="455">
        <f t="shared" si="26"/>
        <v>0</v>
      </c>
      <c r="CM27" s="455">
        <f t="shared" si="27"/>
        <v>0</v>
      </c>
      <c r="CP27" s="455">
        <f t="shared" si="28"/>
        <v>0</v>
      </c>
      <c r="CS27" s="455">
        <f t="shared" si="29"/>
        <v>0</v>
      </c>
      <c r="CV27" s="455">
        <f t="shared" si="30"/>
        <v>0</v>
      </c>
      <c r="CY27" s="455">
        <f t="shared" si="31"/>
        <v>0</v>
      </c>
      <c r="DB27" s="455">
        <f t="shared" si="32"/>
        <v>0</v>
      </c>
      <c r="DE27" s="455">
        <f t="shared" si="33"/>
        <v>0</v>
      </c>
      <c r="DH27" s="455">
        <f t="shared" si="34"/>
        <v>0</v>
      </c>
      <c r="DK27" s="455">
        <f t="shared" si="35"/>
        <v>0</v>
      </c>
      <c r="DN27" s="455">
        <f t="shared" si="36"/>
        <v>0</v>
      </c>
      <c r="DQ27" s="455">
        <f t="shared" si="37"/>
        <v>0</v>
      </c>
      <c r="DT27" s="455">
        <f t="shared" si="38"/>
        <v>0</v>
      </c>
      <c r="DW27" s="455">
        <f t="shared" si="39"/>
        <v>0</v>
      </c>
      <c r="DZ27" s="455"/>
      <c r="EA27" s="455"/>
      <c r="EB27" s="274">
        <f t="shared" si="40"/>
        <v>71525000</v>
      </c>
      <c r="EC27" s="274">
        <f t="shared" si="41"/>
        <v>0</v>
      </c>
      <c r="ED27" s="455">
        <f t="shared" si="42"/>
        <v>5265.0347222222226</v>
      </c>
      <c r="EE27" s="456">
        <f t="shared" si="43"/>
        <v>2.6499999999999999E-2</v>
      </c>
      <c r="EG27" s="274">
        <f t="shared" si="44"/>
        <v>0</v>
      </c>
      <c r="EH27" s="455">
        <f t="shared" si="45"/>
        <v>0</v>
      </c>
      <c r="EI27" s="456">
        <f t="shared" si="46"/>
        <v>0</v>
      </c>
      <c r="EJ27" s="456"/>
      <c r="EK27" s="274">
        <f t="shared" si="47"/>
        <v>71525000</v>
      </c>
      <c r="EL27" s="274">
        <f t="shared" si="48"/>
        <v>0</v>
      </c>
      <c r="EM27" s="274">
        <f t="shared" si="49"/>
        <v>5265.0347222222226</v>
      </c>
      <c r="EN27" s="456">
        <f t="shared" si="50"/>
        <v>2.6499999999999999E-2</v>
      </c>
    </row>
    <row r="28" spans="1:144">
      <c r="A28" s="474">
        <f t="shared" si="51"/>
        <v>43573</v>
      </c>
      <c r="D28" s="455">
        <f t="shared" si="0"/>
        <v>0</v>
      </c>
      <c r="G28" s="455">
        <f t="shared" si="1"/>
        <v>0</v>
      </c>
      <c r="J28" s="455">
        <f t="shared" si="2"/>
        <v>0</v>
      </c>
      <c r="M28" s="455">
        <f t="shared" si="3"/>
        <v>0</v>
      </c>
      <c r="P28" s="455">
        <f t="shared" si="4"/>
        <v>0</v>
      </c>
      <c r="S28" s="455">
        <f t="shared" si="5"/>
        <v>0</v>
      </c>
      <c r="V28" s="455">
        <f t="shared" si="6"/>
        <v>0</v>
      </c>
      <c r="Y28" s="455">
        <f t="shared" si="7"/>
        <v>0</v>
      </c>
      <c r="AB28" s="455">
        <f t="shared" si="8"/>
        <v>0</v>
      </c>
      <c r="AE28" s="455">
        <v>0</v>
      </c>
      <c r="AH28" s="455">
        <v>0</v>
      </c>
      <c r="AI28" s="475">
        <f>71750000</f>
        <v>71750000</v>
      </c>
      <c r="AJ28" s="476">
        <v>2.6499999999999999E-2</v>
      </c>
      <c r="AK28" s="455">
        <f t="shared" si="9"/>
        <v>5281.5972222222226</v>
      </c>
      <c r="AN28" s="455">
        <f t="shared" si="10"/>
        <v>0</v>
      </c>
      <c r="AQ28" s="455">
        <f t="shared" si="11"/>
        <v>0</v>
      </c>
      <c r="AT28" s="455">
        <f t="shared" si="12"/>
        <v>0</v>
      </c>
      <c r="AW28" s="455">
        <f t="shared" si="13"/>
        <v>0</v>
      </c>
      <c r="AZ28" s="455">
        <f t="shared" si="14"/>
        <v>0</v>
      </c>
      <c r="BC28" s="455">
        <f t="shared" si="15"/>
        <v>0</v>
      </c>
      <c r="BF28" s="455">
        <f t="shared" si="16"/>
        <v>0</v>
      </c>
      <c r="BI28" s="455">
        <f t="shared" si="17"/>
        <v>0</v>
      </c>
      <c r="BL28" s="455">
        <f t="shared" si="18"/>
        <v>0</v>
      </c>
      <c r="BO28" s="455">
        <f t="shared" si="19"/>
        <v>0</v>
      </c>
      <c r="BR28" s="455">
        <f t="shared" si="20"/>
        <v>0</v>
      </c>
      <c r="BU28" s="455">
        <f t="shared" si="21"/>
        <v>0</v>
      </c>
      <c r="BX28" s="455">
        <f t="shared" si="22"/>
        <v>0</v>
      </c>
      <c r="CA28" s="455">
        <f t="shared" si="23"/>
        <v>0</v>
      </c>
      <c r="CD28" s="455">
        <f t="shared" si="24"/>
        <v>0</v>
      </c>
      <c r="CG28" s="455">
        <f t="shared" si="25"/>
        <v>0</v>
      </c>
      <c r="CJ28" s="455">
        <f t="shared" si="26"/>
        <v>0</v>
      </c>
      <c r="CM28" s="455">
        <f t="shared" si="27"/>
        <v>0</v>
      </c>
      <c r="CP28" s="455">
        <f t="shared" si="28"/>
        <v>0</v>
      </c>
      <c r="CS28" s="455">
        <f t="shared" si="29"/>
        <v>0</v>
      </c>
      <c r="CV28" s="455">
        <f t="shared" si="30"/>
        <v>0</v>
      </c>
      <c r="CY28" s="455">
        <f t="shared" si="31"/>
        <v>0</v>
      </c>
      <c r="DB28" s="455">
        <f t="shared" si="32"/>
        <v>0</v>
      </c>
      <c r="DE28" s="455">
        <f t="shared" si="33"/>
        <v>0</v>
      </c>
      <c r="DH28" s="455">
        <f t="shared" si="34"/>
        <v>0</v>
      </c>
      <c r="DK28" s="455">
        <f t="shared" si="35"/>
        <v>0</v>
      </c>
      <c r="DN28" s="455">
        <f t="shared" si="36"/>
        <v>0</v>
      </c>
      <c r="DQ28" s="455">
        <f t="shared" si="37"/>
        <v>0</v>
      </c>
      <c r="DT28" s="455">
        <f t="shared" si="38"/>
        <v>0</v>
      </c>
      <c r="DW28" s="455">
        <f t="shared" si="39"/>
        <v>0</v>
      </c>
      <c r="DZ28" s="455"/>
      <c r="EA28" s="455"/>
      <c r="EB28" s="274">
        <f t="shared" si="40"/>
        <v>71750000</v>
      </c>
      <c r="EC28" s="274">
        <f t="shared" si="41"/>
        <v>0</v>
      </c>
      <c r="ED28" s="455">
        <f t="shared" si="42"/>
        <v>5281.5972222222226</v>
      </c>
      <c r="EE28" s="456">
        <f t="shared" si="43"/>
        <v>2.6499999999999999E-2</v>
      </c>
      <c r="EG28" s="274">
        <f t="shared" si="44"/>
        <v>0</v>
      </c>
      <c r="EH28" s="455">
        <f t="shared" si="45"/>
        <v>0</v>
      </c>
      <c r="EI28" s="456">
        <f t="shared" si="46"/>
        <v>0</v>
      </c>
      <c r="EJ28" s="456"/>
      <c r="EK28" s="274">
        <f t="shared" si="47"/>
        <v>71750000</v>
      </c>
      <c r="EL28" s="274">
        <f t="shared" si="48"/>
        <v>0</v>
      </c>
      <c r="EM28" s="274">
        <f t="shared" si="49"/>
        <v>5281.5972222222226</v>
      </c>
      <c r="EN28" s="456">
        <f t="shared" si="50"/>
        <v>2.6499999999999999E-2</v>
      </c>
    </row>
    <row r="29" spans="1:144">
      <c r="A29" s="474">
        <f t="shared" si="51"/>
        <v>43574</v>
      </c>
      <c r="D29" s="455">
        <f t="shared" si="0"/>
        <v>0</v>
      </c>
      <c r="G29" s="455">
        <f t="shared" si="1"/>
        <v>0</v>
      </c>
      <c r="J29" s="455">
        <f t="shared" si="2"/>
        <v>0</v>
      </c>
      <c r="M29" s="455">
        <f t="shared" si="3"/>
        <v>0</v>
      </c>
      <c r="P29" s="455">
        <f t="shared" si="4"/>
        <v>0</v>
      </c>
      <c r="S29" s="455">
        <f t="shared" si="5"/>
        <v>0</v>
      </c>
      <c r="V29" s="455">
        <f t="shared" si="6"/>
        <v>0</v>
      </c>
      <c r="Y29" s="455">
        <f t="shared" si="7"/>
        <v>0</v>
      </c>
      <c r="AB29" s="455">
        <f t="shared" si="8"/>
        <v>0</v>
      </c>
      <c r="AE29" s="455">
        <v>0</v>
      </c>
      <c r="AH29" s="455">
        <v>0</v>
      </c>
      <c r="AI29" s="475">
        <f>71750000</f>
        <v>71750000</v>
      </c>
      <c r="AJ29" s="476">
        <v>2.6499999999999999E-2</v>
      </c>
      <c r="AK29" s="455">
        <f t="shared" si="9"/>
        <v>5281.5972222222226</v>
      </c>
      <c r="AN29" s="455">
        <f t="shared" si="10"/>
        <v>0</v>
      </c>
      <c r="AQ29" s="455">
        <f t="shared" si="11"/>
        <v>0</v>
      </c>
      <c r="AT29" s="455">
        <f t="shared" si="12"/>
        <v>0</v>
      </c>
      <c r="AW29" s="455">
        <f t="shared" si="13"/>
        <v>0</v>
      </c>
      <c r="AZ29" s="455">
        <f t="shared" si="14"/>
        <v>0</v>
      </c>
      <c r="BC29" s="455">
        <f t="shared" si="15"/>
        <v>0</v>
      </c>
      <c r="BF29" s="455">
        <f t="shared" si="16"/>
        <v>0</v>
      </c>
      <c r="BI29" s="455">
        <f t="shared" si="17"/>
        <v>0</v>
      </c>
      <c r="BL29" s="455">
        <f t="shared" si="18"/>
        <v>0</v>
      </c>
      <c r="BO29" s="455">
        <f t="shared" si="19"/>
        <v>0</v>
      </c>
      <c r="BR29" s="455">
        <f t="shared" si="20"/>
        <v>0</v>
      </c>
      <c r="BU29" s="455">
        <f t="shared" si="21"/>
        <v>0</v>
      </c>
      <c r="BX29" s="455">
        <f t="shared" si="22"/>
        <v>0</v>
      </c>
      <c r="CA29" s="455">
        <f t="shared" si="23"/>
        <v>0</v>
      </c>
      <c r="CD29" s="455">
        <f t="shared" si="24"/>
        <v>0</v>
      </c>
      <c r="CG29" s="455">
        <f t="shared" si="25"/>
        <v>0</v>
      </c>
      <c r="CJ29" s="455">
        <f t="shared" si="26"/>
        <v>0</v>
      </c>
      <c r="CM29" s="455">
        <f t="shared" si="27"/>
        <v>0</v>
      </c>
      <c r="CP29" s="455">
        <f t="shared" si="28"/>
        <v>0</v>
      </c>
      <c r="CS29" s="455">
        <f t="shared" si="29"/>
        <v>0</v>
      </c>
      <c r="CV29" s="455">
        <f t="shared" si="30"/>
        <v>0</v>
      </c>
      <c r="CY29" s="455">
        <f t="shared" si="31"/>
        <v>0</v>
      </c>
      <c r="DB29" s="455">
        <f t="shared" si="32"/>
        <v>0</v>
      </c>
      <c r="DE29" s="455">
        <f t="shared" si="33"/>
        <v>0</v>
      </c>
      <c r="DH29" s="455">
        <f t="shared" si="34"/>
        <v>0</v>
      </c>
      <c r="DK29" s="455">
        <f t="shared" si="35"/>
        <v>0</v>
      </c>
      <c r="DN29" s="455">
        <f t="shared" si="36"/>
        <v>0</v>
      </c>
      <c r="DQ29" s="455">
        <f t="shared" si="37"/>
        <v>0</v>
      </c>
      <c r="DT29" s="455">
        <f t="shared" si="38"/>
        <v>0</v>
      </c>
      <c r="DW29" s="455">
        <f t="shared" si="39"/>
        <v>0</v>
      </c>
      <c r="DZ29" s="455"/>
      <c r="EA29" s="455"/>
      <c r="EB29" s="274">
        <f t="shared" si="40"/>
        <v>71750000</v>
      </c>
      <c r="EC29" s="274">
        <f t="shared" si="41"/>
        <v>0</v>
      </c>
      <c r="ED29" s="455">
        <f t="shared" si="42"/>
        <v>5281.5972222222226</v>
      </c>
      <c r="EE29" s="456">
        <f t="shared" si="43"/>
        <v>2.6499999999999999E-2</v>
      </c>
      <c r="EG29" s="274">
        <f t="shared" si="44"/>
        <v>0</v>
      </c>
      <c r="EH29" s="455">
        <f t="shared" si="45"/>
        <v>0</v>
      </c>
      <c r="EI29" s="456">
        <f t="shared" si="46"/>
        <v>0</v>
      </c>
      <c r="EJ29" s="456"/>
      <c r="EK29" s="274">
        <f t="shared" si="47"/>
        <v>71750000</v>
      </c>
      <c r="EL29" s="274">
        <f t="shared" si="48"/>
        <v>0</v>
      </c>
      <c r="EM29" s="274">
        <f t="shared" si="49"/>
        <v>5281.5972222222226</v>
      </c>
      <c r="EN29" s="456">
        <f t="shared" si="50"/>
        <v>2.6499999999999999E-2</v>
      </c>
    </row>
    <row r="30" spans="1:144">
      <c r="A30" s="474">
        <f t="shared" si="51"/>
        <v>43575</v>
      </c>
      <c r="D30" s="455">
        <f t="shared" si="0"/>
        <v>0</v>
      </c>
      <c r="G30" s="455">
        <f t="shared" si="1"/>
        <v>0</v>
      </c>
      <c r="J30" s="455">
        <f t="shared" si="2"/>
        <v>0</v>
      </c>
      <c r="M30" s="455">
        <f t="shared" si="3"/>
        <v>0</v>
      </c>
      <c r="P30" s="455">
        <f t="shared" si="4"/>
        <v>0</v>
      </c>
      <c r="S30" s="455">
        <f t="shared" si="5"/>
        <v>0</v>
      </c>
      <c r="V30" s="455">
        <f t="shared" si="6"/>
        <v>0</v>
      </c>
      <c r="Y30" s="455">
        <f t="shared" si="7"/>
        <v>0</v>
      </c>
      <c r="AB30" s="455">
        <f t="shared" si="8"/>
        <v>0</v>
      </c>
      <c r="AE30" s="455">
        <v>0</v>
      </c>
      <c r="AH30" s="455">
        <v>0</v>
      </c>
      <c r="AI30" s="475">
        <f>71750000</f>
        <v>71750000</v>
      </c>
      <c r="AJ30" s="476">
        <v>2.6499999999999999E-2</v>
      </c>
      <c r="AK30" s="455">
        <f t="shared" si="9"/>
        <v>5281.5972222222226</v>
      </c>
      <c r="AN30" s="455">
        <f t="shared" si="10"/>
        <v>0</v>
      </c>
      <c r="AQ30" s="455">
        <f t="shared" si="11"/>
        <v>0</v>
      </c>
      <c r="AT30" s="455">
        <f t="shared" si="12"/>
        <v>0</v>
      </c>
      <c r="AW30" s="455">
        <f t="shared" si="13"/>
        <v>0</v>
      </c>
      <c r="AZ30" s="455">
        <f t="shared" si="14"/>
        <v>0</v>
      </c>
      <c r="BC30" s="455">
        <f t="shared" si="15"/>
        <v>0</v>
      </c>
      <c r="BF30" s="455">
        <f t="shared" si="16"/>
        <v>0</v>
      </c>
      <c r="BI30" s="455">
        <f t="shared" si="17"/>
        <v>0</v>
      </c>
      <c r="BL30" s="455">
        <f t="shared" si="18"/>
        <v>0</v>
      </c>
      <c r="BO30" s="455">
        <f t="shared" si="19"/>
        <v>0</v>
      </c>
      <c r="BR30" s="455">
        <f t="shared" si="20"/>
        <v>0</v>
      </c>
      <c r="BU30" s="455">
        <f t="shared" si="21"/>
        <v>0</v>
      </c>
      <c r="BX30" s="455">
        <f t="shared" si="22"/>
        <v>0</v>
      </c>
      <c r="CA30" s="455">
        <f t="shared" si="23"/>
        <v>0</v>
      </c>
      <c r="CD30" s="455">
        <f t="shared" si="24"/>
        <v>0</v>
      </c>
      <c r="CG30" s="455">
        <f t="shared" si="25"/>
        <v>0</v>
      </c>
      <c r="CJ30" s="455">
        <f t="shared" si="26"/>
        <v>0</v>
      </c>
      <c r="CM30" s="455">
        <f t="shared" si="27"/>
        <v>0</v>
      </c>
      <c r="CP30" s="455">
        <f t="shared" si="28"/>
        <v>0</v>
      </c>
      <c r="CS30" s="455">
        <f t="shared" si="29"/>
        <v>0</v>
      </c>
      <c r="CV30" s="455">
        <f t="shared" si="30"/>
        <v>0</v>
      </c>
      <c r="CY30" s="455">
        <f t="shared" si="31"/>
        <v>0</v>
      </c>
      <c r="DB30" s="455">
        <f t="shared" si="32"/>
        <v>0</v>
      </c>
      <c r="DE30" s="455">
        <f t="shared" si="33"/>
        <v>0</v>
      </c>
      <c r="DH30" s="455">
        <f t="shared" si="34"/>
        <v>0</v>
      </c>
      <c r="DK30" s="455">
        <f t="shared" si="35"/>
        <v>0</v>
      </c>
      <c r="DN30" s="455">
        <f t="shared" si="36"/>
        <v>0</v>
      </c>
      <c r="DQ30" s="455">
        <f t="shared" si="37"/>
        <v>0</v>
      </c>
      <c r="DT30" s="455">
        <f t="shared" si="38"/>
        <v>0</v>
      </c>
      <c r="DW30" s="455">
        <f t="shared" si="39"/>
        <v>0</v>
      </c>
      <c r="DZ30" s="455"/>
      <c r="EA30" s="455"/>
      <c r="EB30" s="274">
        <f t="shared" si="40"/>
        <v>71750000</v>
      </c>
      <c r="EC30" s="274">
        <f t="shared" si="41"/>
        <v>0</v>
      </c>
      <c r="ED30" s="455">
        <f t="shared" si="42"/>
        <v>5281.5972222222226</v>
      </c>
      <c r="EE30" s="456">
        <f t="shared" si="43"/>
        <v>2.6499999999999999E-2</v>
      </c>
      <c r="EG30" s="274">
        <f t="shared" si="44"/>
        <v>0</v>
      </c>
      <c r="EH30" s="455">
        <f t="shared" si="45"/>
        <v>0</v>
      </c>
      <c r="EI30" s="456">
        <f t="shared" si="46"/>
        <v>0</v>
      </c>
      <c r="EJ30" s="456"/>
      <c r="EK30" s="274">
        <f t="shared" si="47"/>
        <v>71750000</v>
      </c>
      <c r="EL30" s="274">
        <f t="shared" si="48"/>
        <v>0</v>
      </c>
      <c r="EM30" s="274">
        <f t="shared" si="49"/>
        <v>5281.5972222222226</v>
      </c>
      <c r="EN30" s="456">
        <f t="shared" si="50"/>
        <v>2.6499999999999999E-2</v>
      </c>
    </row>
    <row r="31" spans="1:144">
      <c r="A31" s="474">
        <f t="shared" si="51"/>
        <v>43576</v>
      </c>
      <c r="D31" s="455">
        <f t="shared" si="0"/>
        <v>0</v>
      </c>
      <c r="G31" s="455">
        <f t="shared" si="1"/>
        <v>0</v>
      </c>
      <c r="J31" s="455">
        <f t="shared" si="2"/>
        <v>0</v>
      </c>
      <c r="M31" s="455">
        <f t="shared" si="3"/>
        <v>0</v>
      </c>
      <c r="P31" s="455">
        <f t="shared" si="4"/>
        <v>0</v>
      </c>
      <c r="S31" s="455">
        <f t="shared" si="5"/>
        <v>0</v>
      </c>
      <c r="V31" s="455">
        <f t="shared" si="6"/>
        <v>0</v>
      </c>
      <c r="Y31" s="455">
        <f t="shared" si="7"/>
        <v>0</v>
      </c>
      <c r="AB31" s="455">
        <f t="shared" si="8"/>
        <v>0</v>
      </c>
      <c r="AE31" s="455">
        <v>0</v>
      </c>
      <c r="AH31" s="455">
        <v>0</v>
      </c>
      <c r="AI31" s="475">
        <f>71750000</f>
        <v>71750000</v>
      </c>
      <c r="AJ31" s="476">
        <v>2.6499999999999999E-2</v>
      </c>
      <c r="AK31" s="455">
        <f t="shared" si="9"/>
        <v>5281.5972222222226</v>
      </c>
      <c r="AN31" s="455">
        <f t="shared" si="10"/>
        <v>0</v>
      </c>
      <c r="AQ31" s="455">
        <f t="shared" si="11"/>
        <v>0</v>
      </c>
      <c r="AT31" s="455">
        <f t="shared" si="12"/>
        <v>0</v>
      </c>
      <c r="AW31" s="455">
        <f t="shared" si="13"/>
        <v>0</v>
      </c>
      <c r="AZ31" s="455">
        <f t="shared" si="14"/>
        <v>0</v>
      </c>
      <c r="BC31" s="455">
        <f t="shared" si="15"/>
        <v>0</v>
      </c>
      <c r="BF31" s="455">
        <f t="shared" si="16"/>
        <v>0</v>
      </c>
      <c r="BI31" s="455">
        <f t="shared" si="17"/>
        <v>0</v>
      </c>
      <c r="BL31" s="455">
        <f t="shared" si="18"/>
        <v>0</v>
      </c>
      <c r="BO31" s="455">
        <f t="shared" si="19"/>
        <v>0</v>
      </c>
      <c r="BR31" s="455">
        <f t="shared" si="20"/>
        <v>0</v>
      </c>
      <c r="BU31" s="455">
        <f t="shared" si="21"/>
        <v>0</v>
      </c>
      <c r="BX31" s="455">
        <f t="shared" si="22"/>
        <v>0</v>
      </c>
      <c r="CA31" s="455">
        <f t="shared" si="23"/>
        <v>0</v>
      </c>
      <c r="CD31" s="455">
        <f t="shared" si="24"/>
        <v>0</v>
      </c>
      <c r="CG31" s="455">
        <f t="shared" si="25"/>
        <v>0</v>
      </c>
      <c r="CJ31" s="455">
        <f t="shared" si="26"/>
        <v>0</v>
      </c>
      <c r="CM31" s="455">
        <f t="shared" si="27"/>
        <v>0</v>
      </c>
      <c r="CP31" s="455">
        <f t="shared" si="28"/>
        <v>0</v>
      </c>
      <c r="CS31" s="455">
        <f t="shared" si="29"/>
        <v>0</v>
      </c>
      <c r="CV31" s="455">
        <f t="shared" si="30"/>
        <v>0</v>
      </c>
      <c r="CY31" s="455">
        <f t="shared" si="31"/>
        <v>0</v>
      </c>
      <c r="DB31" s="455">
        <f t="shared" si="32"/>
        <v>0</v>
      </c>
      <c r="DE31" s="455">
        <f t="shared" si="33"/>
        <v>0</v>
      </c>
      <c r="DH31" s="455">
        <f t="shared" si="34"/>
        <v>0</v>
      </c>
      <c r="DK31" s="455">
        <f t="shared" si="35"/>
        <v>0</v>
      </c>
      <c r="DN31" s="455">
        <f t="shared" si="36"/>
        <v>0</v>
      </c>
      <c r="DQ31" s="455">
        <f t="shared" si="37"/>
        <v>0</v>
      </c>
      <c r="DT31" s="455">
        <f t="shared" si="38"/>
        <v>0</v>
      </c>
      <c r="DW31" s="455">
        <f t="shared" si="39"/>
        <v>0</v>
      </c>
      <c r="DZ31" s="455"/>
      <c r="EA31" s="455"/>
      <c r="EB31" s="274">
        <f t="shared" si="40"/>
        <v>71750000</v>
      </c>
      <c r="EC31" s="274">
        <f t="shared" si="41"/>
        <v>0</v>
      </c>
      <c r="ED31" s="455">
        <f t="shared" si="42"/>
        <v>5281.5972222222226</v>
      </c>
      <c r="EE31" s="456">
        <f t="shared" si="43"/>
        <v>2.6499999999999999E-2</v>
      </c>
      <c r="EG31" s="274">
        <f t="shared" si="44"/>
        <v>0</v>
      </c>
      <c r="EH31" s="455">
        <f t="shared" si="45"/>
        <v>0</v>
      </c>
      <c r="EI31" s="456">
        <f t="shared" si="46"/>
        <v>0</v>
      </c>
      <c r="EJ31" s="456"/>
      <c r="EK31" s="274">
        <f t="shared" si="47"/>
        <v>71750000</v>
      </c>
      <c r="EL31" s="274">
        <f t="shared" si="48"/>
        <v>0</v>
      </c>
      <c r="EM31" s="274">
        <f t="shared" si="49"/>
        <v>5281.5972222222226</v>
      </c>
      <c r="EN31" s="456">
        <f t="shared" si="50"/>
        <v>2.6499999999999999E-2</v>
      </c>
    </row>
    <row r="32" spans="1:144">
      <c r="A32" s="474">
        <f t="shared" si="51"/>
        <v>43577</v>
      </c>
      <c r="D32" s="455">
        <f t="shared" si="0"/>
        <v>0</v>
      </c>
      <c r="G32" s="455">
        <f t="shared" si="1"/>
        <v>0</v>
      </c>
      <c r="J32" s="455">
        <f t="shared" si="2"/>
        <v>0</v>
      </c>
      <c r="M32" s="455">
        <f t="shared" si="3"/>
        <v>0</v>
      </c>
      <c r="P32" s="455">
        <f t="shared" si="4"/>
        <v>0</v>
      </c>
      <c r="S32" s="455">
        <f t="shared" si="5"/>
        <v>0</v>
      </c>
      <c r="V32" s="455">
        <f t="shared" si="6"/>
        <v>0</v>
      </c>
      <c r="Y32" s="455">
        <f t="shared" si="7"/>
        <v>0</v>
      </c>
      <c r="AB32" s="455">
        <f t="shared" si="8"/>
        <v>0</v>
      </c>
      <c r="AE32" s="455">
        <v>0</v>
      </c>
      <c r="AH32" s="455">
        <v>0</v>
      </c>
      <c r="AI32" s="475">
        <f>77400000</f>
        <v>77400000</v>
      </c>
      <c r="AJ32" s="476">
        <v>2.6499999999999999E-2</v>
      </c>
      <c r="AK32" s="455">
        <f t="shared" si="9"/>
        <v>5697.5</v>
      </c>
      <c r="AN32" s="455">
        <f t="shared" si="10"/>
        <v>0</v>
      </c>
      <c r="AQ32" s="455">
        <f t="shared" si="11"/>
        <v>0</v>
      </c>
      <c r="AT32" s="455">
        <f t="shared" si="12"/>
        <v>0</v>
      </c>
      <c r="AW32" s="455">
        <f t="shared" si="13"/>
        <v>0</v>
      </c>
      <c r="AZ32" s="455">
        <f t="shared" si="14"/>
        <v>0</v>
      </c>
      <c r="BC32" s="455">
        <f t="shared" si="15"/>
        <v>0</v>
      </c>
      <c r="BF32" s="455">
        <f t="shared" si="16"/>
        <v>0</v>
      </c>
      <c r="BI32" s="455">
        <f t="shared" si="17"/>
        <v>0</v>
      </c>
      <c r="BL32" s="455">
        <f t="shared" si="18"/>
        <v>0</v>
      </c>
      <c r="BO32" s="455">
        <f t="shared" si="19"/>
        <v>0</v>
      </c>
      <c r="BR32" s="455">
        <f t="shared" si="20"/>
        <v>0</v>
      </c>
      <c r="BU32" s="455">
        <f t="shared" si="21"/>
        <v>0</v>
      </c>
      <c r="BX32" s="455">
        <f t="shared" si="22"/>
        <v>0</v>
      </c>
      <c r="CA32" s="455">
        <f t="shared" si="23"/>
        <v>0</v>
      </c>
      <c r="CD32" s="455">
        <f t="shared" si="24"/>
        <v>0</v>
      </c>
      <c r="CG32" s="455">
        <f t="shared" si="25"/>
        <v>0</v>
      </c>
      <c r="CJ32" s="455">
        <f t="shared" si="26"/>
        <v>0</v>
      </c>
      <c r="CM32" s="455">
        <f t="shared" si="27"/>
        <v>0</v>
      </c>
      <c r="CP32" s="455">
        <f t="shared" si="28"/>
        <v>0</v>
      </c>
      <c r="CS32" s="455">
        <f t="shared" si="29"/>
        <v>0</v>
      </c>
      <c r="CV32" s="455">
        <f t="shared" si="30"/>
        <v>0</v>
      </c>
      <c r="CY32" s="455">
        <f t="shared" si="31"/>
        <v>0</v>
      </c>
      <c r="DB32" s="455">
        <f t="shared" si="32"/>
        <v>0</v>
      </c>
      <c r="DE32" s="455">
        <f t="shared" si="33"/>
        <v>0</v>
      </c>
      <c r="DH32" s="455">
        <f t="shared" si="34"/>
        <v>0</v>
      </c>
      <c r="DK32" s="455">
        <f t="shared" si="35"/>
        <v>0</v>
      </c>
      <c r="DN32" s="455">
        <f t="shared" si="36"/>
        <v>0</v>
      </c>
      <c r="DQ32" s="455">
        <f t="shared" si="37"/>
        <v>0</v>
      </c>
      <c r="DT32" s="455">
        <f t="shared" si="38"/>
        <v>0</v>
      </c>
      <c r="DW32" s="455">
        <f t="shared" si="39"/>
        <v>0</v>
      </c>
      <c r="DZ32" s="455"/>
      <c r="EA32" s="455"/>
      <c r="EB32" s="274">
        <f t="shared" si="40"/>
        <v>77400000</v>
      </c>
      <c r="EC32" s="274">
        <f t="shared" si="41"/>
        <v>0</v>
      </c>
      <c r="ED32" s="455">
        <f t="shared" si="42"/>
        <v>5697.5</v>
      </c>
      <c r="EE32" s="456">
        <f t="shared" si="43"/>
        <v>2.6499999999999999E-2</v>
      </c>
      <c r="EG32" s="274">
        <f t="shared" si="44"/>
        <v>0</v>
      </c>
      <c r="EH32" s="455">
        <f t="shared" si="45"/>
        <v>0</v>
      </c>
      <c r="EI32" s="456">
        <f t="shared" si="46"/>
        <v>0</v>
      </c>
      <c r="EJ32" s="456"/>
      <c r="EK32" s="274">
        <f t="shared" si="47"/>
        <v>77400000</v>
      </c>
      <c r="EL32" s="274">
        <f t="shared" si="48"/>
        <v>0</v>
      </c>
      <c r="EM32" s="274">
        <f t="shared" si="49"/>
        <v>5697.5</v>
      </c>
      <c r="EN32" s="456">
        <f t="shared" si="50"/>
        <v>2.6499999999999999E-2</v>
      </c>
    </row>
    <row r="33" spans="1:144">
      <c r="A33" s="474">
        <f t="shared" si="51"/>
        <v>43578</v>
      </c>
      <c r="D33" s="455">
        <f t="shared" si="0"/>
        <v>0</v>
      </c>
      <c r="G33" s="455">
        <f t="shared" si="1"/>
        <v>0</v>
      </c>
      <c r="J33" s="455">
        <f t="shared" si="2"/>
        <v>0</v>
      </c>
      <c r="M33" s="455">
        <f t="shared" si="3"/>
        <v>0</v>
      </c>
      <c r="P33" s="455">
        <f t="shared" si="4"/>
        <v>0</v>
      </c>
      <c r="S33" s="455">
        <f t="shared" si="5"/>
        <v>0</v>
      </c>
      <c r="V33" s="455">
        <f t="shared" si="6"/>
        <v>0</v>
      </c>
      <c r="Y33" s="455">
        <f t="shared" si="7"/>
        <v>0</v>
      </c>
      <c r="AB33" s="455">
        <f t="shared" si="8"/>
        <v>0</v>
      </c>
      <c r="AE33" s="455">
        <v>0</v>
      </c>
      <c r="AH33" s="455">
        <v>0</v>
      </c>
      <c r="AI33" s="475">
        <f>67450000</f>
        <v>67450000</v>
      </c>
      <c r="AJ33" s="476">
        <v>2.6499999999999999E-2</v>
      </c>
      <c r="AK33" s="455">
        <f t="shared" si="9"/>
        <v>4965.0694444444443</v>
      </c>
      <c r="AN33" s="455">
        <f t="shared" si="10"/>
        <v>0</v>
      </c>
      <c r="AQ33" s="455">
        <f t="shared" si="11"/>
        <v>0</v>
      </c>
      <c r="AT33" s="455">
        <f t="shared" si="12"/>
        <v>0</v>
      </c>
      <c r="AW33" s="455">
        <f t="shared" si="13"/>
        <v>0</v>
      </c>
      <c r="AZ33" s="455">
        <f t="shared" si="14"/>
        <v>0</v>
      </c>
      <c r="BC33" s="455">
        <f t="shared" si="15"/>
        <v>0</v>
      </c>
      <c r="BF33" s="455">
        <f t="shared" si="16"/>
        <v>0</v>
      </c>
      <c r="BI33" s="455">
        <f t="shared" si="17"/>
        <v>0</v>
      </c>
      <c r="BL33" s="455">
        <f t="shared" si="18"/>
        <v>0</v>
      </c>
      <c r="BO33" s="455">
        <f t="shared" si="19"/>
        <v>0</v>
      </c>
      <c r="BR33" s="455">
        <f t="shared" si="20"/>
        <v>0</v>
      </c>
      <c r="BU33" s="455">
        <f t="shared" si="21"/>
        <v>0</v>
      </c>
      <c r="BX33" s="455">
        <f t="shared" si="22"/>
        <v>0</v>
      </c>
      <c r="CA33" s="455">
        <f t="shared" si="23"/>
        <v>0</v>
      </c>
      <c r="CD33" s="455">
        <f t="shared" si="24"/>
        <v>0</v>
      </c>
      <c r="CG33" s="455">
        <f t="shared" si="25"/>
        <v>0</v>
      </c>
      <c r="CJ33" s="455">
        <f t="shared" si="26"/>
        <v>0</v>
      </c>
      <c r="CM33" s="455">
        <f t="shared" si="27"/>
        <v>0</v>
      </c>
      <c r="CP33" s="455">
        <f t="shared" si="28"/>
        <v>0</v>
      </c>
      <c r="CS33" s="455">
        <f t="shared" si="29"/>
        <v>0</v>
      </c>
      <c r="CV33" s="455">
        <f t="shared" si="30"/>
        <v>0</v>
      </c>
      <c r="CY33" s="455">
        <f t="shared" si="31"/>
        <v>0</v>
      </c>
      <c r="DB33" s="455">
        <f t="shared" si="32"/>
        <v>0</v>
      </c>
      <c r="DE33" s="455">
        <f t="shared" si="33"/>
        <v>0</v>
      </c>
      <c r="DH33" s="455">
        <f t="shared" si="34"/>
        <v>0</v>
      </c>
      <c r="DK33" s="455">
        <f t="shared" si="35"/>
        <v>0</v>
      </c>
      <c r="DN33" s="455">
        <f t="shared" si="36"/>
        <v>0</v>
      </c>
      <c r="DQ33" s="455">
        <f t="shared" si="37"/>
        <v>0</v>
      </c>
      <c r="DT33" s="455">
        <f t="shared" si="38"/>
        <v>0</v>
      </c>
      <c r="DW33" s="455">
        <f t="shared" si="39"/>
        <v>0</v>
      </c>
      <c r="DZ33" s="455"/>
      <c r="EA33" s="455"/>
      <c r="EB33" s="274">
        <f t="shared" si="40"/>
        <v>67450000</v>
      </c>
      <c r="EC33" s="274">
        <f t="shared" si="41"/>
        <v>0</v>
      </c>
      <c r="ED33" s="455">
        <f t="shared" si="42"/>
        <v>4965.0694444444443</v>
      </c>
      <c r="EE33" s="456">
        <f t="shared" si="43"/>
        <v>2.6499999999999999E-2</v>
      </c>
      <c r="EG33" s="274">
        <f t="shared" si="44"/>
        <v>0</v>
      </c>
      <c r="EH33" s="455">
        <f t="shared" si="45"/>
        <v>0</v>
      </c>
      <c r="EI33" s="456">
        <f t="shared" si="46"/>
        <v>0</v>
      </c>
      <c r="EJ33" s="456"/>
      <c r="EK33" s="274">
        <f t="shared" si="47"/>
        <v>67450000</v>
      </c>
      <c r="EL33" s="274">
        <f t="shared" si="48"/>
        <v>0</v>
      </c>
      <c r="EM33" s="274">
        <f t="shared" si="49"/>
        <v>4965.0694444444443</v>
      </c>
      <c r="EN33" s="456">
        <f t="shared" si="50"/>
        <v>2.6499999999999999E-2</v>
      </c>
    </row>
    <row r="34" spans="1:144">
      <c r="A34" s="474">
        <f t="shared" si="51"/>
        <v>43579</v>
      </c>
      <c r="D34" s="455">
        <f t="shared" si="0"/>
        <v>0</v>
      </c>
      <c r="G34" s="455">
        <f t="shared" si="1"/>
        <v>0</v>
      </c>
      <c r="J34" s="455">
        <f t="shared" si="2"/>
        <v>0</v>
      </c>
      <c r="M34" s="455">
        <f t="shared" si="3"/>
        <v>0</v>
      </c>
      <c r="P34" s="455">
        <f t="shared" si="4"/>
        <v>0</v>
      </c>
      <c r="S34" s="455">
        <f t="shared" si="5"/>
        <v>0</v>
      </c>
      <c r="V34" s="455">
        <f t="shared" si="6"/>
        <v>0</v>
      </c>
      <c r="Y34" s="455">
        <f t="shared" si="7"/>
        <v>0</v>
      </c>
      <c r="AB34" s="455">
        <f t="shared" si="8"/>
        <v>0</v>
      </c>
      <c r="AE34" s="455">
        <v>0</v>
      </c>
      <c r="AH34" s="455">
        <v>0</v>
      </c>
      <c r="AI34" s="475">
        <f>58275000</f>
        <v>58275000</v>
      </c>
      <c r="AJ34" s="476">
        <v>2.6499999999999999E-2</v>
      </c>
      <c r="AK34" s="455">
        <f t="shared" si="9"/>
        <v>4289.6875</v>
      </c>
      <c r="AN34" s="455">
        <f t="shared" si="10"/>
        <v>0</v>
      </c>
      <c r="AQ34" s="455">
        <f t="shared" si="11"/>
        <v>0</v>
      </c>
      <c r="AT34" s="455">
        <f t="shared" si="12"/>
        <v>0</v>
      </c>
      <c r="AW34" s="455">
        <f t="shared" si="13"/>
        <v>0</v>
      </c>
      <c r="AZ34" s="455">
        <f t="shared" si="14"/>
        <v>0</v>
      </c>
      <c r="BC34" s="455">
        <f t="shared" si="15"/>
        <v>0</v>
      </c>
      <c r="BF34" s="455">
        <f t="shared" si="16"/>
        <v>0</v>
      </c>
      <c r="BI34" s="455">
        <f t="shared" si="17"/>
        <v>0</v>
      </c>
      <c r="BL34" s="455">
        <f t="shared" si="18"/>
        <v>0</v>
      </c>
      <c r="BO34" s="455">
        <f t="shared" si="19"/>
        <v>0</v>
      </c>
      <c r="BR34" s="455">
        <f t="shared" si="20"/>
        <v>0</v>
      </c>
      <c r="BU34" s="455">
        <f t="shared" si="21"/>
        <v>0</v>
      </c>
      <c r="BX34" s="455">
        <f t="shared" si="22"/>
        <v>0</v>
      </c>
      <c r="CA34" s="455">
        <f t="shared" si="23"/>
        <v>0</v>
      </c>
      <c r="CD34" s="455">
        <f t="shared" si="24"/>
        <v>0</v>
      </c>
      <c r="CG34" s="455">
        <f t="shared" si="25"/>
        <v>0</v>
      </c>
      <c r="CJ34" s="455">
        <f t="shared" si="26"/>
        <v>0</v>
      </c>
      <c r="CM34" s="455">
        <f t="shared" si="27"/>
        <v>0</v>
      </c>
      <c r="CP34" s="455">
        <f t="shared" si="28"/>
        <v>0</v>
      </c>
      <c r="CS34" s="455">
        <f t="shared" si="29"/>
        <v>0</v>
      </c>
      <c r="CV34" s="455">
        <f t="shared" si="30"/>
        <v>0</v>
      </c>
      <c r="CY34" s="455">
        <f t="shared" si="31"/>
        <v>0</v>
      </c>
      <c r="DB34" s="455">
        <f t="shared" si="32"/>
        <v>0</v>
      </c>
      <c r="DE34" s="455">
        <f t="shared" si="33"/>
        <v>0</v>
      </c>
      <c r="DH34" s="455">
        <f t="shared" si="34"/>
        <v>0</v>
      </c>
      <c r="DK34" s="455">
        <f t="shared" si="35"/>
        <v>0</v>
      </c>
      <c r="DN34" s="455">
        <f t="shared" si="36"/>
        <v>0</v>
      </c>
      <c r="DQ34" s="455">
        <f t="shared" si="37"/>
        <v>0</v>
      </c>
      <c r="DT34" s="455">
        <f t="shared" si="38"/>
        <v>0</v>
      </c>
      <c r="DW34" s="455">
        <f t="shared" si="39"/>
        <v>0</v>
      </c>
      <c r="DZ34" s="455"/>
      <c r="EA34" s="455"/>
      <c r="EB34" s="274">
        <f t="shared" si="40"/>
        <v>58275000</v>
      </c>
      <c r="EC34" s="274">
        <f t="shared" si="41"/>
        <v>0</v>
      </c>
      <c r="ED34" s="455">
        <f t="shared" si="42"/>
        <v>4289.6875</v>
      </c>
      <c r="EE34" s="456">
        <f t="shared" si="43"/>
        <v>2.6499999999999999E-2</v>
      </c>
      <c r="EG34" s="274">
        <f t="shared" si="44"/>
        <v>0</v>
      </c>
      <c r="EH34" s="455">
        <f t="shared" si="45"/>
        <v>0</v>
      </c>
      <c r="EI34" s="456">
        <f t="shared" si="46"/>
        <v>0</v>
      </c>
      <c r="EJ34" s="456"/>
      <c r="EK34" s="274">
        <f t="shared" si="47"/>
        <v>58275000</v>
      </c>
      <c r="EL34" s="274">
        <f t="shared" si="48"/>
        <v>0</v>
      </c>
      <c r="EM34" s="274">
        <f t="shared" si="49"/>
        <v>4289.6875</v>
      </c>
      <c r="EN34" s="456">
        <f t="shared" si="50"/>
        <v>2.6499999999999999E-2</v>
      </c>
    </row>
    <row r="35" spans="1:144">
      <c r="A35" s="474">
        <f t="shared" si="51"/>
        <v>43580</v>
      </c>
      <c r="D35" s="455">
        <f t="shared" si="0"/>
        <v>0</v>
      </c>
      <c r="G35" s="455">
        <f t="shared" si="1"/>
        <v>0</v>
      </c>
      <c r="J35" s="455">
        <f t="shared" si="2"/>
        <v>0</v>
      </c>
      <c r="M35" s="455">
        <f t="shared" si="3"/>
        <v>0</v>
      </c>
      <c r="P35" s="455">
        <f t="shared" si="4"/>
        <v>0</v>
      </c>
      <c r="S35" s="455">
        <f t="shared" si="5"/>
        <v>0</v>
      </c>
      <c r="V35" s="455">
        <f t="shared" si="6"/>
        <v>0</v>
      </c>
      <c r="Y35" s="455">
        <f t="shared" si="7"/>
        <v>0</v>
      </c>
      <c r="AB35" s="455">
        <f t="shared" si="8"/>
        <v>0</v>
      </c>
      <c r="AE35" s="455">
        <v>0</v>
      </c>
      <c r="AH35" s="455">
        <v>0</v>
      </c>
      <c r="AI35" s="475">
        <f>60175000</f>
        <v>60175000</v>
      </c>
      <c r="AJ35" s="476">
        <v>2.6499999999999999E-2</v>
      </c>
      <c r="AK35" s="455">
        <f t="shared" si="9"/>
        <v>4429.5486111111113</v>
      </c>
      <c r="AN35" s="455">
        <f t="shared" si="10"/>
        <v>0</v>
      </c>
      <c r="AQ35" s="455">
        <f t="shared" si="11"/>
        <v>0</v>
      </c>
      <c r="AT35" s="455">
        <f t="shared" si="12"/>
        <v>0</v>
      </c>
      <c r="AW35" s="455">
        <f t="shared" si="13"/>
        <v>0</v>
      </c>
      <c r="AZ35" s="455">
        <f t="shared" si="14"/>
        <v>0</v>
      </c>
      <c r="BC35" s="455">
        <f t="shared" si="15"/>
        <v>0</v>
      </c>
      <c r="BF35" s="455">
        <f t="shared" si="16"/>
        <v>0</v>
      </c>
      <c r="BI35" s="455">
        <f t="shared" si="17"/>
        <v>0</v>
      </c>
      <c r="BL35" s="455">
        <f t="shared" si="18"/>
        <v>0</v>
      </c>
      <c r="BO35" s="455">
        <f t="shared" si="19"/>
        <v>0</v>
      </c>
      <c r="BR35" s="455">
        <f t="shared" si="20"/>
        <v>0</v>
      </c>
      <c r="BU35" s="455">
        <f t="shared" si="21"/>
        <v>0</v>
      </c>
      <c r="BX35" s="455">
        <f t="shared" si="22"/>
        <v>0</v>
      </c>
      <c r="CA35" s="455">
        <f t="shared" si="23"/>
        <v>0</v>
      </c>
      <c r="CD35" s="455">
        <f t="shared" si="24"/>
        <v>0</v>
      </c>
      <c r="CG35" s="455">
        <f t="shared" si="25"/>
        <v>0</v>
      </c>
      <c r="CJ35" s="455">
        <f t="shared" si="26"/>
        <v>0</v>
      </c>
      <c r="CM35" s="455">
        <f t="shared" si="27"/>
        <v>0</v>
      </c>
      <c r="CP35" s="455">
        <f t="shared" si="28"/>
        <v>0</v>
      </c>
      <c r="CS35" s="455">
        <f t="shared" si="29"/>
        <v>0</v>
      </c>
      <c r="CV35" s="455">
        <f t="shared" si="30"/>
        <v>0</v>
      </c>
      <c r="CY35" s="455">
        <f t="shared" si="31"/>
        <v>0</v>
      </c>
      <c r="DB35" s="455">
        <f t="shared" si="32"/>
        <v>0</v>
      </c>
      <c r="DE35" s="455">
        <f t="shared" si="33"/>
        <v>0</v>
      </c>
      <c r="DH35" s="455">
        <f t="shared" si="34"/>
        <v>0</v>
      </c>
      <c r="DK35" s="455">
        <f t="shared" si="35"/>
        <v>0</v>
      </c>
      <c r="DN35" s="455">
        <f t="shared" si="36"/>
        <v>0</v>
      </c>
      <c r="DQ35" s="455">
        <f t="shared" si="37"/>
        <v>0</v>
      </c>
      <c r="DT35" s="455">
        <f t="shared" si="38"/>
        <v>0</v>
      </c>
      <c r="DW35" s="455">
        <f t="shared" si="39"/>
        <v>0</v>
      </c>
      <c r="DZ35" s="455"/>
      <c r="EA35" s="455"/>
      <c r="EB35" s="274">
        <f t="shared" si="40"/>
        <v>60175000</v>
      </c>
      <c r="EC35" s="274">
        <f t="shared" si="41"/>
        <v>0</v>
      </c>
      <c r="ED35" s="455">
        <f t="shared" si="42"/>
        <v>4429.5486111111113</v>
      </c>
      <c r="EE35" s="456">
        <f t="shared" si="43"/>
        <v>2.6499999999999999E-2</v>
      </c>
      <c r="EG35" s="274">
        <f t="shared" si="44"/>
        <v>0</v>
      </c>
      <c r="EH35" s="455">
        <f t="shared" si="45"/>
        <v>0</v>
      </c>
      <c r="EI35" s="456">
        <f t="shared" si="46"/>
        <v>0</v>
      </c>
      <c r="EJ35" s="456"/>
      <c r="EK35" s="274">
        <f t="shared" si="47"/>
        <v>60175000</v>
      </c>
      <c r="EL35" s="274">
        <f t="shared" si="48"/>
        <v>0</v>
      </c>
      <c r="EM35" s="274">
        <f t="shared" si="49"/>
        <v>4429.5486111111113</v>
      </c>
      <c r="EN35" s="456">
        <f t="shared" si="50"/>
        <v>2.6499999999999999E-2</v>
      </c>
    </row>
    <row r="36" spans="1:144">
      <c r="A36" s="474">
        <f t="shared" si="51"/>
        <v>43581</v>
      </c>
      <c r="D36" s="455">
        <f t="shared" si="0"/>
        <v>0</v>
      </c>
      <c r="G36" s="455">
        <f t="shared" si="1"/>
        <v>0</v>
      </c>
      <c r="J36" s="455">
        <f t="shared" si="2"/>
        <v>0</v>
      </c>
      <c r="M36" s="455">
        <f t="shared" si="3"/>
        <v>0</v>
      </c>
      <c r="P36" s="455">
        <f t="shared" si="4"/>
        <v>0</v>
      </c>
      <c r="S36" s="455">
        <f t="shared" si="5"/>
        <v>0</v>
      </c>
      <c r="V36" s="455">
        <f t="shared" si="6"/>
        <v>0</v>
      </c>
      <c r="Y36" s="455">
        <f t="shared" si="7"/>
        <v>0</v>
      </c>
      <c r="AB36" s="455">
        <f t="shared" si="8"/>
        <v>0</v>
      </c>
      <c r="AE36" s="455">
        <v>0</v>
      </c>
      <c r="AH36" s="455">
        <v>0</v>
      </c>
      <c r="AI36" s="475">
        <f>74975000</f>
        <v>74975000</v>
      </c>
      <c r="AJ36" s="476">
        <v>2.6499999999999999E-2</v>
      </c>
      <c r="AK36" s="455">
        <f t="shared" si="9"/>
        <v>5518.9930555555557</v>
      </c>
      <c r="AN36" s="455">
        <f t="shared" si="10"/>
        <v>0</v>
      </c>
      <c r="AQ36" s="455">
        <f t="shared" si="11"/>
        <v>0</v>
      </c>
      <c r="AT36" s="455">
        <f t="shared" si="12"/>
        <v>0</v>
      </c>
      <c r="AW36" s="455">
        <f t="shared" si="13"/>
        <v>0</v>
      </c>
      <c r="AZ36" s="455">
        <f t="shared" si="14"/>
        <v>0</v>
      </c>
      <c r="BC36" s="455">
        <f t="shared" si="15"/>
        <v>0</v>
      </c>
      <c r="BF36" s="455">
        <f t="shared" si="16"/>
        <v>0</v>
      </c>
      <c r="BI36" s="455">
        <f t="shared" si="17"/>
        <v>0</v>
      </c>
      <c r="BL36" s="455">
        <f t="shared" si="18"/>
        <v>0</v>
      </c>
      <c r="BO36" s="455">
        <f t="shared" si="19"/>
        <v>0</v>
      </c>
      <c r="BR36" s="455">
        <f t="shared" si="20"/>
        <v>0</v>
      </c>
      <c r="BU36" s="455">
        <f t="shared" si="21"/>
        <v>0</v>
      </c>
      <c r="BX36" s="455">
        <f t="shared" si="22"/>
        <v>0</v>
      </c>
      <c r="CA36" s="455">
        <f t="shared" si="23"/>
        <v>0</v>
      </c>
      <c r="CD36" s="455">
        <f t="shared" si="24"/>
        <v>0</v>
      </c>
      <c r="CG36" s="455">
        <f t="shared" si="25"/>
        <v>0</v>
      </c>
      <c r="CJ36" s="455">
        <f t="shared" si="26"/>
        <v>0</v>
      </c>
      <c r="CM36" s="455">
        <f t="shared" si="27"/>
        <v>0</v>
      </c>
      <c r="CP36" s="455">
        <f t="shared" si="28"/>
        <v>0</v>
      </c>
      <c r="CS36" s="455">
        <f t="shared" si="29"/>
        <v>0</v>
      </c>
      <c r="CV36" s="455">
        <f t="shared" si="30"/>
        <v>0</v>
      </c>
      <c r="CY36" s="455">
        <f t="shared" si="31"/>
        <v>0</v>
      </c>
      <c r="DB36" s="455">
        <f t="shared" si="32"/>
        <v>0</v>
      </c>
      <c r="DE36" s="455">
        <f t="shared" si="33"/>
        <v>0</v>
      </c>
      <c r="DH36" s="455">
        <f t="shared" si="34"/>
        <v>0</v>
      </c>
      <c r="DK36" s="455">
        <f t="shared" si="35"/>
        <v>0</v>
      </c>
      <c r="DN36" s="455">
        <f t="shared" si="36"/>
        <v>0</v>
      </c>
      <c r="DQ36" s="455">
        <f t="shared" si="37"/>
        <v>0</v>
      </c>
      <c r="DT36" s="455">
        <f t="shared" si="38"/>
        <v>0</v>
      </c>
      <c r="DW36" s="455">
        <f t="shared" si="39"/>
        <v>0</v>
      </c>
      <c r="DZ36" s="455"/>
      <c r="EA36" s="455"/>
      <c r="EB36" s="274">
        <f t="shared" si="40"/>
        <v>74975000</v>
      </c>
      <c r="EC36" s="274">
        <f t="shared" si="41"/>
        <v>0</v>
      </c>
      <c r="ED36" s="455">
        <f t="shared" si="42"/>
        <v>5518.9930555555557</v>
      </c>
      <c r="EE36" s="456">
        <f t="shared" si="43"/>
        <v>2.6499999999999999E-2</v>
      </c>
      <c r="EG36" s="274">
        <f t="shared" si="44"/>
        <v>0</v>
      </c>
      <c r="EH36" s="455">
        <f t="shared" si="45"/>
        <v>0</v>
      </c>
      <c r="EI36" s="456">
        <f t="shared" si="46"/>
        <v>0</v>
      </c>
      <c r="EJ36" s="456"/>
      <c r="EK36" s="274">
        <f t="shared" si="47"/>
        <v>74975000</v>
      </c>
      <c r="EL36" s="274">
        <f t="shared" si="48"/>
        <v>0</v>
      </c>
      <c r="EM36" s="274">
        <f t="shared" si="49"/>
        <v>5518.9930555555557</v>
      </c>
      <c r="EN36" s="456">
        <f t="shared" si="50"/>
        <v>2.6499999999999999E-2</v>
      </c>
    </row>
    <row r="37" spans="1:144">
      <c r="A37" s="474">
        <f t="shared" si="51"/>
        <v>43582</v>
      </c>
      <c r="D37" s="455">
        <f t="shared" si="0"/>
        <v>0</v>
      </c>
      <c r="G37" s="455">
        <f t="shared" si="1"/>
        <v>0</v>
      </c>
      <c r="J37" s="455">
        <f t="shared" si="2"/>
        <v>0</v>
      </c>
      <c r="M37" s="455">
        <f t="shared" si="3"/>
        <v>0</v>
      </c>
      <c r="P37" s="455">
        <f t="shared" si="4"/>
        <v>0</v>
      </c>
      <c r="S37" s="455">
        <f t="shared" si="5"/>
        <v>0</v>
      </c>
      <c r="V37" s="455">
        <f t="shared" si="6"/>
        <v>0</v>
      </c>
      <c r="Y37" s="455">
        <f t="shared" si="7"/>
        <v>0</v>
      </c>
      <c r="AB37" s="455">
        <f t="shared" si="8"/>
        <v>0</v>
      </c>
      <c r="AE37" s="455">
        <v>0</v>
      </c>
      <c r="AH37" s="455">
        <v>0</v>
      </c>
      <c r="AI37" s="475">
        <f>74975000</f>
        <v>74975000</v>
      </c>
      <c r="AJ37" s="476">
        <v>2.6499999999999999E-2</v>
      </c>
      <c r="AK37" s="455">
        <f t="shared" si="9"/>
        <v>5518.9930555555557</v>
      </c>
      <c r="AN37" s="455">
        <f t="shared" si="10"/>
        <v>0</v>
      </c>
      <c r="AQ37" s="455">
        <f t="shared" si="11"/>
        <v>0</v>
      </c>
      <c r="AT37" s="455">
        <f t="shared" si="12"/>
        <v>0</v>
      </c>
      <c r="AW37" s="455">
        <f t="shared" si="13"/>
        <v>0</v>
      </c>
      <c r="AZ37" s="455">
        <f t="shared" si="14"/>
        <v>0</v>
      </c>
      <c r="BC37" s="455">
        <f t="shared" si="15"/>
        <v>0</v>
      </c>
      <c r="BF37" s="455">
        <f t="shared" si="16"/>
        <v>0</v>
      </c>
      <c r="BI37" s="455">
        <f t="shared" si="17"/>
        <v>0</v>
      </c>
      <c r="BL37" s="455">
        <f t="shared" si="18"/>
        <v>0</v>
      </c>
      <c r="BO37" s="455">
        <f t="shared" si="19"/>
        <v>0</v>
      </c>
      <c r="BR37" s="455">
        <f t="shared" si="20"/>
        <v>0</v>
      </c>
      <c r="BU37" s="455">
        <f t="shared" si="21"/>
        <v>0</v>
      </c>
      <c r="BX37" s="455">
        <f t="shared" si="22"/>
        <v>0</v>
      </c>
      <c r="CA37" s="455">
        <f t="shared" si="23"/>
        <v>0</v>
      </c>
      <c r="CD37" s="455">
        <f t="shared" si="24"/>
        <v>0</v>
      </c>
      <c r="CG37" s="455">
        <f t="shared" si="25"/>
        <v>0</v>
      </c>
      <c r="CJ37" s="455">
        <f t="shared" si="26"/>
        <v>0</v>
      </c>
      <c r="CM37" s="455">
        <f t="shared" si="27"/>
        <v>0</v>
      </c>
      <c r="CP37" s="455">
        <f t="shared" si="28"/>
        <v>0</v>
      </c>
      <c r="CS37" s="455">
        <f t="shared" si="29"/>
        <v>0</v>
      </c>
      <c r="CV37" s="455">
        <f t="shared" si="30"/>
        <v>0</v>
      </c>
      <c r="CY37" s="455">
        <f t="shared" si="31"/>
        <v>0</v>
      </c>
      <c r="DB37" s="455">
        <f t="shared" si="32"/>
        <v>0</v>
      </c>
      <c r="DE37" s="455">
        <f t="shared" si="33"/>
        <v>0</v>
      </c>
      <c r="DH37" s="455">
        <f t="shared" si="34"/>
        <v>0</v>
      </c>
      <c r="DK37" s="455">
        <f t="shared" si="35"/>
        <v>0</v>
      </c>
      <c r="DN37" s="455">
        <f t="shared" si="36"/>
        <v>0</v>
      </c>
      <c r="DQ37" s="455">
        <f t="shared" si="37"/>
        <v>0</v>
      </c>
      <c r="DT37" s="455">
        <f t="shared" si="38"/>
        <v>0</v>
      </c>
      <c r="DW37" s="455">
        <f t="shared" si="39"/>
        <v>0</v>
      </c>
      <c r="DZ37" s="455"/>
      <c r="EA37" s="455"/>
      <c r="EB37" s="274">
        <f t="shared" si="40"/>
        <v>74975000</v>
      </c>
      <c r="EC37" s="274">
        <f t="shared" si="41"/>
        <v>0</v>
      </c>
      <c r="ED37" s="455">
        <f t="shared" si="42"/>
        <v>5518.9930555555557</v>
      </c>
      <c r="EE37" s="456">
        <f t="shared" si="43"/>
        <v>2.6499999999999999E-2</v>
      </c>
      <c r="EG37" s="274">
        <f t="shared" si="44"/>
        <v>0</v>
      </c>
      <c r="EH37" s="455">
        <f t="shared" si="45"/>
        <v>0</v>
      </c>
      <c r="EI37" s="456">
        <f t="shared" si="46"/>
        <v>0</v>
      </c>
      <c r="EJ37" s="456"/>
      <c r="EK37" s="274">
        <f t="shared" si="47"/>
        <v>74975000</v>
      </c>
      <c r="EL37" s="274">
        <f t="shared" si="48"/>
        <v>0</v>
      </c>
      <c r="EM37" s="274">
        <f t="shared" si="49"/>
        <v>5518.9930555555557</v>
      </c>
      <c r="EN37" s="456">
        <f t="shared" si="50"/>
        <v>2.6499999999999999E-2</v>
      </c>
    </row>
    <row r="38" spans="1:144">
      <c r="A38" s="474">
        <f t="shared" si="51"/>
        <v>43583</v>
      </c>
      <c r="D38" s="455">
        <f t="shared" si="0"/>
        <v>0</v>
      </c>
      <c r="G38" s="455">
        <f t="shared" si="1"/>
        <v>0</v>
      </c>
      <c r="J38" s="455">
        <f t="shared" si="2"/>
        <v>0</v>
      </c>
      <c r="M38" s="455">
        <f t="shared" si="3"/>
        <v>0</v>
      </c>
      <c r="P38" s="455">
        <f t="shared" si="4"/>
        <v>0</v>
      </c>
      <c r="S38" s="455">
        <f t="shared" si="5"/>
        <v>0</v>
      </c>
      <c r="V38" s="455">
        <f t="shared" si="6"/>
        <v>0</v>
      </c>
      <c r="Y38" s="455">
        <f t="shared" si="7"/>
        <v>0</v>
      </c>
      <c r="AB38" s="455">
        <f t="shared" si="8"/>
        <v>0</v>
      </c>
      <c r="AE38" s="455">
        <v>0</v>
      </c>
      <c r="AH38" s="455">
        <v>0</v>
      </c>
      <c r="AI38" s="475">
        <f>74975000</f>
        <v>74975000</v>
      </c>
      <c r="AJ38" s="476">
        <v>2.6499999999999999E-2</v>
      </c>
      <c r="AK38" s="455">
        <f t="shared" si="9"/>
        <v>5518.9930555555557</v>
      </c>
      <c r="AN38" s="455">
        <f t="shared" si="10"/>
        <v>0</v>
      </c>
      <c r="AQ38" s="455">
        <f t="shared" si="11"/>
        <v>0</v>
      </c>
      <c r="AT38" s="455">
        <f t="shared" si="12"/>
        <v>0</v>
      </c>
      <c r="AW38" s="455">
        <f t="shared" si="13"/>
        <v>0</v>
      </c>
      <c r="AZ38" s="455">
        <f t="shared" si="14"/>
        <v>0</v>
      </c>
      <c r="BC38" s="455">
        <f t="shared" si="15"/>
        <v>0</v>
      </c>
      <c r="BF38" s="455">
        <f t="shared" si="16"/>
        <v>0</v>
      </c>
      <c r="BI38" s="455">
        <f t="shared" si="17"/>
        <v>0</v>
      </c>
      <c r="BL38" s="455">
        <f t="shared" si="18"/>
        <v>0</v>
      </c>
      <c r="BO38" s="455">
        <f t="shared" si="19"/>
        <v>0</v>
      </c>
      <c r="BR38" s="455">
        <f t="shared" si="20"/>
        <v>0</v>
      </c>
      <c r="BU38" s="455">
        <f t="shared" si="21"/>
        <v>0</v>
      </c>
      <c r="BX38" s="455">
        <f t="shared" si="22"/>
        <v>0</v>
      </c>
      <c r="CA38" s="455">
        <f t="shared" si="23"/>
        <v>0</v>
      </c>
      <c r="CD38" s="455">
        <f t="shared" si="24"/>
        <v>0</v>
      </c>
      <c r="CG38" s="455">
        <f t="shared" si="25"/>
        <v>0</v>
      </c>
      <c r="CJ38" s="455">
        <f t="shared" si="26"/>
        <v>0</v>
      </c>
      <c r="CM38" s="455">
        <f t="shared" si="27"/>
        <v>0</v>
      </c>
      <c r="CP38" s="455">
        <f t="shared" si="28"/>
        <v>0</v>
      </c>
      <c r="CS38" s="455">
        <f t="shared" si="29"/>
        <v>0</v>
      </c>
      <c r="CV38" s="455">
        <f t="shared" si="30"/>
        <v>0</v>
      </c>
      <c r="CY38" s="455">
        <f t="shared" si="31"/>
        <v>0</v>
      </c>
      <c r="DB38" s="455">
        <f t="shared" si="32"/>
        <v>0</v>
      </c>
      <c r="DE38" s="455">
        <f t="shared" si="33"/>
        <v>0</v>
      </c>
      <c r="DH38" s="455">
        <f t="shared" si="34"/>
        <v>0</v>
      </c>
      <c r="DK38" s="455">
        <f t="shared" si="35"/>
        <v>0</v>
      </c>
      <c r="DN38" s="455">
        <f t="shared" si="36"/>
        <v>0</v>
      </c>
      <c r="DQ38" s="455">
        <f t="shared" si="37"/>
        <v>0</v>
      </c>
      <c r="DT38" s="455">
        <f t="shared" si="38"/>
        <v>0</v>
      </c>
      <c r="DW38" s="455">
        <f t="shared" si="39"/>
        <v>0</v>
      </c>
      <c r="DZ38" s="455"/>
      <c r="EA38" s="455"/>
      <c r="EB38" s="274">
        <f t="shared" si="40"/>
        <v>74975000</v>
      </c>
      <c r="EC38" s="274">
        <f t="shared" si="41"/>
        <v>0</v>
      </c>
      <c r="ED38" s="455">
        <f t="shared" si="42"/>
        <v>5518.9930555555557</v>
      </c>
      <c r="EE38" s="456">
        <f t="shared" si="43"/>
        <v>2.6499999999999999E-2</v>
      </c>
      <c r="EG38" s="274">
        <f t="shared" si="44"/>
        <v>0</v>
      </c>
      <c r="EH38" s="455">
        <f t="shared" si="45"/>
        <v>0</v>
      </c>
      <c r="EI38" s="456">
        <f t="shared" si="46"/>
        <v>0</v>
      </c>
      <c r="EJ38" s="456"/>
      <c r="EK38" s="274">
        <f t="shared" si="47"/>
        <v>74975000</v>
      </c>
      <c r="EL38" s="274">
        <f t="shared" si="48"/>
        <v>0</v>
      </c>
      <c r="EM38" s="274">
        <f t="shared" si="49"/>
        <v>5518.9930555555557</v>
      </c>
      <c r="EN38" s="456">
        <f t="shared" si="50"/>
        <v>2.6499999999999999E-2</v>
      </c>
    </row>
    <row r="39" spans="1:144">
      <c r="A39" s="474">
        <f t="shared" si="51"/>
        <v>43584</v>
      </c>
      <c r="D39" s="455">
        <f t="shared" si="0"/>
        <v>0</v>
      </c>
      <c r="G39" s="455">
        <f t="shared" si="1"/>
        <v>0</v>
      </c>
      <c r="J39" s="455">
        <f t="shared" si="2"/>
        <v>0</v>
      </c>
      <c r="M39" s="455">
        <f t="shared" si="3"/>
        <v>0</v>
      </c>
      <c r="P39" s="455">
        <f t="shared" si="4"/>
        <v>0</v>
      </c>
      <c r="S39" s="455">
        <f t="shared" si="5"/>
        <v>0</v>
      </c>
      <c r="V39" s="455">
        <f t="shared" si="6"/>
        <v>0</v>
      </c>
      <c r="Y39" s="455">
        <f t="shared" si="7"/>
        <v>0</v>
      </c>
      <c r="AB39" s="455">
        <f t="shared" si="8"/>
        <v>0</v>
      </c>
      <c r="AE39" s="455">
        <v>0</v>
      </c>
      <c r="AH39" s="455">
        <v>0</v>
      </c>
      <c r="AI39" s="475">
        <f>89950000</f>
        <v>89950000</v>
      </c>
      <c r="AJ39" s="476">
        <v>2.6499999999999999E-2</v>
      </c>
      <c r="AK39" s="455">
        <f t="shared" si="9"/>
        <v>6621.3194444444443</v>
      </c>
      <c r="AN39" s="455">
        <f t="shared" si="10"/>
        <v>0</v>
      </c>
      <c r="AQ39" s="455">
        <f t="shared" si="11"/>
        <v>0</v>
      </c>
      <c r="AT39" s="455">
        <f t="shared" si="12"/>
        <v>0</v>
      </c>
      <c r="AW39" s="455">
        <f t="shared" si="13"/>
        <v>0</v>
      </c>
      <c r="AZ39" s="455">
        <f t="shared" si="14"/>
        <v>0</v>
      </c>
      <c r="BC39" s="455">
        <f t="shared" si="15"/>
        <v>0</v>
      </c>
      <c r="BF39" s="455">
        <f t="shared" si="16"/>
        <v>0</v>
      </c>
      <c r="BI39" s="455">
        <f t="shared" si="17"/>
        <v>0</v>
      </c>
      <c r="BL39" s="455">
        <f t="shared" si="18"/>
        <v>0</v>
      </c>
      <c r="BO39" s="455">
        <f t="shared" si="19"/>
        <v>0</v>
      </c>
      <c r="BR39" s="455">
        <f t="shared" si="20"/>
        <v>0</v>
      </c>
      <c r="BU39" s="455">
        <f t="shared" si="21"/>
        <v>0</v>
      </c>
      <c r="BX39" s="455">
        <f t="shared" si="22"/>
        <v>0</v>
      </c>
      <c r="CA39" s="455">
        <f t="shared" si="23"/>
        <v>0</v>
      </c>
      <c r="CD39" s="455">
        <f t="shared" si="24"/>
        <v>0</v>
      </c>
      <c r="CG39" s="455">
        <f t="shared" si="25"/>
        <v>0</v>
      </c>
      <c r="CJ39" s="455">
        <f t="shared" si="26"/>
        <v>0</v>
      </c>
      <c r="CM39" s="455">
        <f t="shared" si="27"/>
        <v>0</v>
      </c>
      <c r="CP39" s="455">
        <f t="shared" si="28"/>
        <v>0</v>
      </c>
      <c r="CS39" s="455">
        <f t="shared" si="29"/>
        <v>0</v>
      </c>
      <c r="CV39" s="455">
        <f t="shared" si="30"/>
        <v>0</v>
      </c>
      <c r="CY39" s="455">
        <f t="shared" si="31"/>
        <v>0</v>
      </c>
      <c r="DB39" s="455">
        <f t="shared" si="32"/>
        <v>0</v>
      </c>
      <c r="DE39" s="455">
        <f t="shared" si="33"/>
        <v>0</v>
      </c>
      <c r="DH39" s="455">
        <f t="shared" si="34"/>
        <v>0</v>
      </c>
      <c r="DK39" s="455">
        <f t="shared" si="35"/>
        <v>0</v>
      </c>
      <c r="DN39" s="455">
        <f t="shared" si="36"/>
        <v>0</v>
      </c>
      <c r="DQ39" s="455">
        <f t="shared" si="37"/>
        <v>0</v>
      </c>
      <c r="DT39" s="455">
        <f t="shared" si="38"/>
        <v>0</v>
      </c>
      <c r="DW39" s="455">
        <f t="shared" si="39"/>
        <v>0</v>
      </c>
      <c r="DZ39" s="455"/>
      <c r="EA39" s="455"/>
      <c r="EB39" s="274">
        <f t="shared" si="40"/>
        <v>89950000</v>
      </c>
      <c r="EC39" s="274">
        <f t="shared" si="41"/>
        <v>0</v>
      </c>
      <c r="ED39" s="455">
        <f t="shared" si="42"/>
        <v>6621.3194444444443</v>
      </c>
      <c r="EE39" s="456">
        <f t="shared" si="43"/>
        <v>2.6499999999999999E-2</v>
      </c>
      <c r="EG39" s="274">
        <f t="shared" si="44"/>
        <v>0</v>
      </c>
      <c r="EH39" s="455">
        <f t="shared" si="45"/>
        <v>0</v>
      </c>
      <c r="EI39" s="456">
        <f t="shared" si="46"/>
        <v>0</v>
      </c>
      <c r="EJ39" s="456"/>
      <c r="EK39" s="274">
        <f t="shared" si="47"/>
        <v>89950000</v>
      </c>
      <c r="EL39" s="274">
        <f t="shared" si="48"/>
        <v>0</v>
      </c>
      <c r="EM39" s="274">
        <f t="shared" si="49"/>
        <v>6621.3194444444443</v>
      </c>
      <c r="EN39" s="456">
        <f t="shared" si="50"/>
        <v>2.6499999999999999E-2</v>
      </c>
    </row>
    <row r="40" spans="1:144">
      <c r="A40" s="474">
        <f t="shared" si="51"/>
        <v>43585</v>
      </c>
      <c r="D40" s="455">
        <f t="shared" si="0"/>
        <v>0</v>
      </c>
      <c r="G40" s="455">
        <f t="shared" si="1"/>
        <v>0</v>
      </c>
      <c r="J40" s="455">
        <f t="shared" si="2"/>
        <v>0</v>
      </c>
      <c r="M40" s="455">
        <f t="shared" si="3"/>
        <v>0</v>
      </c>
      <c r="P40" s="455">
        <f t="shared" si="4"/>
        <v>0</v>
      </c>
      <c r="S40" s="455">
        <f t="shared" si="5"/>
        <v>0</v>
      </c>
      <c r="V40" s="455">
        <f t="shared" si="6"/>
        <v>0</v>
      </c>
      <c r="Y40" s="455">
        <f t="shared" si="7"/>
        <v>0</v>
      </c>
      <c r="AB40" s="455">
        <f t="shared" si="8"/>
        <v>0</v>
      </c>
      <c r="AE40" s="455">
        <v>0</v>
      </c>
      <c r="AH40" s="455">
        <v>0</v>
      </c>
      <c r="AI40" s="475">
        <f>92325000</f>
        <v>92325000</v>
      </c>
      <c r="AJ40" s="476">
        <v>2.6499999999999999E-2</v>
      </c>
      <c r="AK40" s="455">
        <f t="shared" si="9"/>
        <v>6796.145833333333</v>
      </c>
      <c r="AN40" s="455">
        <f t="shared" si="10"/>
        <v>0</v>
      </c>
      <c r="AQ40" s="455">
        <f t="shared" si="11"/>
        <v>0</v>
      </c>
      <c r="AT40" s="455">
        <f t="shared" si="12"/>
        <v>0</v>
      </c>
      <c r="AW40" s="455">
        <f t="shared" si="13"/>
        <v>0</v>
      </c>
      <c r="AZ40" s="455">
        <f t="shared" si="14"/>
        <v>0</v>
      </c>
      <c r="BC40" s="455">
        <f t="shared" si="15"/>
        <v>0</v>
      </c>
      <c r="BF40" s="455">
        <f t="shared" si="16"/>
        <v>0</v>
      </c>
      <c r="BI40" s="455">
        <f t="shared" si="17"/>
        <v>0</v>
      </c>
      <c r="BL40" s="455">
        <f t="shared" si="18"/>
        <v>0</v>
      </c>
      <c r="BO40" s="455">
        <f t="shared" si="19"/>
        <v>0</v>
      </c>
      <c r="BR40" s="455">
        <f t="shared" si="20"/>
        <v>0</v>
      </c>
      <c r="BU40" s="455">
        <f t="shared" si="21"/>
        <v>0</v>
      </c>
      <c r="BX40" s="455">
        <f t="shared" si="22"/>
        <v>0</v>
      </c>
      <c r="CA40" s="455">
        <f t="shared" si="23"/>
        <v>0</v>
      </c>
      <c r="CD40" s="455">
        <f t="shared" si="24"/>
        <v>0</v>
      </c>
      <c r="CG40" s="455">
        <f t="shared" si="25"/>
        <v>0</v>
      </c>
      <c r="CJ40" s="455">
        <f t="shared" si="26"/>
        <v>0</v>
      </c>
      <c r="CM40" s="455">
        <f t="shared" si="27"/>
        <v>0</v>
      </c>
      <c r="CP40" s="455">
        <f t="shared" si="28"/>
        <v>0</v>
      </c>
      <c r="CS40" s="455">
        <f t="shared" si="29"/>
        <v>0</v>
      </c>
      <c r="CV40" s="455">
        <f t="shared" si="30"/>
        <v>0</v>
      </c>
      <c r="CY40" s="455">
        <f t="shared" si="31"/>
        <v>0</v>
      </c>
      <c r="DB40" s="455">
        <f t="shared" si="32"/>
        <v>0</v>
      </c>
      <c r="DE40" s="455">
        <f t="shared" si="33"/>
        <v>0</v>
      </c>
      <c r="DH40" s="455">
        <f t="shared" si="34"/>
        <v>0</v>
      </c>
      <c r="DK40" s="455">
        <f t="shared" si="35"/>
        <v>0</v>
      </c>
      <c r="DN40" s="455">
        <f t="shared" si="36"/>
        <v>0</v>
      </c>
      <c r="DQ40" s="455">
        <f t="shared" si="37"/>
        <v>0</v>
      </c>
      <c r="DT40" s="455">
        <f t="shared" si="38"/>
        <v>0</v>
      </c>
      <c r="DW40" s="455">
        <f t="shared" si="39"/>
        <v>0</v>
      </c>
      <c r="DZ40" s="453"/>
      <c r="EA40" s="455"/>
      <c r="EB40" s="274">
        <f t="shared" si="40"/>
        <v>92325000</v>
      </c>
      <c r="EC40" s="274">
        <f t="shared" si="41"/>
        <v>0</v>
      </c>
      <c r="ED40" s="455">
        <f t="shared" si="42"/>
        <v>6796.145833333333</v>
      </c>
      <c r="EE40" s="456">
        <f t="shared" si="43"/>
        <v>2.6499999999999999E-2</v>
      </c>
      <c r="EG40" s="274">
        <f t="shared" si="44"/>
        <v>0</v>
      </c>
      <c r="EH40" s="455">
        <f t="shared" si="45"/>
        <v>0</v>
      </c>
      <c r="EI40" s="456">
        <f t="shared" si="46"/>
        <v>0</v>
      </c>
      <c r="EJ40" s="456"/>
      <c r="EK40" s="274">
        <f t="shared" si="47"/>
        <v>92325000</v>
      </c>
      <c r="EL40" s="274">
        <f t="shared" si="48"/>
        <v>0</v>
      </c>
      <c r="EM40" s="274">
        <f t="shared" si="49"/>
        <v>6796.145833333333</v>
      </c>
      <c r="EN40" s="456">
        <f t="shared" si="50"/>
        <v>2.6499999999999999E-2</v>
      </c>
    </row>
    <row r="41" spans="1:144">
      <c r="A41" s="275" t="s">
        <v>13</v>
      </c>
      <c r="D41" s="477">
        <f>SUM(D11:D40)</f>
        <v>0</v>
      </c>
      <c r="G41" s="477">
        <f>SUM(G11:G40)</f>
        <v>0</v>
      </c>
      <c r="J41" s="477">
        <f>SUM(J11:J40)</f>
        <v>0</v>
      </c>
      <c r="M41" s="477">
        <f>SUM(M11:M40)</f>
        <v>0</v>
      </c>
      <c r="P41" s="477">
        <f>SUM(P11:P40)</f>
        <v>0</v>
      </c>
      <c r="S41" s="477">
        <f>SUM(S11:S40)</f>
        <v>0</v>
      </c>
      <c r="V41" s="477">
        <f>SUM(V11:V40)</f>
        <v>0</v>
      </c>
      <c r="Y41" s="477">
        <f>SUM(Y11:Y40)</f>
        <v>0</v>
      </c>
      <c r="AB41" s="477">
        <f>SUM(AB11:AB40)</f>
        <v>0</v>
      </c>
      <c r="AE41" s="477">
        <f>SUM(AE11:AE40)</f>
        <v>0</v>
      </c>
      <c r="AH41" s="477">
        <f>SUM(AH11:AH40)</f>
        <v>0</v>
      </c>
      <c r="AK41" s="477">
        <f>SUM(AK11:AK40)</f>
        <v>164073.71527777778</v>
      </c>
      <c r="AN41" s="477">
        <f>SUM(AN11:AN40)</f>
        <v>0</v>
      </c>
      <c r="AQ41" s="477">
        <f>SUM(AQ11:AQ40)</f>
        <v>0</v>
      </c>
      <c r="AT41" s="477">
        <f>SUM(AT11:AT40)</f>
        <v>0</v>
      </c>
      <c r="AW41" s="477">
        <f>SUM(AW11:AW40)</f>
        <v>0</v>
      </c>
      <c r="AZ41" s="477">
        <f>SUM(AZ11:AZ40)</f>
        <v>0</v>
      </c>
      <c r="BC41" s="477">
        <f>SUM(BC11:BC40)</f>
        <v>0</v>
      </c>
      <c r="BF41" s="477">
        <f>SUM(BF11:BF40)</f>
        <v>0</v>
      </c>
      <c r="BI41" s="477">
        <f>SUM(BI11:BI40)</f>
        <v>0</v>
      </c>
      <c r="BL41" s="477">
        <f>SUM(BL11:BL40)</f>
        <v>0</v>
      </c>
      <c r="BO41" s="477">
        <f>SUM(BO11:BO40)</f>
        <v>0</v>
      </c>
      <c r="BR41" s="477">
        <f>SUM(BR11:BR40)</f>
        <v>0</v>
      </c>
      <c r="BU41" s="477">
        <f>SUM(BU11:BU40)</f>
        <v>0</v>
      </c>
      <c r="BX41" s="477">
        <f>SUM(BX11:BX40)</f>
        <v>0</v>
      </c>
      <c r="CA41" s="477">
        <f>SUM(CA11:CA40)</f>
        <v>0</v>
      </c>
      <c r="CD41" s="477">
        <f>SUM(CD11:CD40)</f>
        <v>0</v>
      </c>
      <c r="CG41" s="477">
        <f>SUM(CG11:CG40)</f>
        <v>0</v>
      </c>
      <c r="CJ41" s="477">
        <f>SUM(CJ11:CJ40)</f>
        <v>0</v>
      </c>
      <c r="CM41" s="477">
        <f>SUM(CM11:CM40)</f>
        <v>0</v>
      </c>
      <c r="CP41" s="477">
        <f>SUM(CP11:CP40)</f>
        <v>0</v>
      </c>
      <c r="CS41" s="477">
        <f>SUM(CS11:CS40)</f>
        <v>0</v>
      </c>
      <c r="CV41" s="477">
        <f>SUM(CV11:CV40)</f>
        <v>0</v>
      </c>
      <c r="CY41" s="477">
        <f>SUM(CY11:CY40)</f>
        <v>0</v>
      </c>
      <c r="DB41" s="477">
        <f>SUM(DB11:DB40)</f>
        <v>0</v>
      </c>
      <c r="DE41" s="477">
        <f>SUM(DE11:DE40)</f>
        <v>0</v>
      </c>
      <c r="DH41" s="477">
        <f>SUM(DH11:DH40)</f>
        <v>0</v>
      </c>
      <c r="DK41" s="477">
        <f>SUM(DK11:DK40)</f>
        <v>0</v>
      </c>
      <c r="DN41" s="477">
        <f>SUM(DN11:DN40)</f>
        <v>0</v>
      </c>
      <c r="DQ41" s="477">
        <f>SUM(DQ11:DQ40)</f>
        <v>0</v>
      </c>
      <c r="DT41" s="477">
        <f>SUM(DT11:DT40)</f>
        <v>0</v>
      </c>
      <c r="DW41" s="477">
        <f>SUM(DW11:DW40)</f>
        <v>0</v>
      </c>
      <c r="DZ41" s="453"/>
      <c r="EA41" s="453"/>
      <c r="EB41" s="455"/>
      <c r="EC41" s="455"/>
      <c r="ED41" s="477">
        <f>SUM(ED11:ED40)</f>
        <v>164073.71527777778</v>
      </c>
      <c r="EE41" s="456"/>
      <c r="EG41" s="455"/>
      <c r="EH41" s="477">
        <f>SUM(EH11:EH40)</f>
        <v>0</v>
      </c>
      <c r="EI41" s="456"/>
      <c r="EJ41" s="456"/>
      <c r="EK41" s="455"/>
      <c r="EL41" s="455"/>
      <c r="EM41" s="477">
        <f>SUM(EM11:EM40)</f>
        <v>164073.71527777778</v>
      </c>
      <c r="EN41" s="456"/>
    </row>
    <row r="43" spans="1:144">
      <c r="EM43" s="478"/>
    </row>
    <row r="44" spans="1:144">
      <c r="EM44" s="455"/>
    </row>
    <row r="46" spans="1:144">
      <c r="EM46" s="478"/>
    </row>
    <row r="48" spans="1:144">
      <c r="EM48" s="455"/>
    </row>
  </sheetData>
  <pageMargins left="0.7" right="0.7" top="0.75" bottom="0.75" header="0.3" footer="0.3"/>
  <pageSetup scale="89" orientation="portrait" r:id="rId1"/>
  <headerFooter>
    <oddFooter>&amp;CSchedule MA-TU&amp;RApril 2019 &amp;P of &amp;N
Confidential
4 CSR 240-2.090(9(A).2(D).II)</oddFooter>
  </headerFooter>
  <colBreaks count="2" manualBreakCount="2">
    <brk id="37" max="40" man="1"/>
    <brk id="144"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58"/>
  <sheetViews>
    <sheetView zoomScale="80" zoomScaleNormal="80" workbookViewId="0">
      <selection activeCell="D26" sqref="D26"/>
    </sheetView>
  </sheetViews>
  <sheetFormatPr defaultRowHeight="12.75"/>
  <cols>
    <col min="1" max="1" width="16.28515625" style="84" customWidth="1"/>
    <col min="2" max="2" width="14" style="84" customWidth="1"/>
    <col min="3" max="3" width="14.140625" style="84" customWidth="1"/>
    <col min="4" max="4" width="16.28515625" style="84" bestFit="1" customWidth="1"/>
    <col min="5" max="5" width="3.42578125" style="84" customWidth="1"/>
    <col min="6" max="6" width="15.140625" style="84" bestFit="1" customWidth="1"/>
    <col min="7" max="7" width="14" style="84" customWidth="1"/>
    <col min="8" max="8" width="11.42578125" style="84" bestFit="1" customWidth="1"/>
    <col min="9" max="9" width="15.28515625" style="84" bestFit="1" customWidth="1"/>
    <col min="10" max="10" width="3.42578125" style="84" customWidth="1"/>
    <col min="11" max="11" width="15.42578125" style="84" bestFit="1" customWidth="1"/>
    <col min="12" max="12" width="14" style="84" customWidth="1"/>
    <col min="13" max="13" width="11.42578125" style="84" bestFit="1" customWidth="1"/>
    <col min="14" max="14" width="16.5703125" style="84" bestFit="1" customWidth="1"/>
    <col min="15" max="15" width="3.42578125" style="84" customWidth="1"/>
    <col min="16" max="16" width="16.140625" style="84" bestFit="1" customWidth="1"/>
    <col min="17" max="18" width="14" style="84" customWidth="1"/>
    <col min="19" max="19" width="15.28515625" style="84" bestFit="1" customWidth="1"/>
    <col min="20" max="20" width="3.42578125" style="84" customWidth="1"/>
    <col min="21" max="21" width="17.7109375" style="84" bestFit="1" customWidth="1"/>
    <col min="22" max="16384" width="9.140625" style="84"/>
  </cols>
  <sheetData>
    <row r="1" spans="1:21">
      <c r="A1" s="1" t="s">
        <v>0</v>
      </c>
      <c r="B1" s="110"/>
    </row>
    <row r="2" spans="1:21">
      <c r="A2" s="1" t="s">
        <v>233</v>
      </c>
      <c r="B2" s="110"/>
    </row>
    <row r="3" spans="1:21" s="110" customFormat="1">
      <c r="A3" s="177" t="s">
        <v>210</v>
      </c>
      <c r="F3" s="95"/>
    </row>
    <row r="4" spans="1:21">
      <c r="A4" s="1" t="s">
        <v>172</v>
      </c>
    </row>
    <row r="5" spans="1:21">
      <c r="A5" s="1"/>
    </row>
    <row r="6" spans="1:21" ht="13.5" thickBot="1">
      <c r="A6" s="556"/>
    </row>
    <row r="7" spans="1:21" ht="14.25">
      <c r="A7" s="233" t="s">
        <v>234</v>
      </c>
      <c r="B7" s="557"/>
      <c r="C7" s="557"/>
      <c r="D7" s="557"/>
      <c r="E7" s="557"/>
      <c r="F7" s="557"/>
      <c r="G7" s="557"/>
      <c r="H7" s="557"/>
      <c r="I7" s="557"/>
      <c r="J7" s="557"/>
      <c r="K7" s="557"/>
      <c r="L7" s="557"/>
      <c r="M7" s="557"/>
      <c r="N7" s="557"/>
      <c r="O7" s="557"/>
      <c r="P7" s="557"/>
      <c r="Q7" s="557"/>
      <c r="R7" s="557"/>
      <c r="S7" s="557"/>
      <c r="T7" s="557"/>
      <c r="U7" s="558"/>
    </row>
    <row r="8" spans="1:21">
      <c r="A8" s="234">
        <v>43252</v>
      </c>
      <c r="B8" s="197"/>
      <c r="C8" s="197"/>
      <c r="D8" s="197"/>
      <c r="E8" s="512"/>
      <c r="F8" s="232">
        <v>43282</v>
      </c>
      <c r="G8" s="197"/>
      <c r="H8" s="197"/>
      <c r="I8" s="197"/>
      <c r="J8" s="512"/>
      <c r="K8" s="231">
        <v>43313</v>
      </c>
      <c r="L8" s="197"/>
      <c r="M8" s="197"/>
      <c r="N8" s="197"/>
      <c r="O8" s="512"/>
      <c r="P8" s="232">
        <v>43344</v>
      </c>
      <c r="Q8" s="197"/>
      <c r="R8" s="197"/>
      <c r="S8" s="197"/>
      <c r="T8" s="512"/>
      <c r="U8" s="235" t="s">
        <v>41</v>
      </c>
    </row>
    <row r="9" spans="1:21">
      <c r="A9" s="236"/>
      <c r="B9" s="175" t="s">
        <v>42</v>
      </c>
      <c r="C9" s="175" t="s">
        <v>43</v>
      </c>
      <c r="D9" s="175" t="s">
        <v>44</v>
      </c>
      <c r="E9" s="135"/>
      <c r="F9" s="237"/>
      <c r="G9" s="175" t="s">
        <v>42</v>
      </c>
      <c r="H9" s="175" t="s">
        <v>43</v>
      </c>
      <c r="I9" s="175" t="s">
        <v>44</v>
      </c>
      <c r="J9" s="135"/>
      <c r="K9" s="175"/>
      <c r="L9" s="175" t="s">
        <v>42</v>
      </c>
      <c r="M9" s="175" t="s">
        <v>43</v>
      </c>
      <c r="N9" s="175" t="s">
        <v>44</v>
      </c>
      <c r="O9" s="135"/>
      <c r="P9" s="238"/>
      <c r="Q9" s="175" t="s">
        <v>42</v>
      </c>
      <c r="R9" s="175" t="s">
        <v>43</v>
      </c>
      <c r="S9" s="175" t="s">
        <v>44</v>
      </c>
      <c r="T9" s="512"/>
      <c r="U9" s="235" t="s">
        <v>236</v>
      </c>
    </row>
    <row r="10" spans="1:21">
      <c r="A10" s="239" t="s">
        <v>212</v>
      </c>
      <c r="B10" s="174" t="s">
        <v>213</v>
      </c>
      <c r="C10" s="174" t="s">
        <v>47</v>
      </c>
      <c r="D10" s="174" t="s">
        <v>214</v>
      </c>
      <c r="E10" s="240"/>
      <c r="F10" s="174" t="s">
        <v>212</v>
      </c>
      <c r="G10" s="174" t="s">
        <v>213</v>
      </c>
      <c r="H10" s="174" t="s">
        <v>47</v>
      </c>
      <c r="I10" s="174" t="s">
        <v>214</v>
      </c>
      <c r="J10" s="135"/>
      <c r="K10" s="174" t="s">
        <v>212</v>
      </c>
      <c r="L10" s="174" t="s">
        <v>213</v>
      </c>
      <c r="M10" s="174" t="s">
        <v>47</v>
      </c>
      <c r="N10" s="174" t="s">
        <v>214</v>
      </c>
      <c r="O10" s="135"/>
      <c r="P10" s="174" t="s">
        <v>212</v>
      </c>
      <c r="Q10" s="174" t="s">
        <v>213</v>
      </c>
      <c r="R10" s="174" t="s">
        <v>47</v>
      </c>
      <c r="S10" s="174" t="s">
        <v>214</v>
      </c>
      <c r="T10" s="512"/>
      <c r="U10" s="241" t="s">
        <v>214</v>
      </c>
    </row>
    <row r="11" spans="1:21">
      <c r="A11" s="511">
        <v>3272128220.1094999</v>
      </c>
      <c r="B11" s="259">
        <v>5824734</v>
      </c>
      <c r="C11" s="259">
        <v>473020</v>
      </c>
      <c r="D11" s="248">
        <v>3278425974.1094999</v>
      </c>
      <c r="E11" s="512"/>
      <c r="F11" s="259">
        <v>3426983695.1110001</v>
      </c>
      <c r="G11" s="259">
        <v>5613095</v>
      </c>
      <c r="H11" s="259">
        <v>316594</v>
      </c>
      <c r="I11" s="248">
        <v>3432913384.1110001</v>
      </c>
      <c r="J11" s="512"/>
      <c r="K11" s="259">
        <v>3295506670.6235003</v>
      </c>
      <c r="L11" s="259">
        <v>767249</v>
      </c>
      <c r="M11" s="259">
        <v>277365</v>
      </c>
      <c r="N11" s="248">
        <v>3296551284.6235003</v>
      </c>
      <c r="O11" s="512"/>
      <c r="P11" s="259">
        <v>2863212032.4720001</v>
      </c>
      <c r="Q11" s="259">
        <v>686446</v>
      </c>
      <c r="R11" s="259">
        <v>195460</v>
      </c>
      <c r="S11" s="248">
        <v>2864093938.4720001</v>
      </c>
      <c r="T11" s="135"/>
      <c r="U11" s="243">
        <f>S11+N11+I11+D11</f>
        <v>12871984581.316002</v>
      </c>
    </row>
    <row r="12" spans="1:21">
      <c r="A12" s="559"/>
      <c r="B12" s="41"/>
      <c r="C12" s="41"/>
      <c r="D12" s="41"/>
      <c r="E12" s="512"/>
      <c r="F12" s="41"/>
      <c r="G12" s="41"/>
      <c r="H12" s="41"/>
      <c r="I12" s="41"/>
      <c r="J12" s="512"/>
      <c r="K12" s="41"/>
      <c r="L12" s="41"/>
      <c r="M12" s="41"/>
      <c r="N12" s="41"/>
      <c r="O12" s="512"/>
      <c r="P12" s="41"/>
      <c r="Q12" s="41"/>
      <c r="R12" s="41"/>
      <c r="S12" s="41"/>
      <c r="T12" s="135"/>
      <c r="U12" s="560"/>
    </row>
    <row r="13" spans="1:21">
      <c r="A13" s="242"/>
      <c r="B13" s="41"/>
      <c r="C13" s="173" t="s">
        <v>168</v>
      </c>
      <c r="D13" s="251">
        <v>1.5650000000000001E-2</v>
      </c>
      <c r="E13" s="135"/>
      <c r="F13" s="41"/>
      <c r="G13" s="41"/>
      <c r="H13" s="41"/>
      <c r="I13" s="251">
        <v>1.5650000000000001E-2</v>
      </c>
      <c r="J13" s="135"/>
      <c r="K13" s="41"/>
      <c r="L13" s="41"/>
      <c r="M13" s="41"/>
      <c r="N13" s="251">
        <v>1.5650000000000001E-2</v>
      </c>
      <c r="O13" s="135"/>
      <c r="P13" s="41"/>
      <c r="Q13" s="41"/>
      <c r="R13" s="41"/>
      <c r="S13" s="251">
        <v>1.5650000000000001E-2</v>
      </c>
      <c r="T13" s="135"/>
      <c r="U13" s="243"/>
    </row>
    <row r="14" spans="1:21">
      <c r="A14" s="244"/>
      <c r="B14" s="41"/>
      <c r="C14" s="133"/>
      <c r="D14" s="561"/>
      <c r="E14" s="135"/>
      <c r="F14" s="41"/>
      <c r="G14" s="41"/>
      <c r="H14" s="41"/>
      <c r="I14" s="561"/>
      <c r="J14" s="135"/>
      <c r="K14" s="41"/>
      <c r="L14" s="41"/>
      <c r="M14" s="41"/>
      <c r="N14" s="561"/>
      <c r="O14" s="135"/>
      <c r="P14" s="41"/>
      <c r="Q14" s="41"/>
      <c r="R14" s="41"/>
      <c r="S14" s="561"/>
      <c r="T14" s="135"/>
      <c r="U14" s="245"/>
    </row>
    <row r="15" spans="1:21">
      <c r="A15" s="242"/>
      <c r="B15" s="135"/>
      <c r="C15" s="173" t="s">
        <v>169</v>
      </c>
      <c r="D15" s="249">
        <f>ROUND(D11*D13,0)</f>
        <v>51307366</v>
      </c>
      <c r="E15" s="135"/>
      <c r="F15" s="135"/>
      <c r="G15" s="135"/>
      <c r="H15" s="135"/>
      <c r="I15" s="249">
        <f>ROUND(I11*I13,0)</f>
        <v>53725094</v>
      </c>
      <c r="J15" s="135"/>
      <c r="K15" s="135"/>
      <c r="L15" s="135"/>
      <c r="M15" s="135"/>
      <c r="N15" s="249">
        <f>ROUND(N11*N13,0)</f>
        <v>51591028</v>
      </c>
      <c r="O15" s="135"/>
      <c r="P15" s="135"/>
      <c r="Q15" s="135"/>
      <c r="R15" s="135"/>
      <c r="S15" s="249">
        <f>ROUND(S11*S13,0)</f>
        <v>44823070</v>
      </c>
      <c r="T15" s="135"/>
      <c r="U15" s="253">
        <f>S15+N15+I15+D15</f>
        <v>201446558</v>
      </c>
    </row>
    <row r="16" spans="1:21">
      <c r="A16" s="276"/>
      <c r="B16" s="135"/>
      <c r="C16" s="135"/>
      <c r="D16" s="160"/>
      <c r="E16" s="135"/>
      <c r="F16" s="135"/>
      <c r="G16" s="135"/>
      <c r="H16" s="135"/>
      <c r="I16" s="160"/>
      <c r="J16" s="135"/>
      <c r="K16" s="135"/>
      <c r="L16" s="135"/>
      <c r="M16" s="135"/>
      <c r="N16" s="160"/>
      <c r="O16" s="135"/>
      <c r="P16" s="135"/>
      <c r="Q16" s="135"/>
      <c r="R16" s="135"/>
      <c r="S16" s="160"/>
      <c r="T16" s="135"/>
      <c r="U16" s="562"/>
    </row>
    <row r="17" spans="1:21" ht="13.5" thickBot="1">
      <c r="A17" s="277"/>
      <c r="B17" s="563"/>
      <c r="C17" s="563"/>
      <c r="D17" s="563"/>
      <c r="E17" s="563"/>
      <c r="F17" s="563"/>
      <c r="G17" s="563"/>
      <c r="H17" s="563"/>
      <c r="I17" s="563"/>
      <c r="J17" s="563"/>
      <c r="K17" s="563"/>
      <c r="L17" s="563"/>
      <c r="M17" s="563"/>
      <c r="N17" s="563"/>
      <c r="O17" s="563"/>
      <c r="P17" s="563"/>
      <c r="Q17" s="563"/>
      <c r="R17" s="563"/>
      <c r="S17" s="563"/>
      <c r="T17" s="563"/>
      <c r="U17" s="564"/>
    </row>
    <row r="18" spans="1:21">
      <c r="A18" s="177"/>
      <c r="B18" s="110"/>
      <c r="C18" s="110"/>
      <c r="D18" s="110"/>
      <c r="F18" s="110"/>
      <c r="G18" s="110"/>
      <c r="H18" s="110"/>
      <c r="I18" s="110"/>
      <c r="K18" s="110"/>
      <c r="L18" s="110"/>
      <c r="M18" s="110"/>
      <c r="N18" s="110"/>
      <c r="P18" s="110"/>
      <c r="Q18" s="110"/>
      <c r="R18" s="110"/>
      <c r="S18" s="110"/>
      <c r="T18" s="110"/>
      <c r="U18" s="110"/>
    </row>
    <row r="19" spans="1:21">
      <c r="A19" s="177"/>
      <c r="B19" s="110"/>
      <c r="C19" s="110"/>
      <c r="D19" s="110"/>
      <c r="F19" s="110"/>
      <c r="G19" s="110"/>
      <c r="H19" s="110"/>
      <c r="I19" s="110"/>
      <c r="K19" s="110"/>
      <c r="L19" s="110"/>
      <c r="M19" s="110"/>
      <c r="N19" s="110"/>
      <c r="P19" s="110"/>
      <c r="Q19" s="110"/>
      <c r="R19" s="110"/>
      <c r="S19" s="110"/>
      <c r="T19" s="110"/>
      <c r="U19" s="110"/>
    </row>
    <row r="20" spans="1:21" ht="13.5" thickBot="1">
      <c r="A20" s="565"/>
      <c r="B20" s="110"/>
      <c r="C20" s="110"/>
      <c r="D20" s="110"/>
      <c r="F20" s="110"/>
      <c r="G20" s="110"/>
      <c r="H20" s="110"/>
      <c r="I20" s="110"/>
      <c r="K20" s="110"/>
      <c r="L20" s="110"/>
      <c r="M20" s="110"/>
      <c r="N20" s="110"/>
      <c r="P20" s="110"/>
      <c r="Q20" s="110"/>
      <c r="R20" s="110"/>
      <c r="S20" s="110"/>
      <c r="T20" s="110"/>
      <c r="U20" s="110"/>
    </row>
    <row r="21" spans="1:21">
      <c r="A21" s="246" t="s">
        <v>235</v>
      </c>
      <c r="B21" s="566"/>
      <c r="C21" s="567"/>
      <c r="D21" s="566"/>
      <c r="E21" s="557"/>
      <c r="F21" s="568"/>
      <c r="G21" s="566"/>
      <c r="H21" s="567"/>
      <c r="I21" s="566"/>
      <c r="J21" s="557"/>
      <c r="K21" s="568"/>
      <c r="L21" s="567"/>
      <c r="M21" s="566"/>
      <c r="N21" s="566"/>
      <c r="O21" s="557"/>
      <c r="P21" s="568"/>
      <c r="Q21" s="567"/>
      <c r="R21" s="566"/>
      <c r="S21" s="566"/>
      <c r="T21" s="566"/>
      <c r="U21" s="569"/>
    </row>
    <row r="22" spans="1:21">
      <c r="A22" s="508">
        <f>A8</f>
        <v>43252</v>
      </c>
      <c r="B22" s="197"/>
      <c r="C22" s="197"/>
      <c r="D22" s="197"/>
      <c r="E22" s="512"/>
      <c r="F22" s="509">
        <f>F8</f>
        <v>43282</v>
      </c>
      <c r="G22" s="197"/>
      <c r="H22" s="197"/>
      <c r="I22" s="197"/>
      <c r="J22" s="512"/>
      <c r="K22" s="510">
        <f>K8</f>
        <v>43313</v>
      </c>
      <c r="L22" s="197"/>
      <c r="M22" s="197"/>
      <c r="N22" s="197"/>
      <c r="O22" s="512"/>
      <c r="P22" s="509">
        <f>P8</f>
        <v>43344</v>
      </c>
      <c r="Q22" s="197"/>
      <c r="R22" s="197"/>
      <c r="S22" s="197"/>
      <c r="T22" s="135"/>
      <c r="U22" s="235" t="s">
        <v>41</v>
      </c>
    </row>
    <row r="23" spans="1:21">
      <c r="A23" s="236"/>
      <c r="B23" s="175" t="s">
        <v>42</v>
      </c>
      <c r="C23" s="175" t="s">
        <v>43</v>
      </c>
      <c r="D23" s="175" t="s">
        <v>44</v>
      </c>
      <c r="E23" s="135"/>
      <c r="F23" s="237"/>
      <c r="G23" s="175" t="s">
        <v>42</v>
      </c>
      <c r="H23" s="175" t="s">
        <v>43</v>
      </c>
      <c r="I23" s="175" t="s">
        <v>44</v>
      </c>
      <c r="J23" s="135"/>
      <c r="K23" s="175"/>
      <c r="L23" s="175" t="s">
        <v>42</v>
      </c>
      <c r="M23" s="175" t="s">
        <v>43</v>
      </c>
      <c r="N23" s="175" t="s">
        <v>44</v>
      </c>
      <c r="O23" s="135"/>
      <c r="P23" s="238"/>
      <c r="Q23" s="175" t="s">
        <v>42</v>
      </c>
      <c r="R23" s="175" t="s">
        <v>43</v>
      </c>
      <c r="S23" s="175" t="s">
        <v>44</v>
      </c>
      <c r="T23" s="135"/>
      <c r="U23" s="235" t="s">
        <v>236</v>
      </c>
    </row>
    <row r="24" spans="1:21" ht="14.25">
      <c r="A24" s="239" t="s">
        <v>45</v>
      </c>
      <c r="B24" s="174" t="s">
        <v>46</v>
      </c>
      <c r="C24" s="174" t="s">
        <v>47</v>
      </c>
      <c r="D24" s="174" t="s">
        <v>171</v>
      </c>
      <c r="E24" s="240"/>
      <c r="F24" s="174" t="s">
        <v>45</v>
      </c>
      <c r="G24" s="174" t="s">
        <v>46</v>
      </c>
      <c r="H24" s="174" t="s">
        <v>47</v>
      </c>
      <c r="I24" s="174" t="s">
        <v>171</v>
      </c>
      <c r="J24" s="135"/>
      <c r="K24" s="174" t="s">
        <v>45</v>
      </c>
      <c r="L24" s="174" t="s">
        <v>46</v>
      </c>
      <c r="M24" s="174" t="s">
        <v>47</v>
      </c>
      <c r="N24" s="174" t="s">
        <v>171</v>
      </c>
      <c r="O24" s="135"/>
      <c r="P24" s="174" t="s">
        <v>45</v>
      </c>
      <c r="Q24" s="174" t="s">
        <v>46</v>
      </c>
      <c r="R24" s="174" t="s">
        <v>47</v>
      </c>
      <c r="S24" s="174" t="s">
        <v>171</v>
      </c>
      <c r="T24" s="135"/>
      <c r="U24" s="241" t="s">
        <v>171</v>
      </c>
    </row>
    <row r="25" spans="1:21" s="110" customFormat="1">
      <c r="A25" s="511">
        <v>3272128220.1094999</v>
      </c>
      <c r="B25" s="259">
        <v>5824734</v>
      </c>
      <c r="C25" s="259">
        <v>473020</v>
      </c>
      <c r="D25" s="248">
        <v>3278425974.1094995</v>
      </c>
      <c r="E25" s="135"/>
      <c r="F25" s="259">
        <v>3427278695.1110001</v>
      </c>
      <c r="G25" s="259">
        <v>5613095</v>
      </c>
      <c r="H25" s="259">
        <v>316594</v>
      </c>
      <c r="I25" s="248">
        <v>3433208384.111002</v>
      </c>
      <c r="J25" s="135"/>
      <c r="K25" s="259">
        <v>3298323670.6235003</v>
      </c>
      <c r="L25" s="259">
        <v>767249</v>
      </c>
      <c r="M25" s="259">
        <v>277365</v>
      </c>
      <c r="N25" s="248">
        <v>3299368284.6235003</v>
      </c>
      <c r="O25" s="135"/>
      <c r="P25" s="259">
        <v>2876866139.2759995</v>
      </c>
      <c r="Q25" s="259">
        <v>686446</v>
      </c>
      <c r="R25" s="259">
        <v>195460</v>
      </c>
      <c r="S25" s="248">
        <v>2877748045.2759967</v>
      </c>
      <c r="T25" s="135"/>
      <c r="U25" s="243">
        <f>+D25+I25+N25+S25</f>
        <v>12888750688.119999</v>
      </c>
    </row>
    <row r="26" spans="1:21">
      <c r="A26" s="559"/>
      <c r="B26" s="41"/>
      <c r="C26" s="41"/>
      <c r="D26" s="41"/>
      <c r="E26" s="512"/>
      <c r="F26" s="41"/>
      <c r="G26" s="41"/>
      <c r="H26" s="41"/>
      <c r="I26" s="41"/>
      <c r="J26" s="512"/>
      <c r="K26" s="41"/>
      <c r="L26" s="41"/>
      <c r="M26" s="41"/>
      <c r="N26" s="41"/>
      <c r="O26" s="512"/>
      <c r="P26" s="41"/>
      <c r="Q26" s="41"/>
      <c r="R26" s="41"/>
      <c r="S26" s="41"/>
      <c r="T26" s="135"/>
      <c r="U26" s="560"/>
    </row>
    <row r="27" spans="1:21" s="135" customFormat="1">
      <c r="A27" s="242"/>
      <c r="B27" s="41"/>
      <c r="C27" s="173" t="s">
        <v>168</v>
      </c>
      <c r="D27" s="252">
        <f>ROUND('ER-2016-0179'!E60/100,5)</f>
        <v>1.5650000000000001E-2</v>
      </c>
      <c r="F27" s="41"/>
      <c r="G27" s="41"/>
      <c r="H27" s="41"/>
      <c r="I27" s="252">
        <f>ROUND('ER-2016-0179'!E60/100,5)</f>
        <v>1.5650000000000001E-2</v>
      </c>
      <c r="K27" s="41"/>
      <c r="L27" s="41"/>
      <c r="M27" s="41"/>
      <c r="N27" s="252">
        <f>ROUND('ER-2016-0179'!E60/100,5)</f>
        <v>1.5650000000000001E-2</v>
      </c>
      <c r="P27" s="41"/>
      <c r="Q27" s="41"/>
      <c r="R27" s="41"/>
      <c r="S27" s="252">
        <f>ROUND('ER-2016-0179'!E60/100,5)</f>
        <v>1.5650000000000001E-2</v>
      </c>
      <c r="U27" s="243"/>
    </row>
    <row r="28" spans="1:21" s="135" customFormat="1">
      <c r="A28" s="244"/>
      <c r="B28" s="41"/>
      <c r="C28" s="133"/>
      <c r="D28" s="561"/>
      <c r="F28" s="41"/>
      <c r="G28" s="41"/>
      <c r="H28" s="41"/>
      <c r="I28" s="561"/>
      <c r="K28" s="41"/>
      <c r="L28" s="41"/>
      <c r="M28" s="41"/>
      <c r="N28" s="561"/>
      <c r="P28" s="41"/>
      <c r="Q28" s="41"/>
      <c r="R28" s="41"/>
      <c r="S28" s="561"/>
      <c r="U28" s="245"/>
    </row>
    <row r="29" spans="1:21">
      <c r="A29" s="242"/>
      <c r="B29" s="135"/>
      <c r="C29" s="173" t="s">
        <v>211</v>
      </c>
      <c r="D29" s="249">
        <f>ROUND(D25*D27,0)</f>
        <v>51307366</v>
      </c>
      <c r="E29" s="512"/>
      <c r="F29" s="135"/>
      <c r="G29" s="135"/>
      <c r="H29" s="135"/>
      <c r="I29" s="249">
        <f>ROUND(I25*I27,0)</f>
        <v>53729711</v>
      </c>
      <c r="J29" s="512"/>
      <c r="K29" s="135"/>
      <c r="L29" s="135"/>
      <c r="M29" s="135"/>
      <c r="N29" s="249">
        <f>ROUND(N25*N27,0)</f>
        <v>51635114</v>
      </c>
      <c r="O29" s="512"/>
      <c r="P29" s="135"/>
      <c r="Q29" s="135"/>
      <c r="R29" s="135"/>
      <c r="S29" s="249">
        <f>ROUND(S25*S27,0)</f>
        <v>45036757</v>
      </c>
      <c r="T29" s="135"/>
      <c r="U29" s="253">
        <f>S29+N29+I29+D29</f>
        <v>201708948</v>
      </c>
    </row>
    <row r="30" spans="1:21">
      <c r="A30" s="570"/>
      <c r="B30" s="512"/>
      <c r="C30" s="512"/>
      <c r="D30" s="512"/>
      <c r="E30" s="512"/>
      <c r="F30" s="512"/>
      <c r="G30" s="512"/>
      <c r="H30" s="512"/>
      <c r="I30" s="512"/>
      <c r="J30" s="512"/>
      <c r="K30" s="512"/>
      <c r="L30" s="512"/>
      <c r="M30" s="512"/>
      <c r="N30" s="512"/>
      <c r="O30" s="512"/>
      <c r="P30" s="135"/>
      <c r="Q30" s="135"/>
      <c r="R30" s="135"/>
      <c r="S30" s="135"/>
      <c r="T30" s="135"/>
      <c r="U30" s="560"/>
    </row>
    <row r="31" spans="1:21" ht="13.5" thickBot="1">
      <c r="A31" s="571"/>
      <c r="B31" s="572"/>
      <c r="C31" s="572"/>
      <c r="D31" s="572"/>
      <c r="E31" s="573"/>
      <c r="F31" s="572"/>
      <c r="G31" s="572"/>
      <c r="H31" s="572"/>
      <c r="I31" s="572"/>
      <c r="J31" s="573"/>
      <c r="K31" s="572"/>
      <c r="L31" s="572"/>
      <c r="M31" s="572"/>
      <c r="N31" s="572"/>
      <c r="O31" s="573"/>
      <c r="P31" s="572"/>
      <c r="Q31" s="572"/>
      <c r="R31" s="572"/>
      <c r="S31" s="572"/>
      <c r="T31" s="573"/>
      <c r="U31" s="574"/>
    </row>
    <row r="32" spans="1:21">
      <c r="A32" s="575"/>
      <c r="B32" s="575"/>
      <c r="C32" s="575"/>
      <c r="D32" s="575"/>
      <c r="E32" s="512"/>
      <c r="F32" s="575"/>
      <c r="G32" s="575"/>
      <c r="H32" s="575"/>
      <c r="I32" s="575"/>
      <c r="J32" s="512"/>
      <c r="K32" s="575"/>
      <c r="L32" s="575"/>
      <c r="M32" s="575"/>
      <c r="N32" s="575"/>
      <c r="O32" s="512"/>
      <c r="P32" s="575"/>
      <c r="Q32" s="575"/>
      <c r="R32" s="575"/>
      <c r="S32" s="575"/>
      <c r="T32" s="512"/>
      <c r="U32" s="345"/>
    </row>
    <row r="33" spans="1:22">
      <c r="A33" s="575"/>
      <c r="B33" s="575"/>
      <c r="C33" s="575"/>
      <c r="D33" s="575"/>
      <c r="E33" s="512"/>
      <c r="F33" s="575"/>
      <c r="G33" s="575"/>
      <c r="H33" s="575"/>
      <c r="I33" s="575"/>
      <c r="J33" s="512"/>
      <c r="K33" s="575"/>
      <c r="L33" s="575"/>
      <c r="M33" s="575"/>
      <c r="N33" s="575"/>
      <c r="O33" s="512"/>
      <c r="P33" s="575"/>
      <c r="Q33" s="575"/>
      <c r="R33" s="575"/>
      <c r="S33" s="575"/>
      <c r="T33" s="512"/>
      <c r="U33" s="345"/>
    </row>
    <row r="34" spans="1:22">
      <c r="A34" s="177" t="s">
        <v>210</v>
      </c>
      <c r="B34" s="575"/>
      <c r="C34" s="575"/>
      <c r="D34" s="247">
        <f>ROUND(D29-D15,0)</f>
        <v>0</v>
      </c>
      <c r="E34" s="512"/>
      <c r="F34" s="575"/>
      <c r="G34" s="575"/>
      <c r="H34" s="575"/>
      <c r="I34" s="247">
        <f>ROUND(I29-I15,0)</f>
        <v>4617</v>
      </c>
      <c r="J34" s="512"/>
      <c r="K34" s="575"/>
      <c r="L34" s="575"/>
      <c r="M34" s="575"/>
      <c r="N34" s="247">
        <f>ROUND(N29-N15,0)</f>
        <v>44086</v>
      </c>
      <c r="O34" s="512"/>
      <c r="P34" s="575"/>
      <c r="Q34" s="575"/>
      <c r="R34" s="575"/>
      <c r="S34" s="247">
        <f>ROUND(S29-S15,0)</f>
        <v>213687</v>
      </c>
      <c r="T34" s="512"/>
      <c r="U34" s="247">
        <f>ROUND(U29-U15,0)</f>
        <v>262390</v>
      </c>
    </row>
    <row r="35" spans="1:22">
      <c r="A35" s="575"/>
      <c r="B35" s="575"/>
      <c r="C35" s="575"/>
      <c r="D35" s="575"/>
      <c r="E35" s="512"/>
      <c r="F35" s="575"/>
      <c r="G35" s="575"/>
      <c r="H35" s="575"/>
      <c r="I35" s="575"/>
      <c r="J35" s="512"/>
      <c r="K35" s="575"/>
      <c r="L35" s="575"/>
      <c r="M35" s="575"/>
      <c r="N35" s="575"/>
      <c r="O35" s="512"/>
      <c r="P35" s="575"/>
      <c r="Q35" s="575"/>
      <c r="R35" s="575"/>
      <c r="S35" s="575"/>
      <c r="T35" s="512"/>
      <c r="U35" s="345"/>
    </row>
    <row r="36" spans="1:22">
      <c r="A36" s="575"/>
      <c r="B36" s="575"/>
      <c r="C36" s="575"/>
      <c r="D36" s="575"/>
      <c r="E36" s="512"/>
      <c r="F36" s="575"/>
      <c r="G36" s="575"/>
      <c r="H36" s="575"/>
      <c r="I36" s="575"/>
      <c r="J36" s="512"/>
      <c r="K36" s="575"/>
      <c r="L36" s="575"/>
      <c r="M36" s="575"/>
      <c r="N36" s="575"/>
      <c r="O36" s="512"/>
      <c r="P36" s="575"/>
      <c r="Q36" s="575"/>
      <c r="R36" s="575"/>
      <c r="S36" s="575"/>
      <c r="T36" s="512"/>
      <c r="U36" s="345"/>
    </row>
    <row r="37" spans="1:22">
      <c r="A37" s="575"/>
      <c r="B37" s="575"/>
      <c r="C37" s="575"/>
      <c r="D37" s="575"/>
      <c r="E37" s="512"/>
      <c r="F37" s="575"/>
      <c r="G37" s="575"/>
      <c r="H37" s="575"/>
      <c r="I37" s="575"/>
      <c r="J37" s="512"/>
      <c r="K37" s="575"/>
      <c r="L37" s="575"/>
      <c r="M37" s="575"/>
      <c r="N37" s="575"/>
      <c r="O37" s="512"/>
      <c r="P37" s="575"/>
      <c r="Q37" s="575"/>
      <c r="R37" s="575"/>
      <c r="S37" s="575"/>
      <c r="T37" s="512"/>
      <c r="U37" s="345"/>
    </row>
    <row r="38" spans="1:22">
      <c r="A38" s="7"/>
      <c r="B38" s="7"/>
      <c r="C38" s="7"/>
      <c r="D38" s="7"/>
      <c r="F38" s="7"/>
      <c r="G38" s="7"/>
      <c r="H38" s="7"/>
      <c r="I38" s="7"/>
      <c r="K38" s="7"/>
      <c r="L38" s="7"/>
      <c r="M38" s="7"/>
      <c r="N38" s="7"/>
      <c r="P38" s="7"/>
      <c r="Q38" s="7"/>
      <c r="R38" s="7"/>
      <c r="S38" s="7"/>
    </row>
    <row r="39" spans="1:22">
      <c r="C39" s="88"/>
      <c r="D39" s="576"/>
      <c r="I39" s="576"/>
      <c r="N39" s="576"/>
      <c r="S39" s="576"/>
    </row>
    <row r="40" spans="1:22">
      <c r="C40" s="129"/>
      <c r="D40" s="577"/>
      <c r="E40" s="512"/>
      <c r="F40" s="512"/>
      <c r="G40" s="512"/>
      <c r="H40" s="512"/>
      <c r="I40" s="577"/>
      <c r="J40" s="512"/>
      <c r="K40" s="512"/>
      <c r="L40" s="512"/>
      <c r="M40" s="512"/>
      <c r="N40" s="577"/>
      <c r="O40" s="512"/>
      <c r="P40" s="575"/>
      <c r="Q40" s="575"/>
      <c r="R40" s="575"/>
      <c r="S40" s="577"/>
      <c r="T40" s="512"/>
      <c r="U40" s="512"/>
    </row>
    <row r="41" spans="1:22" ht="26.25" customHeight="1">
      <c r="A41" s="699" t="s">
        <v>201</v>
      </c>
      <c r="B41" s="700"/>
      <c r="C41" s="700"/>
      <c r="D41" s="700"/>
      <c r="E41" s="700"/>
      <c r="F41" s="700"/>
      <c r="G41" s="700"/>
      <c r="H41" s="700"/>
      <c r="I41" s="700"/>
      <c r="J41" s="700"/>
      <c r="K41" s="700"/>
      <c r="L41" s="701"/>
      <c r="M41" s="176"/>
      <c r="N41" s="176"/>
      <c r="O41" s="176"/>
      <c r="P41" s="176"/>
      <c r="Q41" s="130"/>
      <c r="R41" s="512"/>
      <c r="S41" s="578"/>
      <c r="T41" s="575"/>
      <c r="V41" s="579"/>
    </row>
    <row r="42" spans="1:22" ht="14.25">
      <c r="A42" s="515" t="s">
        <v>48</v>
      </c>
      <c r="B42" s="580"/>
      <c r="C42" s="581"/>
      <c r="D42" s="581"/>
      <c r="E42" s="581"/>
      <c r="F42" s="581"/>
      <c r="G42" s="581"/>
      <c r="H42" s="581"/>
      <c r="I42" s="581"/>
      <c r="J42" s="581"/>
      <c r="K42" s="581"/>
      <c r="L42" s="582"/>
      <c r="Q42" s="512"/>
      <c r="R42" s="512"/>
      <c r="S42" s="583"/>
      <c r="T42" s="575"/>
      <c r="V42" s="576"/>
    </row>
    <row r="43" spans="1:22" ht="14.25">
      <c r="A43" s="516" t="s">
        <v>170</v>
      </c>
      <c r="B43" s="584"/>
      <c r="C43" s="584"/>
      <c r="D43" s="584"/>
      <c r="E43" s="584"/>
      <c r="F43" s="584"/>
      <c r="G43" s="584"/>
      <c r="H43" s="584"/>
      <c r="I43" s="584"/>
      <c r="J43" s="584"/>
      <c r="K43" s="584"/>
      <c r="L43" s="585"/>
      <c r="Q43" s="512"/>
      <c r="R43" s="512"/>
      <c r="S43" s="583"/>
      <c r="T43" s="575"/>
      <c r="V43" s="576"/>
    </row>
    <row r="44" spans="1:22" ht="14.25">
      <c r="A44" s="516" t="s">
        <v>237</v>
      </c>
      <c r="B44" s="584"/>
      <c r="C44" s="584"/>
      <c r="D44" s="584"/>
      <c r="E44" s="584"/>
      <c r="F44" s="584"/>
      <c r="G44" s="584"/>
      <c r="H44" s="584"/>
      <c r="I44" s="584"/>
      <c r="J44" s="584"/>
      <c r="K44" s="584"/>
      <c r="L44" s="585"/>
      <c r="Q44" s="512"/>
      <c r="R44" s="512"/>
      <c r="S44" s="583"/>
      <c r="T44" s="575"/>
      <c r="V44" s="576"/>
    </row>
    <row r="45" spans="1:22">
      <c r="A45" s="110"/>
      <c r="B45" s="110"/>
      <c r="C45" s="110"/>
      <c r="D45" s="110"/>
      <c r="E45" s="110"/>
      <c r="F45" s="110"/>
      <c r="G45" s="110"/>
      <c r="H45" s="110"/>
      <c r="I45" s="110"/>
      <c r="J45" s="110"/>
      <c r="K45" s="110"/>
      <c r="L45" s="110"/>
    </row>
    <row r="58" spans="2:2">
      <c r="B58" s="586"/>
    </row>
  </sheetData>
  <mergeCells count="1">
    <mergeCell ref="A41:L41"/>
  </mergeCells>
  <pageMargins left="0.7" right="0.7" top="0.75" bottom="0.75" header="0.3" footer="0.3"/>
  <pageSetup scale="48" orientation="landscape" r:id="rId1"/>
  <headerFooter>
    <oddFooter>&amp;CSchedule MA-TU
&amp;RConfidential
4 CSR 240-2.090(9(A).2(A))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7"/>
  <sheetViews>
    <sheetView zoomScale="80" zoomScaleNormal="80" workbookViewId="0">
      <selection activeCell="A23" sqref="A23"/>
    </sheetView>
  </sheetViews>
  <sheetFormatPr defaultColWidth="9.140625" defaultRowHeight="12.75"/>
  <cols>
    <col min="1" max="1" width="14.5703125" style="457" bestFit="1" customWidth="1"/>
    <col min="2" max="2" width="15.5703125" style="455" hidden="1" customWidth="1"/>
    <col min="3" max="3" width="15.42578125" style="456" hidden="1" customWidth="1"/>
    <col min="4" max="4" width="15.42578125" style="457" hidden="1" customWidth="1"/>
    <col min="5" max="5" width="15.5703125" style="455" bestFit="1" customWidth="1"/>
    <col min="6" max="6" width="12.28515625" style="456" bestFit="1" customWidth="1"/>
    <col min="7" max="7" width="18" style="457" bestFit="1" customWidth="1"/>
    <col min="8" max="8" width="15.42578125" style="455" hidden="1" customWidth="1"/>
    <col min="9" max="9" width="10.28515625" style="456" hidden="1" customWidth="1"/>
    <col min="10" max="10" width="13.42578125" style="457" hidden="1" customWidth="1"/>
    <col min="11" max="11" width="14.42578125" style="455" hidden="1" customWidth="1"/>
    <col min="12" max="12" width="10.28515625" style="456" hidden="1" customWidth="1"/>
    <col min="13" max="13" width="11.7109375" style="457" hidden="1" customWidth="1"/>
    <col min="14" max="14" width="14.42578125" style="455" hidden="1" customWidth="1"/>
    <col min="15" max="15" width="10.28515625" style="456" hidden="1" customWidth="1"/>
    <col min="16" max="16" width="11.7109375" style="457" hidden="1" customWidth="1"/>
    <col min="17" max="17" width="15.42578125" style="455" hidden="1" customWidth="1"/>
    <col min="18" max="18" width="10.28515625" style="456" hidden="1" customWidth="1"/>
    <col min="19" max="19" width="11.7109375" style="457" hidden="1" customWidth="1"/>
    <col min="20" max="20" width="15.42578125" style="455" hidden="1" customWidth="1"/>
    <col min="21" max="21" width="10.28515625" style="456" hidden="1" customWidth="1"/>
    <col min="22" max="22" width="11.7109375" style="457" hidden="1" customWidth="1"/>
    <col min="23" max="23" width="15.42578125" style="455" hidden="1" customWidth="1"/>
    <col min="24" max="24" width="10.28515625" style="456" hidden="1" customWidth="1"/>
    <col min="25" max="25" width="11.7109375" style="457" hidden="1" customWidth="1"/>
    <col min="26" max="26" width="15.42578125" style="455" hidden="1" customWidth="1"/>
    <col min="27" max="27" width="10.28515625" style="456" hidden="1" customWidth="1"/>
    <col min="28" max="28" width="11.7109375" style="457" hidden="1" customWidth="1"/>
    <col min="29" max="29" width="15.42578125" style="455" hidden="1" customWidth="1"/>
    <col min="30" max="30" width="10.28515625" style="456" hidden="1" customWidth="1"/>
    <col min="31" max="31" width="11.7109375" style="457" hidden="1" customWidth="1"/>
    <col min="32" max="32" width="14.42578125" style="455" hidden="1" customWidth="1"/>
    <col min="33" max="33" width="10.28515625" style="456" hidden="1" customWidth="1"/>
    <col min="34" max="34" width="10.7109375" style="457" hidden="1" customWidth="1"/>
    <col min="35" max="35" width="14.42578125" style="455" customWidth="1"/>
    <col min="36" max="36" width="12" style="456" bestFit="1" customWidth="1"/>
    <col min="37" max="37" width="13.28515625" style="457" bestFit="1" customWidth="1"/>
    <col min="38" max="38" width="14.42578125" style="455" customWidth="1"/>
    <col min="39" max="39" width="12" style="456" bestFit="1" customWidth="1"/>
    <col min="40" max="40" width="13" style="457" bestFit="1" customWidth="1"/>
    <col min="41" max="41" width="15.42578125" style="455" bestFit="1" customWidth="1"/>
    <col min="42" max="42" width="12.28515625" style="456" bestFit="1" customWidth="1"/>
    <col min="43" max="43" width="12.5703125" style="457" bestFit="1" customWidth="1"/>
    <col min="44" max="44" width="15.42578125" style="455" hidden="1" customWidth="1"/>
    <col min="45" max="45" width="10.28515625" style="456" hidden="1" customWidth="1"/>
    <col min="46" max="46" width="11.7109375" style="457" hidden="1" customWidth="1"/>
    <col min="47" max="47" width="14.42578125" style="455" hidden="1" customWidth="1"/>
    <col min="48" max="48" width="10.28515625" style="456" hidden="1" customWidth="1"/>
    <col min="49" max="49" width="10.7109375" style="457" hidden="1" customWidth="1"/>
    <col min="50" max="50" width="14.42578125" style="455" hidden="1" customWidth="1"/>
    <col min="51" max="51" width="10.28515625" style="456" hidden="1" customWidth="1"/>
    <col min="52" max="52" width="10.7109375" style="457" hidden="1" customWidth="1"/>
    <col min="53" max="53" width="14.42578125" style="455" hidden="1" customWidth="1"/>
    <col min="54" max="54" width="10.28515625" style="456" hidden="1" customWidth="1"/>
    <col min="55" max="55" width="10.7109375" style="457" hidden="1" customWidth="1"/>
    <col min="56" max="56" width="14.42578125" style="455" hidden="1" customWidth="1"/>
    <col min="57" max="57" width="10.28515625" style="456" hidden="1" customWidth="1"/>
    <col min="58" max="58" width="10.7109375" style="457" hidden="1" customWidth="1"/>
    <col min="59" max="59" width="14.42578125" style="455" hidden="1" customWidth="1"/>
    <col min="60" max="60" width="10.28515625" style="456" hidden="1" customWidth="1"/>
    <col min="61" max="61" width="10.7109375" style="457" hidden="1" customWidth="1"/>
    <col min="62" max="62" width="14.42578125" style="455" hidden="1" customWidth="1"/>
    <col min="63" max="63" width="10.28515625" style="456" hidden="1" customWidth="1"/>
    <col min="64" max="64" width="10.7109375" style="457" hidden="1" customWidth="1"/>
    <col min="65" max="65" width="14.42578125" style="455" hidden="1" customWidth="1"/>
    <col min="66" max="66" width="10.28515625" style="456" hidden="1" customWidth="1"/>
    <col min="67" max="67" width="10.7109375" style="457" hidden="1" customWidth="1"/>
    <col min="68" max="68" width="14.42578125" style="455" hidden="1" customWidth="1"/>
    <col min="69" max="69" width="10.28515625" style="456" hidden="1" customWidth="1"/>
    <col min="70" max="70" width="10.7109375" style="457" hidden="1" customWidth="1"/>
    <col min="71" max="71" width="14.42578125" style="455" hidden="1" customWidth="1"/>
    <col min="72" max="72" width="10.28515625" style="456" hidden="1" customWidth="1"/>
    <col min="73" max="73" width="10.7109375" style="457" hidden="1" customWidth="1"/>
    <col min="74" max="74" width="14.42578125" style="455" hidden="1" customWidth="1"/>
    <col min="75" max="75" width="10.28515625" style="456" hidden="1" customWidth="1"/>
    <col min="76" max="76" width="10.7109375" style="457" hidden="1" customWidth="1"/>
    <col min="77" max="77" width="14.42578125" style="455" hidden="1" customWidth="1"/>
    <col min="78" max="78" width="10.28515625" style="456" hidden="1" customWidth="1"/>
    <col min="79" max="79" width="10.7109375" style="457" hidden="1" customWidth="1"/>
    <col min="80" max="80" width="14.42578125" style="455" hidden="1" customWidth="1"/>
    <col min="81" max="81" width="10.28515625" style="456" hidden="1" customWidth="1"/>
    <col min="82" max="82" width="10.7109375" style="457" hidden="1" customWidth="1"/>
    <col min="83" max="83" width="14.42578125" style="455" hidden="1" customWidth="1"/>
    <col min="84" max="84" width="10.28515625" style="456" hidden="1" customWidth="1"/>
    <col min="85" max="85" width="10.7109375" style="457" hidden="1" customWidth="1"/>
    <col min="86" max="86" width="14.42578125" style="455" hidden="1" customWidth="1"/>
    <col min="87" max="87" width="10.28515625" style="456" hidden="1" customWidth="1"/>
    <col min="88" max="88" width="10.7109375" style="457" hidden="1" customWidth="1"/>
    <col min="89" max="89" width="14.42578125" style="455" hidden="1" customWidth="1"/>
    <col min="90" max="90" width="10.28515625" style="456" hidden="1" customWidth="1"/>
    <col min="91" max="91" width="10.7109375" style="457" hidden="1" customWidth="1"/>
    <col min="92" max="92" width="14.42578125" style="455" hidden="1" customWidth="1"/>
    <col min="93" max="93" width="10.28515625" style="456" hidden="1" customWidth="1"/>
    <col min="94" max="94" width="10.7109375" style="457" hidden="1" customWidth="1"/>
    <col min="95" max="95" width="14.42578125" style="455" hidden="1" customWidth="1"/>
    <col min="96" max="96" width="10.28515625" style="456" hidden="1" customWidth="1"/>
    <col min="97" max="97" width="10.7109375" style="457" hidden="1" customWidth="1"/>
    <col min="98" max="98" width="14.42578125" style="455" hidden="1" customWidth="1"/>
    <col min="99" max="99" width="10.28515625" style="456" hidden="1" customWidth="1"/>
    <col min="100" max="100" width="10.7109375" style="457" hidden="1" customWidth="1"/>
    <col min="101" max="101" width="14.42578125" style="455" hidden="1" customWidth="1"/>
    <col min="102" max="102" width="10.28515625" style="456" hidden="1" customWidth="1"/>
    <col min="103" max="103" width="10.7109375" style="457" hidden="1" customWidth="1"/>
    <col min="104" max="104" width="14.42578125" style="455" hidden="1" customWidth="1"/>
    <col min="105" max="105" width="10.28515625" style="456" hidden="1" customWidth="1"/>
    <col min="106" max="106" width="10.7109375" style="457" hidden="1" customWidth="1"/>
    <col min="107" max="107" width="14.42578125" style="455" hidden="1" customWidth="1"/>
    <col min="108" max="108" width="10.28515625" style="456" hidden="1" customWidth="1"/>
    <col min="109" max="109" width="10.7109375" style="457" hidden="1" customWidth="1"/>
    <col min="110" max="110" width="14.42578125" style="455" hidden="1" customWidth="1"/>
    <col min="111" max="111" width="10.28515625" style="456" hidden="1" customWidth="1"/>
    <col min="112" max="112" width="10.7109375" style="457" hidden="1" customWidth="1"/>
    <col min="113" max="113" width="14.42578125" style="455" hidden="1" customWidth="1"/>
    <col min="114" max="114" width="10.28515625" style="456" hidden="1" customWidth="1"/>
    <col min="115" max="115" width="10.7109375" style="457" hidden="1" customWidth="1"/>
    <col min="116" max="116" width="14.42578125" style="455" hidden="1" customWidth="1"/>
    <col min="117" max="117" width="10.28515625" style="456" hidden="1" customWidth="1"/>
    <col min="118" max="118" width="10.7109375" style="457" hidden="1" customWidth="1"/>
    <col min="119" max="119" width="14.42578125" style="455" hidden="1" customWidth="1"/>
    <col min="120" max="120" width="10.28515625" style="456" hidden="1" customWidth="1"/>
    <col min="121" max="121" width="10.7109375" style="457" hidden="1" customWidth="1"/>
    <col min="122" max="122" width="14.42578125" style="455" hidden="1" customWidth="1"/>
    <col min="123" max="123" width="10.28515625" style="456" hidden="1" customWidth="1"/>
    <col min="124" max="124" width="10.7109375" style="457" hidden="1" customWidth="1"/>
    <col min="125" max="125" width="14.42578125" style="455" hidden="1" customWidth="1"/>
    <col min="126" max="126" width="10.28515625" style="456" hidden="1" customWidth="1"/>
    <col min="127" max="127" width="10.7109375" style="457" hidden="1" customWidth="1"/>
    <col min="128" max="128" width="14.42578125" style="455" hidden="1" customWidth="1"/>
    <col min="129" max="129" width="10.28515625" style="456" hidden="1" customWidth="1"/>
    <col min="130" max="130" width="10.7109375" style="457" hidden="1" customWidth="1"/>
    <col min="131" max="131" width="2.7109375" style="457" customWidth="1"/>
    <col min="132" max="132" width="19" style="457" customWidth="1"/>
    <col min="133" max="133" width="15.42578125" style="457" hidden="1" customWidth="1"/>
    <col min="134" max="134" width="14.42578125" style="457" bestFit="1" customWidth="1"/>
    <col min="135" max="135" width="17.7109375" style="457" bestFit="1" customWidth="1"/>
    <col min="136" max="136" width="2.7109375" style="457" customWidth="1"/>
    <col min="137" max="137" width="15.42578125" style="457" hidden="1" customWidth="1"/>
    <col min="138" max="138" width="14.42578125" style="457" hidden="1" customWidth="1"/>
    <col min="139" max="139" width="12.42578125" style="457" hidden="1" customWidth="1"/>
    <col min="140" max="140" width="2.7109375" style="457" hidden="1" customWidth="1"/>
    <col min="141" max="141" width="17.28515625" style="457" bestFit="1" customWidth="1"/>
    <col min="142" max="142" width="15.42578125" style="457" hidden="1" customWidth="1"/>
    <col min="143" max="143" width="14.42578125" style="457" bestFit="1" customWidth="1"/>
    <col min="144" max="144" width="18" style="457" bestFit="1" customWidth="1"/>
    <col min="145" max="145" width="42.85546875" style="457" bestFit="1" customWidth="1"/>
    <col min="146" max="146" width="21.5703125" style="457" bestFit="1" customWidth="1"/>
    <col min="147" max="147" width="23.140625" style="457" bestFit="1" customWidth="1"/>
    <col min="148" max="16384" width="9.140625" style="457"/>
  </cols>
  <sheetData>
    <row r="1" spans="1:147" s="263" customFormat="1">
      <c r="A1" s="262" t="s">
        <v>0</v>
      </c>
      <c r="B1" s="274"/>
      <c r="C1" s="450"/>
      <c r="E1" s="274"/>
      <c r="F1" s="450"/>
      <c r="H1" s="274"/>
      <c r="I1" s="450"/>
      <c r="K1" s="274"/>
      <c r="L1" s="450"/>
      <c r="N1" s="274"/>
      <c r="O1" s="450"/>
      <c r="Q1" s="274"/>
      <c r="R1" s="450"/>
      <c r="T1" s="274"/>
      <c r="U1" s="450"/>
      <c r="W1" s="274"/>
      <c r="X1" s="450"/>
      <c r="Z1" s="274"/>
      <c r="AA1" s="450"/>
      <c r="AC1" s="274"/>
      <c r="AD1" s="450"/>
      <c r="AF1" s="274"/>
      <c r="AG1" s="450"/>
      <c r="AI1" s="274"/>
      <c r="AJ1" s="450"/>
      <c r="AL1" s="274"/>
      <c r="AM1" s="450"/>
      <c r="AO1" s="274"/>
      <c r="AP1" s="450"/>
      <c r="AR1" s="274"/>
      <c r="AS1" s="450"/>
      <c r="AU1" s="274"/>
      <c r="AV1" s="450"/>
      <c r="AX1" s="274"/>
      <c r="AY1" s="450"/>
      <c r="BA1" s="274"/>
      <c r="BB1" s="450"/>
      <c r="BD1" s="274"/>
      <c r="BE1" s="450"/>
      <c r="BG1" s="274"/>
      <c r="BH1" s="450"/>
      <c r="BJ1" s="274"/>
      <c r="BK1" s="450"/>
      <c r="BM1" s="274"/>
      <c r="BN1" s="450"/>
      <c r="BP1" s="274"/>
      <c r="BQ1" s="450"/>
      <c r="BS1" s="274"/>
      <c r="BT1" s="450"/>
      <c r="BV1" s="274"/>
      <c r="BW1" s="450"/>
      <c r="BY1" s="274"/>
      <c r="BZ1" s="450"/>
      <c r="CB1" s="274"/>
      <c r="CC1" s="450"/>
      <c r="CE1" s="274"/>
      <c r="CF1" s="450"/>
      <c r="CH1" s="274"/>
      <c r="CI1" s="450"/>
      <c r="CK1" s="274"/>
      <c r="CL1" s="450"/>
      <c r="CN1" s="274"/>
      <c r="CO1" s="450"/>
      <c r="CQ1" s="274"/>
      <c r="CR1" s="450"/>
      <c r="CT1" s="274"/>
      <c r="CU1" s="450"/>
      <c r="CW1" s="274"/>
      <c r="CX1" s="450"/>
      <c r="CZ1" s="274"/>
      <c r="DA1" s="450"/>
      <c r="DC1" s="274"/>
      <c r="DD1" s="450"/>
      <c r="DF1" s="274"/>
      <c r="DG1" s="450"/>
      <c r="DI1" s="274"/>
      <c r="DJ1" s="450"/>
      <c r="DL1" s="274"/>
      <c r="DM1" s="450"/>
      <c r="DO1" s="274"/>
      <c r="DP1" s="450"/>
      <c r="DR1" s="274"/>
      <c r="DS1" s="450"/>
      <c r="DU1" s="274"/>
      <c r="DV1" s="450"/>
      <c r="DX1" s="274"/>
      <c r="DY1" s="450"/>
      <c r="DZ1" s="260"/>
      <c r="ED1" s="264"/>
      <c r="EE1" s="451" t="s">
        <v>118</v>
      </c>
      <c r="EI1" s="264" t="s">
        <v>59</v>
      </c>
      <c r="EM1" s="264"/>
      <c r="EN1" s="264" t="s">
        <v>120</v>
      </c>
      <c r="EO1" s="262" t="s">
        <v>121</v>
      </c>
      <c r="EP1" s="262" t="s">
        <v>122</v>
      </c>
      <c r="EQ1" s="262" t="s">
        <v>123</v>
      </c>
    </row>
    <row r="2" spans="1:147" s="263" customFormat="1" ht="13.5" thickBot="1">
      <c r="A2" s="262" t="s">
        <v>49</v>
      </c>
      <c r="B2" s="274"/>
      <c r="C2" s="450"/>
      <c r="E2" s="266"/>
      <c r="F2" s="450"/>
      <c r="G2" s="264"/>
      <c r="H2" s="274"/>
      <c r="I2" s="450"/>
      <c r="K2" s="274"/>
      <c r="L2" s="450"/>
      <c r="N2" s="274"/>
      <c r="O2" s="450"/>
      <c r="Q2" s="274"/>
      <c r="R2" s="450"/>
      <c r="T2" s="274"/>
      <c r="U2" s="450"/>
      <c r="W2" s="274"/>
      <c r="X2" s="450"/>
      <c r="Z2" s="274"/>
      <c r="AA2" s="450"/>
      <c r="AC2" s="274"/>
      <c r="AD2" s="450"/>
      <c r="AF2" s="274"/>
      <c r="AG2" s="450"/>
      <c r="AI2" s="274"/>
      <c r="AJ2" s="450"/>
      <c r="AL2" s="274"/>
      <c r="AM2" s="450"/>
      <c r="AO2" s="274"/>
      <c r="AP2" s="450"/>
      <c r="AR2" s="274"/>
      <c r="AS2" s="450"/>
      <c r="AU2" s="274"/>
      <c r="AV2" s="450"/>
      <c r="AX2" s="274"/>
      <c r="AY2" s="450"/>
      <c r="BA2" s="274"/>
      <c r="BB2" s="450"/>
      <c r="BD2" s="274"/>
      <c r="BE2" s="450"/>
      <c r="BG2" s="274"/>
      <c r="BH2" s="450"/>
      <c r="BJ2" s="274"/>
      <c r="BK2" s="450"/>
      <c r="BM2" s="274"/>
      <c r="BN2" s="450"/>
      <c r="BP2" s="274"/>
      <c r="BQ2" s="450"/>
      <c r="BS2" s="274"/>
      <c r="BT2" s="450"/>
      <c r="BV2" s="274"/>
      <c r="BW2" s="450"/>
      <c r="BY2" s="274"/>
      <c r="BZ2" s="450"/>
      <c r="CB2" s="274"/>
      <c r="CC2" s="450"/>
      <c r="CE2" s="274"/>
      <c r="CF2" s="450"/>
      <c r="CH2" s="274"/>
      <c r="CI2" s="450"/>
      <c r="CK2" s="274"/>
      <c r="CL2" s="450"/>
      <c r="CN2" s="274"/>
      <c r="CO2" s="450"/>
      <c r="CQ2" s="274"/>
      <c r="CR2" s="450"/>
      <c r="CT2" s="274"/>
      <c r="CU2" s="450"/>
      <c r="CW2" s="274"/>
      <c r="CX2" s="450"/>
      <c r="CZ2" s="274"/>
      <c r="DA2" s="450"/>
      <c r="DC2" s="274"/>
      <c r="DD2" s="450"/>
      <c r="DF2" s="274"/>
      <c r="DG2" s="450"/>
      <c r="DI2" s="274"/>
      <c r="DJ2" s="450"/>
      <c r="DL2" s="274"/>
      <c r="DM2" s="450"/>
      <c r="DO2" s="274"/>
      <c r="DP2" s="450"/>
      <c r="DR2" s="274"/>
      <c r="DS2" s="450"/>
      <c r="DU2" s="274"/>
      <c r="DV2" s="450"/>
      <c r="DX2" s="274"/>
      <c r="DY2" s="450"/>
      <c r="EB2" s="452" t="s">
        <v>51</v>
      </c>
      <c r="EC2" s="452"/>
      <c r="ED2" s="453"/>
      <c r="EE2" s="453">
        <f>EB41</f>
        <v>146425000</v>
      </c>
      <c r="EI2" s="453">
        <f>EG40</f>
        <v>0</v>
      </c>
      <c r="EM2" s="453"/>
      <c r="EN2" s="453">
        <f>EK41</f>
        <v>146425000</v>
      </c>
      <c r="EO2" s="274">
        <v>-50339.76</v>
      </c>
      <c r="EP2" s="274">
        <f>EN2+EO2</f>
        <v>146374660.24000001</v>
      </c>
      <c r="EQ2" s="274">
        <f>EE2+EO2</f>
        <v>146374660.24000001</v>
      </c>
    </row>
    <row r="3" spans="1:147" ht="13.5" thickTop="1">
      <c r="A3" s="454" t="s">
        <v>221</v>
      </c>
      <c r="E3" s="261" t="s">
        <v>50</v>
      </c>
      <c r="F3" s="458"/>
      <c r="G3" s="459"/>
      <c r="EB3" s="452" t="s">
        <v>52</v>
      </c>
      <c r="EC3" s="452"/>
      <c r="ED3" s="453"/>
      <c r="EE3" s="453">
        <f>AVERAGE(EB11:EB41)</f>
        <v>100534677.41935484</v>
      </c>
      <c r="EI3" s="453">
        <f>AVERAGE(EG11:EG40)</f>
        <v>0</v>
      </c>
      <c r="EM3" s="453"/>
      <c r="EN3" s="453">
        <f>AVERAGE(EK11:EK41)</f>
        <v>100534677.41935484</v>
      </c>
    </row>
    <row r="4" spans="1:147">
      <c r="D4" s="452"/>
      <c r="E4" s="460" t="s">
        <v>51</v>
      </c>
      <c r="F4" s="453"/>
      <c r="G4" s="461">
        <f>EQ2</f>
        <v>146374660.24000001</v>
      </c>
      <c r="AI4" s="262" t="s">
        <v>198</v>
      </c>
      <c r="EB4" s="452" t="s">
        <v>53</v>
      </c>
      <c r="EC4" s="452"/>
      <c r="ED4" s="462"/>
      <c r="EE4" s="462">
        <f>IF(EE3=0,0,360*(AVERAGE(ED11:ED41)/EE3))</f>
        <v>2.6773610453783406E-2</v>
      </c>
      <c r="EI4" s="462">
        <f>IF(EI3=0,0,360*(AVERAGE(EH11:EH40)/EI3))</f>
        <v>0</v>
      </c>
      <c r="EM4" s="462"/>
      <c r="EN4" s="462">
        <f>IF(EN3=0,0,360*(AVERAGE(EM11:EM41)/EN3))</f>
        <v>2.6773610453783406E-2</v>
      </c>
      <c r="EO4" s="263" t="s">
        <v>199</v>
      </c>
      <c r="EQ4" s="264" t="s">
        <v>198</v>
      </c>
    </row>
    <row r="5" spans="1:147">
      <c r="D5" s="452"/>
      <c r="E5" s="460" t="s">
        <v>52</v>
      </c>
      <c r="F5" s="453"/>
      <c r="G5" s="461">
        <f>EE3</f>
        <v>100534677.41935484</v>
      </c>
      <c r="AI5" s="463" t="s">
        <v>120</v>
      </c>
      <c r="EB5" s="464" t="s">
        <v>57</v>
      </c>
      <c r="EC5" s="464"/>
      <c r="ED5" s="453"/>
      <c r="EE5" s="453">
        <f>MAX(EB11:EB41)</f>
        <v>146425000</v>
      </c>
      <c r="EI5" s="453">
        <f>MAX(EG11:EG40)</f>
        <v>0</v>
      </c>
      <c r="EM5" s="453"/>
      <c r="EN5" s="453">
        <f>MAX(EK11:EK41)</f>
        <v>146425000</v>
      </c>
    </row>
    <row r="6" spans="1:147">
      <c r="D6" s="452"/>
      <c r="E6" s="460" t="s">
        <v>53</v>
      </c>
      <c r="F6" s="453"/>
      <c r="G6" s="465">
        <f>EE4</f>
        <v>2.6773610453783406E-2</v>
      </c>
    </row>
    <row r="7" spans="1:147" ht="13.5" thickBot="1">
      <c r="D7" s="452"/>
      <c r="E7" s="466" t="s">
        <v>57</v>
      </c>
      <c r="F7" s="467"/>
      <c r="G7" s="468">
        <f>EE5</f>
        <v>146425000</v>
      </c>
      <c r="AI7" s="463" t="s">
        <v>120</v>
      </c>
      <c r="EB7" s="265" t="s">
        <v>54</v>
      </c>
      <c r="EC7" s="265"/>
      <c r="ED7" s="469"/>
      <c r="EE7" s="469"/>
      <c r="EG7" s="265" t="s">
        <v>55</v>
      </c>
      <c r="EH7" s="469"/>
      <c r="EI7" s="469"/>
      <c r="EJ7" s="470"/>
      <c r="EK7" s="265" t="s">
        <v>56</v>
      </c>
      <c r="EL7" s="265"/>
      <c r="EM7" s="469"/>
      <c r="EN7" s="469"/>
    </row>
    <row r="8" spans="1:147" ht="13.5" thickTop="1">
      <c r="AI8" s="266" t="s">
        <v>112</v>
      </c>
      <c r="AL8" s="266" t="s">
        <v>112</v>
      </c>
      <c r="AO8" s="266" t="s">
        <v>112</v>
      </c>
      <c r="AR8" s="266" t="s">
        <v>112</v>
      </c>
      <c r="AU8" s="266" t="s">
        <v>112</v>
      </c>
      <c r="AX8" s="266" t="s">
        <v>112</v>
      </c>
      <c r="BA8" s="266" t="s">
        <v>112</v>
      </c>
      <c r="BD8" s="266" t="s">
        <v>112</v>
      </c>
      <c r="BG8" s="266" t="s">
        <v>112</v>
      </c>
      <c r="BJ8" s="266" t="s">
        <v>112</v>
      </c>
      <c r="BM8" s="266" t="s">
        <v>112</v>
      </c>
      <c r="BP8" s="266" t="s">
        <v>112</v>
      </c>
      <c r="BS8" s="266" t="s">
        <v>112</v>
      </c>
      <c r="BV8" s="266" t="s">
        <v>112</v>
      </c>
      <c r="BY8" s="266" t="s">
        <v>112</v>
      </c>
      <c r="CB8" s="266" t="s">
        <v>112</v>
      </c>
      <c r="CE8" s="266" t="s">
        <v>112</v>
      </c>
      <c r="CH8" s="266" t="s">
        <v>112</v>
      </c>
      <c r="CK8" s="266" t="s">
        <v>112</v>
      </c>
      <c r="CN8" s="266" t="s">
        <v>112</v>
      </c>
      <c r="CQ8" s="266" t="s">
        <v>112</v>
      </c>
      <c r="CT8" s="266" t="s">
        <v>112</v>
      </c>
      <c r="CW8" s="266" t="s">
        <v>112</v>
      </c>
      <c r="CZ8" s="266" t="s">
        <v>112</v>
      </c>
      <c r="DC8" s="266" t="s">
        <v>112</v>
      </c>
      <c r="DF8" s="266" t="s">
        <v>112</v>
      </c>
      <c r="DI8" s="266" t="s">
        <v>112</v>
      </c>
      <c r="DL8" s="266" t="s">
        <v>112</v>
      </c>
      <c r="DO8" s="266" t="s">
        <v>112</v>
      </c>
      <c r="DR8" s="266" t="s">
        <v>112</v>
      </c>
      <c r="EB8" s="471"/>
      <c r="EC8" s="471"/>
      <c r="ED8" s="471"/>
      <c r="EE8" s="471" t="s">
        <v>58</v>
      </c>
      <c r="EG8" s="471"/>
      <c r="EH8" s="267" t="s">
        <v>59</v>
      </c>
      <c r="EI8" s="471" t="s">
        <v>58</v>
      </c>
      <c r="EJ8" s="471"/>
      <c r="EK8" s="264" t="s">
        <v>113</v>
      </c>
      <c r="EL8" s="264" t="s">
        <v>114</v>
      </c>
      <c r="EM8" s="267" t="s">
        <v>60</v>
      </c>
      <c r="EN8" s="471" t="s">
        <v>58</v>
      </c>
    </row>
    <row r="9" spans="1:147">
      <c r="B9" s="472" t="s">
        <v>61</v>
      </c>
      <c r="C9" s="473"/>
      <c r="D9" s="469"/>
      <c r="E9" s="472" t="s">
        <v>62</v>
      </c>
      <c r="F9" s="473"/>
      <c r="G9" s="469"/>
      <c r="H9" s="472" t="s">
        <v>63</v>
      </c>
      <c r="I9" s="473"/>
      <c r="J9" s="469"/>
      <c r="K9" s="472" t="s">
        <v>64</v>
      </c>
      <c r="L9" s="473"/>
      <c r="M9" s="469"/>
      <c r="N9" s="472" t="s">
        <v>65</v>
      </c>
      <c r="O9" s="473"/>
      <c r="P9" s="469"/>
      <c r="Q9" s="472" t="s">
        <v>66</v>
      </c>
      <c r="R9" s="473"/>
      <c r="S9" s="469"/>
      <c r="T9" s="472" t="s">
        <v>67</v>
      </c>
      <c r="U9" s="473"/>
      <c r="V9" s="469"/>
      <c r="W9" s="472" t="s">
        <v>68</v>
      </c>
      <c r="X9" s="473"/>
      <c r="Y9" s="469"/>
      <c r="Z9" s="472" t="s">
        <v>69</v>
      </c>
      <c r="AA9" s="473"/>
      <c r="AB9" s="469"/>
      <c r="AC9" s="268" t="s">
        <v>70</v>
      </c>
      <c r="AD9" s="473"/>
      <c r="AE9" s="469"/>
      <c r="AF9" s="268" t="s">
        <v>71</v>
      </c>
      <c r="AG9" s="473"/>
      <c r="AH9" s="469"/>
      <c r="AI9" s="472" t="s">
        <v>72</v>
      </c>
      <c r="AJ9" s="473"/>
      <c r="AK9" s="469"/>
      <c r="AL9" s="472" t="s">
        <v>73</v>
      </c>
      <c r="AM9" s="473"/>
      <c r="AN9" s="469"/>
      <c r="AO9" s="472" t="s">
        <v>74</v>
      </c>
      <c r="AP9" s="473"/>
      <c r="AQ9" s="469"/>
      <c r="AR9" s="472" t="s">
        <v>75</v>
      </c>
      <c r="AS9" s="473"/>
      <c r="AT9" s="469"/>
      <c r="AU9" s="472" t="s">
        <v>76</v>
      </c>
      <c r="AV9" s="473"/>
      <c r="AW9" s="469"/>
      <c r="AX9" s="472" t="s">
        <v>77</v>
      </c>
      <c r="AY9" s="473"/>
      <c r="AZ9" s="469"/>
      <c r="BA9" s="472" t="s">
        <v>78</v>
      </c>
      <c r="BB9" s="473"/>
      <c r="BC9" s="469"/>
      <c r="BD9" s="472" t="s">
        <v>79</v>
      </c>
      <c r="BE9" s="473"/>
      <c r="BF9" s="469"/>
      <c r="BG9" s="472" t="s">
        <v>80</v>
      </c>
      <c r="BH9" s="473"/>
      <c r="BI9" s="469"/>
      <c r="BJ9" s="472" t="s">
        <v>81</v>
      </c>
      <c r="BK9" s="473"/>
      <c r="BL9" s="469"/>
      <c r="BM9" s="472" t="s">
        <v>82</v>
      </c>
      <c r="BN9" s="473"/>
      <c r="BO9" s="469"/>
      <c r="BP9" s="472" t="s">
        <v>83</v>
      </c>
      <c r="BQ9" s="473"/>
      <c r="BR9" s="469"/>
      <c r="BS9" s="472" t="s">
        <v>84</v>
      </c>
      <c r="BT9" s="473"/>
      <c r="BU9" s="469"/>
      <c r="BV9" s="472" t="s">
        <v>85</v>
      </c>
      <c r="BW9" s="473"/>
      <c r="BX9" s="469"/>
      <c r="BY9" s="472" t="s">
        <v>86</v>
      </c>
      <c r="BZ9" s="473"/>
      <c r="CA9" s="469"/>
      <c r="CB9" s="472" t="s">
        <v>87</v>
      </c>
      <c r="CC9" s="473"/>
      <c r="CD9" s="469"/>
      <c r="CE9" s="472" t="s">
        <v>88</v>
      </c>
      <c r="CF9" s="473"/>
      <c r="CG9" s="469"/>
      <c r="CH9" s="472" t="s">
        <v>89</v>
      </c>
      <c r="CI9" s="473"/>
      <c r="CJ9" s="469"/>
      <c r="CK9" s="472" t="s">
        <v>90</v>
      </c>
      <c r="CL9" s="473"/>
      <c r="CM9" s="469"/>
      <c r="CN9" s="472" t="s">
        <v>91</v>
      </c>
      <c r="CO9" s="473"/>
      <c r="CP9" s="469"/>
      <c r="CQ9" s="472" t="s">
        <v>92</v>
      </c>
      <c r="CR9" s="473"/>
      <c r="CS9" s="469"/>
      <c r="CT9" s="472" t="s">
        <v>93</v>
      </c>
      <c r="CU9" s="473"/>
      <c r="CV9" s="469"/>
      <c r="CW9" s="472" t="s">
        <v>94</v>
      </c>
      <c r="CX9" s="473"/>
      <c r="CY9" s="469"/>
      <c r="CZ9" s="472" t="s">
        <v>95</v>
      </c>
      <c r="DA9" s="473"/>
      <c r="DB9" s="469"/>
      <c r="DC9" s="472" t="s">
        <v>96</v>
      </c>
      <c r="DD9" s="473"/>
      <c r="DE9" s="469"/>
      <c r="DF9" s="472" t="s">
        <v>97</v>
      </c>
      <c r="DG9" s="473"/>
      <c r="DH9" s="469"/>
      <c r="DI9" s="472" t="s">
        <v>98</v>
      </c>
      <c r="DJ9" s="473"/>
      <c r="DK9" s="469"/>
      <c r="DL9" s="472" t="s">
        <v>99</v>
      </c>
      <c r="DM9" s="473"/>
      <c r="DN9" s="469"/>
      <c r="DO9" s="472" t="s">
        <v>100</v>
      </c>
      <c r="DP9" s="473"/>
      <c r="DQ9" s="469"/>
      <c r="DR9" s="472" t="s">
        <v>101</v>
      </c>
      <c r="DS9" s="473"/>
      <c r="DT9" s="469"/>
      <c r="DU9" s="472" t="s">
        <v>102</v>
      </c>
      <c r="DV9" s="473"/>
      <c r="DW9" s="469"/>
      <c r="DX9" s="269" t="s">
        <v>115</v>
      </c>
      <c r="DY9" s="473"/>
      <c r="DZ9" s="469"/>
      <c r="EA9" s="470"/>
      <c r="EB9" s="264" t="s">
        <v>116</v>
      </c>
      <c r="EC9" s="264" t="s">
        <v>117</v>
      </c>
      <c r="ED9" s="471" t="s">
        <v>103</v>
      </c>
      <c r="EE9" s="471" t="s">
        <v>104</v>
      </c>
      <c r="EG9" s="267" t="s">
        <v>105</v>
      </c>
      <c r="EH9" s="471" t="s">
        <v>103</v>
      </c>
      <c r="EI9" s="471" t="s">
        <v>104</v>
      </c>
      <c r="EJ9" s="471"/>
      <c r="EK9" s="267" t="s">
        <v>60</v>
      </c>
      <c r="EL9" s="267" t="s">
        <v>60</v>
      </c>
      <c r="EM9" s="471" t="s">
        <v>103</v>
      </c>
      <c r="EN9" s="471" t="s">
        <v>104</v>
      </c>
    </row>
    <row r="10" spans="1:147">
      <c r="A10" s="471" t="s">
        <v>106</v>
      </c>
      <c r="B10" s="270" t="s">
        <v>107</v>
      </c>
      <c r="C10" s="271" t="s">
        <v>108</v>
      </c>
      <c r="D10" s="272" t="s">
        <v>109</v>
      </c>
      <c r="E10" s="270" t="s">
        <v>107</v>
      </c>
      <c r="F10" s="271" t="s">
        <v>108</v>
      </c>
      <c r="G10" s="272" t="s">
        <v>109</v>
      </c>
      <c r="H10" s="270" t="s">
        <v>107</v>
      </c>
      <c r="I10" s="271" t="s">
        <v>108</v>
      </c>
      <c r="J10" s="272" t="s">
        <v>109</v>
      </c>
      <c r="K10" s="270" t="s">
        <v>107</v>
      </c>
      <c r="L10" s="271" t="s">
        <v>108</v>
      </c>
      <c r="M10" s="272" t="s">
        <v>109</v>
      </c>
      <c r="N10" s="270" t="s">
        <v>107</v>
      </c>
      <c r="O10" s="271" t="s">
        <v>108</v>
      </c>
      <c r="P10" s="272" t="s">
        <v>109</v>
      </c>
      <c r="Q10" s="270" t="s">
        <v>107</v>
      </c>
      <c r="R10" s="271" t="s">
        <v>108</v>
      </c>
      <c r="S10" s="272" t="s">
        <v>109</v>
      </c>
      <c r="T10" s="270" t="s">
        <v>107</v>
      </c>
      <c r="U10" s="271" t="s">
        <v>108</v>
      </c>
      <c r="V10" s="272" t="s">
        <v>109</v>
      </c>
      <c r="W10" s="270" t="s">
        <v>107</v>
      </c>
      <c r="X10" s="271" t="s">
        <v>108</v>
      </c>
      <c r="Y10" s="272" t="s">
        <v>109</v>
      </c>
      <c r="Z10" s="270" t="s">
        <v>107</v>
      </c>
      <c r="AA10" s="271" t="s">
        <v>108</v>
      </c>
      <c r="AB10" s="272" t="s">
        <v>109</v>
      </c>
      <c r="AC10" s="270" t="s">
        <v>107</v>
      </c>
      <c r="AD10" s="271" t="s">
        <v>108</v>
      </c>
      <c r="AE10" s="272" t="s">
        <v>109</v>
      </c>
      <c r="AF10" s="270" t="s">
        <v>107</v>
      </c>
      <c r="AG10" s="271" t="s">
        <v>108</v>
      </c>
      <c r="AH10" s="272" t="s">
        <v>109</v>
      </c>
      <c r="AI10" s="270" t="s">
        <v>107</v>
      </c>
      <c r="AJ10" s="271" t="s">
        <v>108</v>
      </c>
      <c r="AK10" s="272" t="s">
        <v>109</v>
      </c>
      <c r="AL10" s="270" t="s">
        <v>107</v>
      </c>
      <c r="AM10" s="271" t="s">
        <v>108</v>
      </c>
      <c r="AN10" s="272" t="s">
        <v>109</v>
      </c>
      <c r="AO10" s="270" t="s">
        <v>107</v>
      </c>
      <c r="AP10" s="271" t="s">
        <v>108</v>
      </c>
      <c r="AQ10" s="272" t="s">
        <v>109</v>
      </c>
      <c r="AR10" s="270" t="s">
        <v>107</v>
      </c>
      <c r="AS10" s="271" t="s">
        <v>108</v>
      </c>
      <c r="AT10" s="272" t="s">
        <v>109</v>
      </c>
      <c r="AU10" s="270" t="s">
        <v>107</v>
      </c>
      <c r="AV10" s="271" t="s">
        <v>108</v>
      </c>
      <c r="AW10" s="272" t="s">
        <v>109</v>
      </c>
      <c r="AX10" s="270" t="s">
        <v>107</v>
      </c>
      <c r="AY10" s="271" t="s">
        <v>108</v>
      </c>
      <c r="AZ10" s="272" t="s">
        <v>109</v>
      </c>
      <c r="BA10" s="270" t="s">
        <v>107</v>
      </c>
      <c r="BB10" s="271" t="s">
        <v>108</v>
      </c>
      <c r="BC10" s="272" t="s">
        <v>109</v>
      </c>
      <c r="BD10" s="270" t="s">
        <v>107</v>
      </c>
      <c r="BE10" s="271" t="s">
        <v>108</v>
      </c>
      <c r="BF10" s="272" t="s">
        <v>109</v>
      </c>
      <c r="BG10" s="270" t="s">
        <v>107</v>
      </c>
      <c r="BH10" s="271" t="s">
        <v>108</v>
      </c>
      <c r="BI10" s="272" t="s">
        <v>109</v>
      </c>
      <c r="BJ10" s="270" t="s">
        <v>107</v>
      </c>
      <c r="BK10" s="271" t="s">
        <v>108</v>
      </c>
      <c r="BL10" s="272" t="s">
        <v>109</v>
      </c>
      <c r="BM10" s="270" t="s">
        <v>107</v>
      </c>
      <c r="BN10" s="271" t="s">
        <v>108</v>
      </c>
      <c r="BO10" s="272" t="s">
        <v>109</v>
      </c>
      <c r="BP10" s="270" t="s">
        <v>107</v>
      </c>
      <c r="BQ10" s="271" t="s">
        <v>108</v>
      </c>
      <c r="BR10" s="272" t="s">
        <v>109</v>
      </c>
      <c r="BS10" s="270" t="s">
        <v>107</v>
      </c>
      <c r="BT10" s="271" t="s">
        <v>108</v>
      </c>
      <c r="BU10" s="272" t="s">
        <v>109</v>
      </c>
      <c r="BV10" s="270" t="s">
        <v>107</v>
      </c>
      <c r="BW10" s="271" t="s">
        <v>108</v>
      </c>
      <c r="BX10" s="272" t="s">
        <v>109</v>
      </c>
      <c r="BY10" s="270" t="s">
        <v>107</v>
      </c>
      <c r="BZ10" s="271" t="s">
        <v>108</v>
      </c>
      <c r="CA10" s="272" t="s">
        <v>109</v>
      </c>
      <c r="CB10" s="270" t="s">
        <v>107</v>
      </c>
      <c r="CC10" s="271" t="s">
        <v>108</v>
      </c>
      <c r="CD10" s="272" t="s">
        <v>109</v>
      </c>
      <c r="CE10" s="270" t="s">
        <v>107</v>
      </c>
      <c r="CF10" s="271" t="s">
        <v>108</v>
      </c>
      <c r="CG10" s="272" t="s">
        <v>109</v>
      </c>
      <c r="CH10" s="270" t="s">
        <v>107</v>
      </c>
      <c r="CI10" s="271" t="s">
        <v>108</v>
      </c>
      <c r="CJ10" s="272" t="s">
        <v>109</v>
      </c>
      <c r="CK10" s="270" t="s">
        <v>107</v>
      </c>
      <c r="CL10" s="271" t="s">
        <v>108</v>
      </c>
      <c r="CM10" s="272" t="s">
        <v>109</v>
      </c>
      <c r="CN10" s="270" t="s">
        <v>107</v>
      </c>
      <c r="CO10" s="271" t="s">
        <v>108</v>
      </c>
      <c r="CP10" s="272" t="s">
        <v>109</v>
      </c>
      <c r="CQ10" s="270" t="s">
        <v>107</v>
      </c>
      <c r="CR10" s="271" t="s">
        <v>108</v>
      </c>
      <c r="CS10" s="272" t="s">
        <v>109</v>
      </c>
      <c r="CT10" s="270" t="s">
        <v>107</v>
      </c>
      <c r="CU10" s="271" t="s">
        <v>108</v>
      </c>
      <c r="CV10" s="272" t="s">
        <v>109</v>
      </c>
      <c r="CW10" s="270" t="s">
        <v>107</v>
      </c>
      <c r="CX10" s="271" t="s">
        <v>108</v>
      </c>
      <c r="CY10" s="272" t="s">
        <v>109</v>
      </c>
      <c r="CZ10" s="270" t="s">
        <v>107</v>
      </c>
      <c r="DA10" s="271" t="s">
        <v>108</v>
      </c>
      <c r="DB10" s="272" t="s">
        <v>109</v>
      </c>
      <c r="DC10" s="270" t="s">
        <v>107</v>
      </c>
      <c r="DD10" s="271" t="s">
        <v>108</v>
      </c>
      <c r="DE10" s="272" t="s">
        <v>109</v>
      </c>
      <c r="DF10" s="270" t="s">
        <v>107</v>
      </c>
      <c r="DG10" s="271" t="s">
        <v>108</v>
      </c>
      <c r="DH10" s="272" t="s">
        <v>109</v>
      </c>
      <c r="DI10" s="270" t="s">
        <v>107</v>
      </c>
      <c r="DJ10" s="271" t="s">
        <v>108</v>
      </c>
      <c r="DK10" s="272" t="s">
        <v>109</v>
      </c>
      <c r="DL10" s="270" t="s">
        <v>107</v>
      </c>
      <c r="DM10" s="271" t="s">
        <v>108</v>
      </c>
      <c r="DN10" s="272" t="s">
        <v>109</v>
      </c>
      <c r="DO10" s="270" t="s">
        <v>107</v>
      </c>
      <c r="DP10" s="271" t="s">
        <v>108</v>
      </c>
      <c r="DQ10" s="272" t="s">
        <v>109</v>
      </c>
      <c r="DR10" s="270" t="s">
        <v>107</v>
      </c>
      <c r="DS10" s="271" t="s">
        <v>108</v>
      </c>
      <c r="DT10" s="272" t="s">
        <v>109</v>
      </c>
      <c r="DU10" s="270" t="s">
        <v>107</v>
      </c>
      <c r="DV10" s="271" t="s">
        <v>108</v>
      </c>
      <c r="DW10" s="272" t="s">
        <v>109</v>
      </c>
      <c r="DX10" s="270" t="s">
        <v>107</v>
      </c>
      <c r="DY10" s="271"/>
      <c r="DZ10" s="272"/>
      <c r="EA10" s="272"/>
      <c r="EB10" s="272" t="s">
        <v>110</v>
      </c>
      <c r="EC10" s="272" t="s">
        <v>110</v>
      </c>
      <c r="ED10" s="272" t="s">
        <v>109</v>
      </c>
      <c r="EE10" s="273" t="s">
        <v>108</v>
      </c>
      <c r="EG10" s="272" t="s">
        <v>110</v>
      </c>
      <c r="EH10" s="272" t="s">
        <v>109</v>
      </c>
      <c r="EI10" s="273" t="s">
        <v>108</v>
      </c>
      <c r="EJ10" s="273"/>
      <c r="EK10" s="272" t="s">
        <v>110</v>
      </c>
      <c r="EL10" s="272" t="s">
        <v>110</v>
      </c>
      <c r="EM10" s="272" t="s">
        <v>109</v>
      </c>
      <c r="EN10" s="273" t="s">
        <v>108</v>
      </c>
    </row>
    <row r="11" spans="1:147">
      <c r="A11" s="474">
        <v>43586</v>
      </c>
      <c r="B11" s="455">
        <v>0</v>
      </c>
      <c r="C11" s="456">
        <v>2.7838359999999999E-2</v>
      </c>
      <c r="D11" s="455">
        <f>(B11*C11)/360</f>
        <v>0</v>
      </c>
      <c r="G11" s="455">
        <f>(E11*F11)/360</f>
        <v>0</v>
      </c>
      <c r="J11" s="455">
        <f>(H11*I11)/360</f>
        <v>0</v>
      </c>
      <c r="M11" s="455">
        <f>(K11*L11)/360</f>
        <v>0</v>
      </c>
      <c r="P11" s="455">
        <f>(N11*O11)/360</f>
        <v>0</v>
      </c>
      <c r="S11" s="455">
        <f>(Q11*R11)/360</f>
        <v>0</v>
      </c>
      <c r="V11" s="455">
        <f>(T11*U11)/360</f>
        <v>0</v>
      </c>
      <c r="Y11" s="455">
        <f>(W11*X11)/360</f>
        <v>0</v>
      </c>
      <c r="AB11" s="455">
        <f>(Z11*AA11)/360</f>
        <v>0</v>
      </c>
      <c r="AE11" s="455">
        <v>0</v>
      </c>
      <c r="AH11" s="455">
        <v>0</v>
      </c>
      <c r="AI11" s="475">
        <f>88125000</f>
        <v>88125000</v>
      </c>
      <c r="AJ11" s="476">
        <v>2.6499999999999999E-2</v>
      </c>
      <c r="AK11" s="455">
        <f>(AI11*AJ11)/360</f>
        <v>6486.979166666667</v>
      </c>
      <c r="AL11" s="475"/>
      <c r="AM11" s="476"/>
      <c r="AN11" s="455">
        <f>(AL11*AM11)/360</f>
        <v>0</v>
      </c>
      <c r="AO11" s="475"/>
      <c r="AP11" s="476"/>
      <c r="AQ11" s="455">
        <f>(AO11*AP11)/360</f>
        <v>0</v>
      </c>
      <c r="AT11" s="455">
        <f>(AR11*AS11)/360</f>
        <v>0</v>
      </c>
      <c r="AW11" s="455">
        <f>(AU11*AV11)/360</f>
        <v>0</v>
      </c>
      <c r="AZ11" s="455">
        <f>(AX11*AY11)/360</f>
        <v>0</v>
      </c>
      <c r="BC11" s="455">
        <f>(BA11*BB11)/360</f>
        <v>0</v>
      </c>
      <c r="BF11" s="455">
        <f>(BD11*BE11)/360</f>
        <v>0</v>
      </c>
      <c r="BI11" s="455">
        <f>(BG11*BH11)/360</f>
        <v>0</v>
      </c>
      <c r="BL11" s="455">
        <f>(BJ11*BK11)/360</f>
        <v>0</v>
      </c>
      <c r="BO11" s="455">
        <f>(BM11*BN11)/360</f>
        <v>0</v>
      </c>
      <c r="BR11" s="455">
        <f>(BP11*BQ11)/360</f>
        <v>0</v>
      </c>
      <c r="BU11" s="455">
        <f>(BS11*BT11)/360</f>
        <v>0</v>
      </c>
      <c r="BX11" s="455">
        <f>(BV11*BW11)/360</f>
        <v>0</v>
      </c>
      <c r="CA11" s="455">
        <f>(BY11*BZ11)/360</f>
        <v>0</v>
      </c>
      <c r="CD11" s="455">
        <f>(CB11*CC11)/360</f>
        <v>0</v>
      </c>
      <c r="CG11" s="455">
        <f>(CE11*CF11)/360</f>
        <v>0</v>
      </c>
      <c r="CJ11" s="455">
        <f>(CH11*CI11)/360</f>
        <v>0</v>
      </c>
      <c r="CM11" s="455">
        <f>(CK11*CL11)/360</f>
        <v>0</v>
      </c>
      <c r="CP11" s="455">
        <f>(CN11*CO11)/360</f>
        <v>0</v>
      </c>
      <c r="CS11" s="455">
        <f>(CQ11*CR11)/360</f>
        <v>0</v>
      </c>
      <c r="CV11" s="455">
        <f>(CT11*CU11)/360</f>
        <v>0</v>
      </c>
      <c r="CY11" s="455">
        <f>(CW11*CX11)/360</f>
        <v>0</v>
      </c>
      <c r="DB11" s="455">
        <f>(CZ11*DA11)/360</f>
        <v>0</v>
      </c>
      <c r="DE11" s="455">
        <f>(DC11*DD11)/360</f>
        <v>0</v>
      </c>
      <c r="DH11" s="455">
        <f>(DF11*DG11)/360</f>
        <v>0</v>
      </c>
      <c r="DK11" s="455">
        <f>(DI11*DJ11)/360</f>
        <v>0</v>
      </c>
      <c r="DN11" s="455">
        <f>(DL11*DM11)/360</f>
        <v>0</v>
      </c>
      <c r="DQ11" s="455">
        <f>(DO11*DP11)/360</f>
        <v>0</v>
      </c>
      <c r="DT11" s="455">
        <f>(DR11*DS11)/360</f>
        <v>0</v>
      </c>
      <c r="DW11" s="455">
        <f>(DU11*DV11)/360</f>
        <v>0</v>
      </c>
      <c r="DZ11" s="455"/>
      <c r="EA11" s="455"/>
      <c r="EB11" s="274">
        <f>B11+E11+H11+K11+N11+Q11+T11+W11+Z11+AC11+AF11+AL11+AO11+AR11+AU11+AX11+BA11+BD11+BG11+DU11+AI11+DR11+DO11+DL11+DI11+DF11+DC11+CZ11+CW11+CT11+CQ11+CN11+CK11+CH11+CE11+CB11+BY11+BV11+BS11+BP11+BM11+BJ11</f>
        <v>88125000</v>
      </c>
      <c r="EC11" s="274">
        <f>EB11-EK11+EL11</f>
        <v>0</v>
      </c>
      <c r="ED11" s="455">
        <f>D11+G11+J11+M11+P11+S11+V11+Y11+AB11+AE11+AH11+AK11+AN11+AQ11+AT11+AW11+AZ11+BC11+BF11+BI11+DW11+DT11+DQ11+DN11+DK11+DH11+DE11+DB11+CY11+CV11+CS11+CP11+CM11+CJ11+CG11+CD11+CA11+BX11+BU11+BR11+BO11+BL11</f>
        <v>6486.979166666667</v>
      </c>
      <c r="EE11" s="456">
        <f>IF(EB11&lt;&gt;0,((ED11/EB11)*360),0)</f>
        <v>2.6499999999999999E-2</v>
      </c>
      <c r="EG11" s="274">
        <f>Q11+T11+W11+Z11+AC11+AF11</f>
        <v>0</v>
      </c>
      <c r="EH11" s="455">
        <f>S11+V11+Y11+AB11+AE11+AH11</f>
        <v>0</v>
      </c>
      <c r="EI11" s="456">
        <f>IF(EG11&lt;&gt;0,((EH11/EG11)*360),0)</f>
        <v>0</v>
      </c>
      <c r="EJ11" s="456"/>
      <c r="EK11" s="274">
        <f>DR11+DL11+DI11+DF11+DC11+CZ11+CW11+CT11+CQ11+CN11+CK11+CH11+CE11+CB11+BY11+BV11+BS11+BP11+BM11+BJ11+BG11+BD11+BA11+AX11+AU11+AR11+AO11+AL11+AI11+DO11</f>
        <v>88125000</v>
      </c>
      <c r="EL11" s="274">
        <f>DX11</f>
        <v>0</v>
      </c>
      <c r="EM11" s="274">
        <f>DT11+DQ11+DN11+DK11+DH11+DE11+DB11+CY11+CV11+CS11+CP11+CM11+CJ11+CG11+CD11+CA11+BX11+BU11+BR11+BO11+BL11+BI11+BF11+BC11+AZ11+AW11+AT11+AQ11+AN11+AK11</f>
        <v>6486.979166666667</v>
      </c>
      <c r="EN11" s="456">
        <f>IF(EK11&lt;&gt;0,((EM11/EK11)*360),0)</f>
        <v>2.6499999999999999E-2</v>
      </c>
    </row>
    <row r="12" spans="1:147">
      <c r="A12" s="474">
        <f>1+A11</f>
        <v>43587</v>
      </c>
      <c r="B12" s="455">
        <v>0</v>
      </c>
      <c r="C12" s="456">
        <v>2.7802289999999997E-2</v>
      </c>
      <c r="D12" s="455">
        <f t="shared" ref="D12:D41" si="0">(B12*C12)/360</f>
        <v>0</v>
      </c>
      <c r="G12" s="455">
        <f t="shared" ref="G12:G41" si="1">(E12*F12)/360</f>
        <v>0</v>
      </c>
      <c r="J12" s="455">
        <f t="shared" ref="J12:J41" si="2">(H12*I12)/360</f>
        <v>0</v>
      </c>
      <c r="M12" s="455">
        <f t="shared" ref="M12:M41" si="3">(K12*L12)/360</f>
        <v>0</v>
      </c>
      <c r="P12" s="455">
        <f t="shared" ref="P12:P41" si="4">(N12*O12)/360</f>
        <v>0</v>
      </c>
      <c r="S12" s="455">
        <f t="shared" ref="S12:S41" si="5">(Q12*R12)/360</f>
        <v>0</v>
      </c>
      <c r="V12" s="455">
        <f t="shared" ref="V12:V41" si="6">(T12*U12)/360</f>
        <v>0</v>
      </c>
      <c r="Y12" s="455">
        <f t="shared" ref="Y12:Y41" si="7">(W12*X12)/360</f>
        <v>0</v>
      </c>
      <c r="AB12" s="455">
        <f t="shared" ref="AB12:AB41" si="8">(Z12*AA12)/360</f>
        <v>0</v>
      </c>
      <c r="AE12" s="455">
        <v>0</v>
      </c>
      <c r="AH12" s="455">
        <v>0</v>
      </c>
      <c r="AI12" s="475">
        <f>83150000</f>
        <v>83150000</v>
      </c>
      <c r="AJ12" s="476">
        <v>2.6499999999999999E-2</v>
      </c>
      <c r="AK12" s="455">
        <f t="shared" ref="AK12:AK41" si="9">(AI12*AJ12)/360</f>
        <v>6120.7638888888887</v>
      </c>
      <c r="AL12" s="475"/>
      <c r="AM12" s="476"/>
      <c r="AN12" s="455">
        <f t="shared" ref="AN12:AN41" si="10">(AL12*AM12)/360</f>
        <v>0</v>
      </c>
      <c r="AO12" s="475"/>
      <c r="AP12" s="476"/>
      <c r="AQ12" s="455">
        <f t="shared" ref="AQ12:AQ41" si="11">(AO12*AP12)/360</f>
        <v>0</v>
      </c>
      <c r="AT12" s="455">
        <f t="shared" ref="AT12:AT41" si="12">(AR12*AS12)/360</f>
        <v>0</v>
      </c>
      <c r="AW12" s="455">
        <f t="shared" ref="AW12:AW41" si="13">(AU12*AV12)/360</f>
        <v>0</v>
      </c>
      <c r="AZ12" s="455">
        <f t="shared" ref="AZ12:AZ41" si="14">(AX12*AY12)/360</f>
        <v>0</v>
      </c>
      <c r="BC12" s="455">
        <f t="shared" ref="BC12:BC41" si="15">(BA12*BB12)/360</f>
        <v>0</v>
      </c>
      <c r="BF12" s="455">
        <f t="shared" ref="BF12:BF41" si="16">(BD12*BE12)/360</f>
        <v>0</v>
      </c>
      <c r="BI12" s="455">
        <f t="shared" ref="BI12:BI41" si="17">(BG12*BH12)/360</f>
        <v>0</v>
      </c>
      <c r="BL12" s="455">
        <f t="shared" ref="BL12:BL41" si="18">(BJ12*BK12)/360</f>
        <v>0</v>
      </c>
      <c r="BO12" s="455">
        <f t="shared" ref="BO12:BO41" si="19">(BM12*BN12)/360</f>
        <v>0</v>
      </c>
      <c r="BR12" s="455">
        <f t="shared" ref="BR12:BR41" si="20">(BP12*BQ12)/360</f>
        <v>0</v>
      </c>
      <c r="BU12" s="455">
        <f t="shared" ref="BU12:BU41" si="21">(BS12*BT12)/360</f>
        <v>0</v>
      </c>
      <c r="BX12" s="455">
        <f t="shared" ref="BX12:BX41" si="22">(BV12*BW12)/360</f>
        <v>0</v>
      </c>
      <c r="CA12" s="455">
        <f t="shared" ref="CA12:CA41" si="23">(BY12*BZ12)/360</f>
        <v>0</v>
      </c>
      <c r="CD12" s="455">
        <f t="shared" ref="CD12:CD41" si="24">(CB12*CC12)/360</f>
        <v>0</v>
      </c>
      <c r="CG12" s="455">
        <f t="shared" ref="CG12:CG41" si="25">(CE12*CF12)/360</f>
        <v>0</v>
      </c>
      <c r="CJ12" s="455">
        <f t="shared" ref="CJ12:CJ41" si="26">(CH12*CI12)/360</f>
        <v>0</v>
      </c>
      <c r="CM12" s="455">
        <f t="shared" ref="CM12:CM41" si="27">(CK12*CL12)/360</f>
        <v>0</v>
      </c>
      <c r="CP12" s="455">
        <f t="shared" ref="CP12:CP41" si="28">(CN12*CO12)/360</f>
        <v>0</v>
      </c>
      <c r="CS12" s="455">
        <f t="shared" ref="CS12:CS41" si="29">(CQ12*CR12)/360</f>
        <v>0</v>
      </c>
      <c r="CV12" s="455">
        <f t="shared" ref="CV12:CV41" si="30">(CT12*CU12)/360</f>
        <v>0</v>
      </c>
      <c r="CY12" s="455">
        <f t="shared" ref="CY12:CY41" si="31">(CW12*CX12)/360</f>
        <v>0</v>
      </c>
      <c r="DB12" s="455">
        <f t="shared" ref="DB12:DB41" si="32">(CZ12*DA12)/360</f>
        <v>0</v>
      </c>
      <c r="DE12" s="455">
        <f t="shared" ref="DE12:DE41" si="33">(DC12*DD12)/360</f>
        <v>0</v>
      </c>
      <c r="DH12" s="455">
        <f t="shared" ref="DH12:DH41" si="34">(DF12*DG12)/360</f>
        <v>0</v>
      </c>
      <c r="DK12" s="455">
        <f t="shared" ref="DK12:DK41" si="35">(DI12*DJ12)/360</f>
        <v>0</v>
      </c>
      <c r="DN12" s="455">
        <f t="shared" ref="DN12:DN41" si="36">(DL12*DM12)/360</f>
        <v>0</v>
      </c>
      <c r="DQ12" s="455">
        <f t="shared" ref="DQ12:DQ41" si="37">(DO12*DP12)/360</f>
        <v>0</v>
      </c>
      <c r="DT12" s="455">
        <f t="shared" ref="DT12:DT41" si="38">(DR12*DS12)/360</f>
        <v>0</v>
      </c>
      <c r="DW12" s="455">
        <f t="shared" ref="DW12:DW41" si="39">(DU12*DV12)/360</f>
        <v>0</v>
      </c>
      <c r="DZ12" s="455"/>
      <c r="EA12" s="455"/>
      <c r="EB12" s="274">
        <f t="shared" ref="EB12:EB41" si="40">B12+E12+H12+K12+N12+Q12+T12+W12+Z12+AC12+AF12+AL12+AO12+AR12+AU12+AX12+BA12+BD12+BG12+DU12+AI12+DR12+DO12+DL12+DI12+DF12+DC12+CZ12+CW12+CT12+CQ12+CN12+CK12+CH12+CE12+CB12+BY12+BV12+BS12+BP12+BM12+BJ12</f>
        <v>83150000</v>
      </c>
      <c r="EC12" s="274">
        <f t="shared" ref="EC12:EC41" si="41">EB12-EK12+EL12</f>
        <v>0</v>
      </c>
      <c r="ED12" s="455">
        <f t="shared" ref="ED12:ED41" si="42">D12+G12+J12+M12+P12+S12+V12+Y12+AB12+AE12+AH12+AK12+AN12+AQ12+AT12+AW12+AZ12+BC12+BF12+BI12+DW12+DT12+DQ12+DN12+DK12+DH12+DE12+DB12+CY12+CV12+CS12+CP12+CM12+CJ12+CG12+CD12+CA12+BX12+BU12+BR12+BO12+BL12</f>
        <v>6120.7638888888887</v>
      </c>
      <c r="EE12" s="456">
        <f t="shared" ref="EE12:EE41" si="43">IF(EB12&lt;&gt;0,((ED12/EB12)*360),0)</f>
        <v>2.6499999999999999E-2</v>
      </c>
      <c r="EG12" s="274">
        <f t="shared" ref="EG12:EG41" si="44">Q12+T12+W12+Z12+AC12+AF12</f>
        <v>0</v>
      </c>
      <c r="EH12" s="455">
        <f t="shared" ref="EH12:EH41" si="45">S12+V12+Y12+AB12+AE12+AH12</f>
        <v>0</v>
      </c>
      <c r="EI12" s="456">
        <f t="shared" ref="EI12:EI41" si="46">IF(EG12&lt;&gt;0,((EH12/EG12)*360),0)</f>
        <v>0</v>
      </c>
      <c r="EJ12" s="456"/>
      <c r="EK12" s="274">
        <f t="shared" ref="EK12:EK41" si="47">DR12+DL12+DI12+DF12+DC12+CZ12+CW12+CT12+CQ12+CN12+CK12+CH12+CE12+CB12+BY12+BV12+BS12+BP12+BM12+BJ12+BG12+BD12+BA12+AX12+AU12+AR12+AO12+AL12+AI12+DO12</f>
        <v>83150000</v>
      </c>
      <c r="EL12" s="274">
        <f t="shared" ref="EL12:EL41" si="48">DX12</f>
        <v>0</v>
      </c>
      <c r="EM12" s="274">
        <f t="shared" ref="EM12:EM41" si="49">DT12+DQ12+DN12+DK12+DH12+DE12+DB12+CY12+CV12+CS12+CP12+CM12+CJ12+CG12+CD12+CA12+BX12+BU12+BR12+BO12+BL12+BI12+BF12+BC12+AZ12+AW12+AT12+AQ12+AN12+AK12</f>
        <v>6120.7638888888887</v>
      </c>
      <c r="EN12" s="456">
        <f t="shared" ref="EN12:EN41" si="50">IF(EK12&lt;&gt;0,((EM12/EK12)*360),0)</f>
        <v>2.6499999999999999E-2</v>
      </c>
    </row>
    <row r="13" spans="1:147">
      <c r="A13" s="474">
        <f t="shared" ref="A13:A41" si="51">1+A12</f>
        <v>43588</v>
      </c>
      <c r="B13" s="455">
        <v>0</v>
      </c>
      <c r="C13" s="456">
        <v>2.76869E-2</v>
      </c>
      <c r="D13" s="455">
        <f t="shared" si="0"/>
        <v>0</v>
      </c>
      <c r="G13" s="455">
        <f t="shared" si="1"/>
        <v>0</v>
      </c>
      <c r="J13" s="455">
        <f t="shared" si="2"/>
        <v>0</v>
      </c>
      <c r="M13" s="455">
        <f t="shared" si="3"/>
        <v>0</v>
      </c>
      <c r="P13" s="455">
        <f t="shared" si="4"/>
        <v>0</v>
      </c>
      <c r="S13" s="455">
        <f t="shared" si="5"/>
        <v>0</v>
      </c>
      <c r="V13" s="455">
        <f t="shared" si="6"/>
        <v>0</v>
      </c>
      <c r="Y13" s="455">
        <f t="shared" si="7"/>
        <v>0</v>
      </c>
      <c r="AB13" s="455">
        <f t="shared" si="8"/>
        <v>0</v>
      </c>
      <c r="AE13" s="455">
        <v>0</v>
      </c>
      <c r="AH13" s="455">
        <v>0</v>
      </c>
      <c r="AI13" s="475">
        <f>87600000</f>
        <v>87600000</v>
      </c>
      <c r="AJ13" s="476">
        <v>2.6499999999999999E-2</v>
      </c>
      <c r="AK13" s="455">
        <f t="shared" si="9"/>
        <v>6448.333333333333</v>
      </c>
      <c r="AL13" s="475"/>
      <c r="AM13" s="476"/>
      <c r="AN13" s="455">
        <f t="shared" si="10"/>
        <v>0</v>
      </c>
      <c r="AO13" s="475"/>
      <c r="AP13" s="476"/>
      <c r="AQ13" s="455">
        <f t="shared" si="11"/>
        <v>0</v>
      </c>
      <c r="AT13" s="455">
        <f t="shared" si="12"/>
        <v>0</v>
      </c>
      <c r="AW13" s="455">
        <f t="shared" si="13"/>
        <v>0</v>
      </c>
      <c r="AZ13" s="455">
        <f t="shared" si="14"/>
        <v>0</v>
      </c>
      <c r="BC13" s="455">
        <f t="shared" si="15"/>
        <v>0</v>
      </c>
      <c r="BF13" s="455">
        <f t="shared" si="16"/>
        <v>0</v>
      </c>
      <c r="BI13" s="455">
        <f t="shared" si="17"/>
        <v>0</v>
      </c>
      <c r="BL13" s="455">
        <f t="shared" si="18"/>
        <v>0</v>
      </c>
      <c r="BO13" s="455">
        <f t="shared" si="19"/>
        <v>0</v>
      </c>
      <c r="BR13" s="455">
        <f t="shared" si="20"/>
        <v>0</v>
      </c>
      <c r="BU13" s="455">
        <f t="shared" si="21"/>
        <v>0</v>
      </c>
      <c r="BX13" s="455">
        <f t="shared" si="22"/>
        <v>0</v>
      </c>
      <c r="CA13" s="455">
        <f t="shared" si="23"/>
        <v>0</v>
      </c>
      <c r="CD13" s="455">
        <f t="shared" si="24"/>
        <v>0</v>
      </c>
      <c r="CG13" s="455">
        <f t="shared" si="25"/>
        <v>0</v>
      </c>
      <c r="CJ13" s="455">
        <f t="shared" si="26"/>
        <v>0</v>
      </c>
      <c r="CM13" s="455">
        <f t="shared" si="27"/>
        <v>0</v>
      </c>
      <c r="CP13" s="455">
        <f t="shared" si="28"/>
        <v>0</v>
      </c>
      <c r="CS13" s="455">
        <f t="shared" si="29"/>
        <v>0</v>
      </c>
      <c r="CV13" s="455">
        <f t="shared" si="30"/>
        <v>0</v>
      </c>
      <c r="CY13" s="455">
        <f t="shared" si="31"/>
        <v>0</v>
      </c>
      <c r="DB13" s="455">
        <f t="shared" si="32"/>
        <v>0</v>
      </c>
      <c r="DE13" s="455">
        <f t="shared" si="33"/>
        <v>0</v>
      </c>
      <c r="DH13" s="455">
        <f t="shared" si="34"/>
        <v>0</v>
      </c>
      <c r="DK13" s="455">
        <f t="shared" si="35"/>
        <v>0</v>
      </c>
      <c r="DN13" s="455">
        <f t="shared" si="36"/>
        <v>0</v>
      </c>
      <c r="DQ13" s="455">
        <f t="shared" si="37"/>
        <v>0</v>
      </c>
      <c r="DT13" s="455">
        <f t="shared" si="38"/>
        <v>0</v>
      </c>
      <c r="DW13" s="455">
        <f t="shared" si="39"/>
        <v>0</v>
      </c>
      <c r="DZ13" s="455"/>
      <c r="EA13" s="455"/>
      <c r="EB13" s="274">
        <f t="shared" si="40"/>
        <v>87600000</v>
      </c>
      <c r="EC13" s="274">
        <f t="shared" si="41"/>
        <v>0</v>
      </c>
      <c r="ED13" s="455">
        <f t="shared" si="42"/>
        <v>6448.333333333333</v>
      </c>
      <c r="EE13" s="456">
        <f t="shared" si="43"/>
        <v>2.6499999999999999E-2</v>
      </c>
      <c r="EG13" s="274">
        <f t="shared" si="44"/>
        <v>0</v>
      </c>
      <c r="EH13" s="455">
        <f t="shared" si="45"/>
        <v>0</v>
      </c>
      <c r="EI13" s="456">
        <f t="shared" si="46"/>
        <v>0</v>
      </c>
      <c r="EJ13" s="456"/>
      <c r="EK13" s="274">
        <f t="shared" si="47"/>
        <v>87600000</v>
      </c>
      <c r="EL13" s="274">
        <f t="shared" si="48"/>
        <v>0</v>
      </c>
      <c r="EM13" s="274">
        <f t="shared" si="49"/>
        <v>6448.333333333333</v>
      </c>
      <c r="EN13" s="456">
        <f t="shared" si="50"/>
        <v>2.6499999999999999E-2</v>
      </c>
    </row>
    <row r="14" spans="1:147">
      <c r="A14" s="474">
        <f t="shared" si="51"/>
        <v>43589</v>
      </c>
      <c r="B14" s="455">
        <v>0</v>
      </c>
      <c r="C14" s="456">
        <v>2.76869E-2</v>
      </c>
      <c r="D14" s="455">
        <f t="shared" si="0"/>
        <v>0</v>
      </c>
      <c r="G14" s="455">
        <f t="shared" si="1"/>
        <v>0</v>
      </c>
      <c r="J14" s="455">
        <f t="shared" si="2"/>
        <v>0</v>
      </c>
      <c r="M14" s="455">
        <f t="shared" si="3"/>
        <v>0</v>
      </c>
      <c r="P14" s="455">
        <f t="shared" si="4"/>
        <v>0</v>
      </c>
      <c r="S14" s="455">
        <f t="shared" si="5"/>
        <v>0</v>
      </c>
      <c r="V14" s="455">
        <f t="shared" si="6"/>
        <v>0</v>
      </c>
      <c r="Y14" s="455">
        <f t="shared" si="7"/>
        <v>0</v>
      </c>
      <c r="AB14" s="455">
        <f t="shared" si="8"/>
        <v>0</v>
      </c>
      <c r="AE14" s="455">
        <v>0</v>
      </c>
      <c r="AH14" s="455">
        <v>0</v>
      </c>
      <c r="AI14" s="475">
        <f>87600000</f>
        <v>87600000</v>
      </c>
      <c r="AJ14" s="476">
        <v>2.6499999999999999E-2</v>
      </c>
      <c r="AK14" s="455">
        <f t="shared" si="9"/>
        <v>6448.333333333333</v>
      </c>
      <c r="AL14" s="475"/>
      <c r="AM14" s="476"/>
      <c r="AN14" s="455">
        <f t="shared" si="10"/>
        <v>0</v>
      </c>
      <c r="AO14" s="475"/>
      <c r="AP14" s="476"/>
      <c r="AQ14" s="455">
        <f t="shared" si="11"/>
        <v>0</v>
      </c>
      <c r="AT14" s="455">
        <f t="shared" si="12"/>
        <v>0</v>
      </c>
      <c r="AW14" s="455">
        <f t="shared" si="13"/>
        <v>0</v>
      </c>
      <c r="AZ14" s="455">
        <f t="shared" si="14"/>
        <v>0</v>
      </c>
      <c r="BC14" s="455">
        <f t="shared" si="15"/>
        <v>0</v>
      </c>
      <c r="BF14" s="455">
        <f t="shared" si="16"/>
        <v>0</v>
      </c>
      <c r="BI14" s="455">
        <f t="shared" si="17"/>
        <v>0</v>
      </c>
      <c r="BL14" s="455">
        <f t="shared" si="18"/>
        <v>0</v>
      </c>
      <c r="BO14" s="455">
        <f t="shared" si="19"/>
        <v>0</v>
      </c>
      <c r="BR14" s="455">
        <f t="shared" si="20"/>
        <v>0</v>
      </c>
      <c r="BU14" s="455">
        <f t="shared" si="21"/>
        <v>0</v>
      </c>
      <c r="BX14" s="455">
        <f t="shared" si="22"/>
        <v>0</v>
      </c>
      <c r="CA14" s="455">
        <f t="shared" si="23"/>
        <v>0</v>
      </c>
      <c r="CD14" s="455">
        <f t="shared" si="24"/>
        <v>0</v>
      </c>
      <c r="CG14" s="455">
        <f t="shared" si="25"/>
        <v>0</v>
      </c>
      <c r="CJ14" s="455">
        <f t="shared" si="26"/>
        <v>0</v>
      </c>
      <c r="CM14" s="455">
        <f t="shared" si="27"/>
        <v>0</v>
      </c>
      <c r="CP14" s="455">
        <f t="shared" si="28"/>
        <v>0</v>
      </c>
      <c r="CS14" s="455">
        <f t="shared" si="29"/>
        <v>0</v>
      </c>
      <c r="CV14" s="455">
        <f t="shared" si="30"/>
        <v>0</v>
      </c>
      <c r="CY14" s="455">
        <f t="shared" si="31"/>
        <v>0</v>
      </c>
      <c r="DB14" s="455">
        <f t="shared" si="32"/>
        <v>0</v>
      </c>
      <c r="DE14" s="455">
        <f t="shared" si="33"/>
        <v>0</v>
      </c>
      <c r="DH14" s="455">
        <f t="shared" si="34"/>
        <v>0</v>
      </c>
      <c r="DK14" s="455">
        <f t="shared" si="35"/>
        <v>0</v>
      </c>
      <c r="DN14" s="455">
        <f t="shared" si="36"/>
        <v>0</v>
      </c>
      <c r="DQ14" s="455">
        <f t="shared" si="37"/>
        <v>0</v>
      </c>
      <c r="DT14" s="455">
        <f t="shared" si="38"/>
        <v>0</v>
      </c>
      <c r="DW14" s="455">
        <f t="shared" si="39"/>
        <v>0</v>
      </c>
      <c r="DZ14" s="455"/>
      <c r="EA14" s="455"/>
      <c r="EB14" s="274">
        <f t="shared" si="40"/>
        <v>87600000</v>
      </c>
      <c r="EC14" s="274">
        <f t="shared" si="41"/>
        <v>0</v>
      </c>
      <c r="ED14" s="455">
        <f t="shared" si="42"/>
        <v>6448.333333333333</v>
      </c>
      <c r="EE14" s="456">
        <f t="shared" si="43"/>
        <v>2.6499999999999999E-2</v>
      </c>
      <c r="EG14" s="274">
        <f t="shared" si="44"/>
        <v>0</v>
      </c>
      <c r="EH14" s="455">
        <f t="shared" si="45"/>
        <v>0</v>
      </c>
      <c r="EI14" s="456">
        <f t="shared" si="46"/>
        <v>0</v>
      </c>
      <c r="EJ14" s="456"/>
      <c r="EK14" s="274">
        <f t="shared" si="47"/>
        <v>87600000</v>
      </c>
      <c r="EL14" s="274">
        <f t="shared" si="48"/>
        <v>0</v>
      </c>
      <c r="EM14" s="274">
        <f t="shared" si="49"/>
        <v>6448.333333333333</v>
      </c>
      <c r="EN14" s="456">
        <f t="shared" si="50"/>
        <v>2.6499999999999999E-2</v>
      </c>
    </row>
    <row r="15" spans="1:147">
      <c r="A15" s="474">
        <f t="shared" si="51"/>
        <v>43590</v>
      </c>
      <c r="B15" s="455">
        <v>0</v>
      </c>
      <c r="C15" s="456">
        <v>2.76869E-2</v>
      </c>
      <c r="D15" s="455">
        <f t="shared" si="0"/>
        <v>0</v>
      </c>
      <c r="G15" s="455">
        <f t="shared" si="1"/>
        <v>0</v>
      </c>
      <c r="J15" s="455">
        <f t="shared" si="2"/>
        <v>0</v>
      </c>
      <c r="M15" s="455">
        <f t="shared" si="3"/>
        <v>0</v>
      </c>
      <c r="P15" s="455">
        <f t="shared" si="4"/>
        <v>0</v>
      </c>
      <c r="S15" s="455">
        <f t="shared" si="5"/>
        <v>0</v>
      </c>
      <c r="V15" s="455">
        <f t="shared" si="6"/>
        <v>0</v>
      </c>
      <c r="Y15" s="455">
        <f t="shared" si="7"/>
        <v>0</v>
      </c>
      <c r="AB15" s="455">
        <f t="shared" si="8"/>
        <v>0</v>
      </c>
      <c r="AE15" s="455">
        <v>0</v>
      </c>
      <c r="AH15" s="455">
        <v>0</v>
      </c>
      <c r="AI15" s="475">
        <f>87600000</f>
        <v>87600000</v>
      </c>
      <c r="AJ15" s="476">
        <v>2.6499999999999999E-2</v>
      </c>
      <c r="AK15" s="455">
        <f t="shared" si="9"/>
        <v>6448.333333333333</v>
      </c>
      <c r="AL15" s="475"/>
      <c r="AM15" s="476"/>
      <c r="AN15" s="455">
        <f t="shared" si="10"/>
        <v>0</v>
      </c>
      <c r="AO15" s="475"/>
      <c r="AP15" s="476"/>
      <c r="AQ15" s="455">
        <f t="shared" si="11"/>
        <v>0</v>
      </c>
      <c r="AT15" s="455">
        <f t="shared" si="12"/>
        <v>0</v>
      </c>
      <c r="AW15" s="455">
        <f t="shared" si="13"/>
        <v>0</v>
      </c>
      <c r="AZ15" s="455">
        <f t="shared" si="14"/>
        <v>0</v>
      </c>
      <c r="BC15" s="455">
        <f t="shared" si="15"/>
        <v>0</v>
      </c>
      <c r="BF15" s="455">
        <f t="shared" si="16"/>
        <v>0</v>
      </c>
      <c r="BI15" s="455">
        <f t="shared" si="17"/>
        <v>0</v>
      </c>
      <c r="BL15" s="455">
        <f t="shared" si="18"/>
        <v>0</v>
      </c>
      <c r="BO15" s="455">
        <f t="shared" si="19"/>
        <v>0</v>
      </c>
      <c r="BR15" s="455">
        <f t="shared" si="20"/>
        <v>0</v>
      </c>
      <c r="BU15" s="455">
        <f t="shared" si="21"/>
        <v>0</v>
      </c>
      <c r="BX15" s="455">
        <f t="shared" si="22"/>
        <v>0</v>
      </c>
      <c r="CA15" s="455">
        <f t="shared" si="23"/>
        <v>0</v>
      </c>
      <c r="CD15" s="455">
        <f t="shared" si="24"/>
        <v>0</v>
      </c>
      <c r="CG15" s="455">
        <f t="shared" si="25"/>
        <v>0</v>
      </c>
      <c r="CJ15" s="455">
        <f t="shared" si="26"/>
        <v>0</v>
      </c>
      <c r="CM15" s="455">
        <f t="shared" si="27"/>
        <v>0</v>
      </c>
      <c r="CP15" s="455">
        <f t="shared" si="28"/>
        <v>0</v>
      </c>
      <c r="CS15" s="455">
        <f t="shared" si="29"/>
        <v>0</v>
      </c>
      <c r="CV15" s="455">
        <f t="shared" si="30"/>
        <v>0</v>
      </c>
      <c r="CY15" s="455">
        <f t="shared" si="31"/>
        <v>0</v>
      </c>
      <c r="DB15" s="455">
        <f t="shared" si="32"/>
        <v>0</v>
      </c>
      <c r="DE15" s="455">
        <f t="shared" si="33"/>
        <v>0</v>
      </c>
      <c r="DH15" s="455">
        <f t="shared" si="34"/>
        <v>0</v>
      </c>
      <c r="DK15" s="455">
        <f t="shared" si="35"/>
        <v>0</v>
      </c>
      <c r="DN15" s="455">
        <f t="shared" si="36"/>
        <v>0</v>
      </c>
      <c r="DQ15" s="455">
        <f t="shared" si="37"/>
        <v>0</v>
      </c>
      <c r="DT15" s="455">
        <f t="shared" si="38"/>
        <v>0</v>
      </c>
      <c r="DW15" s="455">
        <f t="shared" si="39"/>
        <v>0</v>
      </c>
      <c r="DZ15" s="455"/>
      <c r="EA15" s="455"/>
      <c r="EB15" s="274">
        <f t="shared" si="40"/>
        <v>87600000</v>
      </c>
      <c r="EC15" s="274">
        <f t="shared" si="41"/>
        <v>0</v>
      </c>
      <c r="ED15" s="455">
        <f t="shared" si="42"/>
        <v>6448.333333333333</v>
      </c>
      <c r="EE15" s="456">
        <f t="shared" si="43"/>
        <v>2.6499999999999999E-2</v>
      </c>
      <c r="EG15" s="274">
        <f t="shared" si="44"/>
        <v>0</v>
      </c>
      <c r="EH15" s="455">
        <f t="shared" si="45"/>
        <v>0</v>
      </c>
      <c r="EI15" s="456">
        <f t="shared" si="46"/>
        <v>0</v>
      </c>
      <c r="EJ15" s="456"/>
      <c r="EK15" s="274">
        <f t="shared" si="47"/>
        <v>87600000</v>
      </c>
      <c r="EL15" s="274">
        <f t="shared" si="48"/>
        <v>0</v>
      </c>
      <c r="EM15" s="274">
        <f t="shared" si="49"/>
        <v>6448.333333333333</v>
      </c>
      <c r="EN15" s="456">
        <f t="shared" si="50"/>
        <v>2.6499999999999999E-2</v>
      </c>
    </row>
    <row r="16" spans="1:147">
      <c r="A16" s="474">
        <f t="shared" si="51"/>
        <v>43591</v>
      </c>
      <c r="B16" s="455">
        <v>0</v>
      </c>
      <c r="C16" s="456">
        <v>2.7551160000000002E-2</v>
      </c>
      <c r="D16" s="455">
        <f t="shared" si="0"/>
        <v>0</v>
      </c>
      <c r="G16" s="455">
        <f t="shared" si="1"/>
        <v>0</v>
      </c>
      <c r="J16" s="455">
        <f t="shared" si="2"/>
        <v>0</v>
      </c>
      <c r="M16" s="455">
        <f t="shared" si="3"/>
        <v>0</v>
      </c>
      <c r="P16" s="455">
        <f t="shared" si="4"/>
        <v>0</v>
      </c>
      <c r="S16" s="455">
        <f t="shared" si="5"/>
        <v>0</v>
      </c>
      <c r="V16" s="455">
        <f t="shared" si="6"/>
        <v>0</v>
      </c>
      <c r="Y16" s="455">
        <f t="shared" si="7"/>
        <v>0</v>
      </c>
      <c r="AB16" s="455">
        <f t="shared" si="8"/>
        <v>0</v>
      </c>
      <c r="AE16" s="455">
        <v>0</v>
      </c>
      <c r="AH16" s="455">
        <v>0</v>
      </c>
      <c r="AI16" s="475">
        <f>87850000</f>
        <v>87850000</v>
      </c>
      <c r="AJ16" s="476">
        <v>2.6499999999999999E-2</v>
      </c>
      <c r="AK16" s="455">
        <f t="shared" si="9"/>
        <v>6466.7361111111113</v>
      </c>
      <c r="AL16" s="475"/>
      <c r="AM16" s="476"/>
      <c r="AN16" s="455">
        <f t="shared" si="10"/>
        <v>0</v>
      </c>
      <c r="AO16" s="475"/>
      <c r="AP16" s="476"/>
      <c r="AQ16" s="455">
        <f t="shared" si="11"/>
        <v>0</v>
      </c>
      <c r="AT16" s="455">
        <f t="shared" si="12"/>
        <v>0</v>
      </c>
      <c r="AW16" s="455">
        <f t="shared" si="13"/>
        <v>0</v>
      </c>
      <c r="AZ16" s="455">
        <f t="shared" si="14"/>
        <v>0</v>
      </c>
      <c r="BC16" s="455">
        <f t="shared" si="15"/>
        <v>0</v>
      </c>
      <c r="BF16" s="455">
        <f t="shared" si="16"/>
        <v>0</v>
      </c>
      <c r="BI16" s="455">
        <f t="shared" si="17"/>
        <v>0</v>
      </c>
      <c r="BL16" s="455">
        <f t="shared" si="18"/>
        <v>0</v>
      </c>
      <c r="BO16" s="455">
        <f t="shared" si="19"/>
        <v>0</v>
      </c>
      <c r="BR16" s="455">
        <f t="shared" si="20"/>
        <v>0</v>
      </c>
      <c r="BU16" s="455">
        <f t="shared" si="21"/>
        <v>0</v>
      </c>
      <c r="BX16" s="455">
        <f t="shared" si="22"/>
        <v>0</v>
      </c>
      <c r="CA16" s="455">
        <f t="shared" si="23"/>
        <v>0</v>
      </c>
      <c r="CD16" s="455">
        <f t="shared" si="24"/>
        <v>0</v>
      </c>
      <c r="CG16" s="455">
        <f t="shared" si="25"/>
        <v>0</v>
      </c>
      <c r="CJ16" s="455">
        <f t="shared" si="26"/>
        <v>0</v>
      </c>
      <c r="CM16" s="455">
        <f t="shared" si="27"/>
        <v>0</v>
      </c>
      <c r="CP16" s="455">
        <f t="shared" si="28"/>
        <v>0</v>
      </c>
      <c r="CS16" s="455">
        <f t="shared" si="29"/>
        <v>0</v>
      </c>
      <c r="CV16" s="455">
        <f t="shared" si="30"/>
        <v>0</v>
      </c>
      <c r="CY16" s="455">
        <f t="shared" si="31"/>
        <v>0</v>
      </c>
      <c r="DB16" s="455">
        <f t="shared" si="32"/>
        <v>0</v>
      </c>
      <c r="DE16" s="455">
        <f t="shared" si="33"/>
        <v>0</v>
      </c>
      <c r="DH16" s="455">
        <f t="shared" si="34"/>
        <v>0</v>
      </c>
      <c r="DK16" s="455">
        <f t="shared" si="35"/>
        <v>0</v>
      </c>
      <c r="DN16" s="455">
        <f t="shared" si="36"/>
        <v>0</v>
      </c>
      <c r="DQ16" s="455">
        <f t="shared" si="37"/>
        <v>0</v>
      </c>
      <c r="DT16" s="455">
        <f t="shared" si="38"/>
        <v>0</v>
      </c>
      <c r="DW16" s="455">
        <f t="shared" si="39"/>
        <v>0</v>
      </c>
      <c r="DZ16" s="455"/>
      <c r="EA16" s="455"/>
      <c r="EB16" s="274">
        <f t="shared" si="40"/>
        <v>87850000</v>
      </c>
      <c r="EC16" s="274">
        <f t="shared" si="41"/>
        <v>0</v>
      </c>
      <c r="ED16" s="455">
        <f t="shared" si="42"/>
        <v>6466.7361111111113</v>
      </c>
      <c r="EE16" s="456">
        <f t="shared" si="43"/>
        <v>2.6499999999999999E-2</v>
      </c>
      <c r="EG16" s="274">
        <f t="shared" si="44"/>
        <v>0</v>
      </c>
      <c r="EH16" s="455">
        <f t="shared" si="45"/>
        <v>0</v>
      </c>
      <c r="EI16" s="456">
        <f t="shared" si="46"/>
        <v>0</v>
      </c>
      <c r="EJ16" s="456"/>
      <c r="EK16" s="274">
        <f t="shared" si="47"/>
        <v>87850000</v>
      </c>
      <c r="EL16" s="274">
        <f t="shared" si="48"/>
        <v>0</v>
      </c>
      <c r="EM16" s="274">
        <f t="shared" si="49"/>
        <v>6466.7361111111113</v>
      </c>
      <c r="EN16" s="456">
        <f t="shared" si="50"/>
        <v>2.6499999999999999E-2</v>
      </c>
    </row>
    <row r="17" spans="1:144">
      <c r="A17" s="474">
        <f t="shared" si="51"/>
        <v>43592</v>
      </c>
      <c r="B17" s="455">
        <v>0</v>
      </c>
      <c r="C17" s="456">
        <v>2.7643559999999998E-2</v>
      </c>
      <c r="D17" s="455">
        <f t="shared" si="0"/>
        <v>0</v>
      </c>
      <c r="G17" s="455">
        <f t="shared" si="1"/>
        <v>0</v>
      </c>
      <c r="J17" s="455">
        <f t="shared" si="2"/>
        <v>0</v>
      </c>
      <c r="M17" s="455">
        <f t="shared" si="3"/>
        <v>0</v>
      </c>
      <c r="P17" s="455">
        <f t="shared" si="4"/>
        <v>0</v>
      </c>
      <c r="S17" s="455">
        <f t="shared" si="5"/>
        <v>0</v>
      </c>
      <c r="V17" s="455">
        <f t="shared" si="6"/>
        <v>0</v>
      </c>
      <c r="Y17" s="455">
        <f t="shared" si="7"/>
        <v>0</v>
      </c>
      <c r="AB17" s="455">
        <f t="shared" si="8"/>
        <v>0</v>
      </c>
      <c r="AE17" s="455">
        <v>0</v>
      </c>
      <c r="AH17" s="455">
        <v>0</v>
      </c>
      <c r="AI17" s="475">
        <f>60425000</f>
        <v>60425000</v>
      </c>
      <c r="AJ17" s="476">
        <v>2.6499999999999999E-2</v>
      </c>
      <c r="AK17" s="455">
        <f t="shared" si="9"/>
        <v>4447.9513888888887</v>
      </c>
      <c r="AL17" s="475">
        <f t="shared" ref="AL17:AL41" si="52">25000000</f>
        <v>25000000</v>
      </c>
      <c r="AM17" s="476">
        <v>2.75E-2</v>
      </c>
      <c r="AN17" s="455">
        <f t="shared" si="10"/>
        <v>1909.7222222222222</v>
      </c>
      <c r="AO17" s="475"/>
      <c r="AP17" s="476"/>
      <c r="AQ17" s="455">
        <f t="shared" si="11"/>
        <v>0</v>
      </c>
      <c r="AT17" s="455">
        <f t="shared" si="12"/>
        <v>0</v>
      </c>
      <c r="AW17" s="455">
        <f t="shared" si="13"/>
        <v>0</v>
      </c>
      <c r="AZ17" s="455">
        <f t="shared" si="14"/>
        <v>0</v>
      </c>
      <c r="BC17" s="455">
        <f t="shared" si="15"/>
        <v>0</v>
      </c>
      <c r="BF17" s="455">
        <f t="shared" si="16"/>
        <v>0</v>
      </c>
      <c r="BI17" s="455">
        <f t="shared" si="17"/>
        <v>0</v>
      </c>
      <c r="BL17" s="455">
        <f t="shared" si="18"/>
        <v>0</v>
      </c>
      <c r="BO17" s="455">
        <f t="shared" si="19"/>
        <v>0</v>
      </c>
      <c r="BR17" s="455">
        <f t="shared" si="20"/>
        <v>0</v>
      </c>
      <c r="BU17" s="455">
        <f t="shared" si="21"/>
        <v>0</v>
      </c>
      <c r="BX17" s="455">
        <f t="shared" si="22"/>
        <v>0</v>
      </c>
      <c r="CA17" s="455">
        <f t="shared" si="23"/>
        <v>0</v>
      </c>
      <c r="CD17" s="455">
        <f t="shared" si="24"/>
        <v>0</v>
      </c>
      <c r="CG17" s="455">
        <f t="shared" si="25"/>
        <v>0</v>
      </c>
      <c r="CJ17" s="455">
        <f t="shared" si="26"/>
        <v>0</v>
      </c>
      <c r="CM17" s="455">
        <f t="shared" si="27"/>
        <v>0</v>
      </c>
      <c r="CP17" s="455">
        <f t="shared" si="28"/>
        <v>0</v>
      </c>
      <c r="CS17" s="455">
        <f t="shared" si="29"/>
        <v>0</v>
      </c>
      <c r="CV17" s="455">
        <f t="shared" si="30"/>
        <v>0</v>
      </c>
      <c r="CY17" s="455">
        <f t="shared" si="31"/>
        <v>0</v>
      </c>
      <c r="DB17" s="455">
        <f t="shared" si="32"/>
        <v>0</v>
      </c>
      <c r="DE17" s="455">
        <f t="shared" si="33"/>
        <v>0</v>
      </c>
      <c r="DH17" s="455">
        <f t="shared" si="34"/>
        <v>0</v>
      </c>
      <c r="DK17" s="455">
        <f t="shared" si="35"/>
        <v>0</v>
      </c>
      <c r="DN17" s="455">
        <f t="shared" si="36"/>
        <v>0</v>
      </c>
      <c r="DQ17" s="455">
        <f t="shared" si="37"/>
        <v>0</v>
      </c>
      <c r="DT17" s="455">
        <f t="shared" si="38"/>
        <v>0</v>
      </c>
      <c r="DW17" s="455">
        <f t="shared" si="39"/>
        <v>0</v>
      </c>
      <c r="DZ17" s="455"/>
      <c r="EA17" s="455"/>
      <c r="EB17" s="274">
        <f t="shared" si="40"/>
        <v>85425000</v>
      </c>
      <c r="EC17" s="274">
        <f t="shared" si="41"/>
        <v>0</v>
      </c>
      <c r="ED17" s="455">
        <f t="shared" si="42"/>
        <v>6357.6736111111113</v>
      </c>
      <c r="EE17" s="456">
        <f t="shared" si="43"/>
        <v>2.6792654375182912E-2</v>
      </c>
      <c r="EG17" s="274">
        <f t="shared" si="44"/>
        <v>0</v>
      </c>
      <c r="EH17" s="455">
        <f t="shared" si="45"/>
        <v>0</v>
      </c>
      <c r="EI17" s="456">
        <f t="shared" si="46"/>
        <v>0</v>
      </c>
      <c r="EJ17" s="456"/>
      <c r="EK17" s="274">
        <f t="shared" si="47"/>
        <v>85425000</v>
      </c>
      <c r="EL17" s="274">
        <f t="shared" si="48"/>
        <v>0</v>
      </c>
      <c r="EM17" s="274">
        <f t="shared" si="49"/>
        <v>6357.6736111111113</v>
      </c>
      <c r="EN17" s="456">
        <f t="shared" si="50"/>
        <v>2.6792654375182912E-2</v>
      </c>
    </row>
    <row r="18" spans="1:144">
      <c r="A18" s="474">
        <f t="shared" si="51"/>
        <v>43593</v>
      </c>
      <c r="B18" s="455">
        <v>0</v>
      </c>
      <c r="C18" s="456">
        <v>2.742727E-2</v>
      </c>
      <c r="D18" s="455">
        <f t="shared" si="0"/>
        <v>0</v>
      </c>
      <c r="G18" s="455">
        <f t="shared" si="1"/>
        <v>0</v>
      </c>
      <c r="J18" s="455">
        <f t="shared" si="2"/>
        <v>0</v>
      </c>
      <c r="M18" s="455">
        <f t="shared" si="3"/>
        <v>0</v>
      </c>
      <c r="P18" s="455">
        <f t="shared" si="4"/>
        <v>0</v>
      </c>
      <c r="S18" s="455">
        <f t="shared" si="5"/>
        <v>0</v>
      </c>
      <c r="V18" s="455">
        <f t="shared" si="6"/>
        <v>0</v>
      </c>
      <c r="Y18" s="455">
        <f t="shared" si="7"/>
        <v>0</v>
      </c>
      <c r="AB18" s="455">
        <f t="shared" si="8"/>
        <v>0</v>
      </c>
      <c r="AE18" s="455">
        <v>0</v>
      </c>
      <c r="AH18" s="455">
        <v>0</v>
      </c>
      <c r="AI18" s="475">
        <f>52075000</f>
        <v>52075000</v>
      </c>
      <c r="AJ18" s="476">
        <v>2.6499999999999999E-2</v>
      </c>
      <c r="AK18" s="455">
        <f t="shared" si="9"/>
        <v>3833.2986111111113</v>
      </c>
      <c r="AL18" s="475">
        <f t="shared" si="52"/>
        <v>25000000</v>
      </c>
      <c r="AM18" s="476">
        <v>2.75E-2</v>
      </c>
      <c r="AN18" s="455">
        <f t="shared" si="10"/>
        <v>1909.7222222222222</v>
      </c>
      <c r="AO18" s="475"/>
      <c r="AP18" s="476"/>
      <c r="AQ18" s="455">
        <f t="shared" si="11"/>
        <v>0</v>
      </c>
      <c r="AT18" s="455">
        <f t="shared" si="12"/>
        <v>0</v>
      </c>
      <c r="AW18" s="455">
        <f t="shared" si="13"/>
        <v>0</v>
      </c>
      <c r="AZ18" s="455">
        <f t="shared" si="14"/>
        <v>0</v>
      </c>
      <c r="BC18" s="455">
        <f t="shared" si="15"/>
        <v>0</v>
      </c>
      <c r="BF18" s="455">
        <f t="shared" si="16"/>
        <v>0</v>
      </c>
      <c r="BI18" s="455">
        <f t="shared" si="17"/>
        <v>0</v>
      </c>
      <c r="BL18" s="455">
        <f t="shared" si="18"/>
        <v>0</v>
      </c>
      <c r="BO18" s="455">
        <f t="shared" si="19"/>
        <v>0</v>
      </c>
      <c r="BR18" s="455">
        <f t="shared" si="20"/>
        <v>0</v>
      </c>
      <c r="BU18" s="455">
        <f t="shared" si="21"/>
        <v>0</v>
      </c>
      <c r="BX18" s="455">
        <f t="shared" si="22"/>
        <v>0</v>
      </c>
      <c r="CA18" s="455">
        <f t="shared" si="23"/>
        <v>0</v>
      </c>
      <c r="CD18" s="455">
        <f t="shared" si="24"/>
        <v>0</v>
      </c>
      <c r="CG18" s="455">
        <f t="shared" si="25"/>
        <v>0</v>
      </c>
      <c r="CJ18" s="455">
        <f t="shared" si="26"/>
        <v>0</v>
      </c>
      <c r="CM18" s="455">
        <f t="shared" si="27"/>
        <v>0</v>
      </c>
      <c r="CP18" s="455">
        <f t="shared" si="28"/>
        <v>0</v>
      </c>
      <c r="CS18" s="455">
        <f t="shared" si="29"/>
        <v>0</v>
      </c>
      <c r="CV18" s="455">
        <f t="shared" si="30"/>
        <v>0</v>
      </c>
      <c r="CY18" s="455">
        <f t="shared" si="31"/>
        <v>0</v>
      </c>
      <c r="DB18" s="455">
        <f t="shared" si="32"/>
        <v>0</v>
      </c>
      <c r="DE18" s="455">
        <f t="shared" si="33"/>
        <v>0</v>
      </c>
      <c r="DH18" s="455">
        <f t="shared" si="34"/>
        <v>0</v>
      </c>
      <c r="DK18" s="455">
        <f t="shared" si="35"/>
        <v>0</v>
      </c>
      <c r="DN18" s="455">
        <f t="shared" si="36"/>
        <v>0</v>
      </c>
      <c r="DQ18" s="455">
        <f t="shared" si="37"/>
        <v>0</v>
      </c>
      <c r="DT18" s="455">
        <f t="shared" si="38"/>
        <v>0</v>
      </c>
      <c r="DW18" s="455">
        <f t="shared" si="39"/>
        <v>0</v>
      </c>
      <c r="DZ18" s="455"/>
      <c r="EA18" s="455"/>
      <c r="EB18" s="274">
        <f t="shared" si="40"/>
        <v>77075000</v>
      </c>
      <c r="EC18" s="274">
        <f t="shared" si="41"/>
        <v>0</v>
      </c>
      <c r="ED18" s="455">
        <f t="shared" si="42"/>
        <v>5743.0208333333339</v>
      </c>
      <c r="EE18" s="456">
        <f t="shared" si="43"/>
        <v>2.6824359390204347E-2</v>
      </c>
      <c r="EG18" s="274">
        <f t="shared" si="44"/>
        <v>0</v>
      </c>
      <c r="EH18" s="455">
        <f t="shared" si="45"/>
        <v>0</v>
      </c>
      <c r="EI18" s="456">
        <f t="shared" si="46"/>
        <v>0</v>
      </c>
      <c r="EJ18" s="456"/>
      <c r="EK18" s="274">
        <f t="shared" si="47"/>
        <v>77075000</v>
      </c>
      <c r="EL18" s="274">
        <f t="shared" si="48"/>
        <v>0</v>
      </c>
      <c r="EM18" s="274">
        <f t="shared" si="49"/>
        <v>5743.0208333333339</v>
      </c>
      <c r="EN18" s="456">
        <f t="shared" si="50"/>
        <v>2.6824359390204347E-2</v>
      </c>
    </row>
    <row r="19" spans="1:144">
      <c r="A19" s="474">
        <f t="shared" si="51"/>
        <v>43594</v>
      </c>
      <c r="B19" s="455">
        <v>0</v>
      </c>
      <c r="C19" s="456">
        <v>2.7411819999999996E-2</v>
      </c>
      <c r="D19" s="455">
        <f t="shared" si="0"/>
        <v>0</v>
      </c>
      <c r="G19" s="455">
        <f t="shared" si="1"/>
        <v>0</v>
      </c>
      <c r="J19" s="455">
        <f t="shared" si="2"/>
        <v>0</v>
      </c>
      <c r="M19" s="455">
        <f t="shared" si="3"/>
        <v>0</v>
      </c>
      <c r="P19" s="455">
        <f t="shared" si="4"/>
        <v>0</v>
      </c>
      <c r="S19" s="455">
        <f t="shared" si="5"/>
        <v>0</v>
      </c>
      <c r="V19" s="455">
        <f t="shared" si="6"/>
        <v>0</v>
      </c>
      <c r="Y19" s="455">
        <f t="shared" si="7"/>
        <v>0</v>
      </c>
      <c r="AB19" s="455">
        <f t="shared" si="8"/>
        <v>0</v>
      </c>
      <c r="AE19" s="455">
        <v>0</v>
      </c>
      <c r="AH19" s="455">
        <v>0</v>
      </c>
      <c r="AI19" s="475">
        <f>49725000</f>
        <v>49725000</v>
      </c>
      <c r="AJ19" s="476">
        <v>2.6499999999999999E-2</v>
      </c>
      <c r="AK19" s="455">
        <f t="shared" si="9"/>
        <v>3660.3125</v>
      </c>
      <c r="AL19" s="475">
        <f t="shared" si="52"/>
        <v>25000000</v>
      </c>
      <c r="AM19" s="476">
        <v>2.75E-2</v>
      </c>
      <c r="AN19" s="455">
        <f t="shared" si="10"/>
        <v>1909.7222222222222</v>
      </c>
      <c r="AO19" s="475"/>
      <c r="AP19" s="476"/>
      <c r="AQ19" s="455">
        <f t="shared" si="11"/>
        <v>0</v>
      </c>
      <c r="AT19" s="455">
        <f t="shared" si="12"/>
        <v>0</v>
      </c>
      <c r="AW19" s="455">
        <f t="shared" si="13"/>
        <v>0</v>
      </c>
      <c r="AZ19" s="455">
        <f t="shared" si="14"/>
        <v>0</v>
      </c>
      <c r="BC19" s="455">
        <f t="shared" si="15"/>
        <v>0</v>
      </c>
      <c r="BF19" s="455">
        <f t="shared" si="16"/>
        <v>0</v>
      </c>
      <c r="BI19" s="455">
        <f t="shared" si="17"/>
        <v>0</v>
      </c>
      <c r="BL19" s="455">
        <f t="shared" si="18"/>
        <v>0</v>
      </c>
      <c r="BO19" s="455">
        <f t="shared" si="19"/>
        <v>0</v>
      </c>
      <c r="BR19" s="455">
        <f t="shared" si="20"/>
        <v>0</v>
      </c>
      <c r="BU19" s="455">
        <f t="shared" si="21"/>
        <v>0</v>
      </c>
      <c r="BX19" s="455">
        <f t="shared" si="22"/>
        <v>0</v>
      </c>
      <c r="CA19" s="455">
        <f t="shared" si="23"/>
        <v>0</v>
      </c>
      <c r="CD19" s="455">
        <f t="shared" si="24"/>
        <v>0</v>
      </c>
      <c r="CG19" s="455">
        <f t="shared" si="25"/>
        <v>0</v>
      </c>
      <c r="CJ19" s="455">
        <f t="shared" si="26"/>
        <v>0</v>
      </c>
      <c r="CM19" s="455">
        <f t="shared" si="27"/>
        <v>0</v>
      </c>
      <c r="CP19" s="455">
        <f t="shared" si="28"/>
        <v>0</v>
      </c>
      <c r="CS19" s="455">
        <f t="shared" si="29"/>
        <v>0</v>
      </c>
      <c r="CV19" s="455">
        <f t="shared" si="30"/>
        <v>0</v>
      </c>
      <c r="CY19" s="455">
        <f t="shared" si="31"/>
        <v>0</v>
      </c>
      <c r="DB19" s="455">
        <f t="shared" si="32"/>
        <v>0</v>
      </c>
      <c r="DE19" s="455">
        <f t="shared" si="33"/>
        <v>0</v>
      </c>
      <c r="DH19" s="455">
        <f t="shared" si="34"/>
        <v>0</v>
      </c>
      <c r="DK19" s="455">
        <f t="shared" si="35"/>
        <v>0</v>
      </c>
      <c r="DN19" s="455">
        <f t="shared" si="36"/>
        <v>0</v>
      </c>
      <c r="DQ19" s="455">
        <f t="shared" si="37"/>
        <v>0</v>
      </c>
      <c r="DT19" s="455">
        <f t="shared" si="38"/>
        <v>0</v>
      </c>
      <c r="DW19" s="455">
        <f t="shared" si="39"/>
        <v>0</v>
      </c>
      <c r="DZ19" s="455"/>
      <c r="EA19" s="455"/>
      <c r="EB19" s="274">
        <f t="shared" si="40"/>
        <v>74725000</v>
      </c>
      <c r="EC19" s="274">
        <f t="shared" si="41"/>
        <v>0</v>
      </c>
      <c r="ED19" s="455">
        <f t="shared" si="42"/>
        <v>5570.0347222222226</v>
      </c>
      <c r="EE19" s="456">
        <f t="shared" si="43"/>
        <v>2.6834560053529612E-2</v>
      </c>
      <c r="EG19" s="274">
        <f t="shared" si="44"/>
        <v>0</v>
      </c>
      <c r="EH19" s="455">
        <f t="shared" si="45"/>
        <v>0</v>
      </c>
      <c r="EI19" s="456">
        <f t="shared" si="46"/>
        <v>0</v>
      </c>
      <c r="EJ19" s="456"/>
      <c r="EK19" s="274">
        <f t="shared" si="47"/>
        <v>74725000</v>
      </c>
      <c r="EL19" s="274">
        <f t="shared" si="48"/>
        <v>0</v>
      </c>
      <c r="EM19" s="274">
        <f t="shared" si="49"/>
        <v>5570.0347222222226</v>
      </c>
      <c r="EN19" s="456">
        <f t="shared" si="50"/>
        <v>2.6834560053529612E-2</v>
      </c>
    </row>
    <row r="20" spans="1:144">
      <c r="A20" s="474">
        <f t="shared" si="51"/>
        <v>43595</v>
      </c>
      <c r="B20" s="455">
        <v>0</v>
      </c>
      <c r="C20" s="456">
        <v>2.7413199999999999E-2</v>
      </c>
      <c r="D20" s="455">
        <f t="shared" si="0"/>
        <v>0</v>
      </c>
      <c r="G20" s="455">
        <f t="shared" si="1"/>
        <v>0</v>
      </c>
      <c r="J20" s="455">
        <f t="shared" si="2"/>
        <v>0</v>
      </c>
      <c r="M20" s="455">
        <f t="shared" si="3"/>
        <v>0</v>
      </c>
      <c r="P20" s="455">
        <f t="shared" si="4"/>
        <v>0</v>
      </c>
      <c r="S20" s="455">
        <f t="shared" si="5"/>
        <v>0</v>
      </c>
      <c r="V20" s="455">
        <f t="shared" si="6"/>
        <v>0</v>
      </c>
      <c r="Y20" s="455">
        <f t="shared" si="7"/>
        <v>0</v>
      </c>
      <c r="AB20" s="455">
        <f t="shared" si="8"/>
        <v>0</v>
      </c>
      <c r="AE20" s="455">
        <v>0</v>
      </c>
      <c r="AH20" s="455">
        <v>0</v>
      </c>
      <c r="AI20" s="475">
        <f>54325000</f>
        <v>54325000</v>
      </c>
      <c r="AJ20" s="476">
        <v>2.6499999999999999E-2</v>
      </c>
      <c r="AK20" s="455">
        <f t="shared" si="9"/>
        <v>3998.9236111111113</v>
      </c>
      <c r="AL20" s="475">
        <f t="shared" si="52"/>
        <v>25000000</v>
      </c>
      <c r="AM20" s="476">
        <v>2.75E-2</v>
      </c>
      <c r="AN20" s="455">
        <f t="shared" si="10"/>
        <v>1909.7222222222222</v>
      </c>
      <c r="AO20" s="475"/>
      <c r="AP20" s="476"/>
      <c r="AQ20" s="455">
        <f t="shared" si="11"/>
        <v>0</v>
      </c>
      <c r="AT20" s="455">
        <f t="shared" si="12"/>
        <v>0</v>
      </c>
      <c r="AW20" s="455">
        <f t="shared" si="13"/>
        <v>0</v>
      </c>
      <c r="AZ20" s="455">
        <f t="shared" si="14"/>
        <v>0</v>
      </c>
      <c r="BC20" s="455">
        <f t="shared" si="15"/>
        <v>0</v>
      </c>
      <c r="BF20" s="455">
        <f t="shared" si="16"/>
        <v>0</v>
      </c>
      <c r="BI20" s="455">
        <f t="shared" si="17"/>
        <v>0</v>
      </c>
      <c r="BL20" s="455">
        <f t="shared" si="18"/>
        <v>0</v>
      </c>
      <c r="BO20" s="455">
        <f t="shared" si="19"/>
        <v>0</v>
      </c>
      <c r="BR20" s="455">
        <f t="shared" si="20"/>
        <v>0</v>
      </c>
      <c r="BU20" s="455">
        <f t="shared" si="21"/>
        <v>0</v>
      </c>
      <c r="BX20" s="455">
        <f t="shared" si="22"/>
        <v>0</v>
      </c>
      <c r="CA20" s="455">
        <f t="shared" si="23"/>
        <v>0</v>
      </c>
      <c r="CD20" s="455">
        <f t="shared" si="24"/>
        <v>0</v>
      </c>
      <c r="CG20" s="455">
        <f t="shared" si="25"/>
        <v>0</v>
      </c>
      <c r="CJ20" s="455">
        <f t="shared" si="26"/>
        <v>0</v>
      </c>
      <c r="CM20" s="455">
        <f t="shared" si="27"/>
        <v>0</v>
      </c>
      <c r="CP20" s="455">
        <f t="shared" si="28"/>
        <v>0</v>
      </c>
      <c r="CS20" s="455">
        <f t="shared" si="29"/>
        <v>0</v>
      </c>
      <c r="CV20" s="455">
        <f t="shared" si="30"/>
        <v>0</v>
      </c>
      <c r="CY20" s="455">
        <f t="shared" si="31"/>
        <v>0</v>
      </c>
      <c r="DB20" s="455">
        <f t="shared" si="32"/>
        <v>0</v>
      </c>
      <c r="DE20" s="455">
        <f t="shared" si="33"/>
        <v>0</v>
      </c>
      <c r="DH20" s="455">
        <f t="shared" si="34"/>
        <v>0</v>
      </c>
      <c r="DK20" s="455">
        <f t="shared" si="35"/>
        <v>0</v>
      </c>
      <c r="DN20" s="455">
        <f t="shared" si="36"/>
        <v>0</v>
      </c>
      <c r="DQ20" s="455">
        <f t="shared" si="37"/>
        <v>0</v>
      </c>
      <c r="DT20" s="455">
        <f t="shared" si="38"/>
        <v>0</v>
      </c>
      <c r="DW20" s="455">
        <f t="shared" si="39"/>
        <v>0</v>
      </c>
      <c r="DZ20" s="455"/>
      <c r="EA20" s="455"/>
      <c r="EB20" s="274">
        <f t="shared" si="40"/>
        <v>79325000</v>
      </c>
      <c r="EC20" s="274">
        <f t="shared" si="41"/>
        <v>0</v>
      </c>
      <c r="ED20" s="455">
        <f t="shared" si="42"/>
        <v>5908.6458333333339</v>
      </c>
      <c r="EE20" s="456">
        <f t="shared" si="43"/>
        <v>2.6815159155373469E-2</v>
      </c>
      <c r="EG20" s="274">
        <f t="shared" si="44"/>
        <v>0</v>
      </c>
      <c r="EH20" s="455">
        <f t="shared" si="45"/>
        <v>0</v>
      </c>
      <c r="EI20" s="456">
        <f t="shared" si="46"/>
        <v>0</v>
      </c>
      <c r="EJ20" s="456"/>
      <c r="EK20" s="274">
        <f t="shared" si="47"/>
        <v>79325000</v>
      </c>
      <c r="EL20" s="274">
        <f t="shared" si="48"/>
        <v>0</v>
      </c>
      <c r="EM20" s="274">
        <f t="shared" si="49"/>
        <v>5908.6458333333339</v>
      </c>
      <c r="EN20" s="456">
        <f t="shared" si="50"/>
        <v>2.6815159155373469E-2</v>
      </c>
    </row>
    <row r="21" spans="1:144">
      <c r="A21" s="474">
        <f t="shared" si="51"/>
        <v>43596</v>
      </c>
      <c r="B21" s="455">
        <v>0</v>
      </c>
      <c r="C21" s="456">
        <v>2.7413199999999999E-2</v>
      </c>
      <c r="D21" s="455">
        <f t="shared" si="0"/>
        <v>0</v>
      </c>
      <c r="G21" s="455">
        <f t="shared" si="1"/>
        <v>0</v>
      </c>
      <c r="J21" s="455">
        <f t="shared" si="2"/>
        <v>0</v>
      </c>
      <c r="M21" s="455">
        <f t="shared" si="3"/>
        <v>0</v>
      </c>
      <c r="P21" s="455">
        <f t="shared" si="4"/>
        <v>0</v>
      </c>
      <c r="S21" s="455">
        <f t="shared" si="5"/>
        <v>0</v>
      </c>
      <c r="V21" s="455">
        <f t="shared" si="6"/>
        <v>0</v>
      </c>
      <c r="Y21" s="455">
        <f t="shared" si="7"/>
        <v>0</v>
      </c>
      <c r="AB21" s="455">
        <f t="shared" si="8"/>
        <v>0</v>
      </c>
      <c r="AE21" s="455">
        <v>0</v>
      </c>
      <c r="AH21" s="455">
        <v>0</v>
      </c>
      <c r="AI21" s="475">
        <f>54325000</f>
        <v>54325000</v>
      </c>
      <c r="AJ21" s="476">
        <v>2.6499999999999999E-2</v>
      </c>
      <c r="AK21" s="455">
        <f t="shared" si="9"/>
        <v>3998.9236111111113</v>
      </c>
      <c r="AL21" s="475">
        <f t="shared" si="52"/>
        <v>25000000</v>
      </c>
      <c r="AM21" s="476">
        <v>2.75E-2</v>
      </c>
      <c r="AN21" s="455">
        <f t="shared" si="10"/>
        <v>1909.7222222222222</v>
      </c>
      <c r="AO21" s="475"/>
      <c r="AP21" s="476"/>
      <c r="AQ21" s="455">
        <f t="shared" si="11"/>
        <v>0</v>
      </c>
      <c r="AT21" s="455">
        <f t="shared" si="12"/>
        <v>0</v>
      </c>
      <c r="AW21" s="455">
        <f t="shared" si="13"/>
        <v>0</v>
      </c>
      <c r="AZ21" s="455">
        <f t="shared" si="14"/>
        <v>0</v>
      </c>
      <c r="BC21" s="455">
        <f t="shared" si="15"/>
        <v>0</v>
      </c>
      <c r="BF21" s="455">
        <f t="shared" si="16"/>
        <v>0</v>
      </c>
      <c r="BI21" s="455">
        <f t="shared" si="17"/>
        <v>0</v>
      </c>
      <c r="BL21" s="455">
        <f t="shared" si="18"/>
        <v>0</v>
      </c>
      <c r="BO21" s="455">
        <f t="shared" si="19"/>
        <v>0</v>
      </c>
      <c r="BR21" s="455">
        <f t="shared" si="20"/>
        <v>0</v>
      </c>
      <c r="BU21" s="455">
        <f t="shared" si="21"/>
        <v>0</v>
      </c>
      <c r="BX21" s="455">
        <f t="shared" si="22"/>
        <v>0</v>
      </c>
      <c r="CA21" s="455">
        <f t="shared" si="23"/>
        <v>0</v>
      </c>
      <c r="CD21" s="455">
        <f t="shared" si="24"/>
        <v>0</v>
      </c>
      <c r="CG21" s="455">
        <f t="shared" si="25"/>
        <v>0</v>
      </c>
      <c r="CJ21" s="455">
        <f t="shared" si="26"/>
        <v>0</v>
      </c>
      <c r="CM21" s="455">
        <f t="shared" si="27"/>
        <v>0</v>
      </c>
      <c r="CP21" s="455">
        <f t="shared" si="28"/>
        <v>0</v>
      </c>
      <c r="CS21" s="455">
        <f t="shared" si="29"/>
        <v>0</v>
      </c>
      <c r="CV21" s="455">
        <f t="shared" si="30"/>
        <v>0</v>
      </c>
      <c r="CY21" s="455">
        <f t="shared" si="31"/>
        <v>0</v>
      </c>
      <c r="DB21" s="455">
        <f t="shared" si="32"/>
        <v>0</v>
      </c>
      <c r="DE21" s="455">
        <f t="shared" si="33"/>
        <v>0</v>
      </c>
      <c r="DH21" s="455">
        <f t="shared" si="34"/>
        <v>0</v>
      </c>
      <c r="DK21" s="455">
        <f t="shared" si="35"/>
        <v>0</v>
      </c>
      <c r="DN21" s="455">
        <f t="shared" si="36"/>
        <v>0</v>
      </c>
      <c r="DQ21" s="455">
        <f t="shared" si="37"/>
        <v>0</v>
      </c>
      <c r="DT21" s="455">
        <f t="shared" si="38"/>
        <v>0</v>
      </c>
      <c r="DW21" s="455">
        <f t="shared" si="39"/>
        <v>0</v>
      </c>
      <c r="DZ21" s="455"/>
      <c r="EA21" s="455"/>
      <c r="EB21" s="274">
        <f t="shared" si="40"/>
        <v>79325000</v>
      </c>
      <c r="EC21" s="274">
        <f t="shared" si="41"/>
        <v>0</v>
      </c>
      <c r="ED21" s="455">
        <f t="shared" si="42"/>
        <v>5908.6458333333339</v>
      </c>
      <c r="EE21" s="456">
        <f t="shared" si="43"/>
        <v>2.6815159155373469E-2</v>
      </c>
      <c r="EG21" s="274">
        <f t="shared" si="44"/>
        <v>0</v>
      </c>
      <c r="EH21" s="455">
        <f t="shared" si="45"/>
        <v>0</v>
      </c>
      <c r="EI21" s="456">
        <f t="shared" si="46"/>
        <v>0</v>
      </c>
      <c r="EJ21" s="456"/>
      <c r="EK21" s="274">
        <f t="shared" si="47"/>
        <v>79325000</v>
      </c>
      <c r="EL21" s="274">
        <f t="shared" si="48"/>
        <v>0</v>
      </c>
      <c r="EM21" s="274">
        <f t="shared" si="49"/>
        <v>5908.6458333333339</v>
      </c>
      <c r="EN21" s="456">
        <f t="shared" si="50"/>
        <v>2.6815159155373469E-2</v>
      </c>
    </row>
    <row r="22" spans="1:144">
      <c r="A22" s="474">
        <f t="shared" si="51"/>
        <v>43597</v>
      </c>
      <c r="B22" s="455">
        <v>0</v>
      </c>
      <c r="C22" s="456">
        <v>2.7413199999999999E-2</v>
      </c>
      <c r="D22" s="455">
        <f t="shared" si="0"/>
        <v>0</v>
      </c>
      <c r="G22" s="455">
        <f t="shared" si="1"/>
        <v>0</v>
      </c>
      <c r="J22" s="455">
        <f t="shared" si="2"/>
        <v>0</v>
      </c>
      <c r="M22" s="455">
        <f t="shared" si="3"/>
        <v>0</v>
      </c>
      <c r="P22" s="455">
        <f t="shared" si="4"/>
        <v>0</v>
      </c>
      <c r="S22" s="455">
        <f t="shared" si="5"/>
        <v>0</v>
      </c>
      <c r="V22" s="455">
        <f t="shared" si="6"/>
        <v>0</v>
      </c>
      <c r="Y22" s="455">
        <f t="shared" si="7"/>
        <v>0</v>
      </c>
      <c r="AB22" s="455">
        <f t="shared" si="8"/>
        <v>0</v>
      </c>
      <c r="AE22" s="455">
        <v>0</v>
      </c>
      <c r="AH22" s="455">
        <v>0</v>
      </c>
      <c r="AI22" s="475">
        <f>54325000</f>
        <v>54325000</v>
      </c>
      <c r="AJ22" s="476">
        <v>2.6499999999999999E-2</v>
      </c>
      <c r="AK22" s="455">
        <f t="shared" si="9"/>
        <v>3998.9236111111113</v>
      </c>
      <c r="AL22" s="475">
        <f t="shared" si="52"/>
        <v>25000000</v>
      </c>
      <c r="AM22" s="476">
        <v>2.75E-2</v>
      </c>
      <c r="AN22" s="455">
        <f t="shared" si="10"/>
        <v>1909.7222222222222</v>
      </c>
      <c r="AO22" s="475"/>
      <c r="AP22" s="476"/>
      <c r="AQ22" s="455">
        <f t="shared" si="11"/>
        <v>0</v>
      </c>
      <c r="AT22" s="455">
        <f t="shared" si="12"/>
        <v>0</v>
      </c>
      <c r="AW22" s="455">
        <f t="shared" si="13"/>
        <v>0</v>
      </c>
      <c r="AZ22" s="455">
        <f t="shared" si="14"/>
        <v>0</v>
      </c>
      <c r="BC22" s="455">
        <f t="shared" si="15"/>
        <v>0</v>
      </c>
      <c r="BF22" s="455">
        <f t="shared" si="16"/>
        <v>0</v>
      </c>
      <c r="BI22" s="455">
        <f t="shared" si="17"/>
        <v>0</v>
      </c>
      <c r="BL22" s="455">
        <f t="shared" si="18"/>
        <v>0</v>
      </c>
      <c r="BO22" s="455">
        <f t="shared" si="19"/>
        <v>0</v>
      </c>
      <c r="BR22" s="455">
        <f t="shared" si="20"/>
        <v>0</v>
      </c>
      <c r="BU22" s="455">
        <f t="shared" si="21"/>
        <v>0</v>
      </c>
      <c r="BX22" s="455">
        <f t="shared" si="22"/>
        <v>0</v>
      </c>
      <c r="CA22" s="455">
        <f t="shared" si="23"/>
        <v>0</v>
      </c>
      <c r="CD22" s="455">
        <f t="shared" si="24"/>
        <v>0</v>
      </c>
      <c r="CG22" s="455">
        <f t="shared" si="25"/>
        <v>0</v>
      </c>
      <c r="CJ22" s="455">
        <f t="shared" si="26"/>
        <v>0</v>
      </c>
      <c r="CM22" s="455">
        <f t="shared" si="27"/>
        <v>0</v>
      </c>
      <c r="CP22" s="455">
        <f t="shared" si="28"/>
        <v>0</v>
      </c>
      <c r="CS22" s="455">
        <f t="shared" si="29"/>
        <v>0</v>
      </c>
      <c r="CV22" s="455">
        <f t="shared" si="30"/>
        <v>0</v>
      </c>
      <c r="CY22" s="455">
        <f t="shared" si="31"/>
        <v>0</v>
      </c>
      <c r="DB22" s="455">
        <f t="shared" si="32"/>
        <v>0</v>
      </c>
      <c r="DE22" s="455">
        <f t="shared" si="33"/>
        <v>0</v>
      </c>
      <c r="DH22" s="455">
        <f t="shared" si="34"/>
        <v>0</v>
      </c>
      <c r="DK22" s="455">
        <f t="shared" si="35"/>
        <v>0</v>
      </c>
      <c r="DN22" s="455">
        <f t="shared" si="36"/>
        <v>0</v>
      </c>
      <c r="DQ22" s="455">
        <f t="shared" si="37"/>
        <v>0</v>
      </c>
      <c r="DT22" s="455">
        <f t="shared" si="38"/>
        <v>0</v>
      </c>
      <c r="DW22" s="455">
        <f t="shared" si="39"/>
        <v>0</v>
      </c>
      <c r="DZ22" s="455"/>
      <c r="EA22" s="455"/>
      <c r="EB22" s="274">
        <f t="shared" si="40"/>
        <v>79325000</v>
      </c>
      <c r="EC22" s="274">
        <f t="shared" si="41"/>
        <v>0</v>
      </c>
      <c r="ED22" s="455">
        <f t="shared" si="42"/>
        <v>5908.6458333333339</v>
      </c>
      <c r="EE22" s="456">
        <f t="shared" si="43"/>
        <v>2.6815159155373469E-2</v>
      </c>
      <c r="EG22" s="274">
        <f t="shared" si="44"/>
        <v>0</v>
      </c>
      <c r="EH22" s="455">
        <f t="shared" si="45"/>
        <v>0</v>
      </c>
      <c r="EI22" s="456">
        <f t="shared" si="46"/>
        <v>0</v>
      </c>
      <c r="EJ22" s="456"/>
      <c r="EK22" s="274">
        <f t="shared" si="47"/>
        <v>79325000</v>
      </c>
      <c r="EL22" s="274">
        <f t="shared" si="48"/>
        <v>0</v>
      </c>
      <c r="EM22" s="274">
        <f t="shared" si="49"/>
        <v>5908.6458333333339</v>
      </c>
      <c r="EN22" s="456">
        <f t="shared" si="50"/>
        <v>2.6815159155373469E-2</v>
      </c>
    </row>
    <row r="23" spans="1:144">
      <c r="A23" s="474">
        <f t="shared" si="51"/>
        <v>43598</v>
      </c>
      <c r="B23" s="455">
        <v>0</v>
      </c>
      <c r="C23" s="456">
        <v>2.7406340000000001E-2</v>
      </c>
      <c r="D23" s="455">
        <f t="shared" si="0"/>
        <v>0</v>
      </c>
      <c r="G23" s="455">
        <f t="shared" si="1"/>
        <v>0</v>
      </c>
      <c r="J23" s="455">
        <f t="shared" si="2"/>
        <v>0</v>
      </c>
      <c r="M23" s="455">
        <f t="shared" si="3"/>
        <v>0</v>
      </c>
      <c r="P23" s="455">
        <f t="shared" si="4"/>
        <v>0</v>
      </c>
      <c r="S23" s="455">
        <f t="shared" si="5"/>
        <v>0</v>
      </c>
      <c r="V23" s="455">
        <f t="shared" si="6"/>
        <v>0</v>
      </c>
      <c r="Y23" s="455">
        <f t="shared" si="7"/>
        <v>0</v>
      </c>
      <c r="AB23" s="455">
        <f t="shared" si="8"/>
        <v>0</v>
      </c>
      <c r="AE23" s="455">
        <v>0</v>
      </c>
      <c r="AH23" s="455">
        <v>0</v>
      </c>
      <c r="AI23" s="475">
        <f>64325000</f>
        <v>64325000</v>
      </c>
      <c r="AJ23" s="476">
        <v>2.6499999999999999E-2</v>
      </c>
      <c r="AK23" s="455">
        <f t="shared" si="9"/>
        <v>4735.0347222222226</v>
      </c>
      <c r="AL23" s="475">
        <f t="shared" si="52"/>
        <v>25000000</v>
      </c>
      <c r="AM23" s="476">
        <v>2.75E-2</v>
      </c>
      <c r="AN23" s="455">
        <f t="shared" si="10"/>
        <v>1909.7222222222222</v>
      </c>
      <c r="AO23" s="475"/>
      <c r="AP23" s="476"/>
      <c r="AQ23" s="455">
        <f t="shared" si="11"/>
        <v>0</v>
      </c>
      <c r="AT23" s="455">
        <f t="shared" si="12"/>
        <v>0</v>
      </c>
      <c r="AW23" s="455">
        <f t="shared" si="13"/>
        <v>0</v>
      </c>
      <c r="AZ23" s="455">
        <f t="shared" si="14"/>
        <v>0</v>
      </c>
      <c r="BC23" s="455">
        <f t="shared" si="15"/>
        <v>0</v>
      </c>
      <c r="BF23" s="455">
        <f t="shared" si="16"/>
        <v>0</v>
      </c>
      <c r="BI23" s="455">
        <f t="shared" si="17"/>
        <v>0</v>
      </c>
      <c r="BL23" s="455">
        <f t="shared" si="18"/>
        <v>0</v>
      </c>
      <c r="BO23" s="455">
        <f t="shared" si="19"/>
        <v>0</v>
      </c>
      <c r="BR23" s="455">
        <f t="shared" si="20"/>
        <v>0</v>
      </c>
      <c r="BU23" s="455">
        <f t="shared" si="21"/>
        <v>0</v>
      </c>
      <c r="BX23" s="455">
        <f t="shared" si="22"/>
        <v>0</v>
      </c>
      <c r="CA23" s="455">
        <f t="shared" si="23"/>
        <v>0</v>
      </c>
      <c r="CD23" s="455">
        <f t="shared" si="24"/>
        <v>0</v>
      </c>
      <c r="CG23" s="455">
        <f t="shared" si="25"/>
        <v>0</v>
      </c>
      <c r="CJ23" s="455">
        <f t="shared" si="26"/>
        <v>0</v>
      </c>
      <c r="CM23" s="455">
        <f t="shared" si="27"/>
        <v>0</v>
      </c>
      <c r="CP23" s="455">
        <f t="shared" si="28"/>
        <v>0</v>
      </c>
      <c r="CS23" s="455">
        <f t="shared" si="29"/>
        <v>0</v>
      </c>
      <c r="CV23" s="455">
        <f t="shared" si="30"/>
        <v>0</v>
      </c>
      <c r="CY23" s="455">
        <f t="shared" si="31"/>
        <v>0</v>
      </c>
      <c r="DB23" s="455">
        <f t="shared" si="32"/>
        <v>0</v>
      </c>
      <c r="DE23" s="455">
        <f t="shared" si="33"/>
        <v>0</v>
      </c>
      <c r="DH23" s="455">
        <f t="shared" si="34"/>
        <v>0</v>
      </c>
      <c r="DK23" s="455">
        <f t="shared" si="35"/>
        <v>0</v>
      </c>
      <c r="DN23" s="455">
        <f t="shared" si="36"/>
        <v>0</v>
      </c>
      <c r="DQ23" s="455">
        <f t="shared" si="37"/>
        <v>0</v>
      </c>
      <c r="DT23" s="455">
        <f t="shared" si="38"/>
        <v>0</v>
      </c>
      <c r="DW23" s="455">
        <f t="shared" si="39"/>
        <v>0</v>
      </c>
      <c r="DZ23" s="455"/>
      <c r="EA23" s="455"/>
      <c r="EB23" s="274">
        <f t="shared" si="40"/>
        <v>89325000</v>
      </c>
      <c r="EC23" s="274">
        <f t="shared" si="41"/>
        <v>0</v>
      </c>
      <c r="ED23" s="455">
        <f t="shared" si="42"/>
        <v>6644.7569444444453</v>
      </c>
      <c r="EE23" s="456">
        <f t="shared" si="43"/>
        <v>2.6779876854184162E-2</v>
      </c>
      <c r="EG23" s="274">
        <f t="shared" si="44"/>
        <v>0</v>
      </c>
      <c r="EH23" s="455">
        <f t="shared" si="45"/>
        <v>0</v>
      </c>
      <c r="EI23" s="456">
        <f t="shared" si="46"/>
        <v>0</v>
      </c>
      <c r="EJ23" s="456"/>
      <c r="EK23" s="274">
        <f t="shared" si="47"/>
        <v>89325000</v>
      </c>
      <c r="EL23" s="274">
        <f t="shared" si="48"/>
        <v>0</v>
      </c>
      <c r="EM23" s="274">
        <f t="shared" si="49"/>
        <v>6644.7569444444453</v>
      </c>
      <c r="EN23" s="456">
        <f t="shared" si="50"/>
        <v>2.6779876854184162E-2</v>
      </c>
    </row>
    <row r="24" spans="1:144">
      <c r="A24" s="474">
        <f t="shared" si="51"/>
        <v>43599</v>
      </c>
      <c r="B24" s="455">
        <v>0</v>
      </c>
      <c r="C24" s="456">
        <v>2.7406050000000001E-2</v>
      </c>
      <c r="D24" s="455">
        <f t="shared" si="0"/>
        <v>0</v>
      </c>
      <c r="G24" s="455">
        <f t="shared" si="1"/>
        <v>0</v>
      </c>
      <c r="J24" s="455">
        <f t="shared" si="2"/>
        <v>0</v>
      </c>
      <c r="M24" s="455">
        <f t="shared" si="3"/>
        <v>0</v>
      </c>
      <c r="P24" s="455">
        <f t="shared" si="4"/>
        <v>0</v>
      </c>
      <c r="S24" s="455">
        <f t="shared" si="5"/>
        <v>0</v>
      </c>
      <c r="V24" s="455">
        <f t="shared" si="6"/>
        <v>0</v>
      </c>
      <c r="Y24" s="455">
        <f t="shared" si="7"/>
        <v>0</v>
      </c>
      <c r="AB24" s="455">
        <f t="shared" si="8"/>
        <v>0</v>
      </c>
      <c r="AE24" s="455">
        <v>0</v>
      </c>
      <c r="AH24" s="455">
        <v>0</v>
      </c>
      <c r="AI24" s="475">
        <f>65100000</f>
        <v>65100000</v>
      </c>
      <c r="AJ24" s="476">
        <v>2.6499999999999999E-2</v>
      </c>
      <c r="AK24" s="455">
        <f t="shared" si="9"/>
        <v>4792.083333333333</v>
      </c>
      <c r="AL24" s="475">
        <f t="shared" si="52"/>
        <v>25000000</v>
      </c>
      <c r="AM24" s="476">
        <v>2.75E-2</v>
      </c>
      <c r="AN24" s="455">
        <f t="shared" si="10"/>
        <v>1909.7222222222222</v>
      </c>
      <c r="AO24" s="475"/>
      <c r="AP24" s="476"/>
      <c r="AQ24" s="455">
        <f t="shared" si="11"/>
        <v>0</v>
      </c>
      <c r="AT24" s="455">
        <f t="shared" si="12"/>
        <v>0</v>
      </c>
      <c r="AW24" s="455">
        <f t="shared" si="13"/>
        <v>0</v>
      </c>
      <c r="AZ24" s="455">
        <f t="shared" si="14"/>
        <v>0</v>
      </c>
      <c r="BC24" s="455">
        <f t="shared" si="15"/>
        <v>0</v>
      </c>
      <c r="BF24" s="455">
        <f t="shared" si="16"/>
        <v>0</v>
      </c>
      <c r="BI24" s="455">
        <f t="shared" si="17"/>
        <v>0</v>
      </c>
      <c r="BL24" s="455">
        <f t="shared" si="18"/>
        <v>0</v>
      </c>
      <c r="BO24" s="455">
        <f t="shared" si="19"/>
        <v>0</v>
      </c>
      <c r="BR24" s="455">
        <f t="shared" si="20"/>
        <v>0</v>
      </c>
      <c r="BU24" s="455">
        <f t="shared" si="21"/>
        <v>0</v>
      </c>
      <c r="BX24" s="455">
        <f t="shared" si="22"/>
        <v>0</v>
      </c>
      <c r="CA24" s="455">
        <f t="shared" si="23"/>
        <v>0</v>
      </c>
      <c r="CD24" s="455">
        <f t="shared" si="24"/>
        <v>0</v>
      </c>
      <c r="CG24" s="455">
        <f t="shared" si="25"/>
        <v>0</v>
      </c>
      <c r="CJ24" s="455">
        <f t="shared" si="26"/>
        <v>0</v>
      </c>
      <c r="CM24" s="455">
        <f t="shared" si="27"/>
        <v>0</v>
      </c>
      <c r="CP24" s="455">
        <f t="shared" si="28"/>
        <v>0</v>
      </c>
      <c r="CS24" s="455">
        <f t="shared" si="29"/>
        <v>0</v>
      </c>
      <c r="CV24" s="455">
        <f t="shared" si="30"/>
        <v>0</v>
      </c>
      <c r="CY24" s="455">
        <f t="shared" si="31"/>
        <v>0</v>
      </c>
      <c r="DB24" s="455">
        <f t="shared" si="32"/>
        <v>0</v>
      </c>
      <c r="DE24" s="455">
        <f t="shared" si="33"/>
        <v>0</v>
      </c>
      <c r="DH24" s="455">
        <f t="shared" si="34"/>
        <v>0</v>
      </c>
      <c r="DK24" s="455">
        <f t="shared" si="35"/>
        <v>0</v>
      </c>
      <c r="DN24" s="455">
        <f t="shared" si="36"/>
        <v>0</v>
      </c>
      <c r="DQ24" s="455">
        <f t="shared" si="37"/>
        <v>0</v>
      </c>
      <c r="DT24" s="455">
        <f t="shared" si="38"/>
        <v>0</v>
      </c>
      <c r="DW24" s="455">
        <f t="shared" si="39"/>
        <v>0</v>
      </c>
      <c r="DZ24" s="455"/>
      <c r="EA24" s="455"/>
      <c r="EB24" s="274">
        <f t="shared" si="40"/>
        <v>90100000</v>
      </c>
      <c r="EC24" s="274">
        <f t="shared" si="41"/>
        <v>0</v>
      </c>
      <c r="ED24" s="455">
        <f t="shared" si="42"/>
        <v>6701.8055555555547</v>
      </c>
      <c r="EE24" s="456">
        <f t="shared" si="43"/>
        <v>2.6777469478357376E-2</v>
      </c>
      <c r="EG24" s="274">
        <f t="shared" si="44"/>
        <v>0</v>
      </c>
      <c r="EH24" s="455">
        <f t="shared" si="45"/>
        <v>0</v>
      </c>
      <c r="EI24" s="456">
        <f t="shared" si="46"/>
        <v>0</v>
      </c>
      <c r="EJ24" s="456"/>
      <c r="EK24" s="274">
        <f t="shared" si="47"/>
        <v>90100000</v>
      </c>
      <c r="EL24" s="274">
        <f t="shared" si="48"/>
        <v>0</v>
      </c>
      <c r="EM24" s="274">
        <f t="shared" si="49"/>
        <v>6701.8055555555547</v>
      </c>
      <c r="EN24" s="456">
        <f t="shared" si="50"/>
        <v>2.6777469478357376E-2</v>
      </c>
    </row>
    <row r="25" spans="1:144">
      <c r="A25" s="474">
        <f t="shared" si="51"/>
        <v>43600</v>
      </c>
      <c r="B25" s="455">
        <v>0</v>
      </c>
      <c r="C25" s="456">
        <v>2.74661E-2</v>
      </c>
      <c r="D25" s="455">
        <f t="shared" si="0"/>
        <v>0</v>
      </c>
      <c r="G25" s="455">
        <f t="shared" si="1"/>
        <v>0</v>
      </c>
      <c r="J25" s="455">
        <f t="shared" si="2"/>
        <v>0</v>
      </c>
      <c r="M25" s="455">
        <f t="shared" si="3"/>
        <v>0</v>
      </c>
      <c r="P25" s="455">
        <f t="shared" si="4"/>
        <v>0</v>
      </c>
      <c r="S25" s="455">
        <f t="shared" si="5"/>
        <v>0</v>
      </c>
      <c r="V25" s="455">
        <f t="shared" si="6"/>
        <v>0</v>
      </c>
      <c r="Y25" s="455">
        <f t="shared" si="7"/>
        <v>0</v>
      </c>
      <c r="AB25" s="455">
        <f t="shared" si="8"/>
        <v>0</v>
      </c>
      <c r="AE25" s="455">
        <v>0</v>
      </c>
      <c r="AH25" s="455">
        <v>0</v>
      </c>
      <c r="AI25" s="475">
        <f>65725000</f>
        <v>65725000</v>
      </c>
      <c r="AJ25" s="476">
        <v>2.6499999999999999E-2</v>
      </c>
      <c r="AK25" s="455">
        <f t="shared" si="9"/>
        <v>4838.0902777777774</v>
      </c>
      <c r="AL25" s="475">
        <f t="shared" si="52"/>
        <v>25000000</v>
      </c>
      <c r="AM25" s="476">
        <v>2.75E-2</v>
      </c>
      <c r="AN25" s="455">
        <f t="shared" si="10"/>
        <v>1909.7222222222222</v>
      </c>
      <c r="AO25" s="475">
        <f t="shared" ref="AO25:AO41" si="53">25000000</f>
        <v>25000000</v>
      </c>
      <c r="AP25" s="476">
        <v>2.7699999999999999E-2</v>
      </c>
      <c r="AQ25" s="455">
        <f t="shared" si="11"/>
        <v>1923.6111111111111</v>
      </c>
      <c r="AT25" s="455">
        <f t="shared" si="12"/>
        <v>0</v>
      </c>
      <c r="AW25" s="455">
        <f t="shared" si="13"/>
        <v>0</v>
      </c>
      <c r="AZ25" s="455">
        <f t="shared" si="14"/>
        <v>0</v>
      </c>
      <c r="BC25" s="455">
        <f t="shared" si="15"/>
        <v>0</v>
      </c>
      <c r="BF25" s="455">
        <f t="shared" si="16"/>
        <v>0</v>
      </c>
      <c r="BI25" s="455">
        <f t="shared" si="17"/>
        <v>0</v>
      </c>
      <c r="BL25" s="455">
        <f t="shared" si="18"/>
        <v>0</v>
      </c>
      <c r="BO25" s="455">
        <f t="shared" si="19"/>
        <v>0</v>
      </c>
      <c r="BR25" s="455">
        <f t="shared" si="20"/>
        <v>0</v>
      </c>
      <c r="BU25" s="455">
        <f t="shared" si="21"/>
        <v>0</v>
      </c>
      <c r="BX25" s="455">
        <f t="shared" si="22"/>
        <v>0</v>
      </c>
      <c r="CA25" s="455">
        <f t="shared" si="23"/>
        <v>0</v>
      </c>
      <c r="CD25" s="455">
        <f t="shared" si="24"/>
        <v>0</v>
      </c>
      <c r="CG25" s="455">
        <f t="shared" si="25"/>
        <v>0</v>
      </c>
      <c r="CJ25" s="455">
        <f t="shared" si="26"/>
        <v>0</v>
      </c>
      <c r="CM25" s="455">
        <f t="shared" si="27"/>
        <v>0</v>
      </c>
      <c r="CP25" s="455">
        <f t="shared" si="28"/>
        <v>0</v>
      </c>
      <c r="CS25" s="455">
        <f t="shared" si="29"/>
        <v>0</v>
      </c>
      <c r="CV25" s="455">
        <f t="shared" si="30"/>
        <v>0</v>
      </c>
      <c r="CY25" s="455">
        <f t="shared" si="31"/>
        <v>0</v>
      </c>
      <c r="DB25" s="455">
        <f t="shared" si="32"/>
        <v>0</v>
      </c>
      <c r="DE25" s="455">
        <f t="shared" si="33"/>
        <v>0</v>
      </c>
      <c r="DH25" s="455">
        <f t="shared" si="34"/>
        <v>0</v>
      </c>
      <c r="DK25" s="455">
        <f t="shared" si="35"/>
        <v>0</v>
      </c>
      <c r="DN25" s="455">
        <f t="shared" si="36"/>
        <v>0</v>
      </c>
      <c r="DQ25" s="455">
        <f t="shared" si="37"/>
        <v>0</v>
      </c>
      <c r="DT25" s="455">
        <f t="shared" si="38"/>
        <v>0</v>
      </c>
      <c r="DW25" s="455">
        <f t="shared" si="39"/>
        <v>0</v>
      </c>
      <c r="DZ25" s="455"/>
      <c r="EA25" s="455"/>
      <c r="EB25" s="274">
        <f t="shared" si="40"/>
        <v>115725000</v>
      </c>
      <c r="EC25" s="274">
        <f t="shared" si="41"/>
        <v>0</v>
      </c>
      <c r="ED25" s="455">
        <f t="shared" si="42"/>
        <v>8671.4236111111113</v>
      </c>
      <c r="EE25" s="456">
        <f t="shared" si="43"/>
        <v>2.6975264635990495E-2</v>
      </c>
      <c r="EG25" s="274">
        <f t="shared" si="44"/>
        <v>0</v>
      </c>
      <c r="EH25" s="455">
        <f t="shared" si="45"/>
        <v>0</v>
      </c>
      <c r="EI25" s="456">
        <f t="shared" si="46"/>
        <v>0</v>
      </c>
      <c r="EJ25" s="456"/>
      <c r="EK25" s="274">
        <f t="shared" si="47"/>
        <v>115725000</v>
      </c>
      <c r="EL25" s="274">
        <f t="shared" si="48"/>
        <v>0</v>
      </c>
      <c r="EM25" s="274">
        <f t="shared" si="49"/>
        <v>8671.4236111111095</v>
      </c>
      <c r="EN25" s="456">
        <f t="shared" si="50"/>
        <v>2.6975264635990488E-2</v>
      </c>
    </row>
    <row r="26" spans="1:144">
      <c r="A26" s="474">
        <f t="shared" si="51"/>
        <v>43601</v>
      </c>
      <c r="B26" s="455">
        <v>0</v>
      </c>
      <c r="C26" s="456">
        <v>2.7488009999999997E-2</v>
      </c>
      <c r="D26" s="455">
        <f t="shared" si="0"/>
        <v>0</v>
      </c>
      <c r="G26" s="455">
        <f t="shared" si="1"/>
        <v>0</v>
      </c>
      <c r="J26" s="455">
        <f t="shared" si="2"/>
        <v>0</v>
      </c>
      <c r="M26" s="455">
        <f t="shared" si="3"/>
        <v>0</v>
      </c>
      <c r="P26" s="455">
        <f t="shared" si="4"/>
        <v>0</v>
      </c>
      <c r="S26" s="455">
        <f t="shared" si="5"/>
        <v>0</v>
      </c>
      <c r="V26" s="455">
        <f t="shared" si="6"/>
        <v>0</v>
      </c>
      <c r="Y26" s="455">
        <f t="shared" si="7"/>
        <v>0</v>
      </c>
      <c r="AB26" s="455">
        <f t="shared" si="8"/>
        <v>0</v>
      </c>
      <c r="AE26" s="455">
        <v>0</v>
      </c>
      <c r="AH26" s="455">
        <v>0</v>
      </c>
      <c r="AI26" s="475">
        <f>57425000</f>
        <v>57425000</v>
      </c>
      <c r="AJ26" s="476">
        <v>2.6499999999999999E-2</v>
      </c>
      <c r="AK26" s="455">
        <f t="shared" si="9"/>
        <v>4227.1180555555557</v>
      </c>
      <c r="AL26" s="475">
        <f t="shared" si="52"/>
        <v>25000000</v>
      </c>
      <c r="AM26" s="476">
        <v>2.75E-2</v>
      </c>
      <c r="AN26" s="455">
        <f t="shared" si="10"/>
        <v>1909.7222222222222</v>
      </c>
      <c r="AO26" s="475">
        <f t="shared" si="53"/>
        <v>25000000</v>
      </c>
      <c r="AP26" s="476">
        <v>2.7699999999999999E-2</v>
      </c>
      <c r="AQ26" s="455">
        <f t="shared" si="11"/>
        <v>1923.6111111111111</v>
      </c>
      <c r="AT26" s="455">
        <f t="shared" si="12"/>
        <v>0</v>
      </c>
      <c r="AW26" s="455">
        <f t="shared" si="13"/>
        <v>0</v>
      </c>
      <c r="AZ26" s="455">
        <f t="shared" si="14"/>
        <v>0</v>
      </c>
      <c r="BC26" s="455">
        <f t="shared" si="15"/>
        <v>0</v>
      </c>
      <c r="BF26" s="455">
        <f t="shared" si="16"/>
        <v>0</v>
      </c>
      <c r="BI26" s="455">
        <f t="shared" si="17"/>
        <v>0</v>
      </c>
      <c r="BL26" s="455">
        <f t="shared" si="18"/>
        <v>0</v>
      </c>
      <c r="BO26" s="455">
        <f t="shared" si="19"/>
        <v>0</v>
      </c>
      <c r="BR26" s="455">
        <f t="shared" si="20"/>
        <v>0</v>
      </c>
      <c r="BU26" s="455">
        <f t="shared" si="21"/>
        <v>0</v>
      </c>
      <c r="BX26" s="455">
        <f t="shared" si="22"/>
        <v>0</v>
      </c>
      <c r="CA26" s="455">
        <f t="shared" si="23"/>
        <v>0</v>
      </c>
      <c r="CD26" s="455">
        <f t="shared" si="24"/>
        <v>0</v>
      </c>
      <c r="CG26" s="455">
        <f t="shared" si="25"/>
        <v>0</v>
      </c>
      <c r="CJ26" s="455">
        <f t="shared" si="26"/>
        <v>0</v>
      </c>
      <c r="CM26" s="455">
        <f t="shared" si="27"/>
        <v>0</v>
      </c>
      <c r="CP26" s="455">
        <f t="shared" si="28"/>
        <v>0</v>
      </c>
      <c r="CS26" s="455">
        <f t="shared" si="29"/>
        <v>0</v>
      </c>
      <c r="CV26" s="455">
        <f t="shared" si="30"/>
        <v>0</v>
      </c>
      <c r="CY26" s="455">
        <f t="shared" si="31"/>
        <v>0</v>
      </c>
      <c r="DB26" s="455">
        <f t="shared" si="32"/>
        <v>0</v>
      </c>
      <c r="DE26" s="455">
        <f t="shared" si="33"/>
        <v>0</v>
      </c>
      <c r="DH26" s="455">
        <f t="shared" si="34"/>
        <v>0</v>
      </c>
      <c r="DK26" s="455">
        <f t="shared" si="35"/>
        <v>0</v>
      </c>
      <c r="DN26" s="455">
        <f t="shared" si="36"/>
        <v>0</v>
      </c>
      <c r="DQ26" s="455">
        <f t="shared" si="37"/>
        <v>0</v>
      </c>
      <c r="DT26" s="455">
        <f t="shared" si="38"/>
        <v>0</v>
      </c>
      <c r="DW26" s="455">
        <f t="shared" si="39"/>
        <v>0</v>
      </c>
      <c r="DZ26" s="455"/>
      <c r="EA26" s="455"/>
      <c r="EB26" s="274">
        <f t="shared" si="40"/>
        <v>107425000</v>
      </c>
      <c r="EC26" s="274">
        <f t="shared" si="41"/>
        <v>0</v>
      </c>
      <c r="ED26" s="455">
        <f t="shared" si="42"/>
        <v>8060.4513888888887</v>
      </c>
      <c r="EE26" s="456">
        <f t="shared" si="43"/>
        <v>2.7011985105887832E-2</v>
      </c>
      <c r="EG26" s="274">
        <f t="shared" si="44"/>
        <v>0</v>
      </c>
      <c r="EH26" s="455">
        <f t="shared" si="45"/>
        <v>0</v>
      </c>
      <c r="EI26" s="456">
        <f t="shared" si="46"/>
        <v>0</v>
      </c>
      <c r="EJ26" s="456"/>
      <c r="EK26" s="274">
        <f t="shared" si="47"/>
        <v>107425000</v>
      </c>
      <c r="EL26" s="274">
        <f t="shared" si="48"/>
        <v>0</v>
      </c>
      <c r="EM26" s="274">
        <f t="shared" si="49"/>
        <v>8060.4513888888887</v>
      </c>
      <c r="EN26" s="456">
        <f t="shared" si="50"/>
        <v>2.7011985105887832E-2</v>
      </c>
    </row>
    <row r="27" spans="1:144">
      <c r="A27" s="474">
        <f t="shared" si="51"/>
        <v>43602</v>
      </c>
      <c r="B27" s="455">
        <v>0</v>
      </c>
      <c r="C27" s="456">
        <v>2.7531139999999999E-2</v>
      </c>
      <c r="D27" s="455">
        <f t="shared" si="0"/>
        <v>0</v>
      </c>
      <c r="G27" s="455">
        <f t="shared" si="1"/>
        <v>0</v>
      </c>
      <c r="J27" s="455">
        <f t="shared" si="2"/>
        <v>0</v>
      </c>
      <c r="M27" s="455">
        <f t="shared" si="3"/>
        <v>0</v>
      </c>
      <c r="P27" s="455">
        <f t="shared" si="4"/>
        <v>0</v>
      </c>
      <c r="S27" s="455">
        <f t="shared" si="5"/>
        <v>0</v>
      </c>
      <c r="V27" s="455">
        <f t="shared" si="6"/>
        <v>0</v>
      </c>
      <c r="Y27" s="455">
        <f t="shared" si="7"/>
        <v>0</v>
      </c>
      <c r="AB27" s="455">
        <f t="shared" si="8"/>
        <v>0</v>
      </c>
      <c r="AE27" s="455">
        <v>0</v>
      </c>
      <c r="AH27" s="455">
        <v>0</v>
      </c>
      <c r="AI27" s="475">
        <f>52350000</f>
        <v>52350000</v>
      </c>
      <c r="AJ27" s="476">
        <v>2.6499999999999999E-2</v>
      </c>
      <c r="AK27" s="455">
        <f t="shared" si="9"/>
        <v>3853.5416666666665</v>
      </c>
      <c r="AL27" s="475">
        <f t="shared" si="52"/>
        <v>25000000</v>
      </c>
      <c r="AM27" s="476">
        <v>2.75E-2</v>
      </c>
      <c r="AN27" s="455">
        <f t="shared" si="10"/>
        <v>1909.7222222222222</v>
      </c>
      <c r="AO27" s="475">
        <f t="shared" si="53"/>
        <v>25000000</v>
      </c>
      <c r="AP27" s="476">
        <v>2.7699999999999999E-2</v>
      </c>
      <c r="AQ27" s="455">
        <f t="shared" si="11"/>
        <v>1923.6111111111111</v>
      </c>
      <c r="AT27" s="455">
        <f t="shared" si="12"/>
        <v>0</v>
      </c>
      <c r="AW27" s="455">
        <f t="shared" si="13"/>
        <v>0</v>
      </c>
      <c r="AZ27" s="455">
        <f t="shared" si="14"/>
        <v>0</v>
      </c>
      <c r="BC27" s="455">
        <f t="shared" si="15"/>
        <v>0</v>
      </c>
      <c r="BF27" s="455">
        <f t="shared" si="16"/>
        <v>0</v>
      </c>
      <c r="BI27" s="455">
        <f t="shared" si="17"/>
        <v>0</v>
      </c>
      <c r="BL27" s="455">
        <f t="shared" si="18"/>
        <v>0</v>
      </c>
      <c r="BO27" s="455">
        <f t="shared" si="19"/>
        <v>0</v>
      </c>
      <c r="BR27" s="455">
        <f t="shared" si="20"/>
        <v>0</v>
      </c>
      <c r="BU27" s="455">
        <f t="shared" si="21"/>
        <v>0</v>
      </c>
      <c r="BX27" s="455">
        <f t="shared" si="22"/>
        <v>0</v>
      </c>
      <c r="CA27" s="455">
        <f t="shared" si="23"/>
        <v>0</v>
      </c>
      <c r="CD27" s="455">
        <f t="shared" si="24"/>
        <v>0</v>
      </c>
      <c r="CG27" s="455">
        <f t="shared" si="25"/>
        <v>0</v>
      </c>
      <c r="CJ27" s="455">
        <f t="shared" si="26"/>
        <v>0</v>
      </c>
      <c r="CM27" s="455">
        <f t="shared" si="27"/>
        <v>0</v>
      </c>
      <c r="CP27" s="455">
        <f t="shared" si="28"/>
        <v>0</v>
      </c>
      <c r="CS27" s="455">
        <f t="shared" si="29"/>
        <v>0</v>
      </c>
      <c r="CV27" s="455">
        <f t="shared" si="30"/>
        <v>0</v>
      </c>
      <c r="CY27" s="455">
        <f t="shared" si="31"/>
        <v>0</v>
      </c>
      <c r="DB27" s="455">
        <f t="shared" si="32"/>
        <v>0</v>
      </c>
      <c r="DE27" s="455">
        <f t="shared" si="33"/>
        <v>0</v>
      </c>
      <c r="DH27" s="455">
        <f t="shared" si="34"/>
        <v>0</v>
      </c>
      <c r="DK27" s="455">
        <f t="shared" si="35"/>
        <v>0</v>
      </c>
      <c r="DN27" s="455">
        <f t="shared" si="36"/>
        <v>0</v>
      </c>
      <c r="DQ27" s="455">
        <f t="shared" si="37"/>
        <v>0</v>
      </c>
      <c r="DT27" s="455">
        <f t="shared" si="38"/>
        <v>0</v>
      </c>
      <c r="DW27" s="455">
        <f t="shared" si="39"/>
        <v>0</v>
      </c>
      <c r="DZ27" s="455"/>
      <c r="EA27" s="455"/>
      <c r="EB27" s="274">
        <f t="shared" si="40"/>
        <v>102350000</v>
      </c>
      <c r="EC27" s="274">
        <f t="shared" si="41"/>
        <v>0</v>
      </c>
      <c r="ED27" s="455">
        <f t="shared" si="42"/>
        <v>7686.875</v>
      </c>
      <c r="EE27" s="456">
        <f t="shared" si="43"/>
        <v>2.7037371763556427E-2</v>
      </c>
      <c r="EG27" s="274">
        <f t="shared" si="44"/>
        <v>0</v>
      </c>
      <c r="EH27" s="455">
        <f t="shared" si="45"/>
        <v>0</v>
      </c>
      <c r="EI27" s="456">
        <f t="shared" si="46"/>
        <v>0</v>
      </c>
      <c r="EJ27" s="456"/>
      <c r="EK27" s="274">
        <f t="shared" si="47"/>
        <v>102350000</v>
      </c>
      <c r="EL27" s="274">
        <f t="shared" si="48"/>
        <v>0</v>
      </c>
      <c r="EM27" s="274">
        <f t="shared" si="49"/>
        <v>7686.875</v>
      </c>
      <c r="EN27" s="456">
        <f t="shared" si="50"/>
        <v>2.7037371763556427E-2</v>
      </c>
    </row>
    <row r="28" spans="1:144">
      <c r="A28" s="474">
        <f t="shared" si="51"/>
        <v>43603</v>
      </c>
      <c r="B28" s="455">
        <v>0</v>
      </c>
      <c r="C28" s="456">
        <v>2.7531139999999999E-2</v>
      </c>
      <c r="D28" s="455">
        <f t="shared" si="0"/>
        <v>0</v>
      </c>
      <c r="G28" s="455">
        <f t="shared" si="1"/>
        <v>0</v>
      </c>
      <c r="J28" s="455">
        <f t="shared" si="2"/>
        <v>0</v>
      </c>
      <c r="M28" s="455">
        <f t="shared" si="3"/>
        <v>0</v>
      </c>
      <c r="P28" s="455">
        <f t="shared" si="4"/>
        <v>0</v>
      </c>
      <c r="S28" s="455">
        <f t="shared" si="5"/>
        <v>0</v>
      </c>
      <c r="V28" s="455">
        <f t="shared" si="6"/>
        <v>0</v>
      </c>
      <c r="Y28" s="455">
        <f t="shared" si="7"/>
        <v>0</v>
      </c>
      <c r="AB28" s="455">
        <f t="shared" si="8"/>
        <v>0</v>
      </c>
      <c r="AE28" s="455">
        <v>0</v>
      </c>
      <c r="AH28" s="455">
        <v>0</v>
      </c>
      <c r="AI28" s="475">
        <f>52350000</f>
        <v>52350000</v>
      </c>
      <c r="AJ28" s="476">
        <v>2.6499999999999999E-2</v>
      </c>
      <c r="AK28" s="455">
        <f t="shared" si="9"/>
        <v>3853.5416666666665</v>
      </c>
      <c r="AL28" s="475">
        <f t="shared" si="52"/>
        <v>25000000</v>
      </c>
      <c r="AM28" s="476">
        <v>2.75E-2</v>
      </c>
      <c r="AN28" s="455">
        <f t="shared" si="10"/>
        <v>1909.7222222222222</v>
      </c>
      <c r="AO28" s="475">
        <f t="shared" si="53"/>
        <v>25000000</v>
      </c>
      <c r="AP28" s="476">
        <v>2.7699999999999999E-2</v>
      </c>
      <c r="AQ28" s="455">
        <f t="shared" si="11"/>
        <v>1923.6111111111111</v>
      </c>
      <c r="AT28" s="455">
        <f t="shared" si="12"/>
        <v>0</v>
      </c>
      <c r="AW28" s="455">
        <f t="shared" si="13"/>
        <v>0</v>
      </c>
      <c r="AZ28" s="455">
        <f t="shared" si="14"/>
        <v>0</v>
      </c>
      <c r="BC28" s="455">
        <f t="shared" si="15"/>
        <v>0</v>
      </c>
      <c r="BF28" s="455">
        <f t="shared" si="16"/>
        <v>0</v>
      </c>
      <c r="BI28" s="455">
        <f t="shared" si="17"/>
        <v>0</v>
      </c>
      <c r="BL28" s="455">
        <f t="shared" si="18"/>
        <v>0</v>
      </c>
      <c r="BO28" s="455">
        <f t="shared" si="19"/>
        <v>0</v>
      </c>
      <c r="BR28" s="455">
        <f t="shared" si="20"/>
        <v>0</v>
      </c>
      <c r="BU28" s="455">
        <f t="shared" si="21"/>
        <v>0</v>
      </c>
      <c r="BX28" s="455">
        <f t="shared" si="22"/>
        <v>0</v>
      </c>
      <c r="CA28" s="455">
        <f t="shared" si="23"/>
        <v>0</v>
      </c>
      <c r="CD28" s="455">
        <f t="shared" si="24"/>
        <v>0</v>
      </c>
      <c r="CG28" s="455">
        <f t="shared" si="25"/>
        <v>0</v>
      </c>
      <c r="CJ28" s="455">
        <f t="shared" si="26"/>
        <v>0</v>
      </c>
      <c r="CM28" s="455">
        <f t="shared" si="27"/>
        <v>0</v>
      </c>
      <c r="CP28" s="455">
        <f t="shared" si="28"/>
        <v>0</v>
      </c>
      <c r="CS28" s="455">
        <f t="shared" si="29"/>
        <v>0</v>
      </c>
      <c r="CV28" s="455">
        <f t="shared" si="30"/>
        <v>0</v>
      </c>
      <c r="CY28" s="455">
        <f t="shared" si="31"/>
        <v>0</v>
      </c>
      <c r="DB28" s="455">
        <f t="shared" si="32"/>
        <v>0</v>
      </c>
      <c r="DE28" s="455">
        <f t="shared" si="33"/>
        <v>0</v>
      </c>
      <c r="DH28" s="455">
        <f t="shared" si="34"/>
        <v>0</v>
      </c>
      <c r="DK28" s="455">
        <f t="shared" si="35"/>
        <v>0</v>
      </c>
      <c r="DN28" s="455">
        <f t="shared" si="36"/>
        <v>0</v>
      </c>
      <c r="DQ28" s="455">
        <f t="shared" si="37"/>
        <v>0</v>
      </c>
      <c r="DT28" s="455">
        <f t="shared" si="38"/>
        <v>0</v>
      </c>
      <c r="DW28" s="455">
        <f t="shared" si="39"/>
        <v>0</v>
      </c>
      <c r="DZ28" s="455"/>
      <c r="EA28" s="455"/>
      <c r="EB28" s="274">
        <f t="shared" si="40"/>
        <v>102350000</v>
      </c>
      <c r="EC28" s="274">
        <f t="shared" si="41"/>
        <v>0</v>
      </c>
      <c r="ED28" s="455">
        <f t="shared" si="42"/>
        <v>7686.875</v>
      </c>
      <c r="EE28" s="456">
        <f t="shared" si="43"/>
        <v>2.7037371763556427E-2</v>
      </c>
      <c r="EG28" s="274">
        <f t="shared" si="44"/>
        <v>0</v>
      </c>
      <c r="EH28" s="455">
        <f t="shared" si="45"/>
        <v>0</v>
      </c>
      <c r="EI28" s="456">
        <f t="shared" si="46"/>
        <v>0</v>
      </c>
      <c r="EJ28" s="456"/>
      <c r="EK28" s="274">
        <f t="shared" si="47"/>
        <v>102350000</v>
      </c>
      <c r="EL28" s="274">
        <f t="shared" si="48"/>
        <v>0</v>
      </c>
      <c r="EM28" s="274">
        <f t="shared" si="49"/>
        <v>7686.875</v>
      </c>
      <c r="EN28" s="456">
        <f t="shared" si="50"/>
        <v>2.7037371763556427E-2</v>
      </c>
    </row>
    <row r="29" spans="1:144">
      <c r="A29" s="474">
        <f t="shared" si="51"/>
        <v>43604</v>
      </c>
      <c r="B29" s="455">
        <v>0</v>
      </c>
      <c r="C29" s="456">
        <v>2.7531139999999999E-2</v>
      </c>
      <c r="D29" s="455">
        <f t="shared" si="0"/>
        <v>0</v>
      </c>
      <c r="G29" s="455">
        <f t="shared" si="1"/>
        <v>0</v>
      </c>
      <c r="J29" s="455">
        <f t="shared" si="2"/>
        <v>0</v>
      </c>
      <c r="M29" s="455">
        <f t="shared" si="3"/>
        <v>0</v>
      </c>
      <c r="P29" s="455">
        <f t="shared" si="4"/>
        <v>0</v>
      </c>
      <c r="S29" s="455">
        <f t="shared" si="5"/>
        <v>0</v>
      </c>
      <c r="V29" s="455">
        <f t="shared" si="6"/>
        <v>0</v>
      </c>
      <c r="Y29" s="455">
        <f t="shared" si="7"/>
        <v>0</v>
      </c>
      <c r="AB29" s="455">
        <f t="shared" si="8"/>
        <v>0</v>
      </c>
      <c r="AE29" s="455">
        <v>0</v>
      </c>
      <c r="AH29" s="455">
        <v>0</v>
      </c>
      <c r="AI29" s="475">
        <f>52350000</f>
        <v>52350000</v>
      </c>
      <c r="AJ29" s="476">
        <v>2.6499999999999999E-2</v>
      </c>
      <c r="AK29" s="455">
        <f t="shared" si="9"/>
        <v>3853.5416666666665</v>
      </c>
      <c r="AL29" s="475">
        <f t="shared" si="52"/>
        <v>25000000</v>
      </c>
      <c r="AM29" s="476">
        <v>2.75E-2</v>
      </c>
      <c r="AN29" s="455">
        <f t="shared" si="10"/>
        <v>1909.7222222222222</v>
      </c>
      <c r="AO29" s="475">
        <f t="shared" si="53"/>
        <v>25000000</v>
      </c>
      <c r="AP29" s="476">
        <v>2.7699999999999999E-2</v>
      </c>
      <c r="AQ29" s="455">
        <f t="shared" si="11"/>
        <v>1923.6111111111111</v>
      </c>
      <c r="AT29" s="455">
        <f t="shared" si="12"/>
        <v>0</v>
      </c>
      <c r="AW29" s="455">
        <f t="shared" si="13"/>
        <v>0</v>
      </c>
      <c r="AZ29" s="455">
        <f t="shared" si="14"/>
        <v>0</v>
      </c>
      <c r="BC29" s="455">
        <f t="shared" si="15"/>
        <v>0</v>
      </c>
      <c r="BF29" s="455">
        <f t="shared" si="16"/>
        <v>0</v>
      </c>
      <c r="BI29" s="455">
        <f t="shared" si="17"/>
        <v>0</v>
      </c>
      <c r="BL29" s="455">
        <f t="shared" si="18"/>
        <v>0</v>
      </c>
      <c r="BO29" s="455">
        <f t="shared" si="19"/>
        <v>0</v>
      </c>
      <c r="BR29" s="455">
        <f t="shared" si="20"/>
        <v>0</v>
      </c>
      <c r="BU29" s="455">
        <f t="shared" si="21"/>
        <v>0</v>
      </c>
      <c r="BX29" s="455">
        <f t="shared" si="22"/>
        <v>0</v>
      </c>
      <c r="CA29" s="455">
        <f t="shared" si="23"/>
        <v>0</v>
      </c>
      <c r="CD29" s="455">
        <f t="shared" si="24"/>
        <v>0</v>
      </c>
      <c r="CG29" s="455">
        <f t="shared" si="25"/>
        <v>0</v>
      </c>
      <c r="CJ29" s="455">
        <f t="shared" si="26"/>
        <v>0</v>
      </c>
      <c r="CM29" s="455">
        <f t="shared" si="27"/>
        <v>0</v>
      </c>
      <c r="CP29" s="455">
        <f t="shared" si="28"/>
        <v>0</v>
      </c>
      <c r="CS29" s="455">
        <f t="shared" si="29"/>
        <v>0</v>
      </c>
      <c r="CV29" s="455">
        <f t="shared" si="30"/>
        <v>0</v>
      </c>
      <c r="CY29" s="455">
        <f t="shared" si="31"/>
        <v>0</v>
      </c>
      <c r="DB29" s="455">
        <f t="shared" si="32"/>
        <v>0</v>
      </c>
      <c r="DE29" s="455">
        <f t="shared" si="33"/>
        <v>0</v>
      </c>
      <c r="DH29" s="455">
        <f t="shared" si="34"/>
        <v>0</v>
      </c>
      <c r="DK29" s="455">
        <f t="shared" si="35"/>
        <v>0</v>
      </c>
      <c r="DN29" s="455">
        <f t="shared" si="36"/>
        <v>0</v>
      </c>
      <c r="DQ29" s="455">
        <f t="shared" si="37"/>
        <v>0</v>
      </c>
      <c r="DT29" s="455">
        <f t="shared" si="38"/>
        <v>0</v>
      </c>
      <c r="DW29" s="455">
        <f t="shared" si="39"/>
        <v>0</v>
      </c>
      <c r="DZ29" s="455"/>
      <c r="EA29" s="455"/>
      <c r="EB29" s="274">
        <f t="shared" si="40"/>
        <v>102350000</v>
      </c>
      <c r="EC29" s="274">
        <f t="shared" si="41"/>
        <v>0</v>
      </c>
      <c r="ED29" s="455">
        <f t="shared" si="42"/>
        <v>7686.875</v>
      </c>
      <c r="EE29" s="456">
        <f t="shared" si="43"/>
        <v>2.7037371763556427E-2</v>
      </c>
      <c r="EG29" s="274">
        <f t="shared" si="44"/>
        <v>0</v>
      </c>
      <c r="EH29" s="455">
        <f t="shared" si="45"/>
        <v>0</v>
      </c>
      <c r="EI29" s="456">
        <f t="shared" si="46"/>
        <v>0</v>
      </c>
      <c r="EJ29" s="456"/>
      <c r="EK29" s="274">
        <f t="shared" si="47"/>
        <v>102350000</v>
      </c>
      <c r="EL29" s="274">
        <f t="shared" si="48"/>
        <v>0</v>
      </c>
      <c r="EM29" s="274">
        <f t="shared" si="49"/>
        <v>7686.875</v>
      </c>
      <c r="EN29" s="456">
        <f t="shared" si="50"/>
        <v>2.7037371763556427E-2</v>
      </c>
    </row>
    <row r="30" spans="1:144">
      <c r="A30" s="474">
        <f t="shared" si="51"/>
        <v>43605</v>
      </c>
      <c r="B30" s="455">
        <v>0</v>
      </c>
      <c r="C30" s="456">
        <v>2.7523010000000001E-2</v>
      </c>
      <c r="D30" s="455">
        <f t="shared" si="0"/>
        <v>0</v>
      </c>
      <c r="G30" s="455">
        <f t="shared" si="1"/>
        <v>0</v>
      </c>
      <c r="J30" s="455">
        <f t="shared" si="2"/>
        <v>0</v>
      </c>
      <c r="M30" s="455">
        <f t="shared" si="3"/>
        <v>0</v>
      </c>
      <c r="P30" s="455">
        <f t="shared" si="4"/>
        <v>0</v>
      </c>
      <c r="S30" s="455">
        <f t="shared" si="5"/>
        <v>0</v>
      </c>
      <c r="V30" s="455">
        <f t="shared" si="6"/>
        <v>0</v>
      </c>
      <c r="Y30" s="455">
        <f t="shared" si="7"/>
        <v>0</v>
      </c>
      <c r="AB30" s="455">
        <f t="shared" si="8"/>
        <v>0</v>
      </c>
      <c r="AE30" s="455">
        <v>0</v>
      </c>
      <c r="AH30" s="455">
        <v>0</v>
      </c>
      <c r="AI30" s="475">
        <f>70050000</f>
        <v>70050000</v>
      </c>
      <c r="AJ30" s="476">
        <v>2.63E-2</v>
      </c>
      <c r="AK30" s="455">
        <f t="shared" si="9"/>
        <v>5117.541666666667</v>
      </c>
      <c r="AL30" s="475">
        <f t="shared" si="52"/>
        <v>25000000</v>
      </c>
      <c r="AM30" s="476">
        <v>2.75E-2</v>
      </c>
      <c r="AN30" s="455">
        <f t="shared" si="10"/>
        <v>1909.7222222222222</v>
      </c>
      <c r="AO30" s="475">
        <f t="shared" si="53"/>
        <v>25000000</v>
      </c>
      <c r="AP30" s="476">
        <v>2.7699999999999999E-2</v>
      </c>
      <c r="AQ30" s="455">
        <f t="shared" si="11"/>
        <v>1923.6111111111111</v>
      </c>
      <c r="AT30" s="455">
        <f t="shared" si="12"/>
        <v>0</v>
      </c>
      <c r="AW30" s="455">
        <f t="shared" si="13"/>
        <v>0</v>
      </c>
      <c r="AZ30" s="455">
        <f t="shared" si="14"/>
        <v>0</v>
      </c>
      <c r="BC30" s="455">
        <f t="shared" si="15"/>
        <v>0</v>
      </c>
      <c r="BF30" s="455">
        <f t="shared" si="16"/>
        <v>0</v>
      </c>
      <c r="BI30" s="455">
        <f t="shared" si="17"/>
        <v>0</v>
      </c>
      <c r="BL30" s="455">
        <f t="shared" si="18"/>
        <v>0</v>
      </c>
      <c r="BO30" s="455">
        <f t="shared" si="19"/>
        <v>0</v>
      </c>
      <c r="BR30" s="455">
        <f t="shared" si="20"/>
        <v>0</v>
      </c>
      <c r="BU30" s="455">
        <f t="shared" si="21"/>
        <v>0</v>
      </c>
      <c r="BX30" s="455">
        <f t="shared" si="22"/>
        <v>0</v>
      </c>
      <c r="CA30" s="455">
        <f t="shared" si="23"/>
        <v>0</v>
      </c>
      <c r="CD30" s="455">
        <f t="shared" si="24"/>
        <v>0</v>
      </c>
      <c r="CG30" s="455">
        <f t="shared" si="25"/>
        <v>0</v>
      </c>
      <c r="CJ30" s="455">
        <f t="shared" si="26"/>
        <v>0</v>
      </c>
      <c r="CM30" s="455">
        <f t="shared" si="27"/>
        <v>0</v>
      </c>
      <c r="CP30" s="455">
        <f t="shared" si="28"/>
        <v>0</v>
      </c>
      <c r="CS30" s="455">
        <f t="shared" si="29"/>
        <v>0</v>
      </c>
      <c r="CV30" s="455">
        <f t="shared" si="30"/>
        <v>0</v>
      </c>
      <c r="CY30" s="455">
        <f t="shared" si="31"/>
        <v>0</v>
      </c>
      <c r="DB30" s="455">
        <f t="shared" si="32"/>
        <v>0</v>
      </c>
      <c r="DE30" s="455">
        <f t="shared" si="33"/>
        <v>0</v>
      </c>
      <c r="DH30" s="455">
        <f t="shared" si="34"/>
        <v>0</v>
      </c>
      <c r="DK30" s="455">
        <f t="shared" si="35"/>
        <v>0</v>
      </c>
      <c r="DN30" s="455">
        <f t="shared" si="36"/>
        <v>0</v>
      </c>
      <c r="DQ30" s="455">
        <f t="shared" si="37"/>
        <v>0</v>
      </c>
      <c r="DT30" s="455">
        <f t="shared" si="38"/>
        <v>0</v>
      </c>
      <c r="DW30" s="455">
        <f t="shared" si="39"/>
        <v>0</v>
      </c>
      <c r="DZ30" s="455"/>
      <c r="EA30" s="455"/>
      <c r="EB30" s="274">
        <f t="shared" si="40"/>
        <v>120050000</v>
      </c>
      <c r="EC30" s="274">
        <f t="shared" si="41"/>
        <v>0</v>
      </c>
      <c r="ED30" s="455">
        <f t="shared" si="42"/>
        <v>8950.875</v>
      </c>
      <c r="EE30" s="456">
        <f t="shared" si="43"/>
        <v>2.6841441066222407E-2</v>
      </c>
      <c r="EG30" s="274">
        <f t="shared" si="44"/>
        <v>0</v>
      </c>
      <c r="EH30" s="455">
        <f t="shared" si="45"/>
        <v>0</v>
      </c>
      <c r="EI30" s="456">
        <f t="shared" si="46"/>
        <v>0</v>
      </c>
      <c r="EJ30" s="456"/>
      <c r="EK30" s="274">
        <f t="shared" si="47"/>
        <v>120050000</v>
      </c>
      <c r="EL30" s="274">
        <f t="shared" si="48"/>
        <v>0</v>
      </c>
      <c r="EM30" s="274">
        <f t="shared" si="49"/>
        <v>8950.875</v>
      </c>
      <c r="EN30" s="456">
        <f t="shared" si="50"/>
        <v>2.6841441066222407E-2</v>
      </c>
    </row>
    <row r="31" spans="1:144">
      <c r="A31" s="474">
        <f t="shared" si="51"/>
        <v>43606</v>
      </c>
      <c r="B31" s="455">
        <v>0</v>
      </c>
      <c r="C31" s="456">
        <v>2.7519200000000001E-2</v>
      </c>
      <c r="D31" s="455">
        <f t="shared" si="0"/>
        <v>0</v>
      </c>
      <c r="G31" s="455">
        <f t="shared" si="1"/>
        <v>0</v>
      </c>
      <c r="J31" s="455">
        <f t="shared" si="2"/>
        <v>0</v>
      </c>
      <c r="M31" s="455">
        <f t="shared" si="3"/>
        <v>0</v>
      </c>
      <c r="P31" s="455">
        <f t="shared" si="4"/>
        <v>0</v>
      </c>
      <c r="S31" s="455">
        <f t="shared" si="5"/>
        <v>0</v>
      </c>
      <c r="V31" s="455">
        <f t="shared" si="6"/>
        <v>0</v>
      </c>
      <c r="Y31" s="455">
        <f t="shared" si="7"/>
        <v>0</v>
      </c>
      <c r="AB31" s="455">
        <f t="shared" si="8"/>
        <v>0</v>
      </c>
      <c r="AE31" s="455">
        <v>0</v>
      </c>
      <c r="AH31" s="455">
        <v>0</v>
      </c>
      <c r="AI31" s="475">
        <f>63575000</f>
        <v>63575000</v>
      </c>
      <c r="AJ31" s="476">
        <v>2.63E-2</v>
      </c>
      <c r="AK31" s="455">
        <f t="shared" si="9"/>
        <v>4644.5069444444443</v>
      </c>
      <c r="AL31" s="475">
        <f t="shared" si="52"/>
        <v>25000000</v>
      </c>
      <c r="AM31" s="476">
        <v>2.75E-2</v>
      </c>
      <c r="AN31" s="455">
        <f t="shared" si="10"/>
        <v>1909.7222222222222</v>
      </c>
      <c r="AO31" s="475">
        <f t="shared" si="53"/>
        <v>25000000</v>
      </c>
      <c r="AP31" s="476">
        <v>2.7699999999999999E-2</v>
      </c>
      <c r="AQ31" s="455">
        <f t="shared" si="11"/>
        <v>1923.6111111111111</v>
      </c>
      <c r="AT31" s="455">
        <f t="shared" si="12"/>
        <v>0</v>
      </c>
      <c r="AW31" s="455">
        <f t="shared" si="13"/>
        <v>0</v>
      </c>
      <c r="AZ31" s="455">
        <f t="shared" si="14"/>
        <v>0</v>
      </c>
      <c r="BC31" s="455">
        <f t="shared" si="15"/>
        <v>0</v>
      </c>
      <c r="BF31" s="455">
        <f t="shared" si="16"/>
        <v>0</v>
      </c>
      <c r="BI31" s="455">
        <f t="shared" si="17"/>
        <v>0</v>
      </c>
      <c r="BL31" s="455">
        <f t="shared" si="18"/>
        <v>0</v>
      </c>
      <c r="BO31" s="455">
        <f t="shared" si="19"/>
        <v>0</v>
      </c>
      <c r="BR31" s="455">
        <f t="shared" si="20"/>
        <v>0</v>
      </c>
      <c r="BU31" s="455">
        <f t="shared" si="21"/>
        <v>0</v>
      </c>
      <c r="BX31" s="455">
        <f t="shared" si="22"/>
        <v>0</v>
      </c>
      <c r="CA31" s="455">
        <f t="shared" si="23"/>
        <v>0</v>
      </c>
      <c r="CD31" s="455">
        <f t="shared" si="24"/>
        <v>0</v>
      </c>
      <c r="CG31" s="455">
        <f t="shared" si="25"/>
        <v>0</v>
      </c>
      <c r="CJ31" s="455">
        <f t="shared" si="26"/>
        <v>0</v>
      </c>
      <c r="CM31" s="455">
        <f t="shared" si="27"/>
        <v>0</v>
      </c>
      <c r="CP31" s="455">
        <f t="shared" si="28"/>
        <v>0</v>
      </c>
      <c r="CS31" s="455">
        <f t="shared" si="29"/>
        <v>0</v>
      </c>
      <c r="CV31" s="455">
        <f t="shared" si="30"/>
        <v>0</v>
      </c>
      <c r="CY31" s="455">
        <f t="shared" si="31"/>
        <v>0</v>
      </c>
      <c r="DB31" s="455">
        <f t="shared" si="32"/>
        <v>0</v>
      </c>
      <c r="DE31" s="455">
        <f t="shared" si="33"/>
        <v>0</v>
      </c>
      <c r="DH31" s="455">
        <f t="shared" si="34"/>
        <v>0</v>
      </c>
      <c r="DK31" s="455">
        <f t="shared" si="35"/>
        <v>0</v>
      </c>
      <c r="DN31" s="455">
        <f t="shared" si="36"/>
        <v>0</v>
      </c>
      <c r="DQ31" s="455">
        <f t="shared" si="37"/>
        <v>0</v>
      </c>
      <c r="DT31" s="455">
        <f t="shared" si="38"/>
        <v>0</v>
      </c>
      <c r="DW31" s="455">
        <f t="shared" si="39"/>
        <v>0</v>
      </c>
      <c r="DZ31" s="455"/>
      <c r="EA31" s="455"/>
      <c r="EB31" s="274">
        <f t="shared" si="40"/>
        <v>113575000</v>
      </c>
      <c r="EC31" s="274">
        <f t="shared" si="41"/>
        <v>0</v>
      </c>
      <c r="ED31" s="455">
        <f t="shared" si="42"/>
        <v>8477.8402777777774</v>
      </c>
      <c r="EE31" s="456">
        <f t="shared" si="43"/>
        <v>2.6872309046885316E-2</v>
      </c>
      <c r="EG31" s="274">
        <f t="shared" si="44"/>
        <v>0</v>
      </c>
      <c r="EH31" s="455">
        <f t="shared" si="45"/>
        <v>0</v>
      </c>
      <c r="EI31" s="456">
        <f t="shared" si="46"/>
        <v>0</v>
      </c>
      <c r="EJ31" s="456"/>
      <c r="EK31" s="274">
        <f t="shared" si="47"/>
        <v>113575000</v>
      </c>
      <c r="EL31" s="274">
        <f t="shared" si="48"/>
        <v>0</v>
      </c>
      <c r="EM31" s="274">
        <f t="shared" si="49"/>
        <v>8477.8402777777774</v>
      </c>
      <c r="EN31" s="456">
        <f t="shared" si="50"/>
        <v>2.6872309046885316E-2</v>
      </c>
    </row>
    <row r="32" spans="1:144">
      <c r="A32" s="474">
        <f t="shared" si="51"/>
        <v>43607</v>
      </c>
      <c r="B32" s="455">
        <v>0</v>
      </c>
      <c r="C32" s="456">
        <v>2.7506270000000003E-2</v>
      </c>
      <c r="D32" s="455">
        <f t="shared" si="0"/>
        <v>0</v>
      </c>
      <c r="G32" s="455">
        <f t="shared" si="1"/>
        <v>0</v>
      </c>
      <c r="J32" s="455">
        <f t="shared" si="2"/>
        <v>0</v>
      </c>
      <c r="M32" s="455">
        <f t="shared" si="3"/>
        <v>0</v>
      </c>
      <c r="P32" s="455">
        <f t="shared" si="4"/>
        <v>0</v>
      </c>
      <c r="S32" s="455">
        <f t="shared" si="5"/>
        <v>0</v>
      </c>
      <c r="V32" s="455">
        <f t="shared" si="6"/>
        <v>0</v>
      </c>
      <c r="Y32" s="455">
        <f t="shared" si="7"/>
        <v>0</v>
      </c>
      <c r="AB32" s="455">
        <f t="shared" si="8"/>
        <v>0</v>
      </c>
      <c r="AE32" s="455">
        <v>0</v>
      </c>
      <c r="AH32" s="455">
        <v>0</v>
      </c>
      <c r="AI32" s="475">
        <f>59025000</f>
        <v>59025000</v>
      </c>
      <c r="AJ32" s="476">
        <v>2.63E-2</v>
      </c>
      <c r="AK32" s="455">
        <f t="shared" si="9"/>
        <v>4312.104166666667</v>
      </c>
      <c r="AL32" s="475">
        <f t="shared" si="52"/>
        <v>25000000</v>
      </c>
      <c r="AM32" s="476">
        <v>2.75E-2</v>
      </c>
      <c r="AN32" s="455">
        <f t="shared" si="10"/>
        <v>1909.7222222222222</v>
      </c>
      <c r="AO32" s="475">
        <f t="shared" si="53"/>
        <v>25000000</v>
      </c>
      <c r="AP32" s="476">
        <v>2.7699999999999999E-2</v>
      </c>
      <c r="AQ32" s="455">
        <f t="shared" si="11"/>
        <v>1923.6111111111111</v>
      </c>
      <c r="AT32" s="455">
        <f t="shared" si="12"/>
        <v>0</v>
      </c>
      <c r="AW32" s="455">
        <f t="shared" si="13"/>
        <v>0</v>
      </c>
      <c r="AZ32" s="455">
        <f t="shared" si="14"/>
        <v>0</v>
      </c>
      <c r="BC32" s="455">
        <f t="shared" si="15"/>
        <v>0</v>
      </c>
      <c r="BF32" s="455">
        <f t="shared" si="16"/>
        <v>0</v>
      </c>
      <c r="BI32" s="455">
        <f t="shared" si="17"/>
        <v>0</v>
      </c>
      <c r="BL32" s="455">
        <f t="shared" si="18"/>
        <v>0</v>
      </c>
      <c r="BO32" s="455">
        <f t="shared" si="19"/>
        <v>0</v>
      </c>
      <c r="BR32" s="455">
        <f t="shared" si="20"/>
        <v>0</v>
      </c>
      <c r="BU32" s="455">
        <f t="shared" si="21"/>
        <v>0</v>
      </c>
      <c r="BX32" s="455">
        <f t="shared" si="22"/>
        <v>0</v>
      </c>
      <c r="CA32" s="455">
        <f t="shared" si="23"/>
        <v>0</v>
      </c>
      <c r="CD32" s="455">
        <f t="shared" si="24"/>
        <v>0</v>
      </c>
      <c r="CG32" s="455">
        <f t="shared" si="25"/>
        <v>0</v>
      </c>
      <c r="CJ32" s="455">
        <f t="shared" si="26"/>
        <v>0</v>
      </c>
      <c r="CM32" s="455">
        <f t="shared" si="27"/>
        <v>0</v>
      </c>
      <c r="CP32" s="455">
        <f t="shared" si="28"/>
        <v>0</v>
      </c>
      <c r="CS32" s="455">
        <f t="shared" si="29"/>
        <v>0</v>
      </c>
      <c r="CV32" s="455">
        <f t="shared" si="30"/>
        <v>0</v>
      </c>
      <c r="CY32" s="455">
        <f t="shared" si="31"/>
        <v>0</v>
      </c>
      <c r="DB32" s="455">
        <f t="shared" si="32"/>
        <v>0</v>
      </c>
      <c r="DE32" s="455">
        <f t="shared" si="33"/>
        <v>0</v>
      </c>
      <c r="DH32" s="455">
        <f t="shared" si="34"/>
        <v>0</v>
      </c>
      <c r="DK32" s="455">
        <f t="shared" si="35"/>
        <v>0</v>
      </c>
      <c r="DN32" s="455">
        <f t="shared" si="36"/>
        <v>0</v>
      </c>
      <c r="DQ32" s="455">
        <f t="shared" si="37"/>
        <v>0</v>
      </c>
      <c r="DT32" s="455">
        <f t="shared" si="38"/>
        <v>0</v>
      </c>
      <c r="DW32" s="455">
        <f t="shared" si="39"/>
        <v>0</v>
      </c>
      <c r="DZ32" s="455"/>
      <c r="EA32" s="455"/>
      <c r="EB32" s="274">
        <f t="shared" si="40"/>
        <v>109025000</v>
      </c>
      <c r="EC32" s="274">
        <f t="shared" si="41"/>
        <v>0</v>
      </c>
      <c r="ED32" s="455">
        <f t="shared" si="42"/>
        <v>8145.4375</v>
      </c>
      <c r="EE32" s="456">
        <f t="shared" si="43"/>
        <v>2.6896193533593214E-2</v>
      </c>
      <c r="EG32" s="274">
        <f t="shared" si="44"/>
        <v>0</v>
      </c>
      <c r="EH32" s="455">
        <f t="shared" si="45"/>
        <v>0</v>
      </c>
      <c r="EI32" s="456">
        <f t="shared" si="46"/>
        <v>0</v>
      </c>
      <c r="EJ32" s="456"/>
      <c r="EK32" s="274">
        <f t="shared" si="47"/>
        <v>109025000</v>
      </c>
      <c r="EL32" s="274">
        <f t="shared" si="48"/>
        <v>0</v>
      </c>
      <c r="EM32" s="274">
        <f t="shared" si="49"/>
        <v>8145.4375</v>
      </c>
      <c r="EN32" s="456">
        <f t="shared" si="50"/>
        <v>2.6896193533593214E-2</v>
      </c>
    </row>
    <row r="33" spans="1:144">
      <c r="A33" s="474">
        <f t="shared" si="51"/>
        <v>43608</v>
      </c>
      <c r="B33" s="455">
        <v>0</v>
      </c>
      <c r="C33" s="456">
        <v>2.750505E-2</v>
      </c>
      <c r="D33" s="455">
        <f t="shared" si="0"/>
        <v>0</v>
      </c>
      <c r="G33" s="455">
        <f t="shared" si="1"/>
        <v>0</v>
      </c>
      <c r="J33" s="455">
        <f t="shared" si="2"/>
        <v>0</v>
      </c>
      <c r="M33" s="455">
        <f t="shared" si="3"/>
        <v>0</v>
      </c>
      <c r="P33" s="455">
        <f t="shared" si="4"/>
        <v>0</v>
      </c>
      <c r="S33" s="455">
        <f t="shared" si="5"/>
        <v>0</v>
      </c>
      <c r="V33" s="455">
        <f t="shared" si="6"/>
        <v>0</v>
      </c>
      <c r="Y33" s="455">
        <f t="shared" si="7"/>
        <v>0</v>
      </c>
      <c r="AB33" s="455">
        <f t="shared" si="8"/>
        <v>0</v>
      </c>
      <c r="AE33" s="455">
        <v>0</v>
      </c>
      <c r="AH33" s="455">
        <v>0</v>
      </c>
      <c r="AI33" s="475">
        <f>53150000</f>
        <v>53150000</v>
      </c>
      <c r="AJ33" s="476">
        <v>2.63E-2</v>
      </c>
      <c r="AK33" s="455">
        <f t="shared" si="9"/>
        <v>3882.9027777777778</v>
      </c>
      <c r="AL33" s="475">
        <f t="shared" si="52"/>
        <v>25000000</v>
      </c>
      <c r="AM33" s="476">
        <v>2.75E-2</v>
      </c>
      <c r="AN33" s="455">
        <f t="shared" si="10"/>
        <v>1909.7222222222222</v>
      </c>
      <c r="AO33" s="475">
        <f t="shared" si="53"/>
        <v>25000000</v>
      </c>
      <c r="AP33" s="476">
        <v>2.7699999999999999E-2</v>
      </c>
      <c r="AQ33" s="455">
        <f t="shared" si="11"/>
        <v>1923.6111111111111</v>
      </c>
      <c r="AT33" s="455">
        <f t="shared" si="12"/>
        <v>0</v>
      </c>
      <c r="AW33" s="455">
        <f t="shared" si="13"/>
        <v>0</v>
      </c>
      <c r="AZ33" s="455">
        <f t="shared" si="14"/>
        <v>0</v>
      </c>
      <c r="BC33" s="455">
        <f t="shared" si="15"/>
        <v>0</v>
      </c>
      <c r="BF33" s="455">
        <f t="shared" si="16"/>
        <v>0</v>
      </c>
      <c r="BI33" s="455">
        <f t="shared" si="17"/>
        <v>0</v>
      </c>
      <c r="BL33" s="455">
        <f t="shared" si="18"/>
        <v>0</v>
      </c>
      <c r="BO33" s="455">
        <f t="shared" si="19"/>
        <v>0</v>
      </c>
      <c r="BR33" s="455">
        <f t="shared" si="20"/>
        <v>0</v>
      </c>
      <c r="BU33" s="455">
        <f t="shared" si="21"/>
        <v>0</v>
      </c>
      <c r="BX33" s="455">
        <f t="shared" si="22"/>
        <v>0</v>
      </c>
      <c r="CA33" s="455">
        <f t="shared" si="23"/>
        <v>0</v>
      </c>
      <c r="CD33" s="455">
        <f t="shared" si="24"/>
        <v>0</v>
      </c>
      <c r="CG33" s="455">
        <f t="shared" si="25"/>
        <v>0</v>
      </c>
      <c r="CJ33" s="455">
        <f t="shared" si="26"/>
        <v>0</v>
      </c>
      <c r="CM33" s="455">
        <f t="shared" si="27"/>
        <v>0</v>
      </c>
      <c r="CP33" s="455">
        <f t="shared" si="28"/>
        <v>0</v>
      </c>
      <c r="CS33" s="455">
        <f t="shared" si="29"/>
        <v>0</v>
      </c>
      <c r="CV33" s="455">
        <f t="shared" si="30"/>
        <v>0</v>
      </c>
      <c r="CY33" s="455">
        <f t="shared" si="31"/>
        <v>0</v>
      </c>
      <c r="DB33" s="455">
        <f t="shared" si="32"/>
        <v>0</v>
      </c>
      <c r="DE33" s="455">
        <f t="shared" si="33"/>
        <v>0</v>
      </c>
      <c r="DH33" s="455">
        <f t="shared" si="34"/>
        <v>0</v>
      </c>
      <c r="DK33" s="455">
        <f t="shared" si="35"/>
        <v>0</v>
      </c>
      <c r="DN33" s="455">
        <f t="shared" si="36"/>
        <v>0</v>
      </c>
      <c r="DQ33" s="455">
        <f t="shared" si="37"/>
        <v>0</v>
      </c>
      <c r="DT33" s="455">
        <f t="shared" si="38"/>
        <v>0</v>
      </c>
      <c r="DW33" s="455">
        <f t="shared" si="39"/>
        <v>0</v>
      </c>
      <c r="DZ33" s="455"/>
      <c r="EA33" s="455"/>
      <c r="EB33" s="274">
        <f t="shared" si="40"/>
        <v>103150000</v>
      </c>
      <c r="EC33" s="274">
        <f t="shared" si="41"/>
        <v>0</v>
      </c>
      <c r="ED33" s="455">
        <f t="shared" si="42"/>
        <v>7716.2361111111113</v>
      </c>
      <c r="EE33" s="456">
        <f t="shared" si="43"/>
        <v>2.6930150266602036E-2</v>
      </c>
      <c r="EG33" s="274">
        <f t="shared" si="44"/>
        <v>0</v>
      </c>
      <c r="EH33" s="455">
        <f t="shared" si="45"/>
        <v>0</v>
      </c>
      <c r="EI33" s="456">
        <f t="shared" si="46"/>
        <v>0</v>
      </c>
      <c r="EJ33" s="456"/>
      <c r="EK33" s="274">
        <f t="shared" si="47"/>
        <v>103150000</v>
      </c>
      <c r="EL33" s="274">
        <f t="shared" si="48"/>
        <v>0</v>
      </c>
      <c r="EM33" s="274">
        <f t="shared" si="49"/>
        <v>7716.2361111111113</v>
      </c>
      <c r="EN33" s="456">
        <f t="shared" si="50"/>
        <v>2.6930150266602036E-2</v>
      </c>
    </row>
    <row r="34" spans="1:144">
      <c r="A34" s="474">
        <f t="shared" si="51"/>
        <v>43609</v>
      </c>
      <c r="B34" s="455">
        <v>0</v>
      </c>
      <c r="C34" s="456">
        <v>2.748743E-2</v>
      </c>
      <c r="D34" s="455">
        <f t="shared" si="0"/>
        <v>0</v>
      </c>
      <c r="G34" s="455">
        <f t="shared" si="1"/>
        <v>0</v>
      </c>
      <c r="J34" s="455">
        <f t="shared" si="2"/>
        <v>0</v>
      </c>
      <c r="M34" s="455">
        <f t="shared" si="3"/>
        <v>0</v>
      </c>
      <c r="P34" s="455">
        <f t="shared" si="4"/>
        <v>0</v>
      </c>
      <c r="S34" s="455">
        <f t="shared" si="5"/>
        <v>0</v>
      </c>
      <c r="V34" s="455">
        <f t="shared" si="6"/>
        <v>0</v>
      </c>
      <c r="Y34" s="455">
        <f t="shared" si="7"/>
        <v>0</v>
      </c>
      <c r="AB34" s="455">
        <f t="shared" si="8"/>
        <v>0</v>
      </c>
      <c r="AE34" s="455">
        <v>0</v>
      </c>
      <c r="AH34" s="455">
        <v>0</v>
      </c>
      <c r="AI34" s="475">
        <f>55750000</f>
        <v>55750000</v>
      </c>
      <c r="AJ34" s="476">
        <v>2.63E-2</v>
      </c>
      <c r="AK34" s="455">
        <f t="shared" si="9"/>
        <v>4072.8472222222222</v>
      </c>
      <c r="AL34" s="475">
        <f t="shared" si="52"/>
        <v>25000000</v>
      </c>
      <c r="AM34" s="476">
        <v>2.75E-2</v>
      </c>
      <c r="AN34" s="455">
        <f t="shared" si="10"/>
        <v>1909.7222222222222</v>
      </c>
      <c r="AO34" s="475">
        <f t="shared" si="53"/>
        <v>25000000</v>
      </c>
      <c r="AP34" s="476">
        <v>2.7699999999999999E-2</v>
      </c>
      <c r="AQ34" s="455">
        <f t="shared" si="11"/>
        <v>1923.6111111111111</v>
      </c>
      <c r="AT34" s="455">
        <f t="shared" si="12"/>
        <v>0</v>
      </c>
      <c r="AW34" s="455">
        <f t="shared" si="13"/>
        <v>0</v>
      </c>
      <c r="AZ34" s="455">
        <f t="shared" si="14"/>
        <v>0</v>
      </c>
      <c r="BC34" s="455">
        <f t="shared" si="15"/>
        <v>0</v>
      </c>
      <c r="BF34" s="455">
        <f t="shared" si="16"/>
        <v>0</v>
      </c>
      <c r="BI34" s="455">
        <f t="shared" si="17"/>
        <v>0</v>
      </c>
      <c r="BL34" s="455">
        <f t="shared" si="18"/>
        <v>0</v>
      </c>
      <c r="BO34" s="455">
        <f t="shared" si="19"/>
        <v>0</v>
      </c>
      <c r="BR34" s="455">
        <f t="shared" si="20"/>
        <v>0</v>
      </c>
      <c r="BU34" s="455">
        <f t="shared" si="21"/>
        <v>0</v>
      </c>
      <c r="BX34" s="455">
        <f t="shared" si="22"/>
        <v>0</v>
      </c>
      <c r="CA34" s="455">
        <f t="shared" si="23"/>
        <v>0</v>
      </c>
      <c r="CD34" s="455">
        <f t="shared" si="24"/>
        <v>0</v>
      </c>
      <c r="CG34" s="455">
        <f t="shared" si="25"/>
        <v>0</v>
      </c>
      <c r="CJ34" s="455">
        <f t="shared" si="26"/>
        <v>0</v>
      </c>
      <c r="CM34" s="455">
        <f t="shared" si="27"/>
        <v>0</v>
      </c>
      <c r="CP34" s="455">
        <f t="shared" si="28"/>
        <v>0</v>
      </c>
      <c r="CS34" s="455">
        <f t="shared" si="29"/>
        <v>0</v>
      </c>
      <c r="CV34" s="455">
        <f t="shared" si="30"/>
        <v>0</v>
      </c>
      <c r="CY34" s="455">
        <f t="shared" si="31"/>
        <v>0</v>
      </c>
      <c r="DB34" s="455">
        <f t="shared" si="32"/>
        <v>0</v>
      </c>
      <c r="DE34" s="455">
        <f t="shared" si="33"/>
        <v>0</v>
      </c>
      <c r="DH34" s="455">
        <f t="shared" si="34"/>
        <v>0</v>
      </c>
      <c r="DK34" s="455">
        <f t="shared" si="35"/>
        <v>0</v>
      </c>
      <c r="DN34" s="455">
        <f t="shared" si="36"/>
        <v>0</v>
      </c>
      <c r="DQ34" s="455">
        <f t="shared" si="37"/>
        <v>0</v>
      </c>
      <c r="DT34" s="455">
        <f t="shared" si="38"/>
        <v>0</v>
      </c>
      <c r="DW34" s="455">
        <f t="shared" si="39"/>
        <v>0</v>
      </c>
      <c r="DZ34" s="455"/>
      <c r="EA34" s="455"/>
      <c r="EB34" s="274">
        <f t="shared" si="40"/>
        <v>105750000</v>
      </c>
      <c r="EC34" s="274">
        <f t="shared" si="41"/>
        <v>0</v>
      </c>
      <c r="ED34" s="455">
        <f t="shared" si="42"/>
        <v>7906.1805555555557</v>
      </c>
      <c r="EE34" s="456">
        <f t="shared" si="43"/>
        <v>2.6914657210401892E-2</v>
      </c>
      <c r="EG34" s="274">
        <f t="shared" si="44"/>
        <v>0</v>
      </c>
      <c r="EH34" s="455">
        <f t="shared" si="45"/>
        <v>0</v>
      </c>
      <c r="EI34" s="456">
        <f t="shared" si="46"/>
        <v>0</v>
      </c>
      <c r="EJ34" s="456"/>
      <c r="EK34" s="274">
        <f t="shared" si="47"/>
        <v>105750000</v>
      </c>
      <c r="EL34" s="274">
        <f t="shared" si="48"/>
        <v>0</v>
      </c>
      <c r="EM34" s="274">
        <f t="shared" si="49"/>
        <v>7906.1805555555547</v>
      </c>
      <c r="EN34" s="456">
        <f t="shared" si="50"/>
        <v>2.6914657210401888E-2</v>
      </c>
    </row>
    <row r="35" spans="1:144">
      <c r="A35" s="474">
        <f t="shared" si="51"/>
        <v>43610</v>
      </c>
      <c r="B35" s="455">
        <v>0</v>
      </c>
      <c r="C35" s="456">
        <v>2.748743E-2</v>
      </c>
      <c r="D35" s="455">
        <f t="shared" si="0"/>
        <v>0</v>
      </c>
      <c r="G35" s="455">
        <f t="shared" si="1"/>
        <v>0</v>
      </c>
      <c r="J35" s="455">
        <f t="shared" si="2"/>
        <v>0</v>
      </c>
      <c r="M35" s="455">
        <f t="shared" si="3"/>
        <v>0</v>
      </c>
      <c r="P35" s="455">
        <f t="shared" si="4"/>
        <v>0</v>
      </c>
      <c r="S35" s="455">
        <f t="shared" si="5"/>
        <v>0</v>
      </c>
      <c r="V35" s="455">
        <f t="shared" si="6"/>
        <v>0</v>
      </c>
      <c r="Y35" s="455">
        <f t="shared" si="7"/>
        <v>0</v>
      </c>
      <c r="AB35" s="455">
        <f t="shared" si="8"/>
        <v>0</v>
      </c>
      <c r="AE35" s="455">
        <v>0</v>
      </c>
      <c r="AH35" s="455">
        <v>0</v>
      </c>
      <c r="AI35" s="475">
        <f>55750000</f>
        <v>55750000</v>
      </c>
      <c r="AJ35" s="476">
        <v>2.63E-2</v>
      </c>
      <c r="AK35" s="455">
        <f t="shared" si="9"/>
        <v>4072.8472222222222</v>
      </c>
      <c r="AL35" s="475">
        <f t="shared" si="52"/>
        <v>25000000</v>
      </c>
      <c r="AM35" s="476">
        <v>2.75E-2</v>
      </c>
      <c r="AN35" s="455">
        <f t="shared" si="10"/>
        <v>1909.7222222222222</v>
      </c>
      <c r="AO35" s="475">
        <f t="shared" si="53"/>
        <v>25000000</v>
      </c>
      <c r="AP35" s="476">
        <v>2.7699999999999999E-2</v>
      </c>
      <c r="AQ35" s="455">
        <f t="shared" si="11"/>
        <v>1923.6111111111111</v>
      </c>
      <c r="AT35" s="455">
        <f t="shared" si="12"/>
        <v>0</v>
      </c>
      <c r="AW35" s="455">
        <f t="shared" si="13"/>
        <v>0</v>
      </c>
      <c r="AZ35" s="455">
        <f t="shared" si="14"/>
        <v>0</v>
      </c>
      <c r="BC35" s="455">
        <f t="shared" si="15"/>
        <v>0</v>
      </c>
      <c r="BF35" s="455">
        <f t="shared" si="16"/>
        <v>0</v>
      </c>
      <c r="BI35" s="455">
        <f t="shared" si="17"/>
        <v>0</v>
      </c>
      <c r="BL35" s="455">
        <f t="shared" si="18"/>
        <v>0</v>
      </c>
      <c r="BO35" s="455">
        <f t="shared" si="19"/>
        <v>0</v>
      </c>
      <c r="BR35" s="455">
        <f t="shared" si="20"/>
        <v>0</v>
      </c>
      <c r="BU35" s="455">
        <f t="shared" si="21"/>
        <v>0</v>
      </c>
      <c r="BX35" s="455">
        <f t="shared" si="22"/>
        <v>0</v>
      </c>
      <c r="CA35" s="455">
        <f t="shared" si="23"/>
        <v>0</v>
      </c>
      <c r="CD35" s="455">
        <f t="shared" si="24"/>
        <v>0</v>
      </c>
      <c r="CG35" s="455">
        <f t="shared" si="25"/>
        <v>0</v>
      </c>
      <c r="CJ35" s="455">
        <f t="shared" si="26"/>
        <v>0</v>
      </c>
      <c r="CM35" s="455">
        <f t="shared" si="27"/>
        <v>0</v>
      </c>
      <c r="CP35" s="455">
        <f t="shared" si="28"/>
        <v>0</v>
      </c>
      <c r="CS35" s="455">
        <f t="shared" si="29"/>
        <v>0</v>
      </c>
      <c r="CV35" s="455">
        <f t="shared" si="30"/>
        <v>0</v>
      </c>
      <c r="CY35" s="455">
        <f t="shared" si="31"/>
        <v>0</v>
      </c>
      <c r="DB35" s="455">
        <f t="shared" si="32"/>
        <v>0</v>
      </c>
      <c r="DE35" s="455">
        <f t="shared" si="33"/>
        <v>0</v>
      </c>
      <c r="DH35" s="455">
        <f t="shared" si="34"/>
        <v>0</v>
      </c>
      <c r="DK35" s="455">
        <f t="shared" si="35"/>
        <v>0</v>
      </c>
      <c r="DN35" s="455">
        <f t="shared" si="36"/>
        <v>0</v>
      </c>
      <c r="DQ35" s="455">
        <f t="shared" si="37"/>
        <v>0</v>
      </c>
      <c r="DT35" s="455">
        <f t="shared" si="38"/>
        <v>0</v>
      </c>
      <c r="DW35" s="455">
        <f t="shared" si="39"/>
        <v>0</v>
      </c>
      <c r="DZ35" s="455"/>
      <c r="EA35" s="455"/>
      <c r="EB35" s="274">
        <f t="shared" si="40"/>
        <v>105750000</v>
      </c>
      <c r="EC35" s="274">
        <f t="shared" si="41"/>
        <v>0</v>
      </c>
      <c r="ED35" s="455">
        <f t="shared" si="42"/>
        <v>7906.1805555555557</v>
      </c>
      <c r="EE35" s="456">
        <f t="shared" si="43"/>
        <v>2.6914657210401892E-2</v>
      </c>
      <c r="EG35" s="274">
        <f t="shared" si="44"/>
        <v>0</v>
      </c>
      <c r="EH35" s="455">
        <f t="shared" si="45"/>
        <v>0</v>
      </c>
      <c r="EI35" s="456">
        <f t="shared" si="46"/>
        <v>0</v>
      </c>
      <c r="EJ35" s="456"/>
      <c r="EK35" s="274">
        <f t="shared" si="47"/>
        <v>105750000</v>
      </c>
      <c r="EL35" s="274">
        <f t="shared" si="48"/>
        <v>0</v>
      </c>
      <c r="EM35" s="274">
        <f t="shared" si="49"/>
        <v>7906.1805555555547</v>
      </c>
      <c r="EN35" s="456">
        <f t="shared" si="50"/>
        <v>2.6914657210401888E-2</v>
      </c>
    </row>
    <row r="36" spans="1:144">
      <c r="A36" s="474">
        <f t="shared" si="51"/>
        <v>43611</v>
      </c>
      <c r="B36" s="455">
        <v>0</v>
      </c>
      <c r="C36" s="456">
        <v>2.748743E-2</v>
      </c>
      <c r="D36" s="455">
        <f t="shared" si="0"/>
        <v>0</v>
      </c>
      <c r="G36" s="455">
        <f t="shared" si="1"/>
        <v>0</v>
      </c>
      <c r="J36" s="455">
        <f t="shared" si="2"/>
        <v>0</v>
      </c>
      <c r="M36" s="455">
        <f t="shared" si="3"/>
        <v>0</v>
      </c>
      <c r="P36" s="455">
        <f t="shared" si="4"/>
        <v>0</v>
      </c>
      <c r="S36" s="455">
        <f t="shared" si="5"/>
        <v>0</v>
      </c>
      <c r="V36" s="455">
        <f t="shared" si="6"/>
        <v>0</v>
      </c>
      <c r="Y36" s="455">
        <f t="shared" si="7"/>
        <v>0</v>
      </c>
      <c r="AB36" s="455">
        <f t="shared" si="8"/>
        <v>0</v>
      </c>
      <c r="AE36" s="455">
        <v>0</v>
      </c>
      <c r="AH36" s="455">
        <v>0</v>
      </c>
      <c r="AI36" s="475">
        <f>55750000</f>
        <v>55750000</v>
      </c>
      <c r="AJ36" s="476">
        <v>2.63E-2</v>
      </c>
      <c r="AK36" s="455">
        <f t="shared" si="9"/>
        <v>4072.8472222222222</v>
      </c>
      <c r="AL36" s="475">
        <f t="shared" si="52"/>
        <v>25000000</v>
      </c>
      <c r="AM36" s="476">
        <v>2.75E-2</v>
      </c>
      <c r="AN36" s="455">
        <f t="shared" si="10"/>
        <v>1909.7222222222222</v>
      </c>
      <c r="AO36" s="475">
        <f t="shared" si="53"/>
        <v>25000000</v>
      </c>
      <c r="AP36" s="476">
        <v>2.7699999999999999E-2</v>
      </c>
      <c r="AQ36" s="455">
        <f t="shared" si="11"/>
        <v>1923.6111111111111</v>
      </c>
      <c r="AT36" s="455">
        <f t="shared" si="12"/>
        <v>0</v>
      </c>
      <c r="AW36" s="455">
        <f t="shared" si="13"/>
        <v>0</v>
      </c>
      <c r="AZ36" s="455">
        <f t="shared" si="14"/>
        <v>0</v>
      </c>
      <c r="BC36" s="455">
        <f t="shared" si="15"/>
        <v>0</v>
      </c>
      <c r="BF36" s="455">
        <f t="shared" si="16"/>
        <v>0</v>
      </c>
      <c r="BI36" s="455">
        <f t="shared" si="17"/>
        <v>0</v>
      </c>
      <c r="BL36" s="455">
        <f t="shared" si="18"/>
        <v>0</v>
      </c>
      <c r="BO36" s="455">
        <f t="shared" si="19"/>
        <v>0</v>
      </c>
      <c r="BR36" s="455">
        <f t="shared" si="20"/>
        <v>0</v>
      </c>
      <c r="BU36" s="455">
        <f t="shared" si="21"/>
        <v>0</v>
      </c>
      <c r="BX36" s="455">
        <f t="shared" si="22"/>
        <v>0</v>
      </c>
      <c r="CA36" s="455">
        <f t="shared" si="23"/>
        <v>0</v>
      </c>
      <c r="CD36" s="455">
        <f t="shared" si="24"/>
        <v>0</v>
      </c>
      <c r="CG36" s="455">
        <f t="shared" si="25"/>
        <v>0</v>
      </c>
      <c r="CJ36" s="455">
        <f t="shared" si="26"/>
        <v>0</v>
      </c>
      <c r="CM36" s="455">
        <f t="shared" si="27"/>
        <v>0</v>
      </c>
      <c r="CP36" s="455">
        <f t="shared" si="28"/>
        <v>0</v>
      </c>
      <c r="CS36" s="455">
        <f t="shared" si="29"/>
        <v>0</v>
      </c>
      <c r="CV36" s="455">
        <f t="shared" si="30"/>
        <v>0</v>
      </c>
      <c r="CY36" s="455">
        <f t="shared" si="31"/>
        <v>0</v>
      </c>
      <c r="DB36" s="455">
        <f t="shared" si="32"/>
        <v>0</v>
      </c>
      <c r="DE36" s="455">
        <f t="shared" si="33"/>
        <v>0</v>
      </c>
      <c r="DH36" s="455">
        <f t="shared" si="34"/>
        <v>0</v>
      </c>
      <c r="DK36" s="455">
        <f t="shared" si="35"/>
        <v>0</v>
      </c>
      <c r="DN36" s="455">
        <f t="shared" si="36"/>
        <v>0</v>
      </c>
      <c r="DQ36" s="455">
        <f t="shared" si="37"/>
        <v>0</v>
      </c>
      <c r="DT36" s="455">
        <f t="shared" si="38"/>
        <v>0</v>
      </c>
      <c r="DW36" s="455">
        <f t="shared" si="39"/>
        <v>0</v>
      </c>
      <c r="DZ36" s="455"/>
      <c r="EA36" s="455"/>
      <c r="EB36" s="274">
        <f t="shared" si="40"/>
        <v>105750000</v>
      </c>
      <c r="EC36" s="274">
        <f t="shared" si="41"/>
        <v>0</v>
      </c>
      <c r="ED36" s="455">
        <f t="shared" si="42"/>
        <v>7906.1805555555557</v>
      </c>
      <c r="EE36" s="456">
        <f t="shared" si="43"/>
        <v>2.6914657210401892E-2</v>
      </c>
      <c r="EG36" s="274">
        <f t="shared" si="44"/>
        <v>0</v>
      </c>
      <c r="EH36" s="455">
        <f t="shared" si="45"/>
        <v>0</v>
      </c>
      <c r="EI36" s="456">
        <f t="shared" si="46"/>
        <v>0</v>
      </c>
      <c r="EJ36" s="456"/>
      <c r="EK36" s="274">
        <f t="shared" si="47"/>
        <v>105750000</v>
      </c>
      <c r="EL36" s="274">
        <f t="shared" si="48"/>
        <v>0</v>
      </c>
      <c r="EM36" s="274">
        <f t="shared" si="49"/>
        <v>7906.1805555555547</v>
      </c>
      <c r="EN36" s="456">
        <f t="shared" si="50"/>
        <v>2.6914657210401888E-2</v>
      </c>
    </row>
    <row r="37" spans="1:144">
      <c r="A37" s="474">
        <f t="shared" si="51"/>
        <v>43612</v>
      </c>
      <c r="B37" s="455">
        <v>0</v>
      </c>
      <c r="C37" s="456">
        <v>2.748743E-2</v>
      </c>
      <c r="D37" s="455">
        <f t="shared" si="0"/>
        <v>0</v>
      </c>
      <c r="G37" s="455">
        <f t="shared" si="1"/>
        <v>0</v>
      </c>
      <c r="J37" s="455">
        <f t="shared" si="2"/>
        <v>0</v>
      </c>
      <c r="M37" s="455">
        <f t="shared" si="3"/>
        <v>0</v>
      </c>
      <c r="P37" s="455">
        <f t="shared" si="4"/>
        <v>0</v>
      </c>
      <c r="S37" s="455">
        <f t="shared" si="5"/>
        <v>0</v>
      </c>
      <c r="V37" s="455">
        <f t="shared" si="6"/>
        <v>0</v>
      </c>
      <c r="Y37" s="455">
        <f t="shared" si="7"/>
        <v>0</v>
      </c>
      <c r="AB37" s="455">
        <f t="shared" si="8"/>
        <v>0</v>
      </c>
      <c r="AE37" s="455">
        <v>0</v>
      </c>
      <c r="AH37" s="455">
        <v>0</v>
      </c>
      <c r="AI37" s="475">
        <f>55750000</f>
        <v>55750000</v>
      </c>
      <c r="AJ37" s="476">
        <v>2.63E-2</v>
      </c>
      <c r="AK37" s="455">
        <f t="shared" si="9"/>
        <v>4072.8472222222222</v>
      </c>
      <c r="AL37" s="475">
        <f t="shared" si="52"/>
        <v>25000000</v>
      </c>
      <c r="AM37" s="476">
        <v>2.75E-2</v>
      </c>
      <c r="AN37" s="455">
        <f t="shared" si="10"/>
        <v>1909.7222222222222</v>
      </c>
      <c r="AO37" s="475">
        <f t="shared" si="53"/>
        <v>25000000</v>
      </c>
      <c r="AP37" s="476">
        <v>2.7699999999999999E-2</v>
      </c>
      <c r="AQ37" s="455">
        <f t="shared" si="11"/>
        <v>1923.6111111111111</v>
      </c>
      <c r="AT37" s="455">
        <f t="shared" si="12"/>
        <v>0</v>
      </c>
      <c r="AW37" s="455">
        <f t="shared" si="13"/>
        <v>0</v>
      </c>
      <c r="AZ37" s="455">
        <f t="shared" si="14"/>
        <v>0</v>
      </c>
      <c r="BC37" s="455">
        <f t="shared" si="15"/>
        <v>0</v>
      </c>
      <c r="BF37" s="455">
        <f t="shared" si="16"/>
        <v>0</v>
      </c>
      <c r="BI37" s="455">
        <f t="shared" si="17"/>
        <v>0</v>
      </c>
      <c r="BL37" s="455">
        <f t="shared" si="18"/>
        <v>0</v>
      </c>
      <c r="BO37" s="455">
        <f t="shared" si="19"/>
        <v>0</v>
      </c>
      <c r="BR37" s="455">
        <f t="shared" si="20"/>
        <v>0</v>
      </c>
      <c r="BU37" s="455">
        <f t="shared" si="21"/>
        <v>0</v>
      </c>
      <c r="BX37" s="455">
        <f t="shared" si="22"/>
        <v>0</v>
      </c>
      <c r="CA37" s="455">
        <f t="shared" si="23"/>
        <v>0</v>
      </c>
      <c r="CD37" s="455">
        <f t="shared" si="24"/>
        <v>0</v>
      </c>
      <c r="CG37" s="455">
        <f t="shared" si="25"/>
        <v>0</v>
      </c>
      <c r="CJ37" s="455">
        <f t="shared" si="26"/>
        <v>0</v>
      </c>
      <c r="CM37" s="455">
        <f t="shared" si="27"/>
        <v>0</v>
      </c>
      <c r="CP37" s="455">
        <f t="shared" si="28"/>
        <v>0</v>
      </c>
      <c r="CS37" s="455">
        <f t="shared" si="29"/>
        <v>0</v>
      </c>
      <c r="CV37" s="455">
        <f t="shared" si="30"/>
        <v>0</v>
      </c>
      <c r="CY37" s="455">
        <f t="shared" si="31"/>
        <v>0</v>
      </c>
      <c r="DB37" s="455">
        <f t="shared" si="32"/>
        <v>0</v>
      </c>
      <c r="DE37" s="455">
        <f t="shared" si="33"/>
        <v>0</v>
      </c>
      <c r="DH37" s="455">
        <f t="shared" si="34"/>
        <v>0</v>
      </c>
      <c r="DK37" s="455">
        <f t="shared" si="35"/>
        <v>0</v>
      </c>
      <c r="DN37" s="455">
        <f t="shared" si="36"/>
        <v>0</v>
      </c>
      <c r="DQ37" s="455">
        <f t="shared" si="37"/>
        <v>0</v>
      </c>
      <c r="DT37" s="455">
        <f t="shared" si="38"/>
        <v>0</v>
      </c>
      <c r="DW37" s="455">
        <f t="shared" si="39"/>
        <v>0</v>
      </c>
      <c r="DZ37" s="455"/>
      <c r="EA37" s="455"/>
      <c r="EB37" s="274">
        <f t="shared" si="40"/>
        <v>105750000</v>
      </c>
      <c r="EC37" s="274">
        <f t="shared" si="41"/>
        <v>0</v>
      </c>
      <c r="ED37" s="455">
        <f t="shared" si="42"/>
        <v>7906.1805555555557</v>
      </c>
      <c r="EE37" s="456">
        <f t="shared" si="43"/>
        <v>2.6914657210401892E-2</v>
      </c>
      <c r="EG37" s="274">
        <f t="shared" si="44"/>
        <v>0</v>
      </c>
      <c r="EH37" s="455">
        <f t="shared" si="45"/>
        <v>0</v>
      </c>
      <c r="EI37" s="456">
        <f t="shared" si="46"/>
        <v>0</v>
      </c>
      <c r="EJ37" s="456"/>
      <c r="EK37" s="274">
        <f t="shared" si="47"/>
        <v>105750000</v>
      </c>
      <c r="EL37" s="274">
        <f t="shared" si="48"/>
        <v>0</v>
      </c>
      <c r="EM37" s="274">
        <f t="shared" si="49"/>
        <v>7906.1805555555547</v>
      </c>
      <c r="EN37" s="456">
        <f t="shared" si="50"/>
        <v>2.6914657210401888E-2</v>
      </c>
    </row>
    <row r="38" spans="1:144">
      <c r="A38" s="474">
        <f t="shared" si="51"/>
        <v>43613</v>
      </c>
      <c r="B38" s="455">
        <v>0</v>
      </c>
      <c r="C38" s="456">
        <v>2.7457850000000002E-2</v>
      </c>
      <c r="D38" s="455">
        <f t="shared" si="0"/>
        <v>0</v>
      </c>
      <c r="G38" s="455">
        <f t="shared" si="1"/>
        <v>0</v>
      </c>
      <c r="J38" s="455">
        <f t="shared" si="2"/>
        <v>0</v>
      </c>
      <c r="M38" s="455">
        <f t="shared" si="3"/>
        <v>0</v>
      </c>
      <c r="P38" s="455">
        <f t="shared" si="4"/>
        <v>0</v>
      </c>
      <c r="S38" s="455">
        <f t="shared" si="5"/>
        <v>0</v>
      </c>
      <c r="V38" s="455">
        <f t="shared" si="6"/>
        <v>0</v>
      </c>
      <c r="Y38" s="455">
        <f t="shared" si="7"/>
        <v>0</v>
      </c>
      <c r="AB38" s="455">
        <f t="shared" si="8"/>
        <v>0</v>
      </c>
      <c r="AE38" s="455">
        <v>0</v>
      </c>
      <c r="AH38" s="455">
        <v>0</v>
      </c>
      <c r="AI38" s="475">
        <f>81375000</f>
        <v>81375000</v>
      </c>
      <c r="AJ38" s="476">
        <v>2.5999999999999999E-2</v>
      </c>
      <c r="AK38" s="455">
        <f t="shared" si="9"/>
        <v>5877.083333333333</v>
      </c>
      <c r="AL38" s="475">
        <f t="shared" si="52"/>
        <v>25000000</v>
      </c>
      <c r="AM38" s="476">
        <v>2.75E-2</v>
      </c>
      <c r="AN38" s="455">
        <f t="shared" si="10"/>
        <v>1909.7222222222222</v>
      </c>
      <c r="AO38" s="475">
        <f t="shared" si="53"/>
        <v>25000000</v>
      </c>
      <c r="AP38" s="476">
        <v>2.7699999999999999E-2</v>
      </c>
      <c r="AQ38" s="455">
        <f t="shared" si="11"/>
        <v>1923.6111111111111</v>
      </c>
      <c r="AT38" s="455">
        <f t="shared" si="12"/>
        <v>0</v>
      </c>
      <c r="AW38" s="455">
        <f t="shared" si="13"/>
        <v>0</v>
      </c>
      <c r="AZ38" s="455">
        <f t="shared" si="14"/>
        <v>0</v>
      </c>
      <c r="BC38" s="455">
        <f t="shared" si="15"/>
        <v>0</v>
      </c>
      <c r="BF38" s="455">
        <f t="shared" si="16"/>
        <v>0</v>
      </c>
      <c r="BI38" s="455">
        <f t="shared" si="17"/>
        <v>0</v>
      </c>
      <c r="BL38" s="455">
        <f t="shared" si="18"/>
        <v>0</v>
      </c>
      <c r="BO38" s="455">
        <f t="shared" si="19"/>
        <v>0</v>
      </c>
      <c r="BR38" s="455">
        <f t="shared" si="20"/>
        <v>0</v>
      </c>
      <c r="BU38" s="455">
        <f t="shared" si="21"/>
        <v>0</v>
      </c>
      <c r="BX38" s="455">
        <f t="shared" si="22"/>
        <v>0</v>
      </c>
      <c r="CA38" s="455">
        <f t="shared" si="23"/>
        <v>0</v>
      </c>
      <c r="CD38" s="455">
        <f t="shared" si="24"/>
        <v>0</v>
      </c>
      <c r="CG38" s="455">
        <f t="shared" si="25"/>
        <v>0</v>
      </c>
      <c r="CJ38" s="455">
        <f t="shared" si="26"/>
        <v>0</v>
      </c>
      <c r="CM38" s="455">
        <f t="shared" si="27"/>
        <v>0</v>
      </c>
      <c r="CP38" s="455">
        <f t="shared" si="28"/>
        <v>0</v>
      </c>
      <c r="CS38" s="455">
        <f t="shared" si="29"/>
        <v>0</v>
      </c>
      <c r="CV38" s="455">
        <f t="shared" si="30"/>
        <v>0</v>
      </c>
      <c r="CY38" s="455">
        <f t="shared" si="31"/>
        <v>0</v>
      </c>
      <c r="DB38" s="455">
        <f t="shared" si="32"/>
        <v>0</v>
      </c>
      <c r="DE38" s="455">
        <f t="shared" si="33"/>
        <v>0</v>
      </c>
      <c r="DH38" s="455">
        <f t="shared" si="34"/>
        <v>0</v>
      </c>
      <c r="DK38" s="455">
        <f t="shared" si="35"/>
        <v>0</v>
      </c>
      <c r="DN38" s="455">
        <f t="shared" si="36"/>
        <v>0</v>
      </c>
      <c r="DQ38" s="455">
        <f t="shared" si="37"/>
        <v>0</v>
      </c>
      <c r="DT38" s="455">
        <f t="shared" si="38"/>
        <v>0</v>
      </c>
      <c r="DW38" s="455">
        <f t="shared" si="39"/>
        <v>0</v>
      </c>
      <c r="DZ38" s="455"/>
      <c r="EA38" s="455"/>
      <c r="EB38" s="274">
        <f t="shared" si="40"/>
        <v>131375000</v>
      </c>
      <c r="EC38" s="274">
        <f t="shared" si="41"/>
        <v>0</v>
      </c>
      <c r="ED38" s="455">
        <f t="shared" si="42"/>
        <v>9710.4166666666661</v>
      </c>
      <c r="EE38" s="456">
        <f t="shared" si="43"/>
        <v>2.6608943862987629E-2</v>
      </c>
      <c r="EG38" s="274">
        <f t="shared" si="44"/>
        <v>0</v>
      </c>
      <c r="EH38" s="455">
        <f t="shared" si="45"/>
        <v>0</v>
      </c>
      <c r="EI38" s="456">
        <f t="shared" si="46"/>
        <v>0</v>
      </c>
      <c r="EJ38" s="456"/>
      <c r="EK38" s="274">
        <f t="shared" si="47"/>
        <v>131375000</v>
      </c>
      <c r="EL38" s="274">
        <f t="shared" si="48"/>
        <v>0</v>
      </c>
      <c r="EM38" s="274">
        <f t="shared" si="49"/>
        <v>9710.4166666666661</v>
      </c>
      <c r="EN38" s="456">
        <f t="shared" si="50"/>
        <v>2.6608943862987629E-2</v>
      </c>
    </row>
    <row r="39" spans="1:144">
      <c r="A39" s="474">
        <f t="shared" si="51"/>
        <v>43614</v>
      </c>
      <c r="B39" s="455">
        <v>0</v>
      </c>
      <c r="C39" s="456">
        <v>2.7462799999999999E-2</v>
      </c>
      <c r="D39" s="455">
        <f t="shared" si="0"/>
        <v>0</v>
      </c>
      <c r="G39" s="455">
        <f t="shared" si="1"/>
        <v>0</v>
      </c>
      <c r="J39" s="455">
        <f t="shared" si="2"/>
        <v>0</v>
      </c>
      <c r="M39" s="455">
        <f t="shared" si="3"/>
        <v>0</v>
      </c>
      <c r="P39" s="455">
        <f t="shared" si="4"/>
        <v>0</v>
      </c>
      <c r="S39" s="455">
        <f t="shared" si="5"/>
        <v>0</v>
      </c>
      <c r="V39" s="455">
        <f t="shared" si="6"/>
        <v>0</v>
      </c>
      <c r="Y39" s="455">
        <f t="shared" si="7"/>
        <v>0</v>
      </c>
      <c r="AB39" s="455">
        <f t="shared" si="8"/>
        <v>0</v>
      </c>
      <c r="AE39" s="455">
        <v>0</v>
      </c>
      <c r="AH39" s="455">
        <v>0</v>
      </c>
      <c r="AI39" s="475">
        <f>79650000</f>
        <v>79650000</v>
      </c>
      <c r="AJ39" s="476">
        <v>2.5999999999999999E-2</v>
      </c>
      <c r="AK39" s="455">
        <f t="shared" si="9"/>
        <v>5752.5</v>
      </c>
      <c r="AL39" s="475">
        <f t="shared" si="52"/>
        <v>25000000</v>
      </c>
      <c r="AM39" s="476">
        <v>2.75E-2</v>
      </c>
      <c r="AN39" s="455">
        <f t="shared" si="10"/>
        <v>1909.7222222222222</v>
      </c>
      <c r="AO39" s="475">
        <f t="shared" si="53"/>
        <v>25000000</v>
      </c>
      <c r="AP39" s="476">
        <v>2.7699999999999999E-2</v>
      </c>
      <c r="AQ39" s="455">
        <f t="shared" si="11"/>
        <v>1923.6111111111111</v>
      </c>
      <c r="AT39" s="455">
        <f t="shared" si="12"/>
        <v>0</v>
      </c>
      <c r="AW39" s="455">
        <f t="shared" si="13"/>
        <v>0</v>
      </c>
      <c r="AZ39" s="455">
        <f t="shared" si="14"/>
        <v>0</v>
      </c>
      <c r="BC39" s="455">
        <f t="shared" si="15"/>
        <v>0</v>
      </c>
      <c r="BF39" s="455">
        <f t="shared" si="16"/>
        <v>0</v>
      </c>
      <c r="BI39" s="455">
        <f t="shared" si="17"/>
        <v>0</v>
      </c>
      <c r="BL39" s="455">
        <f t="shared" si="18"/>
        <v>0</v>
      </c>
      <c r="BO39" s="455">
        <f t="shared" si="19"/>
        <v>0</v>
      </c>
      <c r="BR39" s="455">
        <f t="shared" si="20"/>
        <v>0</v>
      </c>
      <c r="BU39" s="455">
        <f t="shared" si="21"/>
        <v>0</v>
      </c>
      <c r="BX39" s="455">
        <f t="shared" si="22"/>
        <v>0</v>
      </c>
      <c r="CA39" s="455">
        <f t="shared" si="23"/>
        <v>0</v>
      </c>
      <c r="CD39" s="455">
        <f t="shared" si="24"/>
        <v>0</v>
      </c>
      <c r="CG39" s="455">
        <f t="shared" si="25"/>
        <v>0</v>
      </c>
      <c r="CJ39" s="455">
        <f t="shared" si="26"/>
        <v>0</v>
      </c>
      <c r="CM39" s="455">
        <f t="shared" si="27"/>
        <v>0</v>
      </c>
      <c r="CP39" s="455">
        <f t="shared" si="28"/>
        <v>0</v>
      </c>
      <c r="CS39" s="455">
        <f t="shared" si="29"/>
        <v>0</v>
      </c>
      <c r="CV39" s="455">
        <f t="shared" si="30"/>
        <v>0</v>
      </c>
      <c r="CY39" s="455">
        <f t="shared" si="31"/>
        <v>0</v>
      </c>
      <c r="DB39" s="455">
        <f t="shared" si="32"/>
        <v>0</v>
      </c>
      <c r="DE39" s="455">
        <f t="shared" si="33"/>
        <v>0</v>
      </c>
      <c r="DH39" s="455">
        <f t="shared" si="34"/>
        <v>0</v>
      </c>
      <c r="DK39" s="455">
        <f t="shared" si="35"/>
        <v>0</v>
      </c>
      <c r="DN39" s="455">
        <f t="shared" si="36"/>
        <v>0</v>
      </c>
      <c r="DQ39" s="455">
        <f t="shared" si="37"/>
        <v>0</v>
      </c>
      <c r="DT39" s="455">
        <f t="shared" si="38"/>
        <v>0</v>
      </c>
      <c r="DW39" s="455">
        <f t="shared" si="39"/>
        <v>0</v>
      </c>
      <c r="DZ39" s="455"/>
      <c r="EA39" s="455"/>
      <c r="EB39" s="274">
        <f t="shared" si="40"/>
        <v>129650000</v>
      </c>
      <c r="EC39" s="274">
        <f t="shared" si="41"/>
        <v>0</v>
      </c>
      <c r="ED39" s="455">
        <f t="shared" si="42"/>
        <v>9585.8333333333339</v>
      </c>
      <c r="EE39" s="456">
        <f t="shared" si="43"/>
        <v>2.661704589278828E-2</v>
      </c>
      <c r="EG39" s="274">
        <f t="shared" si="44"/>
        <v>0</v>
      </c>
      <c r="EH39" s="455">
        <f t="shared" si="45"/>
        <v>0</v>
      </c>
      <c r="EI39" s="456">
        <f t="shared" si="46"/>
        <v>0</v>
      </c>
      <c r="EJ39" s="456"/>
      <c r="EK39" s="274">
        <f t="shared" si="47"/>
        <v>129650000</v>
      </c>
      <c r="EL39" s="274">
        <f t="shared" si="48"/>
        <v>0</v>
      </c>
      <c r="EM39" s="274">
        <f t="shared" si="49"/>
        <v>9585.8333333333321</v>
      </c>
      <c r="EN39" s="456">
        <f t="shared" si="50"/>
        <v>2.6617045892788273E-2</v>
      </c>
    </row>
    <row r="40" spans="1:144">
      <c r="A40" s="474">
        <f t="shared" si="51"/>
        <v>43615</v>
      </c>
      <c r="B40" s="455">
        <v>0</v>
      </c>
      <c r="C40" s="456">
        <v>2.742876E-2</v>
      </c>
      <c r="D40" s="455">
        <f t="shared" si="0"/>
        <v>0</v>
      </c>
      <c r="G40" s="455">
        <f t="shared" si="1"/>
        <v>0</v>
      </c>
      <c r="J40" s="455">
        <f t="shared" si="2"/>
        <v>0</v>
      </c>
      <c r="M40" s="455">
        <f t="shared" si="3"/>
        <v>0</v>
      </c>
      <c r="P40" s="455">
        <f t="shared" si="4"/>
        <v>0</v>
      </c>
      <c r="S40" s="455">
        <f t="shared" si="5"/>
        <v>0</v>
      </c>
      <c r="V40" s="455">
        <f t="shared" si="6"/>
        <v>0</v>
      </c>
      <c r="Y40" s="455">
        <f t="shared" si="7"/>
        <v>0</v>
      </c>
      <c r="AB40" s="455">
        <f t="shared" si="8"/>
        <v>0</v>
      </c>
      <c r="AE40" s="455">
        <v>0</v>
      </c>
      <c r="AH40" s="455">
        <v>0</v>
      </c>
      <c r="AI40" s="475">
        <v>83575000</v>
      </c>
      <c r="AJ40" s="476">
        <v>2.5899999999999999E-2</v>
      </c>
      <c r="AK40" s="455">
        <f t="shared" si="9"/>
        <v>6012.7569444444443</v>
      </c>
      <c r="AL40" s="475">
        <f t="shared" si="52"/>
        <v>25000000</v>
      </c>
      <c r="AM40" s="476">
        <v>2.75E-2</v>
      </c>
      <c r="AN40" s="455">
        <f t="shared" si="10"/>
        <v>1909.7222222222222</v>
      </c>
      <c r="AO40" s="475">
        <f t="shared" si="53"/>
        <v>25000000</v>
      </c>
      <c r="AP40" s="476">
        <v>2.7699999999999999E-2</v>
      </c>
      <c r="AQ40" s="455">
        <f t="shared" si="11"/>
        <v>1923.6111111111111</v>
      </c>
      <c r="AT40" s="455">
        <f t="shared" si="12"/>
        <v>0</v>
      </c>
      <c r="AW40" s="455">
        <f t="shared" si="13"/>
        <v>0</v>
      </c>
      <c r="AZ40" s="455">
        <f t="shared" si="14"/>
        <v>0</v>
      </c>
      <c r="BC40" s="455">
        <f t="shared" si="15"/>
        <v>0</v>
      </c>
      <c r="BF40" s="455">
        <f t="shared" si="16"/>
        <v>0</v>
      </c>
      <c r="BI40" s="455">
        <f t="shared" si="17"/>
        <v>0</v>
      </c>
      <c r="BL40" s="455">
        <f t="shared" si="18"/>
        <v>0</v>
      </c>
      <c r="BO40" s="455">
        <f t="shared" si="19"/>
        <v>0</v>
      </c>
      <c r="BR40" s="455">
        <f t="shared" si="20"/>
        <v>0</v>
      </c>
      <c r="BU40" s="455">
        <f t="shared" si="21"/>
        <v>0</v>
      </c>
      <c r="BX40" s="455">
        <f t="shared" si="22"/>
        <v>0</v>
      </c>
      <c r="CA40" s="455">
        <f t="shared" si="23"/>
        <v>0</v>
      </c>
      <c r="CD40" s="455">
        <f t="shared" si="24"/>
        <v>0</v>
      </c>
      <c r="CG40" s="455">
        <f t="shared" si="25"/>
        <v>0</v>
      </c>
      <c r="CJ40" s="455">
        <f t="shared" si="26"/>
        <v>0</v>
      </c>
      <c r="CM40" s="455">
        <f t="shared" si="27"/>
        <v>0</v>
      </c>
      <c r="CP40" s="455">
        <f t="shared" si="28"/>
        <v>0</v>
      </c>
      <c r="CS40" s="455">
        <f t="shared" si="29"/>
        <v>0</v>
      </c>
      <c r="CV40" s="455">
        <f t="shared" si="30"/>
        <v>0</v>
      </c>
      <c r="CY40" s="455">
        <f t="shared" si="31"/>
        <v>0</v>
      </c>
      <c r="DB40" s="455">
        <f t="shared" si="32"/>
        <v>0</v>
      </c>
      <c r="DE40" s="455">
        <f t="shared" si="33"/>
        <v>0</v>
      </c>
      <c r="DH40" s="455">
        <f t="shared" si="34"/>
        <v>0</v>
      </c>
      <c r="DK40" s="455">
        <f t="shared" si="35"/>
        <v>0</v>
      </c>
      <c r="DN40" s="455">
        <f t="shared" si="36"/>
        <v>0</v>
      </c>
      <c r="DQ40" s="455">
        <f t="shared" si="37"/>
        <v>0</v>
      </c>
      <c r="DT40" s="455">
        <f t="shared" si="38"/>
        <v>0</v>
      </c>
      <c r="DW40" s="455">
        <f t="shared" si="39"/>
        <v>0</v>
      </c>
      <c r="DZ40" s="453"/>
      <c r="EA40" s="455"/>
      <c r="EB40" s="274">
        <f t="shared" si="40"/>
        <v>133575000</v>
      </c>
      <c r="EC40" s="274">
        <f t="shared" si="41"/>
        <v>0</v>
      </c>
      <c r="ED40" s="455">
        <f t="shared" si="42"/>
        <v>9846.0902777777774</v>
      </c>
      <c r="EE40" s="456">
        <f t="shared" si="43"/>
        <v>2.6536346621748079E-2</v>
      </c>
      <c r="EG40" s="274">
        <f t="shared" si="44"/>
        <v>0</v>
      </c>
      <c r="EH40" s="455">
        <f t="shared" si="45"/>
        <v>0</v>
      </c>
      <c r="EI40" s="456">
        <f t="shared" si="46"/>
        <v>0</v>
      </c>
      <c r="EJ40" s="456"/>
      <c r="EK40" s="274">
        <f t="shared" si="47"/>
        <v>133575000</v>
      </c>
      <c r="EL40" s="274">
        <f t="shared" si="48"/>
        <v>0</v>
      </c>
      <c r="EM40" s="274">
        <f t="shared" si="49"/>
        <v>9846.0902777777774</v>
      </c>
      <c r="EN40" s="456">
        <f t="shared" si="50"/>
        <v>2.6536346621748079E-2</v>
      </c>
    </row>
    <row r="41" spans="1:144">
      <c r="A41" s="474">
        <f t="shared" si="51"/>
        <v>43616</v>
      </c>
      <c r="B41" s="455">
        <v>0</v>
      </c>
      <c r="C41" s="456">
        <v>2.7406239999999998E-2</v>
      </c>
      <c r="D41" s="455">
        <f t="shared" si="0"/>
        <v>0</v>
      </c>
      <c r="G41" s="455">
        <f t="shared" si="1"/>
        <v>0</v>
      </c>
      <c r="J41" s="455">
        <f t="shared" si="2"/>
        <v>0</v>
      </c>
      <c r="M41" s="455">
        <f t="shared" si="3"/>
        <v>0</v>
      </c>
      <c r="P41" s="455">
        <f t="shared" si="4"/>
        <v>0</v>
      </c>
      <c r="S41" s="455">
        <f t="shared" si="5"/>
        <v>0</v>
      </c>
      <c r="V41" s="455">
        <f t="shared" si="6"/>
        <v>0</v>
      </c>
      <c r="Y41" s="455">
        <f t="shared" si="7"/>
        <v>0</v>
      </c>
      <c r="AB41" s="455">
        <f t="shared" si="8"/>
        <v>0</v>
      </c>
      <c r="AE41" s="455">
        <v>0</v>
      </c>
      <c r="AH41" s="455">
        <v>0</v>
      </c>
      <c r="AI41" s="475">
        <f>96425000</f>
        <v>96425000</v>
      </c>
      <c r="AJ41" s="476">
        <v>2.5899999999999999E-2</v>
      </c>
      <c r="AK41" s="455">
        <f t="shared" si="9"/>
        <v>6937.2430555555557</v>
      </c>
      <c r="AL41" s="475">
        <f t="shared" si="52"/>
        <v>25000000</v>
      </c>
      <c r="AM41" s="476">
        <v>2.75E-2</v>
      </c>
      <c r="AN41" s="455">
        <f t="shared" si="10"/>
        <v>1909.7222222222222</v>
      </c>
      <c r="AO41" s="475">
        <f t="shared" si="53"/>
        <v>25000000</v>
      </c>
      <c r="AP41" s="476">
        <v>2.7699999999999999E-2</v>
      </c>
      <c r="AQ41" s="455">
        <f t="shared" si="11"/>
        <v>1923.6111111111111</v>
      </c>
      <c r="AT41" s="455">
        <f t="shared" si="12"/>
        <v>0</v>
      </c>
      <c r="AW41" s="455">
        <f t="shared" si="13"/>
        <v>0</v>
      </c>
      <c r="AZ41" s="455">
        <f t="shared" si="14"/>
        <v>0</v>
      </c>
      <c r="BC41" s="455">
        <f t="shared" si="15"/>
        <v>0</v>
      </c>
      <c r="BF41" s="455">
        <f t="shared" si="16"/>
        <v>0</v>
      </c>
      <c r="BI41" s="455">
        <f t="shared" si="17"/>
        <v>0</v>
      </c>
      <c r="BL41" s="455">
        <f t="shared" si="18"/>
        <v>0</v>
      </c>
      <c r="BO41" s="455">
        <f t="shared" si="19"/>
        <v>0</v>
      </c>
      <c r="BR41" s="455">
        <f t="shared" si="20"/>
        <v>0</v>
      </c>
      <c r="BU41" s="455">
        <f t="shared" si="21"/>
        <v>0</v>
      </c>
      <c r="BX41" s="455">
        <f t="shared" si="22"/>
        <v>0</v>
      </c>
      <c r="CA41" s="455">
        <f t="shared" si="23"/>
        <v>0</v>
      </c>
      <c r="CD41" s="455">
        <f t="shared" si="24"/>
        <v>0</v>
      </c>
      <c r="CG41" s="455">
        <f t="shared" si="25"/>
        <v>0</v>
      </c>
      <c r="CJ41" s="455">
        <f t="shared" si="26"/>
        <v>0</v>
      </c>
      <c r="CM41" s="455">
        <f t="shared" si="27"/>
        <v>0</v>
      </c>
      <c r="CP41" s="455">
        <f t="shared" si="28"/>
        <v>0</v>
      </c>
      <c r="CS41" s="455">
        <f t="shared" si="29"/>
        <v>0</v>
      </c>
      <c r="CV41" s="455">
        <f t="shared" si="30"/>
        <v>0</v>
      </c>
      <c r="CY41" s="455">
        <f t="shared" si="31"/>
        <v>0</v>
      </c>
      <c r="DB41" s="455">
        <f t="shared" si="32"/>
        <v>0</v>
      </c>
      <c r="DE41" s="455">
        <f t="shared" si="33"/>
        <v>0</v>
      </c>
      <c r="DH41" s="455">
        <f t="shared" si="34"/>
        <v>0</v>
      </c>
      <c r="DK41" s="455">
        <f t="shared" si="35"/>
        <v>0</v>
      </c>
      <c r="DN41" s="455">
        <f t="shared" si="36"/>
        <v>0</v>
      </c>
      <c r="DQ41" s="455">
        <f t="shared" si="37"/>
        <v>0</v>
      </c>
      <c r="DT41" s="455">
        <f t="shared" si="38"/>
        <v>0</v>
      </c>
      <c r="DW41" s="455">
        <f t="shared" si="39"/>
        <v>0</v>
      </c>
      <c r="DZ41" s="453"/>
      <c r="EA41" s="455"/>
      <c r="EB41" s="274">
        <f t="shared" si="40"/>
        <v>146425000</v>
      </c>
      <c r="EC41" s="274">
        <f t="shared" si="41"/>
        <v>0</v>
      </c>
      <c r="ED41" s="455">
        <f t="shared" si="42"/>
        <v>10770.576388888889</v>
      </c>
      <c r="EE41" s="456">
        <f t="shared" si="43"/>
        <v>2.6480501963462522E-2</v>
      </c>
      <c r="EG41" s="274">
        <f t="shared" si="44"/>
        <v>0</v>
      </c>
      <c r="EH41" s="455">
        <f t="shared" si="45"/>
        <v>0</v>
      </c>
      <c r="EI41" s="456">
        <f t="shared" si="46"/>
        <v>0</v>
      </c>
      <c r="EJ41" s="456"/>
      <c r="EK41" s="274">
        <f t="shared" si="47"/>
        <v>146425000</v>
      </c>
      <c r="EL41" s="274">
        <f t="shared" si="48"/>
        <v>0</v>
      </c>
      <c r="EM41" s="274">
        <f t="shared" si="49"/>
        <v>10770.576388888889</v>
      </c>
      <c r="EN41" s="456">
        <f t="shared" si="50"/>
        <v>2.6480501963462522E-2</v>
      </c>
    </row>
    <row r="42" spans="1:144">
      <c r="A42" s="275" t="s">
        <v>13</v>
      </c>
      <c r="D42" s="477">
        <f>SUM(D11:D41)</f>
        <v>0</v>
      </c>
      <c r="G42" s="477">
        <f>SUM(G11:G41)</f>
        <v>0</v>
      </c>
      <c r="J42" s="477">
        <f>SUM(J11:J41)</f>
        <v>0</v>
      </c>
      <c r="M42" s="477">
        <f>SUM(M11:M41)</f>
        <v>0</v>
      </c>
      <c r="P42" s="477">
        <f>SUM(P11:P41)</f>
        <v>0</v>
      </c>
      <c r="S42" s="477">
        <f>SUM(S11:S41)</f>
        <v>0</v>
      </c>
      <c r="V42" s="477">
        <f>SUM(V11:V41)</f>
        <v>0</v>
      </c>
      <c r="Y42" s="477">
        <f>SUM(Y11:Y41)</f>
        <v>0</v>
      </c>
      <c r="AB42" s="477">
        <f>SUM(AB11:AB41)</f>
        <v>0</v>
      </c>
      <c r="AE42" s="477">
        <f>SUM(AE11:AE41)</f>
        <v>0</v>
      </c>
      <c r="AH42" s="477">
        <f>SUM(AH11:AH41)</f>
        <v>0</v>
      </c>
      <c r="AK42" s="477">
        <f>SUM(AK11:AK41)</f>
        <v>151338.79166666669</v>
      </c>
      <c r="AN42" s="477">
        <f>SUM(AN11:AN41)</f>
        <v>47743.055555555533</v>
      </c>
      <c r="AQ42" s="477">
        <f>SUM(AQ11:AQ41)</f>
        <v>32701.388888888876</v>
      </c>
      <c r="AT42" s="477">
        <f>SUM(AT11:AT41)</f>
        <v>0</v>
      </c>
      <c r="AW42" s="477">
        <f>SUM(AW11:AW41)</f>
        <v>0</v>
      </c>
      <c r="AZ42" s="477">
        <f>SUM(AZ11:AZ41)</f>
        <v>0</v>
      </c>
      <c r="BC42" s="477">
        <f>SUM(BC11:BC41)</f>
        <v>0</v>
      </c>
      <c r="BF42" s="477">
        <f>SUM(BF11:BF41)</f>
        <v>0</v>
      </c>
      <c r="BI42" s="477">
        <f>SUM(BI11:BI41)</f>
        <v>0</v>
      </c>
      <c r="BL42" s="477">
        <f>SUM(BL11:BL41)</f>
        <v>0</v>
      </c>
      <c r="BO42" s="477">
        <f>SUM(BO11:BO41)</f>
        <v>0</v>
      </c>
      <c r="BR42" s="477">
        <f>SUM(BR11:BR41)</f>
        <v>0</v>
      </c>
      <c r="BU42" s="477">
        <f>SUM(BU11:BU41)</f>
        <v>0</v>
      </c>
      <c r="BX42" s="477">
        <f>SUM(BX11:BX41)</f>
        <v>0</v>
      </c>
      <c r="CA42" s="477">
        <f>SUM(CA11:CA41)</f>
        <v>0</v>
      </c>
      <c r="CD42" s="477">
        <f>SUM(CD11:CD41)</f>
        <v>0</v>
      </c>
      <c r="CG42" s="477">
        <f>SUM(CG11:CG41)</f>
        <v>0</v>
      </c>
      <c r="CJ42" s="477">
        <f>SUM(CJ11:CJ41)</f>
        <v>0</v>
      </c>
      <c r="CM42" s="477">
        <f>SUM(CM11:CM41)</f>
        <v>0</v>
      </c>
      <c r="CP42" s="477">
        <f>SUM(CP11:CP41)</f>
        <v>0</v>
      </c>
      <c r="CS42" s="477">
        <f>SUM(CS11:CS41)</f>
        <v>0</v>
      </c>
      <c r="CV42" s="477">
        <f>SUM(CV11:CV41)</f>
        <v>0</v>
      </c>
      <c r="CY42" s="477">
        <f>SUM(CY11:CY41)</f>
        <v>0</v>
      </c>
      <c r="DB42" s="477">
        <f>SUM(DB11:DB41)</f>
        <v>0</v>
      </c>
      <c r="DE42" s="477">
        <f>SUM(DE11:DE41)</f>
        <v>0</v>
      </c>
      <c r="DH42" s="477">
        <f>SUM(DH11:DH41)</f>
        <v>0</v>
      </c>
      <c r="DK42" s="477">
        <f>SUM(DK11:DK41)</f>
        <v>0</v>
      </c>
      <c r="DN42" s="477">
        <f>SUM(DN11:DN41)</f>
        <v>0</v>
      </c>
      <c r="DQ42" s="477">
        <f>SUM(DQ11:DQ41)</f>
        <v>0</v>
      </c>
      <c r="DT42" s="477">
        <f>SUM(DT11:DT41)</f>
        <v>0</v>
      </c>
      <c r="DW42" s="477">
        <f>SUM(DW11:DW41)</f>
        <v>0</v>
      </c>
      <c r="DZ42" s="453"/>
      <c r="EA42" s="453"/>
      <c r="EB42" s="455"/>
      <c r="EC42" s="455"/>
      <c r="ED42" s="477">
        <f>SUM(ED11:ED41)</f>
        <v>231783.23611111115</v>
      </c>
      <c r="EE42" s="456"/>
      <c r="EG42" s="455"/>
      <c r="EH42" s="477">
        <f>SUM(EH11:EH41)</f>
        <v>0</v>
      </c>
      <c r="EI42" s="456"/>
      <c r="EJ42" s="456"/>
      <c r="EK42" s="455"/>
      <c r="EL42" s="455"/>
      <c r="EM42" s="477">
        <f>SUM(EM11:EM41)</f>
        <v>231783.23611111115</v>
      </c>
      <c r="EN42" s="456"/>
    </row>
    <row r="44" spans="1:144">
      <c r="EM44" s="478"/>
    </row>
    <row r="45" spans="1:144">
      <c r="EM45" s="478"/>
    </row>
    <row r="46" spans="1:144">
      <c r="EM46" s="455"/>
    </row>
    <row r="47" spans="1:144">
      <c r="EM47" s="455"/>
    </row>
  </sheetData>
  <pageMargins left="0.7" right="0.7" top="0.75" bottom="0.75" header="0.3" footer="0.3"/>
  <pageSetup scale="89" orientation="portrait" r:id="rId1"/>
  <headerFooter>
    <oddFooter>&amp;CSchedule MA-TU&amp;RMay 2019 &amp;P of &amp;N
Confidential
4 CSR 240-2.090(9(A).2(D).II)</oddFooter>
  </headerFooter>
  <colBreaks count="3" manualBreakCount="3">
    <brk id="37" max="1048575" man="1"/>
    <brk id="131" max="41" man="1"/>
    <brk id="14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zoomScale="80" zoomScaleNormal="80" workbookViewId="0">
      <selection activeCell="A3" sqref="A3"/>
    </sheetView>
  </sheetViews>
  <sheetFormatPr defaultColWidth="9.140625" defaultRowHeight="12.75"/>
  <cols>
    <col min="1" max="1" width="14.5703125" style="486" bestFit="1" customWidth="1"/>
    <col min="2" max="2" width="15.5703125" style="484" hidden="1" customWidth="1"/>
    <col min="3" max="3" width="15.42578125" style="485" hidden="1" customWidth="1"/>
    <col min="4" max="4" width="15.42578125" style="486" hidden="1" customWidth="1"/>
    <col min="5" max="5" width="15.5703125" style="484" bestFit="1" customWidth="1"/>
    <col min="6" max="6" width="7.140625" style="485" customWidth="1"/>
    <col min="7" max="7" width="18" style="486" customWidth="1"/>
    <col min="8" max="8" width="15.42578125" style="484" hidden="1" customWidth="1"/>
    <col min="9" max="9" width="10.28515625" style="485" hidden="1" customWidth="1"/>
    <col min="10" max="10" width="13.42578125" style="486" hidden="1" customWidth="1"/>
    <col min="11" max="11" width="14.42578125" style="484" hidden="1" customWidth="1"/>
    <col min="12" max="12" width="10.28515625" style="485" hidden="1" customWidth="1"/>
    <col min="13" max="13" width="11.7109375" style="486" hidden="1" customWidth="1"/>
    <col min="14" max="14" width="14.42578125" style="484" hidden="1" customWidth="1"/>
    <col min="15" max="15" width="10.28515625" style="485" hidden="1" customWidth="1"/>
    <col min="16" max="16" width="11.7109375" style="486" hidden="1" customWidth="1"/>
    <col min="17" max="17" width="15.42578125" style="484" hidden="1" customWidth="1"/>
    <col min="18" max="18" width="10.28515625" style="485" hidden="1" customWidth="1"/>
    <col min="19" max="19" width="11.7109375" style="486" hidden="1" customWidth="1"/>
    <col min="20" max="20" width="15.42578125" style="484" hidden="1" customWidth="1"/>
    <col min="21" max="21" width="10.28515625" style="485" hidden="1" customWidth="1"/>
    <col min="22" max="22" width="11.7109375" style="486" hidden="1" customWidth="1"/>
    <col min="23" max="23" width="15.42578125" style="484" hidden="1" customWidth="1"/>
    <col min="24" max="24" width="10.28515625" style="485" hidden="1" customWidth="1"/>
    <col min="25" max="25" width="11.7109375" style="486" hidden="1" customWidth="1"/>
    <col min="26" max="26" width="15.42578125" style="484" hidden="1" customWidth="1"/>
    <col min="27" max="27" width="10.28515625" style="485" hidden="1" customWidth="1"/>
    <col min="28" max="28" width="11.7109375" style="486" hidden="1" customWidth="1"/>
    <col min="29" max="29" width="15.42578125" style="484" hidden="1" customWidth="1"/>
    <col min="30" max="30" width="10.28515625" style="485" hidden="1" customWidth="1"/>
    <col min="31" max="31" width="11.7109375" style="486" hidden="1" customWidth="1"/>
    <col min="32" max="32" width="14.42578125" style="484" hidden="1" customWidth="1"/>
    <col min="33" max="33" width="10.28515625" style="485" hidden="1" customWidth="1"/>
    <col min="34" max="34" width="10.7109375" style="486" hidden="1" customWidth="1"/>
    <col min="35" max="35" width="14.42578125" style="484" customWidth="1"/>
    <col min="36" max="36" width="14.28515625" style="485" customWidth="1"/>
    <col min="37" max="37" width="14.5703125" style="486" customWidth="1"/>
    <col min="38" max="38" width="14.42578125" style="484" customWidth="1"/>
    <col min="39" max="39" width="16.28515625" style="485" customWidth="1"/>
    <col min="40" max="40" width="14.5703125" style="486" customWidth="1"/>
    <col min="41" max="41" width="15.42578125" style="484" bestFit="1" customWidth="1"/>
    <col min="42" max="42" width="12.28515625" style="485" bestFit="1" customWidth="1"/>
    <col min="43" max="43" width="13.5703125" style="486" customWidth="1"/>
    <col min="44" max="44" width="15.42578125" style="484" bestFit="1" customWidth="1"/>
    <col min="45" max="45" width="13.5703125" style="485" customWidth="1"/>
    <col min="46" max="46" width="14.28515625" style="486" customWidth="1"/>
    <col min="47" max="47" width="14.42578125" style="484" hidden="1" customWidth="1"/>
    <col min="48" max="48" width="10.28515625" style="485" hidden="1" customWidth="1"/>
    <col min="49" max="49" width="10.7109375" style="486" hidden="1" customWidth="1"/>
    <col min="50" max="50" width="14.42578125" style="484" hidden="1" customWidth="1"/>
    <col min="51" max="51" width="10.28515625" style="485" hidden="1" customWidth="1"/>
    <col min="52" max="52" width="10.7109375" style="486" hidden="1" customWidth="1"/>
    <col min="53" max="53" width="14.42578125" style="484" hidden="1" customWidth="1"/>
    <col min="54" max="54" width="10.28515625" style="485" hidden="1" customWidth="1"/>
    <col min="55" max="55" width="10.7109375" style="486" hidden="1" customWidth="1"/>
    <col min="56" max="56" width="14.42578125" style="484" hidden="1" customWidth="1"/>
    <col min="57" max="57" width="10.28515625" style="485" hidden="1" customWidth="1"/>
    <col min="58" max="58" width="10.7109375" style="486" hidden="1" customWidth="1"/>
    <col min="59" max="59" width="14.42578125" style="484" hidden="1" customWidth="1"/>
    <col min="60" max="60" width="10.28515625" style="485" hidden="1" customWidth="1"/>
    <col min="61" max="61" width="10.7109375" style="486" hidden="1" customWidth="1"/>
    <col min="62" max="62" width="14.42578125" style="484" hidden="1" customWidth="1"/>
    <col min="63" max="63" width="10.28515625" style="485" hidden="1" customWidth="1"/>
    <col min="64" max="64" width="10.7109375" style="486" hidden="1" customWidth="1"/>
    <col min="65" max="65" width="14.42578125" style="484" hidden="1" customWidth="1"/>
    <col min="66" max="66" width="10.28515625" style="485" hidden="1" customWidth="1"/>
    <col min="67" max="67" width="10.7109375" style="486" hidden="1" customWidth="1"/>
    <col min="68" max="68" width="14.42578125" style="484" hidden="1" customWidth="1"/>
    <col min="69" max="69" width="10.28515625" style="485" hidden="1" customWidth="1"/>
    <col min="70" max="70" width="10.7109375" style="486" hidden="1" customWidth="1"/>
    <col min="71" max="71" width="14.42578125" style="484" hidden="1" customWidth="1"/>
    <col min="72" max="72" width="10.28515625" style="485" hidden="1" customWidth="1"/>
    <col min="73" max="73" width="10.7109375" style="486" hidden="1" customWidth="1"/>
    <col min="74" max="74" width="14.42578125" style="484" hidden="1" customWidth="1"/>
    <col min="75" max="75" width="10.28515625" style="485" hidden="1" customWidth="1"/>
    <col min="76" max="76" width="10.7109375" style="486" hidden="1" customWidth="1"/>
    <col min="77" max="77" width="14.42578125" style="484" hidden="1" customWidth="1"/>
    <col min="78" max="78" width="10.28515625" style="485" hidden="1" customWidth="1"/>
    <col min="79" max="79" width="10.7109375" style="486" hidden="1" customWidth="1"/>
    <col min="80" max="80" width="14.42578125" style="484" hidden="1" customWidth="1"/>
    <col min="81" max="81" width="10.28515625" style="485" hidden="1" customWidth="1"/>
    <col min="82" max="82" width="10.7109375" style="486" hidden="1" customWidth="1"/>
    <col min="83" max="83" width="14.42578125" style="484" hidden="1" customWidth="1"/>
    <col min="84" max="84" width="10.28515625" style="485" hidden="1" customWidth="1"/>
    <col min="85" max="85" width="10.7109375" style="486" hidden="1" customWidth="1"/>
    <col min="86" max="86" width="14.42578125" style="484" hidden="1" customWidth="1"/>
    <col min="87" max="87" width="10.28515625" style="485" hidden="1" customWidth="1"/>
    <col min="88" max="88" width="10.7109375" style="486" hidden="1" customWidth="1"/>
    <col min="89" max="89" width="14.42578125" style="484" hidden="1" customWidth="1"/>
    <col min="90" max="90" width="10.28515625" style="485" hidden="1" customWidth="1"/>
    <col min="91" max="91" width="10.7109375" style="486" hidden="1" customWidth="1"/>
    <col min="92" max="92" width="14.42578125" style="484" hidden="1" customWidth="1"/>
    <col min="93" max="93" width="10.28515625" style="485" hidden="1" customWidth="1"/>
    <col min="94" max="94" width="10.7109375" style="486" hidden="1" customWidth="1"/>
    <col min="95" max="95" width="14.42578125" style="484" hidden="1" customWidth="1"/>
    <col min="96" max="96" width="10.28515625" style="485" hidden="1" customWidth="1"/>
    <col min="97" max="97" width="10.7109375" style="486" hidden="1" customWidth="1"/>
    <col min="98" max="98" width="14.42578125" style="484" hidden="1" customWidth="1"/>
    <col min="99" max="99" width="10.28515625" style="485" hidden="1" customWidth="1"/>
    <col min="100" max="100" width="10.7109375" style="486" hidden="1" customWidth="1"/>
    <col min="101" max="101" width="14.42578125" style="484" hidden="1" customWidth="1"/>
    <col min="102" max="102" width="10.28515625" style="485" hidden="1" customWidth="1"/>
    <col min="103" max="103" width="10.7109375" style="486" hidden="1" customWidth="1"/>
    <col min="104" max="104" width="14.42578125" style="484" hidden="1" customWidth="1"/>
    <col min="105" max="105" width="10.28515625" style="485" hidden="1" customWidth="1"/>
    <col min="106" max="106" width="10.7109375" style="486" hidden="1" customWidth="1"/>
    <col min="107" max="107" width="14.42578125" style="484" hidden="1" customWidth="1"/>
    <col min="108" max="108" width="10.28515625" style="485" hidden="1" customWidth="1"/>
    <col min="109" max="109" width="10.7109375" style="486" hidden="1" customWidth="1"/>
    <col min="110" max="110" width="14.42578125" style="484" hidden="1" customWidth="1"/>
    <col min="111" max="111" width="10.28515625" style="485" hidden="1" customWidth="1"/>
    <col min="112" max="112" width="10.7109375" style="486" hidden="1" customWidth="1"/>
    <col min="113" max="113" width="14.42578125" style="484" hidden="1" customWidth="1"/>
    <col min="114" max="114" width="10.28515625" style="485" hidden="1" customWidth="1"/>
    <col min="115" max="115" width="10.7109375" style="486" hidden="1" customWidth="1"/>
    <col min="116" max="116" width="14.42578125" style="484" hidden="1" customWidth="1"/>
    <col min="117" max="117" width="10.28515625" style="485" hidden="1" customWidth="1"/>
    <col min="118" max="118" width="10.7109375" style="486" hidden="1" customWidth="1"/>
    <col min="119" max="119" width="14.42578125" style="484" hidden="1" customWidth="1"/>
    <col min="120" max="120" width="10.28515625" style="485" hidden="1" customWidth="1"/>
    <col min="121" max="121" width="10.7109375" style="486" hidden="1" customWidth="1"/>
    <col min="122" max="122" width="14.42578125" style="484" hidden="1" customWidth="1"/>
    <col min="123" max="123" width="10.28515625" style="485" hidden="1" customWidth="1"/>
    <col min="124" max="124" width="10.7109375" style="486" hidden="1" customWidth="1"/>
    <col min="125" max="125" width="14.42578125" style="484" hidden="1" customWidth="1"/>
    <col min="126" max="126" width="10.28515625" style="485" hidden="1" customWidth="1"/>
    <col min="127" max="127" width="10.7109375" style="486" hidden="1" customWidth="1"/>
    <col min="128" max="128" width="14.42578125" style="484" hidden="1" customWidth="1"/>
    <col min="129" max="129" width="10.28515625" style="485" hidden="1" customWidth="1"/>
    <col min="130" max="130" width="10.7109375" style="486" hidden="1" customWidth="1"/>
    <col min="131" max="131" width="2.7109375" style="486" hidden="1" customWidth="1"/>
    <col min="132" max="132" width="19.28515625" style="486" customWidth="1"/>
    <col min="133" max="133" width="15.42578125" style="486" hidden="1" customWidth="1"/>
    <col min="134" max="134" width="14.42578125" style="486" bestFit="1" customWidth="1"/>
    <col min="135" max="135" width="19.85546875" style="486" customWidth="1"/>
    <col min="136" max="136" width="2.7109375" style="486" customWidth="1"/>
    <col min="137" max="137" width="15.42578125" style="486" hidden="1" customWidth="1"/>
    <col min="138" max="138" width="14.42578125" style="486" hidden="1" customWidth="1"/>
    <col min="139" max="139" width="12.42578125" style="486" hidden="1" customWidth="1"/>
    <col min="140" max="140" width="2.7109375" style="486" hidden="1" customWidth="1"/>
    <col min="141" max="141" width="18.28515625" style="486" customWidth="1"/>
    <col min="142" max="142" width="15.42578125" style="486" hidden="1" customWidth="1"/>
    <col min="143" max="143" width="14.42578125" style="486" bestFit="1" customWidth="1"/>
    <col min="144" max="144" width="18.42578125" style="486" bestFit="1" customWidth="1"/>
    <col min="145" max="145" width="42.85546875" style="486" bestFit="1" customWidth="1"/>
    <col min="146" max="146" width="21.5703125" style="486" customWidth="1"/>
    <col min="147" max="147" width="23.140625" style="486" bestFit="1" customWidth="1"/>
    <col min="148" max="16384" width="9.140625" style="486"/>
  </cols>
  <sheetData>
    <row r="1" spans="1:147" s="283" customFormat="1">
      <c r="A1" s="282" t="s">
        <v>0</v>
      </c>
      <c r="B1" s="294"/>
      <c r="C1" s="479"/>
      <c r="E1" s="294"/>
      <c r="F1" s="479"/>
      <c r="H1" s="294"/>
      <c r="I1" s="479"/>
      <c r="K1" s="294"/>
      <c r="L1" s="479"/>
      <c r="N1" s="294"/>
      <c r="O1" s="479"/>
      <c r="Q1" s="294"/>
      <c r="R1" s="479"/>
      <c r="T1" s="294"/>
      <c r="U1" s="479"/>
      <c r="W1" s="294"/>
      <c r="X1" s="479"/>
      <c r="Z1" s="294"/>
      <c r="AA1" s="479"/>
      <c r="AC1" s="294"/>
      <c r="AD1" s="479"/>
      <c r="AF1" s="294"/>
      <c r="AG1" s="479"/>
      <c r="AI1" s="294"/>
      <c r="AJ1" s="479"/>
      <c r="AL1" s="294"/>
      <c r="AM1" s="479"/>
      <c r="AO1" s="294"/>
      <c r="AP1" s="479"/>
      <c r="AR1" s="294"/>
      <c r="AS1" s="479"/>
      <c r="AU1" s="294"/>
      <c r="AV1" s="479"/>
      <c r="AX1" s="294"/>
      <c r="AY1" s="479"/>
      <c r="BA1" s="294"/>
      <c r="BB1" s="479"/>
      <c r="BD1" s="294"/>
      <c r="BE1" s="479"/>
      <c r="BG1" s="294"/>
      <c r="BH1" s="479"/>
      <c r="BJ1" s="294"/>
      <c r="BK1" s="479"/>
      <c r="BM1" s="294"/>
      <c r="BN1" s="479"/>
      <c r="BP1" s="294"/>
      <c r="BQ1" s="479"/>
      <c r="BS1" s="294"/>
      <c r="BT1" s="479"/>
      <c r="BV1" s="294"/>
      <c r="BW1" s="479"/>
      <c r="BY1" s="294"/>
      <c r="BZ1" s="479"/>
      <c r="CB1" s="294"/>
      <c r="CC1" s="479"/>
      <c r="CE1" s="294"/>
      <c r="CF1" s="479"/>
      <c r="CH1" s="294"/>
      <c r="CI1" s="479"/>
      <c r="CK1" s="294"/>
      <c r="CL1" s="479"/>
      <c r="CN1" s="294"/>
      <c r="CO1" s="479"/>
      <c r="CQ1" s="294"/>
      <c r="CR1" s="479"/>
      <c r="CT1" s="294"/>
      <c r="CU1" s="479"/>
      <c r="CW1" s="294"/>
      <c r="CX1" s="479"/>
      <c r="CZ1" s="294"/>
      <c r="DA1" s="479"/>
      <c r="DC1" s="294"/>
      <c r="DD1" s="479"/>
      <c r="DF1" s="294"/>
      <c r="DG1" s="479"/>
      <c r="DI1" s="294"/>
      <c r="DJ1" s="479"/>
      <c r="DL1" s="294"/>
      <c r="DM1" s="479"/>
      <c r="DO1" s="294"/>
      <c r="DP1" s="479"/>
      <c r="DR1" s="294"/>
      <c r="DS1" s="479"/>
      <c r="DU1" s="294"/>
      <c r="DV1" s="479"/>
      <c r="DX1" s="294"/>
      <c r="DY1" s="479"/>
      <c r="DZ1" s="280"/>
      <c r="ED1" s="284"/>
      <c r="EE1" s="480" t="s">
        <v>118</v>
      </c>
      <c r="EI1" s="284" t="s">
        <v>59</v>
      </c>
      <c r="EM1" s="284"/>
      <c r="EN1" s="284" t="s">
        <v>120</v>
      </c>
      <c r="EO1" s="282" t="s">
        <v>121</v>
      </c>
      <c r="EP1" s="282" t="s">
        <v>122</v>
      </c>
      <c r="EQ1" s="282" t="s">
        <v>123</v>
      </c>
    </row>
    <row r="2" spans="1:147" s="283" customFormat="1">
      <c r="A2" s="282" t="s">
        <v>49</v>
      </c>
      <c r="B2" s="294"/>
      <c r="C2" s="479"/>
      <c r="E2" s="286"/>
      <c r="F2" s="479"/>
      <c r="G2" s="284"/>
      <c r="H2" s="294"/>
      <c r="I2" s="479"/>
      <c r="K2" s="294"/>
      <c r="L2" s="479"/>
      <c r="N2" s="294"/>
      <c r="O2" s="479"/>
      <c r="Q2" s="294"/>
      <c r="R2" s="479"/>
      <c r="T2" s="294"/>
      <c r="U2" s="479"/>
      <c r="W2" s="294"/>
      <c r="X2" s="479"/>
      <c r="Z2" s="294"/>
      <c r="AA2" s="479"/>
      <c r="AC2" s="294"/>
      <c r="AD2" s="479"/>
      <c r="AF2" s="294"/>
      <c r="AG2" s="479"/>
      <c r="AI2" s="294"/>
      <c r="AJ2" s="479"/>
      <c r="AL2" s="294"/>
      <c r="AM2" s="479"/>
      <c r="AO2" s="294"/>
      <c r="AP2" s="479"/>
      <c r="AR2" s="294"/>
      <c r="AS2" s="479"/>
      <c r="AU2" s="294"/>
      <c r="AV2" s="479"/>
      <c r="AX2" s="294"/>
      <c r="AY2" s="479"/>
      <c r="BA2" s="294"/>
      <c r="BB2" s="479"/>
      <c r="BD2" s="294"/>
      <c r="BE2" s="479"/>
      <c r="BG2" s="294"/>
      <c r="BH2" s="479"/>
      <c r="BJ2" s="294"/>
      <c r="BK2" s="479"/>
      <c r="BM2" s="294"/>
      <c r="BN2" s="479"/>
      <c r="BP2" s="294"/>
      <c r="BQ2" s="479"/>
      <c r="BS2" s="294"/>
      <c r="BT2" s="479"/>
      <c r="BV2" s="294"/>
      <c r="BW2" s="479"/>
      <c r="BY2" s="294"/>
      <c r="BZ2" s="479"/>
      <c r="CB2" s="294"/>
      <c r="CC2" s="479"/>
      <c r="CE2" s="294"/>
      <c r="CF2" s="479"/>
      <c r="CH2" s="294"/>
      <c r="CI2" s="479"/>
      <c r="CK2" s="294"/>
      <c r="CL2" s="479"/>
      <c r="CN2" s="294"/>
      <c r="CO2" s="479"/>
      <c r="CQ2" s="294"/>
      <c r="CR2" s="479"/>
      <c r="CT2" s="294"/>
      <c r="CU2" s="479"/>
      <c r="CW2" s="294"/>
      <c r="CX2" s="479"/>
      <c r="CZ2" s="294"/>
      <c r="DA2" s="479"/>
      <c r="DC2" s="294"/>
      <c r="DD2" s="479"/>
      <c r="DF2" s="294"/>
      <c r="DG2" s="479"/>
      <c r="DI2" s="294"/>
      <c r="DJ2" s="479"/>
      <c r="DL2" s="294"/>
      <c r="DM2" s="479"/>
      <c r="DO2" s="294"/>
      <c r="DP2" s="479"/>
      <c r="DR2" s="294"/>
      <c r="DS2" s="479"/>
      <c r="DU2" s="294"/>
      <c r="DV2" s="479"/>
      <c r="DX2" s="294"/>
      <c r="DY2" s="479"/>
      <c r="EB2" s="481" t="s">
        <v>51</v>
      </c>
      <c r="EC2" s="481"/>
      <c r="ED2" s="482"/>
      <c r="EE2" s="482">
        <f>EB41</f>
        <v>205225000</v>
      </c>
      <c r="EI2" s="482">
        <f>EG41</f>
        <v>0</v>
      </c>
      <c r="EM2" s="482"/>
      <c r="EN2" s="482">
        <f>EK41</f>
        <v>205225000</v>
      </c>
      <c r="EO2" s="294">
        <v>-20641.669999999998</v>
      </c>
      <c r="EP2" s="294">
        <f>EN2+EO2</f>
        <v>205204358.33000001</v>
      </c>
      <c r="EQ2" s="294">
        <f>EE2+EO2</f>
        <v>205204358.33000001</v>
      </c>
    </row>
    <row r="3" spans="1:147" s="283" customFormat="1" ht="13.5" thickBot="1">
      <c r="A3" s="483" t="s">
        <v>222</v>
      </c>
      <c r="B3" s="294"/>
      <c r="C3" s="479"/>
      <c r="E3" s="286"/>
      <c r="F3" s="479"/>
      <c r="G3" s="284"/>
      <c r="H3" s="294"/>
      <c r="I3" s="479"/>
      <c r="K3" s="294"/>
      <c r="L3" s="479"/>
      <c r="N3" s="294"/>
      <c r="O3" s="479"/>
      <c r="Q3" s="294"/>
      <c r="R3" s="479"/>
      <c r="T3" s="294"/>
      <c r="U3" s="479"/>
      <c r="W3" s="294"/>
      <c r="X3" s="479"/>
      <c r="Z3" s="294"/>
      <c r="AA3" s="479"/>
      <c r="AC3" s="294"/>
      <c r="AD3" s="479"/>
      <c r="AF3" s="294"/>
      <c r="AG3" s="479"/>
      <c r="AI3" s="294"/>
      <c r="AJ3" s="479"/>
      <c r="AL3" s="294"/>
      <c r="AM3" s="479"/>
      <c r="AO3" s="294"/>
      <c r="AP3" s="479"/>
      <c r="AR3" s="294"/>
      <c r="AS3" s="479"/>
      <c r="AU3" s="294"/>
      <c r="AV3" s="479"/>
      <c r="AX3" s="294"/>
      <c r="AY3" s="479"/>
      <c r="BA3" s="294"/>
      <c r="BB3" s="479"/>
      <c r="BD3" s="294"/>
      <c r="BE3" s="479"/>
      <c r="BG3" s="294"/>
      <c r="BH3" s="479"/>
      <c r="BJ3" s="294"/>
      <c r="BK3" s="479"/>
      <c r="BM3" s="294"/>
      <c r="BN3" s="479"/>
      <c r="BP3" s="294"/>
      <c r="BQ3" s="479"/>
      <c r="BS3" s="294"/>
      <c r="BT3" s="479"/>
      <c r="BV3" s="294"/>
      <c r="BW3" s="479"/>
      <c r="BY3" s="294"/>
      <c r="BZ3" s="479"/>
      <c r="CB3" s="294"/>
      <c r="CC3" s="479"/>
      <c r="CE3" s="294"/>
      <c r="CF3" s="479"/>
      <c r="CH3" s="294"/>
      <c r="CI3" s="479"/>
      <c r="CK3" s="294"/>
      <c r="CL3" s="479"/>
      <c r="CN3" s="294"/>
      <c r="CO3" s="479"/>
      <c r="CQ3" s="294"/>
      <c r="CR3" s="479"/>
      <c r="CT3" s="294"/>
      <c r="CU3" s="479"/>
      <c r="CW3" s="294"/>
      <c r="CX3" s="479"/>
      <c r="CZ3" s="294"/>
      <c r="DA3" s="479"/>
      <c r="DC3" s="294"/>
      <c r="DD3" s="479"/>
      <c r="DF3" s="294"/>
      <c r="DG3" s="479"/>
      <c r="DI3" s="294"/>
      <c r="DJ3" s="479"/>
      <c r="DL3" s="294"/>
      <c r="DM3" s="479"/>
      <c r="DO3" s="294"/>
      <c r="DP3" s="479"/>
      <c r="DR3" s="294"/>
      <c r="DS3" s="479"/>
      <c r="DU3" s="294"/>
      <c r="DV3" s="479"/>
      <c r="DX3" s="294"/>
      <c r="DY3" s="479"/>
      <c r="EB3" s="481"/>
      <c r="EC3" s="481"/>
      <c r="ED3" s="482"/>
      <c r="EE3" s="482"/>
      <c r="EI3" s="482"/>
      <c r="EM3" s="482"/>
      <c r="EN3" s="482"/>
      <c r="EO3" s="294"/>
      <c r="EP3" s="294"/>
      <c r="EQ3" s="294"/>
    </row>
    <row r="4" spans="1:147" ht="13.5" thickTop="1">
      <c r="A4" s="483"/>
      <c r="E4" s="281" t="s">
        <v>50</v>
      </c>
      <c r="F4" s="487"/>
      <c r="G4" s="488"/>
      <c r="EB4" s="481" t="s">
        <v>52</v>
      </c>
      <c r="EC4" s="481"/>
      <c r="ED4" s="482"/>
      <c r="EE4" s="482">
        <f>AVERAGE(EB12:EB41)</f>
        <v>132703333.33333333</v>
      </c>
      <c r="EI4" s="482">
        <f>AVERAGE(EG12:EG41)</f>
        <v>0</v>
      </c>
      <c r="EM4" s="482"/>
      <c r="EN4" s="482">
        <f>AVERAGE(EK12:EK41)</f>
        <v>132703333.33333333</v>
      </c>
    </row>
    <row r="5" spans="1:147">
      <c r="D5" s="481"/>
      <c r="E5" s="489" t="s">
        <v>51</v>
      </c>
      <c r="F5" s="482"/>
      <c r="G5" s="490">
        <f>EQ2</f>
        <v>205204358.33000001</v>
      </c>
      <c r="AI5" s="282" t="s">
        <v>198</v>
      </c>
      <c r="EB5" s="481" t="s">
        <v>53</v>
      </c>
      <c r="EC5" s="481"/>
      <c r="ED5" s="491"/>
      <c r="EE5" s="491">
        <f>IF(EE4=0,0,360*(AVERAGE(ED12:ED41)/EE4))</f>
        <v>2.6500566426364579E-2</v>
      </c>
      <c r="EI5" s="491">
        <f>IF(EI4=0,0,360*(AVERAGE(EH12:EH41)/EI4))</f>
        <v>0</v>
      </c>
      <c r="EM5" s="491"/>
      <c r="EN5" s="491">
        <f>IF(EN4=0,0,360*(AVERAGE(EM12:EM41)/EN4))</f>
        <v>2.6500566426364579E-2</v>
      </c>
      <c r="EO5" s="283" t="s">
        <v>199</v>
      </c>
      <c r="EQ5" s="284" t="s">
        <v>198</v>
      </c>
    </row>
    <row r="6" spans="1:147">
      <c r="D6" s="481"/>
      <c r="E6" s="489" t="s">
        <v>52</v>
      </c>
      <c r="F6" s="482"/>
      <c r="G6" s="490">
        <f>EE4</f>
        <v>132703333.33333333</v>
      </c>
      <c r="AI6" s="492" t="s">
        <v>120</v>
      </c>
      <c r="EB6" s="493" t="s">
        <v>57</v>
      </c>
      <c r="EC6" s="493"/>
      <c r="ED6" s="482"/>
      <c r="EE6" s="482">
        <f>MAX(EB12:EB41)</f>
        <v>205225000</v>
      </c>
      <c r="EI6" s="482">
        <f>MAX(EG12:EG41)</f>
        <v>0</v>
      </c>
      <c r="EM6" s="482"/>
      <c r="EN6" s="482">
        <f>MAX(EK12:EK41)</f>
        <v>205225000</v>
      </c>
    </row>
    <row r="7" spans="1:147">
      <c r="D7" s="481"/>
      <c r="E7" s="489" t="s">
        <v>53</v>
      </c>
      <c r="F7" s="482"/>
      <c r="G7" s="494">
        <f>EE5</f>
        <v>2.6500566426364579E-2</v>
      </c>
    </row>
    <row r="8" spans="1:147" ht="13.5" thickBot="1">
      <c r="D8" s="481"/>
      <c r="E8" s="495" t="s">
        <v>57</v>
      </c>
      <c r="F8" s="496"/>
      <c r="G8" s="497">
        <f>EE6</f>
        <v>205225000</v>
      </c>
      <c r="AI8" s="492" t="s">
        <v>120</v>
      </c>
      <c r="EB8" s="285" t="s">
        <v>54</v>
      </c>
      <c r="EC8" s="285"/>
      <c r="ED8" s="498"/>
      <c r="EE8" s="498"/>
      <c r="EG8" s="285" t="s">
        <v>55</v>
      </c>
      <c r="EH8" s="498"/>
      <c r="EI8" s="498"/>
      <c r="EJ8" s="499"/>
      <c r="EK8" s="285" t="s">
        <v>56</v>
      </c>
      <c r="EL8" s="285"/>
      <c r="EM8" s="498"/>
      <c r="EN8" s="498"/>
    </row>
    <row r="9" spans="1:147" ht="13.5" thickTop="1">
      <c r="AI9" s="286" t="s">
        <v>112</v>
      </c>
      <c r="AL9" s="286" t="s">
        <v>112</v>
      </c>
      <c r="AO9" s="286" t="s">
        <v>112</v>
      </c>
      <c r="AR9" s="286" t="s">
        <v>112</v>
      </c>
      <c r="AU9" s="286" t="s">
        <v>112</v>
      </c>
      <c r="AX9" s="286" t="s">
        <v>112</v>
      </c>
      <c r="BA9" s="286" t="s">
        <v>112</v>
      </c>
      <c r="BD9" s="286" t="s">
        <v>112</v>
      </c>
      <c r="BG9" s="286" t="s">
        <v>112</v>
      </c>
      <c r="BJ9" s="286" t="s">
        <v>112</v>
      </c>
      <c r="BM9" s="286" t="s">
        <v>112</v>
      </c>
      <c r="BP9" s="286" t="s">
        <v>112</v>
      </c>
      <c r="BS9" s="286" t="s">
        <v>112</v>
      </c>
      <c r="BV9" s="286" t="s">
        <v>112</v>
      </c>
      <c r="BY9" s="286" t="s">
        <v>112</v>
      </c>
      <c r="CB9" s="286" t="s">
        <v>112</v>
      </c>
      <c r="CE9" s="286" t="s">
        <v>112</v>
      </c>
      <c r="CH9" s="286" t="s">
        <v>112</v>
      </c>
      <c r="CK9" s="286" t="s">
        <v>112</v>
      </c>
      <c r="CN9" s="286" t="s">
        <v>112</v>
      </c>
      <c r="CQ9" s="286" t="s">
        <v>112</v>
      </c>
      <c r="CT9" s="286" t="s">
        <v>112</v>
      </c>
      <c r="CW9" s="286" t="s">
        <v>112</v>
      </c>
      <c r="CZ9" s="286" t="s">
        <v>112</v>
      </c>
      <c r="DC9" s="286" t="s">
        <v>112</v>
      </c>
      <c r="DF9" s="286" t="s">
        <v>112</v>
      </c>
      <c r="DI9" s="286" t="s">
        <v>112</v>
      </c>
      <c r="DL9" s="286" t="s">
        <v>112</v>
      </c>
      <c r="DO9" s="286" t="s">
        <v>112</v>
      </c>
      <c r="DR9" s="286" t="s">
        <v>112</v>
      </c>
      <c r="EB9" s="500"/>
      <c r="EC9" s="500"/>
      <c r="ED9" s="500"/>
      <c r="EE9" s="500" t="s">
        <v>58</v>
      </c>
      <c r="EG9" s="500"/>
      <c r="EH9" s="287" t="s">
        <v>59</v>
      </c>
      <c r="EI9" s="500" t="s">
        <v>58</v>
      </c>
      <c r="EJ9" s="500"/>
      <c r="EK9" s="284" t="s">
        <v>113</v>
      </c>
      <c r="EL9" s="284" t="s">
        <v>114</v>
      </c>
      <c r="EM9" s="287" t="s">
        <v>60</v>
      </c>
      <c r="EN9" s="500" t="s">
        <v>58</v>
      </c>
    </row>
    <row r="10" spans="1:147">
      <c r="B10" s="501" t="s">
        <v>61</v>
      </c>
      <c r="C10" s="502"/>
      <c r="D10" s="498"/>
      <c r="E10" s="501" t="s">
        <v>62</v>
      </c>
      <c r="F10" s="502"/>
      <c r="G10" s="498"/>
      <c r="H10" s="501" t="s">
        <v>63</v>
      </c>
      <c r="I10" s="502"/>
      <c r="J10" s="498"/>
      <c r="K10" s="501" t="s">
        <v>64</v>
      </c>
      <c r="L10" s="502"/>
      <c r="M10" s="498"/>
      <c r="N10" s="501" t="s">
        <v>65</v>
      </c>
      <c r="O10" s="502"/>
      <c r="P10" s="498"/>
      <c r="Q10" s="501" t="s">
        <v>66</v>
      </c>
      <c r="R10" s="502"/>
      <c r="S10" s="498"/>
      <c r="T10" s="501" t="s">
        <v>67</v>
      </c>
      <c r="U10" s="502"/>
      <c r="V10" s="498"/>
      <c r="W10" s="501" t="s">
        <v>68</v>
      </c>
      <c r="X10" s="502"/>
      <c r="Y10" s="498"/>
      <c r="Z10" s="501" t="s">
        <v>69</v>
      </c>
      <c r="AA10" s="502"/>
      <c r="AB10" s="498"/>
      <c r="AC10" s="288" t="s">
        <v>70</v>
      </c>
      <c r="AD10" s="502"/>
      <c r="AE10" s="498"/>
      <c r="AF10" s="288" t="s">
        <v>71</v>
      </c>
      <c r="AG10" s="502"/>
      <c r="AH10" s="498"/>
      <c r="AI10" s="501" t="s">
        <v>72</v>
      </c>
      <c r="AJ10" s="502"/>
      <c r="AK10" s="498"/>
      <c r="AL10" s="501" t="s">
        <v>73</v>
      </c>
      <c r="AM10" s="502"/>
      <c r="AN10" s="498"/>
      <c r="AO10" s="501" t="s">
        <v>74</v>
      </c>
      <c r="AP10" s="502"/>
      <c r="AQ10" s="498"/>
      <c r="AR10" s="501" t="s">
        <v>75</v>
      </c>
      <c r="AS10" s="502"/>
      <c r="AT10" s="498"/>
      <c r="AU10" s="501" t="s">
        <v>76</v>
      </c>
      <c r="AV10" s="502"/>
      <c r="AW10" s="498"/>
      <c r="AX10" s="501" t="s">
        <v>77</v>
      </c>
      <c r="AY10" s="502"/>
      <c r="AZ10" s="498"/>
      <c r="BA10" s="501" t="s">
        <v>78</v>
      </c>
      <c r="BB10" s="502"/>
      <c r="BC10" s="498"/>
      <c r="BD10" s="501" t="s">
        <v>79</v>
      </c>
      <c r="BE10" s="502"/>
      <c r="BF10" s="498"/>
      <c r="BG10" s="501" t="s">
        <v>80</v>
      </c>
      <c r="BH10" s="502"/>
      <c r="BI10" s="498"/>
      <c r="BJ10" s="501" t="s">
        <v>81</v>
      </c>
      <c r="BK10" s="502"/>
      <c r="BL10" s="498"/>
      <c r="BM10" s="501" t="s">
        <v>82</v>
      </c>
      <c r="BN10" s="502"/>
      <c r="BO10" s="498"/>
      <c r="BP10" s="501" t="s">
        <v>83</v>
      </c>
      <c r="BQ10" s="502"/>
      <c r="BR10" s="498"/>
      <c r="BS10" s="501" t="s">
        <v>84</v>
      </c>
      <c r="BT10" s="502"/>
      <c r="BU10" s="498"/>
      <c r="BV10" s="501" t="s">
        <v>85</v>
      </c>
      <c r="BW10" s="502"/>
      <c r="BX10" s="498"/>
      <c r="BY10" s="501" t="s">
        <v>86</v>
      </c>
      <c r="BZ10" s="502"/>
      <c r="CA10" s="498"/>
      <c r="CB10" s="501" t="s">
        <v>87</v>
      </c>
      <c r="CC10" s="502"/>
      <c r="CD10" s="498"/>
      <c r="CE10" s="501" t="s">
        <v>88</v>
      </c>
      <c r="CF10" s="502"/>
      <c r="CG10" s="498"/>
      <c r="CH10" s="501" t="s">
        <v>89</v>
      </c>
      <c r="CI10" s="502"/>
      <c r="CJ10" s="498"/>
      <c r="CK10" s="501" t="s">
        <v>90</v>
      </c>
      <c r="CL10" s="502"/>
      <c r="CM10" s="498"/>
      <c r="CN10" s="501" t="s">
        <v>91</v>
      </c>
      <c r="CO10" s="502"/>
      <c r="CP10" s="498"/>
      <c r="CQ10" s="501" t="s">
        <v>92</v>
      </c>
      <c r="CR10" s="502"/>
      <c r="CS10" s="498"/>
      <c r="CT10" s="501" t="s">
        <v>93</v>
      </c>
      <c r="CU10" s="502"/>
      <c r="CV10" s="498"/>
      <c r="CW10" s="501" t="s">
        <v>94</v>
      </c>
      <c r="CX10" s="502"/>
      <c r="CY10" s="498"/>
      <c r="CZ10" s="501" t="s">
        <v>95</v>
      </c>
      <c r="DA10" s="502"/>
      <c r="DB10" s="498"/>
      <c r="DC10" s="501" t="s">
        <v>96</v>
      </c>
      <c r="DD10" s="502"/>
      <c r="DE10" s="498"/>
      <c r="DF10" s="501" t="s">
        <v>97</v>
      </c>
      <c r="DG10" s="502"/>
      <c r="DH10" s="498"/>
      <c r="DI10" s="501" t="s">
        <v>98</v>
      </c>
      <c r="DJ10" s="502"/>
      <c r="DK10" s="498"/>
      <c r="DL10" s="501" t="s">
        <v>99</v>
      </c>
      <c r="DM10" s="502"/>
      <c r="DN10" s="498"/>
      <c r="DO10" s="501" t="s">
        <v>100</v>
      </c>
      <c r="DP10" s="502"/>
      <c r="DQ10" s="498"/>
      <c r="DR10" s="501" t="s">
        <v>101</v>
      </c>
      <c r="DS10" s="502"/>
      <c r="DT10" s="498"/>
      <c r="DU10" s="501" t="s">
        <v>102</v>
      </c>
      <c r="DV10" s="502"/>
      <c r="DW10" s="498"/>
      <c r="DX10" s="289" t="s">
        <v>115</v>
      </c>
      <c r="DY10" s="502"/>
      <c r="DZ10" s="498"/>
      <c r="EA10" s="499"/>
      <c r="EB10" s="284" t="s">
        <v>116</v>
      </c>
      <c r="EC10" s="284" t="s">
        <v>117</v>
      </c>
      <c r="ED10" s="500" t="s">
        <v>103</v>
      </c>
      <c r="EE10" s="500" t="s">
        <v>104</v>
      </c>
      <c r="EG10" s="287" t="s">
        <v>105</v>
      </c>
      <c r="EH10" s="500" t="s">
        <v>103</v>
      </c>
      <c r="EI10" s="500" t="s">
        <v>104</v>
      </c>
      <c r="EJ10" s="500"/>
      <c r="EK10" s="287" t="s">
        <v>60</v>
      </c>
      <c r="EL10" s="287" t="s">
        <v>60</v>
      </c>
      <c r="EM10" s="500" t="s">
        <v>103</v>
      </c>
      <c r="EN10" s="500" t="s">
        <v>104</v>
      </c>
    </row>
    <row r="11" spans="1:147">
      <c r="A11" s="500" t="s">
        <v>106</v>
      </c>
      <c r="B11" s="290" t="s">
        <v>107</v>
      </c>
      <c r="C11" s="291" t="s">
        <v>108</v>
      </c>
      <c r="D11" s="292" t="s">
        <v>109</v>
      </c>
      <c r="E11" s="290" t="s">
        <v>107</v>
      </c>
      <c r="F11" s="291" t="s">
        <v>108</v>
      </c>
      <c r="G11" s="292" t="s">
        <v>109</v>
      </c>
      <c r="H11" s="290" t="s">
        <v>107</v>
      </c>
      <c r="I11" s="291" t="s">
        <v>108</v>
      </c>
      <c r="J11" s="292" t="s">
        <v>109</v>
      </c>
      <c r="K11" s="290" t="s">
        <v>107</v>
      </c>
      <c r="L11" s="291" t="s">
        <v>108</v>
      </c>
      <c r="M11" s="292" t="s">
        <v>109</v>
      </c>
      <c r="N11" s="290" t="s">
        <v>107</v>
      </c>
      <c r="O11" s="291" t="s">
        <v>108</v>
      </c>
      <c r="P11" s="292" t="s">
        <v>109</v>
      </c>
      <c r="Q11" s="290" t="s">
        <v>107</v>
      </c>
      <c r="R11" s="291" t="s">
        <v>108</v>
      </c>
      <c r="S11" s="292" t="s">
        <v>109</v>
      </c>
      <c r="T11" s="290" t="s">
        <v>107</v>
      </c>
      <c r="U11" s="291" t="s">
        <v>108</v>
      </c>
      <c r="V11" s="292" t="s">
        <v>109</v>
      </c>
      <c r="W11" s="290" t="s">
        <v>107</v>
      </c>
      <c r="X11" s="291" t="s">
        <v>108</v>
      </c>
      <c r="Y11" s="292" t="s">
        <v>109</v>
      </c>
      <c r="Z11" s="290" t="s">
        <v>107</v>
      </c>
      <c r="AA11" s="291" t="s">
        <v>108</v>
      </c>
      <c r="AB11" s="292" t="s">
        <v>109</v>
      </c>
      <c r="AC11" s="290" t="s">
        <v>107</v>
      </c>
      <c r="AD11" s="291" t="s">
        <v>108</v>
      </c>
      <c r="AE11" s="292" t="s">
        <v>109</v>
      </c>
      <c r="AF11" s="290" t="s">
        <v>107</v>
      </c>
      <c r="AG11" s="291" t="s">
        <v>108</v>
      </c>
      <c r="AH11" s="292" t="s">
        <v>109</v>
      </c>
      <c r="AI11" s="290" t="s">
        <v>107</v>
      </c>
      <c r="AJ11" s="291" t="s">
        <v>108</v>
      </c>
      <c r="AK11" s="292" t="s">
        <v>109</v>
      </c>
      <c r="AL11" s="290" t="s">
        <v>107</v>
      </c>
      <c r="AM11" s="291" t="s">
        <v>108</v>
      </c>
      <c r="AN11" s="292" t="s">
        <v>109</v>
      </c>
      <c r="AO11" s="290" t="s">
        <v>107</v>
      </c>
      <c r="AP11" s="291" t="s">
        <v>108</v>
      </c>
      <c r="AQ11" s="292" t="s">
        <v>109</v>
      </c>
      <c r="AR11" s="290" t="s">
        <v>107</v>
      </c>
      <c r="AS11" s="291" t="s">
        <v>108</v>
      </c>
      <c r="AT11" s="292" t="s">
        <v>109</v>
      </c>
      <c r="AU11" s="290" t="s">
        <v>107</v>
      </c>
      <c r="AV11" s="291" t="s">
        <v>108</v>
      </c>
      <c r="AW11" s="292" t="s">
        <v>109</v>
      </c>
      <c r="AX11" s="290" t="s">
        <v>107</v>
      </c>
      <c r="AY11" s="291" t="s">
        <v>108</v>
      </c>
      <c r="AZ11" s="292" t="s">
        <v>109</v>
      </c>
      <c r="BA11" s="290" t="s">
        <v>107</v>
      </c>
      <c r="BB11" s="291" t="s">
        <v>108</v>
      </c>
      <c r="BC11" s="292" t="s">
        <v>109</v>
      </c>
      <c r="BD11" s="290" t="s">
        <v>107</v>
      </c>
      <c r="BE11" s="291" t="s">
        <v>108</v>
      </c>
      <c r="BF11" s="292" t="s">
        <v>109</v>
      </c>
      <c r="BG11" s="290" t="s">
        <v>107</v>
      </c>
      <c r="BH11" s="291" t="s">
        <v>108</v>
      </c>
      <c r="BI11" s="292" t="s">
        <v>109</v>
      </c>
      <c r="BJ11" s="290" t="s">
        <v>107</v>
      </c>
      <c r="BK11" s="291" t="s">
        <v>108</v>
      </c>
      <c r="BL11" s="292" t="s">
        <v>109</v>
      </c>
      <c r="BM11" s="290" t="s">
        <v>107</v>
      </c>
      <c r="BN11" s="291" t="s">
        <v>108</v>
      </c>
      <c r="BO11" s="292" t="s">
        <v>109</v>
      </c>
      <c r="BP11" s="290" t="s">
        <v>107</v>
      </c>
      <c r="BQ11" s="291" t="s">
        <v>108</v>
      </c>
      <c r="BR11" s="292" t="s">
        <v>109</v>
      </c>
      <c r="BS11" s="290" t="s">
        <v>107</v>
      </c>
      <c r="BT11" s="291" t="s">
        <v>108</v>
      </c>
      <c r="BU11" s="292" t="s">
        <v>109</v>
      </c>
      <c r="BV11" s="290" t="s">
        <v>107</v>
      </c>
      <c r="BW11" s="291" t="s">
        <v>108</v>
      </c>
      <c r="BX11" s="292" t="s">
        <v>109</v>
      </c>
      <c r="BY11" s="290" t="s">
        <v>107</v>
      </c>
      <c r="BZ11" s="291" t="s">
        <v>108</v>
      </c>
      <c r="CA11" s="292" t="s">
        <v>109</v>
      </c>
      <c r="CB11" s="290" t="s">
        <v>107</v>
      </c>
      <c r="CC11" s="291" t="s">
        <v>108</v>
      </c>
      <c r="CD11" s="292" t="s">
        <v>109</v>
      </c>
      <c r="CE11" s="290" t="s">
        <v>107</v>
      </c>
      <c r="CF11" s="291" t="s">
        <v>108</v>
      </c>
      <c r="CG11" s="292" t="s">
        <v>109</v>
      </c>
      <c r="CH11" s="290" t="s">
        <v>107</v>
      </c>
      <c r="CI11" s="291" t="s">
        <v>108</v>
      </c>
      <c r="CJ11" s="292" t="s">
        <v>109</v>
      </c>
      <c r="CK11" s="290" t="s">
        <v>107</v>
      </c>
      <c r="CL11" s="291" t="s">
        <v>108</v>
      </c>
      <c r="CM11" s="292" t="s">
        <v>109</v>
      </c>
      <c r="CN11" s="290" t="s">
        <v>107</v>
      </c>
      <c r="CO11" s="291" t="s">
        <v>108</v>
      </c>
      <c r="CP11" s="292" t="s">
        <v>109</v>
      </c>
      <c r="CQ11" s="290" t="s">
        <v>107</v>
      </c>
      <c r="CR11" s="291" t="s">
        <v>108</v>
      </c>
      <c r="CS11" s="292" t="s">
        <v>109</v>
      </c>
      <c r="CT11" s="290" t="s">
        <v>107</v>
      </c>
      <c r="CU11" s="291" t="s">
        <v>108</v>
      </c>
      <c r="CV11" s="292" t="s">
        <v>109</v>
      </c>
      <c r="CW11" s="290" t="s">
        <v>107</v>
      </c>
      <c r="CX11" s="291" t="s">
        <v>108</v>
      </c>
      <c r="CY11" s="292" t="s">
        <v>109</v>
      </c>
      <c r="CZ11" s="290" t="s">
        <v>107</v>
      </c>
      <c r="DA11" s="291" t="s">
        <v>108</v>
      </c>
      <c r="DB11" s="292" t="s">
        <v>109</v>
      </c>
      <c r="DC11" s="290" t="s">
        <v>107</v>
      </c>
      <c r="DD11" s="291" t="s">
        <v>108</v>
      </c>
      <c r="DE11" s="292" t="s">
        <v>109</v>
      </c>
      <c r="DF11" s="290" t="s">
        <v>107</v>
      </c>
      <c r="DG11" s="291" t="s">
        <v>108</v>
      </c>
      <c r="DH11" s="292" t="s">
        <v>109</v>
      </c>
      <c r="DI11" s="290" t="s">
        <v>107</v>
      </c>
      <c r="DJ11" s="291" t="s">
        <v>108</v>
      </c>
      <c r="DK11" s="292" t="s">
        <v>109</v>
      </c>
      <c r="DL11" s="290" t="s">
        <v>107</v>
      </c>
      <c r="DM11" s="291" t="s">
        <v>108</v>
      </c>
      <c r="DN11" s="292" t="s">
        <v>109</v>
      </c>
      <c r="DO11" s="290" t="s">
        <v>107</v>
      </c>
      <c r="DP11" s="291" t="s">
        <v>108</v>
      </c>
      <c r="DQ11" s="292" t="s">
        <v>109</v>
      </c>
      <c r="DR11" s="290" t="s">
        <v>107</v>
      </c>
      <c r="DS11" s="291" t="s">
        <v>108</v>
      </c>
      <c r="DT11" s="292" t="s">
        <v>109</v>
      </c>
      <c r="DU11" s="290" t="s">
        <v>107</v>
      </c>
      <c r="DV11" s="291" t="s">
        <v>108</v>
      </c>
      <c r="DW11" s="292" t="s">
        <v>109</v>
      </c>
      <c r="DX11" s="290" t="s">
        <v>107</v>
      </c>
      <c r="DY11" s="291"/>
      <c r="DZ11" s="292"/>
      <c r="EA11" s="292"/>
      <c r="EB11" s="292" t="s">
        <v>110</v>
      </c>
      <c r="EC11" s="292" t="s">
        <v>110</v>
      </c>
      <c r="ED11" s="292" t="s">
        <v>109</v>
      </c>
      <c r="EE11" s="293" t="s">
        <v>108</v>
      </c>
      <c r="EG11" s="292" t="s">
        <v>110</v>
      </c>
      <c r="EH11" s="292" t="s">
        <v>109</v>
      </c>
      <c r="EI11" s="293" t="s">
        <v>108</v>
      </c>
      <c r="EJ11" s="293"/>
      <c r="EK11" s="292" t="s">
        <v>110</v>
      </c>
      <c r="EL11" s="292" t="s">
        <v>110</v>
      </c>
      <c r="EM11" s="292" t="s">
        <v>109</v>
      </c>
      <c r="EN11" s="293" t="s">
        <v>108</v>
      </c>
    </row>
    <row r="12" spans="1:147">
      <c r="A12" s="503">
        <v>43617</v>
      </c>
      <c r="D12" s="484">
        <f>(B12*C12)/360</f>
        <v>0</v>
      </c>
      <c r="G12" s="484">
        <f>(E12*F12)/360</f>
        <v>0</v>
      </c>
      <c r="J12" s="484">
        <f>(H12*I12)/360</f>
        <v>0</v>
      </c>
      <c r="M12" s="484">
        <f>(K12*L12)/360</f>
        <v>0</v>
      </c>
      <c r="P12" s="484">
        <f>(N12*O12)/360</f>
        <v>0</v>
      </c>
      <c r="S12" s="484">
        <f>(Q12*R12)/360</f>
        <v>0</v>
      </c>
      <c r="V12" s="484">
        <f>(T12*U12)/360</f>
        <v>0</v>
      </c>
      <c r="Y12" s="484">
        <f>(W12*X12)/360</f>
        <v>0</v>
      </c>
      <c r="AB12" s="484">
        <f>(Z12*AA12)/360</f>
        <v>0</v>
      </c>
      <c r="AE12" s="484">
        <v>0</v>
      </c>
      <c r="AH12" s="484">
        <v>0</v>
      </c>
      <c r="AI12" s="504">
        <f>96425000</f>
        <v>96425000</v>
      </c>
      <c r="AJ12" s="505">
        <v>2.5899999999999999E-2</v>
      </c>
      <c r="AK12" s="484">
        <f>(AI12*AJ12)/360</f>
        <v>6937.2430555555557</v>
      </c>
      <c r="AL12" s="504">
        <f t="shared" ref="AL12:AL17" si="0">25000000</f>
        <v>25000000</v>
      </c>
      <c r="AM12" s="505">
        <v>2.75E-2</v>
      </c>
      <c r="AN12" s="484">
        <f>(AL12*AM12)/360</f>
        <v>1909.7222222222222</v>
      </c>
      <c r="AO12" s="504">
        <f t="shared" ref="AO12:AO24" si="1">25000000</f>
        <v>25000000</v>
      </c>
      <c r="AP12" s="505">
        <v>2.7699999999999999E-2</v>
      </c>
      <c r="AQ12" s="484">
        <f>(AO12*AP12)/360</f>
        <v>1923.6111111111111</v>
      </c>
      <c r="AR12" s="504"/>
      <c r="AS12" s="505"/>
      <c r="AT12" s="484">
        <f>(AR12*AS12)/360</f>
        <v>0</v>
      </c>
      <c r="AW12" s="484">
        <f>(AU12*AV12)/360</f>
        <v>0</v>
      </c>
      <c r="AZ12" s="484">
        <f>(AX12*AY12)/360</f>
        <v>0</v>
      </c>
      <c r="BC12" s="484">
        <f>(BA12*BB12)/360</f>
        <v>0</v>
      </c>
      <c r="BF12" s="484">
        <f>(BD12*BE12)/360</f>
        <v>0</v>
      </c>
      <c r="BI12" s="484">
        <f>(BG12*BH12)/360</f>
        <v>0</v>
      </c>
      <c r="BL12" s="484">
        <f>(BJ12*BK12)/360</f>
        <v>0</v>
      </c>
      <c r="BO12" s="484">
        <f>(BM12*BN12)/360</f>
        <v>0</v>
      </c>
      <c r="BR12" s="484">
        <f>(BP12*BQ12)/360</f>
        <v>0</v>
      </c>
      <c r="BU12" s="484">
        <f>(BS12*BT12)/360</f>
        <v>0</v>
      </c>
      <c r="BX12" s="484">
        <f>(BV12*BW12)/360</f>
        <v>0</v>
      </c>
      <c r="CA12" s="484">
        <f>(BY12*BZ12)/360</f>
        <v>0</v>
      </c>
      <c r="CD12" s="484">
        <f>(CB12*CC12)/360</f>
        <v>0</v>
      </c>
      <c r="CG12" s="484">
        <f>(CE12*CF12)/360</f>
        <v>0</v>
      </c>
      <c r="CJ12" s="484">
        <f>(CH12*CI12)/360</f>
        <v>0</v>
      </c>
      <c r="CM12" s="484">
        <f>(CK12*CL12)/360</f>
        <v>0</v>
      </c>
      <c r="CP12" s="484">
        <f>(CN12*CO12)/360</f>
        <v>0</v>
      </c>
      <c r="CS12" s="484">
        <f>(CQ12*CR12)/360</f>
        <v>0</v>
      </c>
      <c r="CV12" s="484">
        <f>(CT12*CU12)/360</f>
        <v>0</v>
      </c>
      <c r="CY12" s="484">
        <f>(CW12*CX12)/360</f>
        <v>0</v>
      </c>
      <c r="DB12" s="484">
        <f>(CZ12*DA12)/360</f>
        <v>0</v>
      </c>
      <c r="DE12" s="484">
        <f>(DC12*DD12)/360</f>
        <v>0</v>
      </c>
      <c r="DH12" s="484">
        <f>(DF12*DG12)/360</f>
        <v>0</v>
      </c>
      <c r="DK12" s="484">
        <f>(DI12*DJ12)/360</f>
        <v>0</v>
      </c>
      <c r="DN12" s="484">
        <f>(DL12*DM12)/360</f>
        <v>0</v>
      </c>
      <c r="DQ12" s="484">
        <f>(DO12*DP12)/360</f>
        <v>0</v>
      </c>
      <c r="DT12" s="484">
        <f>(DR12*DS12)/360</f>
        <v>0</v>
      </c>
      <c r="DW12" s="484">
        <f>(DU12*DV12)/360</f>
        <v>0</v>
      </c>
      <c r="DZ12" s="484"/>
      <c r="EA12" s="484"/>
      <c r="EB12" s="294">
        <f>B12+E12+H12+K12+N12+Q12+T12+W12+Z12+AC12+AF12+AL12+AO12+AR12+AU12+AX12+BA12+BD12+BG12+DU12+AI12+DR12+DO12+DL12+DI12+DF12+DC12+CZ12+CW12+CT12+CQ12+CN12+CK12+CH12+CE12+CB12+BY12+BV12+BS12+BP12+BM12+BJ12</f>
        <v>146425000</v>
      </c>
      <c r="EC12" s="294">
        <f>EB12-EK12+EL12</f>
        <v>0</v>
      </c>
      <c r="ED12" s="484">
        <f>D12+G12+J12+M12+P12+S12+V12+Y12+AB12+AE12+AH12+AK12+AN12+AQ12+AT12+AW12+AZ12+BC12+BF12+BI12+DW12+DT12+DQ12+DN12+DK12+DH12+DE12+DB12+CY12+CV12+CS12+CP12+CM12+CJ12+CG12+CD12+CA12+BX12+BU12+BR12+BO12+BL12</f>
        <v>10770.576388888889</v>
      </c>
      <c r="EE12" s="485">
        <f>IF(EB12&lt;&gt;0,((ED12/EB12)*360),0)</f>
        <v>2.6480501963462522E-2</v>
      </c>
      <c r="EG12" s="294">
        <f>Q12+T12+W12+Z12+AC12+AF12</f>
        <v>0</v>
      </c>
      <c r="EH12" s="484">
        <f>S12+V12+Y12+AB12+AE12+AH12</f>
        <v>0</v>
      </c>
      <c r="EI12" s="485">
        <f>IF(EG12&lt;&gt;0,((EH12/EG12)*360),0)</f>
        <v>0</v>
      </c>
      <c r="EJ12" s="485"/>
      <c r="EK12" s="294">
        <f>DR12+DL12+DI12+DF12+DC12+CZ12+CW12+CT12+CQ12+CN12+CK12+CH12+CE12+CB12+BY12+BV12+BS12+BP12+BM12+BJ12+BG12+BD12+BA12+AX12+AU12+AR12+AO12+AL12+AI12+DO12</f>
        <v>146425000</v>
      </c>
      <c r="EL12" s="294">
        <f>DX12</f>
        <v>0</v>
      </c>
      <c r="EM12" s="294">
        <f>DT12+DQ12+DN12+DK12+DH12+DE12+DB12+CY12+CV12+CS12+CP12+CM12+CJ12+CG12+CD12+CA12+BX12+BU12+BR12+BO12+BL12+BI12+BF12+BC12+AZ12+AW12+AT12+AQ12+AN12+AK12</f>
        <v>10770.576388888889</v>
      </c>
      <c r="EN12" s="485">
        <f>IF(EK12&lt;&gt;0,((EM12/EK12)*360),0)</f>
        <v>2.6480501963462522E-2</v>
      </c>
      <c r="EO12" s="506"/>
      <c r="EP12" s="484"/>
    </row>
    <row r="13" spans="1:147">
      <c r="A13" s="503">
        <f>1+A12</f>
        <v>43618</v>
      </c>
      <c r="D13" s="484">
        <f t="shared" ref="D13:D41" si="2">(B13*C13)/360</f>
        <v>0</v>
      </c>
      <c r="G13" s="484">
        <f t="shared" ref="G13:G41" si="3">(E13*F13)/360</f>
        <v>0</v>
      </c>
      <c r="J13" s="484">
        <f t="shared" ref="J13:J41" si="4">(H13*I13)/360</f>
        <v>0</v>
      </c>
      <c r="M13" s="484">
        <f t="shared" ref="M13:M41" si="5">(K13*L13)/360</f>
        <v>0</v>
      </c>
      <c r="P13" s="484">
        <f t="shared" ref="P13:P41" si="6">(N13*O13)/360</f>
        <v>0</v>
      </c>
      <c r="S13" s="484">
        <f t="shared" ref="S13:S41" si="7">(Q13*R13)/360</f>
        <v>0</v>
      </c>
      <c r="V13" s="484">
        <f t="shared" ref="V13:V41" si="8">(T13*U13)/360</f>
        <v>0</v>
      </c>
      <c r="Y13" s="484">
        <f t="shared" ref="Y13:Y41" si="9">(W13*X13)/360</f>
        <v>0</v>
      </c>
      <c r="AB13" s="484">
        <f t="shared" ref="AB13:AB41" si="10">(Z13*AA13)/360</f>
        <v>0</v>
      </c>
      <c r="AE13" s="484">
        <v>0</v>
      </c>
      <c r="AH13" s="484">
        <v>0</v>
      </c>
      <c r="AI13" s="504">
        <f>96425000</f>
        <v>96425000</v>
      </c>
      <c r="AJ13" s="505">
        <v>2.5899999999999999E-2</v>
      </c>
      <c r="AK13" s="484">
        <f t="shared" ref="AK13:AK41" si="11">(AI13*AJ13)/360</f>
        <v>6937.2430555555557</v>
      </c>
      <c r="AL13" s="504">
        <f t="shared" si="0"/>
        <v>25000000</v>
      </c>
      <c r="AM13" s="505">
        <v>2.75E-2</v>
      </c>
      <c r="AN13" s="484">
        <f t="shared" ref="AN13:AN41" si="12">(AL13*AM13)/360</f>
        <v>1909.7222222222222</v>
      </c>
      <c r="AO13" s="504">
        <f t="shared" si="1"/>
        <v>25000000</v>
      </c>
      <c r="AP13" s="505">
        <v>2.7699999999999999E-2</v>
      </c>
      <c r="AQ13" s="484">
        <f t="shared" ref="AQ13:AQ41" si="13">(AO13*AP13)/360</f>
        <v>1923.6111111111111</v>
      </c>
      <c r="AR13" s="504"/>
      <c r="AS13" s="505"/>
      <c r="AT13" s="484">
        <f t="shared" ref="AT13:AT41" si="14">(AR13*AS13)/360</f>
        <v>0</v>
      </c>
      <c r="AW13" s="484">
        <f t="shared" ref="AW13:AW41" si="15">(AU13*AV13)/360</f>
        <v>0</v>
      </c>
      <c r="AZ13" s="484">
        <f t="shared" ref="AZ13:AZ41" si="16">(AX13*AY13)/360</f>
        <v>0</v>
      </c>
      <c r="BC13" s="484">
        <f t="shared" ref="BC13:BC41" si="17">(BA13*BB13)/360</f>
        <v>0</v>
      </c>
      <c r="BF13" s="484">
        <f t="shared" ref="BF13:BF41" si="18">(BD13*BE13)/360</f>
        <v>0</v>
      </c>
      <c r="BI13" s="484">
        <f t="shared" ref="BI13:BI41" si="19">(BG13*BH13)/360</f>
        <v>0</v>
      </c>
      <c r="BL13" s="484">
        <f t="shared" ref="BL13:BL41" si="20">(BJ13*BK13)/360</f>
        <v>0</v>
      </c>
      <c r="BO13" s="484">
        <f t="shared" ref="BO13:BO41" si="21">(BM13*BN13)/360</f>
        <v>0</v>
      </c>
      <c r="BR13" s="484">
        <f t="shared" ref="BR13:BR41" si="22">(BP13*BQ13)/360</f>
        <v>0</v>
      </c>
      <c r="BU13" s="484">
        <f t="shared" ref="BU13:BU41" si="23">(BS13*BT13)/360</f>
        <v>0</v>
      </c>
      <c r="BX13" s="484">
        <f t="shared" ref="BX13:BX41" si="24">(BV13*BW13)/360</f>
        <v>0</v>
      </c>
      <c r="CA13" s="484">
        <f t="shared" ref="CA13:CA41" si="25">(BY13*BZ13)/360</f>
        <v>0</v>
      </c>
      <c r="CD13" s="484">
        <f t="shared" ref="CD13:CD41" si="26">(CB13*CC13)/360</f>
        <v>0</v>
      </c>
      <c r="CG13" s="484">
        <f t="shared" ref="CG13:CG41" si="27">(CE13*CF13)/360</f>
        <v>0</v>
      </c>
      <c r="CJ13" s="484">
        <f t="shared" ref="CJ13:CJ41" si="28">(CH13*CI13)/360</f>
        <v>0</v>
      </c>
      <c r="CM13" s="484">
        <f t="shared" ref="CM13:CM41" si="29">(CK13*CL13)/360</f>
        <v>0</v>
      </c>
      <c r="CP13" s="484">
        <f t="shared" ref="CP13:CP41" si="30">(CN13*CO13)/360</f>
        <v>0</v>
      </c>
      <c r="CS13" s="484">
        <f t="shared" ref="CS13:CS41" si="31">(CQ13*CR13)/360</f>
        <v>0</v>
      </c>
      <c r="CV13" s="484">
        <f t="shared" ref="CV13:CV41" si="32">(CT13*CU13)/360</f>
        <v>0</v>
      </c>
      <c r="CY13" s="484">
        <f t="shared" ref="CY13:CY41" si="33">(CW13*CX13)/360</f>
        <v>0</v>
      </c>
      <c r="DB13" s="484">
        <f t="shared" ref="DB13:DB41" si="34">(CZ13*DA13)/360</f>
        <v>0</v>
      </c>
      <c r="DE13" s="484">
        <f t="shared" ref="DE13:DE41" si="35">(DC13*DD13)/360</f>
        <v>0</v>
      </c>
      <c r="DH13" s="484">
        <f t="shared" ref="DH13:DH41" si="36">(DF13*DG13)/360</f>
        <v>0</v>
      </c>
      <c r="DK13" s="484">
        <f t="shared" ref="DK13:DK41" si="37">(DI13*DJ13)/360</f>
        <v>0</v>
      </c>
      <c r="DN13" s="484">
        <f t="shared" ref="DN13:DN41" si="38">(DL13*DM13)/360</f>
        <v>0</v>
      </c>
      <c r="DQ13" s="484">
        <f t="shared" ref="DQ13:DQ41" si="39">(DO13*DP13)/360</f>
        <v>0</v>
      </c>
      <c r="DT13" s="484">
        <f t="shared" ref="DT13:DT41" si="40">(DR13*DS13)/360</f>
        <v>0</v>
      </c>
      <c r="DW13" s="484">
        <f t="shared" ref="DW13:DW41" si="41">(DU13*DV13)/360</f>
        <v>0</v>
      </c>
      <c r="DZ13" s="484"/>
      <c r="EA13" s="484"/>
      <c r="EB13" s="294">
        <f t="shared" ref="EB13:EB41" si="42">B13+E13+H13+K13+N13+Q13+T13+W13+Z13+AC13+AF13+AL13+AO13+AR13+AU13+AX13+BA13+BD13+BG13+DU13+AI13+DR13+DO13+DL13+DI13+DF13+DC13+CZ13+CW13+CT13+CQ13+CN13+CK13+CH13+CE13+CB13+BY13+BV13+BS13+BP13+BM13+BJ13</f>
        <v>146425000</v>
      </c>
      <c r="EC13" s="294">
        <f t="shared" ref="EC13:EC41" si="43">EB13-EK13+EL13</f>
        <v>0</v>
      </c>
      <c r="ED13" s="484">
        <f t="shared" ref="ED13:ED41" si="44">D13+G13+J13+M13+P13+S13+V13+Y13+AB13+AE13+AH13+AK13+AN13+AQ13+AT13+AW13+AZ13+BC13+BF13+BI13+DW13+DT13+DQ13+DN13+DK13+DH13+DE13+DB13+CY13+CV13+CS13+CP13+CM13+CJ13+CG13+CD13+CA13+BX13+BU13+BR13+BO13+BL13</f>
        <v>10770.576388888889</v>
      </c>
      <c r="EE13" s="485">
        <f t="shared" ref="EE13:EE41" si="45">IF(EB13&lt;&gt;0,((ED13/EB13)*360),0)</f>
        <v>2.6480501963462522E-2</v>
      </c>
      <c r="EG13" s="294">
        <f t="shared" ref="EG13:EG41" si="46">Q13+T13+W13+Z13+AC13+AF13</f>
        <v>0</v>
      </c>
      <c r="EH13" s="484">
        <f t="shared" ref="EH13:EH41" si="47">S13+V13+Y13+AB13+AE13+AH13</f>
        <v>0</v>
      </c>
      <c r="EI13" s="485">
        <f t="shared" ref="EI13:EI41" si="48">IF(EG13&lt;&gt;0,((EH13/EG13)*360),0)</f>
        <v>0</v>
      </c>
      <c r="EJ13" s="485"/>
      <c r="EK13" s="294">
        <f t="shared" ref="EK13:EK41" si="49">DR13+DL13+DI13+DF13+DC13+CZ13+CW13+CT13+CQ13+CN13+CK13+CH13+CE13+CB13+BY13+BV13+BS13+BP13+BM13+BJ13+BG13+BD13+BA13+AX13+AU13+AR13+AO13+AL13+AI13+DO13</f>
        <v>146425000</v>
      </c>
      <c r="EL13" s="294">
        <f t="shared" ref="EL13:EL41" si="50">DX13</f>
        <v>0</v>
      </c>
      <c r="EM13" s="294">
        <f t="shared" ref="EM13:EM41" si="51">DT13+DQ13+DN13+DK13+DH13+DE13+DB13+CY13+CV13+CS13+CP13+CM13+CJ13+CG13+CD13+CA13+BX13+BU13+BR13+BO13+BL13+BI13+BF13+BC13+AZ13+AW13+AT13+AQ13+AN13+AK13</f>
        <v>10770.576388888889</v>
      </c>
      <c r="EN13" s="485">
        <f t="shared" ref="EN13:EN41" si="52">IF(EK13&lt;&gt;0,((EM13/EK13)*360),0)</f>
        <v>2.6480501963462522E-2</v>
      </c>
      <c r="EO13" s="506"/>
      <c r="EP13" s="484"/>
    </row>
    <row r="14" spans="1:147">
      <c r="A14" s="503">
        <f t="shared" ref="A14:A41" si="53">1+A13</f>
        <v>43619</v>
      </c>
      <c r="D14" s="484">
        <f t="shared" si="2"/>
        <v>0</v>
      </c>
      <c r="G14" s="484">
        <f t="shared" si="3"/>
        <v>0</v>
      </c>
      <c r="J14" s="484">
        <f t="shared" si="4"/>
        <v>0</v>
      </c>
      <c r="M14" s="484">
        <f t="shared" si="5"/>
        <v>0</v>
      </c>
      <c r="P14" s="484">
        <f t="shared" si="6"/>
        <v>0</v>
      </c>
      <c r="S14" s="484">
        <f t="shared" si="7"/>
        <v>0</v>
      </c>
      <c r="V14" s="484">
        <f t="shared" si="8"/>
        <v>0</v>
      </c>
      <c r="Y14" s="484">
        <f t="shared" si="9"/>
        <v>0</v>
      </c>
      <c r="AB14" s="484">
        <f t="shared" si="10"/>
        <v>0</v>
      </c>
      <c r="AE14" s="484">
        <v>0</v>
      </c>
      <c r="AH14" s="484">
        <v>0</v>
      </c>
      <c r="AI14" s="504">
        <f>70200000</f>
        <v>70200000</v>
      </c>
      <c r="AJ14" s="505">
        <v>2.5899999999999999E-2</v>
      </c>
      <c r="AK14" s="484">
        <f t="shared" si="11"/>
        <v>5050.5</v>
      </c>
      <c r="AL14" s="504">
        <f t="shared" si="0"/>
        <v>25000000</v>
      </c>
      <c r="AM14" s="505">
        <v>2.75E-2</v>
      </c>
      <c r="AN14" s="484">
        <f t="shared" si="12"/>
        <v>1909.7222222222222</v>
      </c>
      <c r="AO14" s="504">
        <f t="shared" si="1"/>
        <v>25000000</v>
      </c>
      <c r="AP14" s="505">
        <v>2.7699999999999999E-2</v>
      </c>
      <c r="AQ14" s="484">
        <f t="shared" si="13"/>
        <v>1923.6111111111111</v>
      </c>
      <c r="AR14" s="504">
        <f t="shared" ref="AR14:AR41" si="54">30000000</f>
        <v>30000000</v>
      </c>
      <c r="AS14" s="505">
        <v>2.7199999999999998E-2</v>
      </c>
      <c r="AT14" s="484">
        <f t="shared" si="14"/>
        <v>2266.6666666666665</v>
      </c>
      <c r="AW14" s="484">
        <f t="shared" si="15"/>
        <v>0</v>
      </c>
      <c r="AZ14" s="484">
        <f t="shared" si="16"/>
        <v>0</v>
      </c>
      <c r="BC14" s="484">
        <f t="shared" si="17"/>
        <v>0</v>
      </c>
      <c r="BF14" s="484">
        <f t="shared" si="18"/>
        <v>0</v>
      </c>
      <c r="BI14" s="484">
        <f t="shared" si="19"/>
        <v>0</v>
      </c>
      <c r="BL14" s="484">
        <f t="shared" si="20"/>
        <v>0</v>
      </c>
      <c r="BO14" s="484">
        <f t="shared" si="21"/>
        <v>0</v>
      </c>
      <c r="BR14" s="484">
        <f t="shared" si="22"/>
        <v>0</v>
      </c>
      <c r="BU14" s="484">
        <f t="shared" si="23"/>
        <v>0</v>
      </c>
      <c r="BX14" s="484">
        <f t="shared" si="24"/>
        <v>0</v>
      </c>
      <c r="CA14" s="484">
        <f t="shared" si="25"/>
        <v>0</v>
      </c>
      <c r="CD14" s="484">
        <f t="shared" si="26"/>
        <v>0</v>
      </c>
      <c r="CG14" s="484">
        <f t="shared" si="27"/>
        <v>0</v>
      </c>
      <c r="CJ14" s="484">
        <f t="shared" si="28"/>
        <v>0</v>
      </c>
      <c r="CM14" s="484">
        <f t="shared" si="29"/>
        <v>0</v>
      </c>
      <c r="CP14" s="484">
        <f t="shared" si="30"/>
        <v>0</v>
      </c>
      <c r="CS14" s="484">
        <f t="shared" si="31"/>
        <v>0</v>
      </c>
      <c r="CV14" s="484">
        <f t="shared" si="32"/>
        <v>0</v>
      </c>
      <c r="CY14" s="484">
        <f t="shared" si="33"/>
        <v>0</v>
      </c>
      <c r="DB14" s="484">
        <f t="shared" si="34"/>
        <v>0</v>
      </c>
      <c r="DE14" s="484">
        <f t="shared" si="35"/>
        <v>0</v>
      </c>
      <c r="DH14" s="484">
        <f t="shared" si="36"/>
        <v>0</v>
      </c>
      <c r="DK14" s="484">
        <f t="shared" si="37"/>
        <v>0</v>
      </c>
      <c r="DN14" s="484">
        <f t="shared" si="38"/>
        <v>0</v>
      </c>
      <c r="DQ14" s="484">
        <f t="shared" si="39"/>
        <v>0</v>
      </c>
      <c r="DT14" s="484">
        <f t="shared" si="40"/>
        <v>0</v>
      </c>
      <c r="DW14" s="484">
        <f t="shared" si="41"/>
        <v>0</v>
      </c>
      <c r="DZ14" s="484"/>
      <c r="EA14" s="484"/>
      <c r="EB14" s="294">
        <f t="shared" si="42"/>
        <v>150200000</v>
      </c>
      <c r="EC14" s="294">
        <f t="shared" si="43"/>
        <v>0</v>
      </c>
      <c r="ED14" s="484">
        <f t="shared" si="44"/>
        <v>11150.5</v>
      </c>
      <c r="EE14" s="485">
        <f t="shared" si="45"/>
        <v>2.672556591211718E-2</v>
      </c>
      <c r="EG14" s="294">
        <f t="shared" si="46"/>
        <v>0</v>
      </c>
      <c r="EH14" s="484">
        <f t="shared" si="47"/>
        <v>0</v>
      </c>
      <c r="EI14" s="485">
        <f t="shared" si="48"/>
        <v>0</v>
      </c>
      <c r="EJ14" s="485"/>
      <c r="EK14" s="294">
        <f t="shared" si="49"/>
        <v>150200000</v>
      </c>
      <c r="EL14" s="294">
        <f t="shared" si="50"/>
        <v>0</v>
      </c>
      <c r="EM14" s="294">
        <f t="shared" si="51"/>
        <v>11150.5</v>
      </c>
      <c r="EN14" s="485">
        <f t="shared" si="52"/>
        <v>2.672556591211718E-2</v>
      </c>
      <c r="EO14" s="484"/>
      <c r="EP14" s="484"/>
    </row>
    <row r="15" spans="1:147">
      <c r="A15" s="503">
        <f t="shared" si="53"/>
        <v>43620</v>
      </c>
      <c r="D15" s="484">
        <f t="shared" si="2"/>
        <v>0</v>
      </c>
      <c r="G15" s="484">
        <f t="shared" si="3"/>
        <v>0</v>
      </c>
      <c r="J15" s="484">
        <f t="shared" si="4"/>
        <v>0</v>
      </c>
      <c r="M15" s="484">
        <f t="shared" si="5"/>
        <v>0</v>
      </c>
      <c r="P15" s="484">
        <f t="shared" si="6"/>
        <v>0</v>
      </c>
      <c r="S15" s="484">
        <f t="shared" si="7"/>
        <v>0</v>
      </c>
      <c r="V15" s="484">
        <f t="shared" si="8"/>
        <v>0</v>
      </c>
      <c r="Y15" s="484">
        <f t="shared" si="9"/>
        <v>0</v>
      </c>
      <c r="AB15" s="484">
        <f t="shared" si="10"/>
        <v>0</v>
      </c>
      <c r="AE15" s="484">
        <v>0</v>
      </c>
      <c r="AH15" s="484">
        <v>0</v>
      </c>
      <c r="AI15" s="504">
        <f>67475000</f>
        <v>67475000</v>
      </c>
      <c r="AJ15" s="505">
        <v>2.5899999999999999E-2</v>
      </c>
      <c r="AK15" s="484">
        <f t="shared" si="11"/>
        <v>4854.4513888888887</v>
      </c>
      <c r="AL15" s="504">
        <f t="shared" si="0"/>
        <v>25000000</v>
      </c>
      <c r="AM15" s="505">
        <v>2.75E-2</v>
      </c>
      <c r="AN15" s="484">
        <f t="shared" si="12"/>
        <v>1909.7222222222222</v>
      </c>
      <c r="AO15" s="504">
        <f t="shared" si="1"/>
        <v>25000000</v>
      </c>
      <c r="AP15" s="505">
        <v>2.7699999999999999E-2</v>
      </c>
      <c r="AQ15" s="484">
        <f t="shared" si="13"/>
        <v>1923.6111111111111</v>
      </c>
      <c r="AR15" s="504">
        <f t="shared" si="54"/>
        <v>30000000</v>
      </c>
      <c r="AS15" s="505">
        <v>2.7199999999999998E-2</v>
      </c>
      <c r="AT15" s="484">
        <f t="shared" si="14"/>
        <v>2266.6666666666665</v>
      </c>
      <c r="AW15" s="484">
        <f t="shared" si="15"/>
        <v>0</v>
      </c>
      <c r="AZ15" s="484">
        <f t="shared" si="16"/>
        <v>0</v>
      </c>
      <c r="BC15" s="484">
        <f t="shared" si="17"/>
        <v>0</v>
      </c>
      <c r="BF15" s="484">
        <f t="shared" si="18"/>
        <v>0</v>
      </c>
      <c r="BI15" s="484">
        <f t="shared" si="19"/>
        <v>0</v>
      </c>
      <c r="BL15" s="484">
        <f t="shared" si="20"/>
        <v>0</v>
      </c>
      <c r="BO15" s="484">
        <f t="shared" si="21"/>
        <v>0</v>
      </c>
      <c r="BR15" s="484">
        <f t="shared" si="22"/>
        <v>0</v>
      </c>
      <c r="BU15" s="484">
        <f t="shared" si="23"/>
        <v>0</v>
      </c>
      <c r="BX15" s="484">
        <f t="shared" si="24"/>
        <v>0</v>
      </c>
      <c r="CA15" s="484">
        <f t="shared" si="25"/>
        <v>0</v>
      </c>
      <c r="CD15" s="484">
        <f t="shared" si="26"/>
        <v>0</v>
      </c>
      <c r="CG15" s="484">
        <f t="shared" si="27"/>
        <v>0</v>
      </c>
      <c r="CJ15" s="484">
        <f t="shared" si="28"/>
        <v>0</v>
      </c>
      <c r="CM15" s="484">
        <f t="shared" si="29"/>
        <v>0</v>
      </c>
      <c r="CP15" s="484">
        <f t="shared" si="30"/>
        <v>0</v>
      </c>
      <c r="CS15" s="484">
        <f t="shared" si="31"/>
        <v>0</v>
      </c>
      <c r="CV15" s="484">
        <f t="shared" si="32"/>
        <v>0</v>
      </c>
      <c r="CY15" s="484">
        <f t="shared" si="33"/>
        <v>0</v>
      </c>
      <c r="DB15" s="484">
        <f t="shared" si="34"/>
        <v>0</v>
      </c>
      <c r="DE15" s="484">
        <f t="shared" si="35"/>
        <v>0</v>
      </c>
      <c r="DH15" s="484">
        <f t="shared" si="36"/>
        <v>0</v>
      </c>
      <c r="DK15" s="484">
        <f t="shared" si="37"/>
        <v>0</v>
      </c>
      <c r="DN15" s="484">
        <f t="shared" si="38"/>
        <v>0</v>
      </c>
      <c r="DQ15" s="484">
        <f t="shared" si="39"/>
        <v>0</v>
      </c>
      <c r="DT15" s="484">
        <f t="shared" si="40"/>
        <v>0</v>
      </c>
      <c r="DW15" s="484">
        <f t="shared" si="41"/>
        <v>0</v>
      </c>
      <c r="DZ15" s="484"/>
      <c r="EA15" s="484"/>
      <c r="EB15" s="294">
        <f t="shared" si="42"/>
        <v>147475000</v>
      </c>
      <c r="EC15" s="294">
        <f t="shared" si="43"/>
        <v>0</v>
      </c>
      <c r="ED15" s="484">
        <f t="shared" si="44"/>
        <v>10954.451388888889</v>
      </c>
      <c r="EE15" s="485">
        <f t="shared" si="45"/>
        <v>2.6740820478047125E-2</v>
      </c>
      <c r="EG15" s="294">
        <f t="shared" si="46"/>
        <v>0</v>
      </c>
      <c r="EH15" s="484">
        <f t="shared" si="47"/>
        <v>0</v>
      </c>
      <c r="EI15" s="485">
        <f t="shared" si="48"/>
        <v>0</v>
      </c>
      <c r="EJ15" s="485"/>
      <c r="EK15" s="294">
        <f t="shared" si="49"/>
        <v>147475000</v>
      </c>
      <c r="EL15" s="294">
        <f t="shared" si="50"/>
        <v>0</v>
      </c>
      <c r="EM15" s="294">
        <f t="shared" si="51"/>
        <v>10954.451388888889</v>
      </c>
      <c r="EN15" s="485">
        <f t="shared" si="52"/>
        <v>2.6740820478047125E-2</v>
      </c>
      <c r="EO15" s="484"/>
      <c r="EP15" s="484"/>
    </row>
    <row r="16" spans="1:147">
      <c r="A16" s="503">
        <f t="shared" si="53"/>
        <v>43621</v>
      </c>
      <c r="D16" s="484">
        <f t="shared" si="2"/>
        <v>0</v>
      </c>
      <c r="G16" s="484">
        <f t="shared" si="3"/>
        <v>0</v>
      </c>
      <c r="J16" s="484">
        <f t="shared" si="4"/>
        <v>0</v>
      </c>
      <c r="M16" s="484">
        <f t="shared" si="5"/>
        <v>0</v>
      </c>
      <c r="P16" s="484">
        <f t="shared" si="6"/>
        <v>0</v>
      </c>
      <c r="S16" s="484">
        <f t="shared" si="7"/>
        <v>0</v>
      </c>
      <c r="V16" s="484">
        <f t="shared" si="8"/>
        <v>0</v>
      </c>
      <c r="Y16" s="484">
        <f t="shared" si="9"/>
        <v>0</v>
      </c>
      <c r="AB16" s="484">
        <f t="shared" si="10"/>
        <v>0</v>
      </c>
      <c r="AE16" s="484">
        <v>0</v>
      </c>
      <c r="AH16" s="484">
        <v>0</v>
      </c>
      <c r="AI16" s="504">
        <f>62625000</f>
        <v>62625000</v>
      </c>
      <c r="AJ16" s="505">
        <v>2.58E-2</v>
      </c>
      <c r="AK16" s="484">
        <f t="shared" si="11"/>
        <v>4488.125</v>
      </c>
      <c r="AL16" s="504">
        <f t="shared" si="0"/>
        <v>25000000</v>
      </c>
      <c r="AM16" s="505">
        <v>2.75E-2</v>
      </c>
      <c r="AN16" s="484">
        <f t="shared" si="12"/>
        <v>1909.7222222222222</v>
      </c>
      <c r="AO16" s="504">
        <f t="shared" si="1"/>
        <v>25000000</v>
      </c>
      <c r="AP16" s="505">
        <v>2.7699999999999999E-2</v>
      </c>
      <c r="AQ16" s="484">
        <f t="shared" si="13"/>
        <v>1923.6111111111111</v>
      </c>
      <c r="AR16" s="504">
        <f t="shared" si="54"/>
        <v>30000000</v>
      </c>
      <c r="AS16" s="505">
        <v>2.7199999999999998E-2</v>
      </c>
      <c r="AT16" s="484">
        <f t="shared" si="14"/>
        <v>2266.6666666666665</v>
      </c>
      <c r="AW16" s="484">
        <f t="shared" si="15"/>
        <v>0</v>
      </c>
      <c r="AZ16" s="484">
        <f t="shared" si="16"/>
        <v>0</v>
      </c>
      <c r="BC16" s="484">
        <f t="shared" si="17"/>
        <v>0</v>
      </c>
      <c r="BF16" s="484">
        <f t="shared" si="18"/>
        <v>0</v>
      </c>
      <c r="BI16" s="484">
        <f t="shared" si="19"/>
        <v>0</v>
      </c>
      <c r="BL16" s="484">
        <f t="shared" si="20"/>
        <v>0</v>
      </c>
      <c r="BO16" s="484">
        <f t="shared" si="21"/>
        <v>0</v>
      </c>
      <c r="BR16" s="484">
        <f t="shared" si="22"/>
        <v>0</v>
      </c>
      <c r="BU16" s="484">
        <f t="shared" si="23"/>
        <v>0</v>
      </c>
      <c r="BX16" s="484">
        <f t="shared" si="24"/>
        <v>0</v>
      </c>
      <c r="CA16" s="484">
        <f t="shared" si="25"/>
        <v>0</v>
      </c>
      <c r="CD16" s="484">
        <f t="shared" si="26"/>
        <v>0</v>
      </c>
      <c r="CG16" s="484">
        <f t="shared" si="27"/>
        <v>0</v>
      </c>
      <c r="CJ16" s="484">
        <f t="shared" si="28"/>
        <v>0</v>
      </c>
      <c r="CM16" s="484">
        <f t="shared" si="29"/>
        <v>0</v>
      </c>
      <c r="CP16" s="484">
        <f t="shared" si="30"/>
        <v>0</v>
      </c>
      <c r="CS16" s="484">
        <f t="shared" si="31"/>
        <v>0</v>
      </c>
      <c r="CV16" s="484">
        <f t="shared" si="32"/>
        <v>0</v>
      </c>
      <c r="CY16" s="484">
        <f t="shared" si="33"/>
        <v>0</v>
      </c>
      <c r="DB16" s="484">
        <f t="shared" si="34"/>
        <v>0</v>
      </c>
      <c r="DE16" s="484">
        <f t="shared" si="35"/>
        <v>0</v>
      </c>
      <c r="DH16" s="484">
        <f t="shared" si="36"/>
        <v>0</v>
      </c>
      <c r="DK16" s="484">
        <f t="shared" si="37"/>
        <v>0</v>
      </c>
      <c r="DN16" s="484">
        <f t="shared" si="38"/>
        <v>0</v>
      </c>
      <c r="DQ16" s="484">
        <f t="shared" si="39"/>
        <v>0</v>
      </c>
      <c r="DT16" s="484">
        <f t="shared" si="40"/>
        <v>0</v>
      </c>
      <c r="DW16" s="484">
        <f t="shared" si="41"/>
        <v>0</v>
      </c>
      <c r="DZ16" s="484"/>
      <c r="EA16" s="484"/>
      <c r="EB16" s="294">
        <f t="shared" si="42"/>
        <v>142625000</v>
      </c>
      <c r="EC16" s="294">
        <f t="shared" si="43"/>
        <v>0</v>
      </c>
      <c r="ED16" s="484">
        <f t="shared" si="44"/>
        <v>10588.125</v>
      </c>
      <c r="EE16" s="485">
        <f t="shared" si="45"/>
        <v>2.6725503943908852E-2</v>
      </c>
      <c r="EG16" s="294">
        <f t="shared" si="46"/>
        <v>0</v>
      </c>
      <c r="EH16" s="484">
        <f t="shared" si="47"/>
        <v>0</v>
      </c>
      <c r="EI16" s="485">
        <f t="shared" si="48"/>
        <v>0</v>
      </c>
      <c r="EJ16" s="485"/>
      <c r="EK16" s="294">
        <f t="shared" si="49"/>
        <v>142625000</v>
      </c>
      <c r="EL16" s="294">
        <f t="shared" si="50"/>
        <v>0</v>
      </c>
      <c r="EM16" s="294">
        <f t="shared" si="51"/>
        <v>10588.125</v>
      </c>
      <c r="EN16" s="485">
        <f t="shared" si="52"/>
        <v>2.6725503943908852E-2</v>
      </c>
      <c r="EP16" s="484"/>
    </row>
    <row r="17" spans="1:146">
      <c r="A17" s="503">
        <f t="shared" si="53"/>
        <v>43622</v>
      </c>
      <c r="D17" s="484">
        <f t="shared" si="2"/>
        <v>0</v>
      </c>
      <c r="G17" s="484">
        <f t="shared" si="3"/>
        <v>0</v>
      </c>
      <c r="J17" s="484">
        <f t="shared" si="4"/>
        <v>0</v>
      </c>
      <c r="M17" s="484">
        <f t="shared" si="5"/>
        <v>0</v>
      </c>
      <c r="P17" s="484">
        <f t="shared" si="6"/>
        <v>0</v>
      </c>
      <c r="S17" s="484">
        <f t="shared" si="7"/>
        <v>0</v>
      </c>
      <c r="V17" s="484">
        <f t="shared" si="8"/>
        <v>0</v>
      </c>
      <c r="Y17" s="484">
        <f t="shared" si="9"/>
        <v>0</v>
      </c>
      <c r="AB17" s="484">
        <f t="shared" si="10"/>
        <v>0</v>
      </c>
      <c r="AE17" s="484">
        <v>0</v>
      </c>
      <c r="AH17" s="484">
        <v>0</v>
      </c>
      <c r="AI17" s="504">
        <f>58000000</f>
        <v>58000000</v>
      </c>
      <c r="AJ17" s="505">
        <v>2.58E-2</v>
      </c>
      <c r="AK17" s="484">
        <f t="shared" si="11"/>
        <v>4156.666666666667</v>
      </c>
      <c r="AL17" s="504">
        <f t="shared" si="0"/>
        <v>25000000</v>
      </c>
      <c r="AM17" s="505">
        <v>2.75E-2</v>
      </c>
      <c r="AN17" s="484">
        <f t="shared" si="12"/>
        <v>1909.7222222222222</v>
      </c>
      <c r="AO17" s="504">
        <f t="shared" si="1"/>
        <v>25000000</v>
      </c>
      <c r="AP17" s="505">
        <v>2.7699999999999999E-2</v>
      </c>
      <c r="AQ17" s="484">
        <f t="shared" si="13"/>
        <v>1923.6111111111111</v>
      </c>
      <c r="AR17" s="504">
        <f t="shared" si="54"/>
        <v>30000000</v>
      </c>
      <c r="AS17" s="505">
        <v>2.7199999999999998E-2</v>
      </c>
      <c r="AT17" s="484">
        <f t="shared" si="14"/>
        <v>2266.6666666666665</v>
      </c>
      <c r="AW17" s="484">
        <f t="shared" si="15"/>
        <v>0</v>
      </c>
      <c r="AZ17" s="484">
        <f t="shared" si="16"/>
        <v>0</v>
      </c>
      <c r="BC17" s="484">
        <f t="shared" si="17"/>
        <v>0</v>
      </c>
      <c r="BF17" s="484">
        <f t="shared" si="18"/>
        <v>0</v>
      </c>
      <c r="BI17" s="484">
        <f t="shared" si="19"/>
        <v>0</v>
      </c>
      <c r="BL17" s="484">
        <f t="shared" si="20"/>
        <v>0</v>
      </c>
      <c r="BO17" s="484">
        <f t="shared" si="21"/>
        <v>0</v>
      </c>
      <c r="BR17" s="484">
        <f t="shared" si="22"/>
        <v>0</v>
      </c>
      <c r="BU17" s="484">
        <f t="shared" si="23"/>
        <v>0</v>
      </c>
      <c r="BX17" s="484">
        <f t="shared" si="24"/>
        <v>0</v>
      </c>
      <c r="CA17" s="484">
        <f t="shared" si="25"/>
        <v>0</v>
      </c>
      <c r="CD17" s="484">
        <f t="shared" si="26"/>
        <v>0</v>
      </c>
      <c r="CG17" s="484">
        <f t="shared" si="27"/>
        <v>0</v>
      </c>
      <c r="CJ17" s="484">
        <f t="shared" si="28"/>
        <v>0</v>
      </c>
      <c r="CM17" s="484">
        <f t="shared" si="29"/>
        <v>0</v>
      </c>
      <c r="CP17" s="484">
        <f t="shared" si="30"/>
        <v>0</v>
      </c>
      <c r="CS17" s="484">
        <f t="shared" si="31"/>
        <v>0</v>
      </c>
      <c r="CV17" s="484">
        <f t="shared" si="32"/>
        <v>0</v>
      </c>
      <c r="CY17" s="484">
        <f t="shared" si="33"/>
        <v>0</v>
      </c>
      <c r="DB17" s="484">
        <f t="shared" si="34"/>
        <v>0</v>
      </c>
      <c r="DE17" s="484">
        <f t="shared" si="35"/>
        <v>0</v>
      </c>
      <c r="DH17" s="484">
        <f t="shared" si="36"/>
        <v>0</v>
      </c>
      <c r="DK17" s="484">
        <f t="shared" si="37"/>
        <v>0</v>
      </c>
      <c r="DN17" s="484">
        <f t="shared" si="38"/>
        <v>0</v>
      </c>
      <c r="DQ17" s="484">
        <f t="shared" si="39"/>
        <v>0</v>
      </c>
      <c r="DT17" s="484">
        <f t="shared" si="40"/>
        <v>0</v>
      </c>
      <c r="DW17" s="484">
        <f t="shared" si="41"/>
        <v>0</v>
      </c>
      <c r="DZ17" s="484"/>
      <c r="EA17" s="484"/>
      <c r="EB17" s="294">
        <f t="shared" si="42"/>
        <v>138000000</v>
      </c>
      <c r="EC17" s="294">
        <f t="shared" si="43"/>
        <v>0</v>
      </c>
      <c r="ED17" s="484">
        <f t="shared" si="44"/>
        <v>10256.666666666666</v>
      </c>
      <c r="EE17" s="485">
        <f t="shared" si="45"/>
        <v>2.6756521739130432E-2</v>
      </c>
      <c r="EG17" s="294">
        <f t="shared" si="46"/>
        <v>0</v>
      </c>
      <c r="EH17" s="484">
        <f t="shared" si="47"/>
        <v>0</v>
      </c>
      <c r="EI17" s="485">
        <f t="shared" si="48"/>
        <v>0</v>
      </c>
      <c r="EJ17" s="485"/>
      <c r="EK17" s="294">
        <f t="shared" si="49"/>
        <v>138000000</v>
      </c>
      <c r="EL17" s="294">
        <f t="shared" si="50"/>
        <v>0</v>
      </c>
      <c r="EM17" s="294">
        <f t="shared" si="51"/>
        <v>10256.666666666668</v>
      </c>
      <c r="EN17" s="485">
        <f t="shared" si="52"/>
        <v>2.6756521739130436E-2</v>
      </c>
      <c r="EP17" s="484"/>
    </row>
    <row r="18" spans="1:146">
      <c r="A18" s="503">
        <f t="shared" si="53"/>
        <v>43623</v>
      </c>
      <c r="D18" s="484">
        <f t="shared" si="2"/>
        <v>0</v>
      </c>
      <c r="G18" s="484">
        <f t="shared" si="3"/>
        <v>0</v>
      </c>
      <c r="J18" s="484">
        <f t="shared" si="4"/>
        <v>0</v>
      </c>
      <c r="M18" s="484">
        <f t="shared" si="5"/>
        <v>0</v>
      </c>
      <c r="P18" s="484">
        <f t="shared" si="6"/>
        <v>0</v>
      </c>
      <c r="S18" s="484">
        <f t="shared" si="7"/>
        <v>0</v>
      </c>
      <c r="V18" s="484">
        <f t="shared" si="8"/>
        <v>0</v>
      </c>
      <c r="Y18" s="484">
        <f t="shared" si="9"/>
        <v>0</v>
      </c>
      <c r="AB18" s="484">
        <f t="shared" si="10"/>
        <v>0</v>
      </c>
      <c r="AE18" s="484">
        <v>0</v>
      </c>
      <c r="AH18" s="484">
        <v>0</v>
      </c>
      <c r="AI18" s="504">
        <f>46950000</f>
        <v>46950000</v>
      </c>
      <c r="AJ18" s="505">
        <v>2.58E-2</v>
      </c>
      <c r="AK18" s="484">
        <f t="shared" si="11"/>
        <v>3364.75</v>
      </c>
      <c r="AL18" s="504">
        <f t="shared" ref="AL18:AL41" si="55">35000000</f>
        <v>35000000</v>
      </c>
      <c r="AM18" s="505">
        <v>2.7E-2</v>
      </c>
      <c r="AN18" s="484">
        <f t="shared" si="12"/>
        <v>2625</v>
      </c>
      <c r="AO18" s="504">
        <f t="shared" si="1"/>
        <v>25000000</v>
      </c>
      <c r="AP18" s="505">
        <v>2.7699999999999999E-2</v>
      </c>
      <c r="AQ18" s="484">
        <f t="shared" si="13"/>
        <v>1923.6111111111111</v>
      </c>
      <c r="AR18" s="504">
        <f t="shared" si="54"/>
        <v>30000000</v>
      </c>
      <c r="AS18" s="505">
        <v>2.7199999999999998E-2</v>
      </c>
      <c r="AT18" s="484">
        <f t="shared" si="14"/>
        <v>2266.6666666666665</v>
      </c>
      <c r="AW18" s="484">
        <f t="shared" si="15"/>
        <v>0</v>
      </c>
      <c r="AZ18" s="484">
        <f t="shared" si="16"/>
        <v>0</v>
      </c>
      <c r="BC18" s="484">
        <f t="shared" si="17"/>
        <v>0</v>
      </c>
      <c r="BF18" s="484">
        <f t="shared" si="18"/>
        <v>0</v>
      </c>
      <c r="BI18" s="484">
        <f t="shared" si="19"/>
        <v>0</v>
      </c>
      <c r="BL18" s="484">
        <f t="shared" si="20"/>
        <v>0</v>
      </c>
      <c r="BO18" s="484">
        <f t="shared" si="21"/>
        <v>0</v>
      </c>
      <c r="BR18" s="484">
        <f t="shared" si="22"/>
        <v>0</v>
      </c>
      <c r="BU18" s="484">
        <f t="shared" si="23"/>
        <v>0</v>
      </c>
      <c r="BX18" s="484">
        <f t="shared" si="24"/>
        <v>0</v>
      </c>
      <c r="CA18" s="484">
        <f t="shared" si="25"/>
        <v>0</v>
      </c>
      <c r="CD18" s="484">
        <f t="shared" si="26"/>
        <v>0</v>
      </c>
      <c r="CG18" s="484">
        <f t="shared" si="27"/>
        <v>0</v>
      </c>
      <c r="CJ18" s="484">
        <f t="shared" si="28"/>
        <v>0</v>
      </c>
      <c r="CM18" s="484">
        <f t="shared" si="29"/>
        <v>0</v>
      </c>
      <c r="CP18" s="484">
        <f t="shared" si="30"/>
        <v>0</v>
      </c>
      <c r="CS18" s="484">
        <f t="shared" si="31"/>
        <v>0</v>
      </c>
      <c r="CV18" s="484">
        <f t="shared" si="32"/>
        <v>0</v>
      </c>
      <c r="CY18" s="484">
        <f t="shared" si="33"/>
        <v>0</v>
      </c>
      <c r="DB18" s="484">
        <f t="shared" si="34"/>
        <v>0</v>
      </c>
      <c r="DE18" s="484">
        <f t="shared" si="35"/>
        <v>0</v>
      </c>
      <c r="DH18" s="484">
        <f t="shared" si="36"/>
        <v>0</v>
      </c>
      <c r="DK18" s="484">
        <f t="shared" si="37"/>
        <v>0</v>
      </c>
      <c r="DN18" s="484">
        <f t="shared" si="38"/>
        <v>0</v>
      </c>
      <c r="DQ18" s="484">
        <f t="shared" si="39"/>
        <v>0</v>
      </c>
      <c r="DT18" s="484">
        <f t="shared" si="40"/>
        <v>0</v>
      </c>
      <c r="DW18" s="484">
        <f t="shared" si="41"/>
        <v>0</v>
      </c>
      <c r="DZ18" s="484"/>
      <c r="EA18" s="484"/>
      <c r="EB18" s="294">
        <f t="shared" si="42"/>
        <v>136950000</v>
      </c>
      <c r="EC18" s="294">
        <f t="shared" si="43"/>
        <v>0</v>
      </c>
      <c r="ED18" s="484">
        <f t="shared" si="44"/>
        <v>10180.027777777777</v>
      </c>
      <c r="EE18" s="485">
        <f t="shared" si="45"/>
        <v>2.6760204454180356E-2</v>
      </c>
      <c r="EG18" s="294">
        <f t="shared" si="46"/>
        <v>0</v>
      </c>
      <c r="EH18" s="484">
        <f t="shared" si="47"/>
        <v>0</v>
      </c>
      <c r="EI18" s="485">
        <f t="shared" si="48"/>
        <v>0</v>
      </c>
      <c r="EJ18" s="485"/>
      <c r="EK18" s="294">
        <f t="shared" si="49"/>
        <v>136950000</v>
      </c>
      <c r="EL18" s="294">
        <f t="shared" si="50"/>
        <v>0</v>
      </c>
      <c r="EM18" s="294">
        <f t="shared" si="51"/>
        <v>10180.027777777777</v>
      </c>
      <c r="EN18" s="485">
        <f t="shared" si="52"/>
        <v>2.6760204454180356E-2</v>
      </c>
      <c r="EP18" s="484"/>
    </row>
    <row r="19" spans="1:146">
      <c r="A19" s="503">
        <f t="shared" si="53"/>
        <v>43624</v>
      </c>
      <c r="D19" s="484">
        <f t="shared" si="2"/>
        <v>0</v>
      </c>
      <c r="G19" s="484">
        <f t="shared" si="3"/>
        <v>0</v>
      </c>
      <c r="J19" s="484">
        <f t="shared" si="4"/>
        <v>0</v>
      </c>
      <c r="M19" s="484">
        <f t="shared" si="5"/>
        <v>0</v>
      </c>
      <c r="P19" s="484">
        <f t="shared" si="6"/>
        <v>0</v>
      </c>
      <c r="S19" s="484">
        <f t="shared" si="7"/>
        <v>0</v>
      </c>
      <c r="V19" s="484">
        <f t="shared" si="8"/>
        <v>0</v>
      </c>
      <c r="Y19" s="484">
        <f t="shared" si="9"/>
        <v>0</v>
      </c>
      <c r="AB19" s="484">
        <f t="shared" si="10"/>
        <v>0</v>
      </c>
      <c r="AE19" s="484">
        <v>0</v>
      </c>
      <c r="AH19" s="484">
        <v>0</v>
      </c>
      <c r="AI19" s="504">
        <f>46950000</f>
        <v>46950000</v>
      </c>
      <c r="AJ19" s="505">
        <v>2.58E-2</v>
      </c>
      <c r="AK19" s="484">
        <f t="shared" si="11"/>
        <v>3364.75</v>
      </c>
      <c r="AL19" s="504">
        <f t="shared" si="55"/>
        <v>35000000</v>
      </c>
      <c r="AM19" s="505">
        <v>2.7E-2</v>
      </c>
      <c r="AN19" s="484">
        <f t="shared" si="12"/>
        <v>2625</v>
      </c>
      <c r="AO19" s="504">
        <f t="shared" si="1"/>
        <v>25000000</v>
      </c>
      <c r="AP19" s="505">
        <v>2.7699999999999999E-2</v>
      </c>
      <c r="AQ19" s="484">
        <f t="shared" si="13"/>
        <v>1923.6111111111111</v>
      </c>
      <c r="AR19" s="504">
        <f t="shared" si="54"/>
        <v>30000000</v>
      </c>
      <c r="AS19" s="505">
        <v>2.7199999999999998E-2</v>
      </c>
      <c r="AT19" s="484">
        <f t="shared" si="14"/>
        <v>2266.6666666666665</v>
      </c>
      <c r="AW19" s="484">
        <f t="shared" si="15"/>
        <v>0</v>
      </c>
      <c r="AZ19" s="484">
        <f t="shared" si="16"/>
        <v>0</v>
      </c>
      <c r="BC19" s="484">
        <f t="shared" si="17"/>
        <v>0</v>
      </c>
      <c r="BF19" s="484">
        <f t="shared" si="18"/>
        <v>0</v>
      </c>
      <c r="BI19" s="484">
        <f t="shared" si="19"/>
        <v>0</v>
      </c>
      <c r="BL19" s="484">
        <f t="shared" si="20"/>
        <v>0</v>
      </c>
      <c r="BO19" s="484">
        <f t="shared" si="21"/>
        <v>0</v>
      </c>
      <c r="BR19" s="484">
        <f t="shared" si="22"/>
        <v>0</v>
      </c>
      <c r="BU19" s="484">
        <f t="shared" si="23"/>
        <v>0</v>
      </c>
      <c r="BX19" s="484">
        <f t="shared" si="24"/>
        <v>0</v>
      </c>
      <c r="CA19" s="484">
        <f t="shared" si="25"/>
        <v>0</v>
      </c>
      <c r="CD19" s="484">
        <f t="shared" si="26"/>
        <v>0</v>
      </c>
      <c r="CG19" s="484">
        <f t="shared" si="27"/>
        <v>0</v>
      </c>
      <c r="CJ19" s="484">
        <f t="shared" si="28"/>
        <v>0</v>
      </c>
      <c r="CM19" s="484">
        <f t="shared" si="29"/>
        <v>0</v>
      </c>
      <c r="CP19" s="484">
        <f t="shared" si="30"/>
        <v>0</v>
      </c>
      <c r="CS19" s="484">
        <f t="shared" si="31"/>
        <v>0</v>
      </c>
      <c r="CV19" s="484">
        <f t="shared" si="32"/>
        <v>0</v>
      </c>
      <c r="CY19" s="484">
        <f t="shared" si="33"/>
        <v>0</v>
      </c>
      <c r="DB19" s="484">
        <f t="shared" si="34"/>
        <v>0</v>
      </c>
      <c r="DE19" s="484">
        <f t="shared" si="35"/>
        <v>0</v>
      </c>
      <c r="DH19" s="484">
        <f t="shared" si="36"/>
        <v>0</v>
      </c>
      <c r="DK19" s="484">
        <f t="shared" si="37"/>
        <v>0</v>
      </c>
      <c r="DN19" s="484">
        <f t="shared" si="38"/>
        <v>0</v>
      </c>
      <c r="DQ19" s="484">
        <f t="shared" si="39"/>
        <v>0</v>
      </c>
      <c r="DT19" s="484">
        <f t="shared" si="40"/>
        <v>0</v>
      </c>
      <c r="DW19" s="484">
        <f t="shared" si="41"/>
        <v>0</v>
      </c>
      <c r="DZ19" s="484"/>
      <c r="EA19" s="484"/>
      <c r="EB19" s="294">
        <f t="shared" si="42"/>
        <v>136950000</v>
      </c>
      <c r="EC19" s="294">
        <f t="shared" si="43"/>
        <v>0</v>
      </c>
      <c r="ED19" s="484">
        <f t="shared" si="44"/>
        <v>10180.027777777777</v>
      </c>
      <c r="EE19" s="485">
        <f t="shared" si="45"/>
        <v>2.6760204454180356E-2</v>
      </c>
      <c r="EG19" s="294">
        <f t="shared" si="46"/>
        <v>0</v>
      </c>
      <c r="EH19" s="484">
        <f t="shared" si="47"/>
        <v>0</v>
      </c>
      <c r="EI19" s="485">
        <f t="shared" si="48"/>
        <v>0</v>
      </c>
      <c r="EJ19" s="485"/>
      <c r="EK19" s="294">
        <f t="shared" si="49"/>
        <v>136950000</v>
      </c>
      <c r="EL19" s="294">
        <f t="shared" si="50"/>
        <v>0</v>
      </c>
      <c r="EM19" s="294">
        <f t="shared" si="51"/>
        <v>10180.027777777777</v>
      </c>
      <c r="EN19" s="485">
        <f t="shared" si="52"/>
        <v>2.6760204454180356E-2</v>
      </c>
      <c r="EP19" s="484"/>
    </row>
    <row r="20" spans="1:146">
      <c r="A20" s="503">
        <f t="shared" si="53"/>
        <v>43625</v>
      </c>
      <c r="D20" s="484">
        <f t="shared" si="2"/>
        <v>0</v>
      </c>
      <c r="G20" s="484">
        <f t="shared" si="3"/>
        <v>0</v>
      </c>
      <c r="J20" s="484">
        <f t="shared" si="4"/>
        <v>0</v>
      </c>
      <c r="M20" s="484">
        <f t="shared" si="5"/>
        <v>0</v>
      </c>
      <c r="P20" s="484">
        <f t="shared" si="6"/>
        <v>0</v>
      </c>
      <c r="S20" s="484">
        <f t="shared" si="7"/>
        <v>0</v>
      </c>
      <c r="V20" s="484">
        <f t="shared" si="8"/>
        <v>0</v>
      </c>
      <c r="Y20" s="484">
        <f t="shared" si="9"/>
        <v>0</v>
      </c>
      <c r="AB20" s="484">
        <f t="shared" si="10"/>
        <v>0</v>
      </c>
      <c r="AE20" s="484">
        <v>0</v>
      </c>
      <c r="AH20" s="484">
        <v>0</v>
      </c>
      <c r="AI20" s="504">
        <f>46950000</f>
        <v>46950000</v>
      </c>
      <c r="AJ20" s="505">
        <v>2.58E-2</v>
      </c>
      <c r="AK20" s="484">
        <f t="shared" si="11"/>
        <v>3364.75</v>
      </c>
      <c r="AL20" s="504">
        <f t="shared" si="55"/>
        <v>35000000</v>
      </c>
      <c r="AM20" s="505">
        <v>2.7E-2</v>
      </c>
      <c r="AN20" s="484">
        <f t="shared" si="12"/>
        <v>2625</v>
      </c>
      <c r="AO20" s="504">
        <f t="shared" si="1"/>
        <v>25000000</v>
      </c>
      <c r="AP20" s="505">
        <v>2.7699999999999999E-2</v>
      </c>
      <c r="AQ20" s="484">
        <f t="shared" si="13"/>
        <v>1923.6111111111111</v>
      </c>
      <c r="AR20" s="504">
        <f t="shared" si="54"/>
        <v>30000000</v>
      </c>
      <c r="AS20" s="505">
        <v>2.7199999999999998E-2</v>
      </c>
      <c r="AT20" s="484">
        <f t="shared" si="14"/>
        <v>2266.6666666666665</v>
      </c>
      <c r="AW20" s="484">
        <f t="shared" si="15"/>
        <v>0</v>
      </c>
      <c r="AZ20" s="484">
        <f t="shared" si="16"/>
        <v>0</v>
      </c>
      <c r="BC20" s="484">
        <f t="shared" si="17"/>
        <v>0</v>
      </c>
      <c r="BF20" s="484">
        <f t="shared" si="18"/>
        <v>0</v>
      </c>
      <c r="BI20" s="484">
        <f t="shared" si="19"/>
        <v>0</v>
      </c>
      <c r="BL20" s="484">
        <f t="shared" si="20"/>
        <v>0</v>
      </c>
      <c r="BO20" s="484">
        <f t="shared" si="21"/>
        <v>0</v>
      </c>
      <c r="BR20" s="484">
        <f t="shared" si="22"/>
        <v>0</v>
      </c>
      <c r="BU20" s="484">
        <f t="shared" si="23"/>
        <v>0</v>
      </c>
      <c r="BX20" s="484">
        <f t="shared" si="24"/>
        <v>0</v>
      </c>
      <c r="CA20" s="484">
        <f t="shared" si="25"/>
        <v>0</v>
      </c>
      <c r="CD20" s="484">
        <f t="shared" si="26"/>
        <v>0</v>
      </c>
      <c r="CG20" s="484">
        <f t="shared" si="27"/>
        <v>0</v>
      </c>
      <c r="CJ20" s="484">
        <f t="shared" si="28"/>
        <v>0</v>
      </c>
      <c r="CM20" s="484">
        <f t="shared" si="29"/>
        <v>0</v>
      </c>
      <c r="CP20" s="484">
        <f t="shared" si="30"/>
        <v>0</v>
      </c>
      <c r="CS20" s="484">
        <f t="shared" si="31"/>
        <v>0</v>
      </c>
      <c r="CV20" s="484">
        <f t="shared" si="32"/>
        <v>0</v>
      </c>
      <c r="CY20" s="484">
        <f t="shared" si="33"/>
        <v>0</v>
      </c>
      <c r="DB20" s="484">
        <f t="shared" si="34"/>
        <v>0</v>
      </c>
      <c r="DE20" s="484">
        <f t="shared" si="35"/>
        <v>0</v>
      </c>
      <c r="DH20" s="484">
        <f t="shared" si="36"/>
        <v>0</v>
      </c>
      <c r="DK20" s="484">
        <f t="shared" si="37"/>
        <v>0</v>
      </c>
      <c r="DN20" s="484">
        <f t="shared" si="38"/>
        <v>0</v>
      </c>
      <c r="DQ20" s="484">
        <f t="shared" si="39"/>
        <v>0</v>
      </c>
      <c r="DT20" s="484">
        <f t="shared" si="40"/>
        <v>0</v>
      </c>
      <c r="DW20" s="484">
        <f t="shared" si="41"/>
        <v>0</v>
      </c>
      <c r="DZ20" s="484"/>
      <c r="EA20" s="484"/>
      <c r="EB20" s="294">
        <f t="shared" si="42"/>
        <v>136950000</v>
      </c>
      <c r="EC20" s="294">
        <f t="shared" si="43"/>
        <v>0</v>
      </c>
      <c r="ED20" s="484">
        <f t="shared" si="44"/>
        <v>10180.027777777777</v>
      </c>
      <c r="EE20" s="485">
        <f t="shared" si="45"/>
        <v>2.6760204454180356E-2</v>
      </c>
      <c r="EG20" s="294">
        <f t="shared" si="46"/>
        <v>0</v>
      </c>
      <c r="EH20" s="484">
        <f t="shared" si="47"/>
        <v>0</v>
      </c>
      <c r="EI20" s="485">
        <f t="shared" si="48"/>
        <v>0</v>
      </c>
      <c r="EJ20" s="485"/>
      <c r="EK20" s="294">
        <f t="shared" si="49"/>
        <v>136950000</v>
      </c>
      <c r="EL20" s="294">
        <f t="shared" si="50"/>
        <v>0</v>
      </c>
      <c r="EM20" s="294">
        <f t="shared" si="51"/>
        <v>10180.027777777777</v>
      </c>
      <c r="EN20" s="485">
        <f t="shared" si="52"/>
        <v>2.6760204454180356E-2</v>
      </c>
      <c r="EP20" s="484"/>
    </row>
    <row r="21" spans="1:146">
      <c r="A21" s="503">
        <f t="shared" si="53"/>
        <v>43626</v>
      </c>
      <c r="D21" s="484">
        <f t="shared" si="2"/>
        <v>0</v>
      </c>
      <c r="G21" s="484">
        <f t="shared" si="3"/>
        <v>0</v>
      </c>
      <c r="J21" s="484">
        <f t="shared" si="4"/>
        <v>0</v>
      </c>
      <c r="M21" s="484">
        <f t="shared" si="5"/>
        <v>0</v>
      </c>
      <c r="P21" s="484">
        <f t="shared" si="6"/>
        <v>0</v>
      </c>
      <c r="S21" s="484">
        <f t="shared" si="7"/>
        <v>0</v>
      </c>
      <c r="V21" s="484">
        <f t="shared" si="8"/>
        <v>0</v>
      </c>
      <c r="Y21" s="484">
        <f t="shared" si="9"/>
        <v>0</v>
      </c>
      <c r="AB21" s="484">
        <f t="shared" si="10"/>
        <v>0</v>
      </c>
      <c r="AE21" s="484">
        <v>0</v>
      </c>
      <c r="AH21" s="484">
        <v>0</v>
      </c>
      <c r="AI21" s="504">
        <f>44700000</f>
        <v>44700000</v>
      </c>
      <c r="AJ21" s="505">
        <v>2.58E-2</v>
      </c>
      <c r="AK21" s="484">
        <f t="shared" si="11"/>
        <v>3203.5</v>
      </c>
      <c r="AL21" s="504">
        <f t="shared" si="55"/>
        <v>35000000</v>
      </c>
      <c r="AM21" s="505">
        <v>2.7E-2</v>
      </c>
      <c r="AN21" s="484">
        <f t="shared" si="12"/>
        <v>2625</v>
      </c>
      <c r="AO21" s="504">
        <f t="shared" si="1"/>
        <v>25000000</v>
      </c>
      <c r="AP21" s="505">
        <v>2.7699999999999999E-2</v>
      </c>
      <c r="AQ21" s="484">
        <f t="shared" si="13"/>
        <v>1923.6111111111111</v>
      </c>
      <c r="AR21" s="504">
        <f t="shared" si="54"/>
        <v>30000000</v>
      </c>
      <c r="AS21" s="505">
        <v>2.7199999999999998E-2</v>
      </c>
      <c r="AT21" s="484">
        <f t="shared" si="14"/>
        <v>2266.6666666666665</v>
      </c>
      <c r="AW21" s="484">
        <f t="shared" si="15"/>
        <v>0</v>
      </c>
      <c r="AZ21" s="484">
        <f t="shared" si="16"/>
        <v>0</v>
      </c>
      <c r="BC21" s="484">
        <f t="shared" si="17"/>
        <v>0</v>
      </c>
      <c r="BF21" s="484">
        <f t="shared" si="18"/>
        <v>0</v>
      </c>
      <c r="BI21" s="484">
        <f t="shared" si="19"/>
        <v>0</v>
      </c>
      <c r="BL21" s="484">
        <f t="shared" si="20"/>
        <v>0</v>
      </c>
      <c r="BO21" s="484">
        <f t="shared" si="21"/>
        <v>0</v>
      </c>
      <c r="BR21" s="484">
        <f t="shared" si="22"/>
        <v>0</v>
      </c>
      <c r="BU21" s="484">
        <f t="shared" si="23"/>
        <v>0</v>
      </c>
      <c r="BX21" s="484">
        <f t="shared" si="24"/>
        <v>0</v>
      </c>
      <c r="CA21" s="484">
        <f t="shared" si="25"/>
        <v>0</v>
      </c>
      <c r="CD21" s="484">
        <f t="shared" si="26"/>
        <v>0</v>
      </c>
      <c r="CG21" s="484">
        <f t="shared" si="27"/>
        <v>0</v>
      </c>
      <c r="CJ21" s="484">
        <f t="shared" si="28"/>
        <v>0</v>
      </c>
      <c r="CM21" s="484">
        <f t="shared" si="29"/>
        <v>0</v>
      </c>
      <c r="CP21" s="484">
        <f t="shared" si="30"/>
        <v>0</v>
      </c>
      <c r="CS21" s="484">
        <f t="shared" si="31"/>
        <v>0</v>
      </c>
      <c r="CV21" s="484">
        <f t="shared" si="32"/>
        <v>0</v>
      </c>
      <c r="CY21" s="484">
        <f t="shared" si="33"/>
        <v>0</v>
      </c>
      <c r="DB21" s="484">
        <f t="shared" si="34"/>
        <v>0</v>
      </c>
      <c r="DE21" s="484">
        <f t="shared" si="35"/>
        <v>0</v>
      </c>
      <c r="DH21" s="484">
        <f t="shared" si="36"/>
        <v>0</v>
      </c>
      <c r="DK21" s="484">
        <f t="shared" si="37"/>
        <v>0</v>
      </c>
      <c r="DN21" s="484">
        <f t="shared" si="38"/>
        <v>0</v>
      </c>
      <c r="DQ21" s="484">
        <f t="shared" si="39"/>
        <v>0</v>
      </c>
      <c r="DT21" s="484">
        <f t="shared" si="40"/>
        <v>0</v>
      </c>
      <c r="DW21" s="484">
        <f t="shared" si="41"/>
        <v>0</v>
      </c>
      <c r="DZ21" s="484"/>
      <c r="EA21" s="484"/>
      <c r="EB21" s="294">
        <f t="shared" si="42"/>
        <v>134700000</v>
      </c>
      <c r="EC21" s="294">
        <f t="shared" si="43"/>
        <v>0</v>
      </c>
      <c r="ED21" s="484">
        <f t="shared" si="44"/>
        <v>10018.777777777777</v>
      </c>
      <c r="EE21" s="485">
        <f t="shared" si="45"/>
        <v>2.6776243504083148E-2</v>
      </c>
      <c r="EG21" s="294">
        <f t="shared" si="46"/>
        <v>0</v>
      </c>
      <c r="EH21" s="484">
        <f t="shared" si="47"/>
        <v>0</v>
      </c>
      <c r="EI21" s="485">
        <f t="shared" si="48"/>
        <v>0</v>
      </c>
      <c r="EJ21" s="485"/>
      <c r="EK21" s="294">
        <f t="shared" si="49"/>
        <v>134700000</v>
      </c>
      <c r="EL21" s="294">
        <f t="shared" si="50"/>
        <v>0</v>
      </c>
      <c r="EM21" s="294">
        <f t="shared" si="51"/>
        <v>10018.777777777777</v>
      </c>
      <c r="EN21" s="485">
        <f t="shared" si="52"/>
        <v>2.6776243504083148E-2</v>
      </c>
      <c r="EP21" s="484"/>
    </row>
    <row r="22" spans="1:146">
      <c r="A22" s="503">
        <f t="shared" si="53"/>
        <v>43627</v>
      </c>
      <c r="D22" s="484">
        <f t="shared" si="2"/>
        <v>0</v>
      </c>
      <c r="G22" s="484">
        <f t="shared" si="3"/>
        <v>0</v>
      </c>
      <c r="J22" s="484">
        <f t="shared" si="4"/>
        <v>0</v>
      </c>
      <c r="M22" s="484">
        <f t="shared" si="5"/>
        <v>0</v>
      </c>
      <c r="P22" s="484">
        <f t="shared" si="6"/>
        <v>0</v>
      </c>
      <c r="S22" s="484">
        <f t="shared" si="7"/>
        <v>0</v>
      </c>
      <c r="V22" s="484">
        <f t="shared" si="8"/>
        <v>0</v>
      </c>
      <c r="Y22" s="484">
        <f t="shared" si="9"/>
        <v>0</v>
      </c>
      <c r="AB22" s="484">
        <f t="shared" si="10"/>
        <v>0</v>
      </c>
      <c r="AE22" s="484">
        <v>0</v>
      </c>
      <c r="AH22" s="484">
        <v>0</v>
      </c>
      <c r="AI22" s="504">
        <f>34800000</f>
        <v>34800000</v>
      </c>
      <c r="AJ22" s="505">
        <v>2.58E-2</v>
      </c>
      <c r="AK22" s="484">
        <f t="shared" si="11"/>
        <v>2494</v>
      </c>
      <c r="AL22" s="504">
        <f t="shared" si="55"/>
        <v>35000000</v>
      </c>
      <c r="AM22" s="505">
        <v>2.7E-2</v>
      </c>
      <c r="AN22" s="484">
        <f t="shared" si="12"/>
        <v>2625</v>
      </c>
      <c r="AO22" s="504">
        <f t="shared" si="1"/>
        <v>25000000</v>
      </c>
      <c r="AP22" s="505">
        <v>2.7699999999999999E-2</v>
      </c>
      <c r="AQ22" s="484">
        <f t="shared" si="13"/>
        <v>1923.6111111111111</v>
      </c>
      <c r="AR22" s="504">
        <f t="shared" si="54"/>
        <v>30000000</v>
      </c>
      <c r="AS22" s="505">
        <v>2.7199999999999998E-2</v>
      </c>
      <c r="AT22" s="484">
        <f t="shared" si="14"/>
        <v>2266.6666666666665</v>
      </c>
      <c r="AW22" s="484">
        <f t="shared" si="15"/>
        <v>0</v>
      </c>
      <c r="AZ22" s="484">
        <f t="shared" si="16"/>
        <v>0</v>
      </c>
      <c r="BC22" s="484">
        <f t="shared" si="17"/>
        <v>0</v>
      </c>
      <c r="BF22" s="484">
        <f t="shared" si="18"/>
        <v>0</v>
      </c>
      <c r="BI22" s="484">
        <f t="shared" si="19"/>
        <v>0</v>
      </c>
      <c r="BL22" s="484">
        <f t="shared" si="20"/>
        <v>0</v>
      </c>
      <c r="BO22" s="484">
        <f t="shared" si="21"/>
        <v>0</v>
      </c>
      <c r="BR22" s="484">
        <f t="shared" si="22"/>
        <v>0</v>
      </c>
      <c r="BU22" s="484">
        <f t="shared" si="23"/>
        <v>0</v>
      </c>
      <c r="BX22" s="484">
        <f t="shared" si="24"/>
        <v>0</v>
      </c>
      <c r="CA22" s="484">
        <f t="shared" si="25"/>
        <v>0</v>
      </c>
      <c r="CD22" s="484">
        <f t="shared" si="26"/>
        <v>0</v>
      </c>
      <c r="CG22" s="484">
        <f t="shared" si="27"/>
        <v>0</v>
      </c>
      <c r="CJ22" s="484">
        <f t="shared" si="28"/>
        <v>0</v>
      </c>
      <c r="CM22" s="484">
        <f t="shared" si="29"/>
        <v>0</v>
      </c>
      <c r="CP22" s="484">
        <f t="shared" si="30"/>
        <v>0</v>
      </c>
      <c r="CS22" s="484">
        <f t="shared" si="31"/>
        <v>0</v>
      </c>
      <c r="CV22" s="484">
        <f t="shared" si="32"/>
        <v>0</v>
      </c>
      <c r="CY22" s="484">
        <f t="shared" si="33"/>
        <v>0</v>
      </c>
      <c r="DB22" s="484">
        <f t="shared" si="34"/>
        <v>0</v>
      </c>
      <c r="DE22" s="484">
        <f t="shared" si="35"/>
        <v>0</v>
      </c>
      <c r="DH22" s="484">
        <f t="shared" si="36"/>
        <v>0</v>
      </c>
      <c r="DK22" s="484">
        <f t="shared" si="37"/>
        <v>0</v>
      </c>
      <c r="DN22" s="484">
        <f t="shared" si="38"/>
        <v>0</v>
      </c>
      <c r="DQ22" s="484">
        <f t="shared" si="39"/>
        <v>0</v>
      </c>
      <c r="DT22" s="484">
        <f t="shared" si="40"/>
        <v>0</v>
      </c>
      <c r="DW22" s="484">
        <f t="shared" si="41"/>
        <v>0</v>
      </c>
      <c r="DZ22" s="484"/>
      <c r="EA22" s="484"/>
      <c r="EB22" s="294">
        <f t="shared" si="42"/>
        <v>124800000</v>
      </c>
      <c r="EC22" s="294">
        <f t="shared" si="43"/>
        <v>0</v>
      </c>
      <c r="ED22" s="484">
        <f t="shared" si="44"/>
        <v>9309.2777777777774</v>
      </c>
      <c r="EE22" s="485">
        <f t="shared" si="45"/>
        <v>2.6853685897435895E-2</v>
      </c>
      <c r="EG22" s="294">
        <f t="shared" si="46"/>
        <v>0</v>
      </c>
      <c r="EH22" s="484">
        <f t="shared" si="47"/>
        <v>0</v>
      </c>
      <c r="EI22" s="485">
        <f t="shared" si="48"/>
        <v>0</v>
      </c>
      <c r="EJ22" s="485"/>
      <c r="EK22" s="294">
        <f t="shared" si="49"/>
        <v>124800000</v>
      </c>
      <c r="EL22" s="294">
        <f t="shared" si="50"/>
        <v>0</v>
      </c>
      <c r="EM22" s="294">
        <f t="shared" si="51"/>
        <v>9309.2777777777774</v>
      </c>
      <c r="EN22" s="485">
        <f t="shared" si="52"/>
        <v>2.6853685897435895E-2</v>
      </c>
      <c r="EP22" s="484"/>
    </row>
    <row r="23" spans="1:146">
      <c r="A23" s="503">
        <f t="shared" si="53"/>
        <v>43628</v>
      </c>
      <c r="D23" s="484">
        <f t="shared" si="2"/>
        <v>0</v>
      </c>
      <c r="G23" s="484">
        <f t="shared" si="3"/>
        <v>0</v>
      </c>
      <c r="J23" s="484">
        <f t="shared" si="4"/>
        <v>0</v>
      </c>
      <c r="M23" s="484">
        <f t="shared" si="5"/>
        <v>0</v>
      </c>
      <c r="P23" s="484">
        <f t="shared" si="6"/>
        <v>0</v>
      </c>
      <c r="S23" s="484">
        <f t="shared" si="7"/>
        <v>0</v>
      </c>
      <c r="V23" s="484">
        <f t="shared" si="8"/>
        <v>0</v>
      </c>
      <c r="Y23" s="484">
        <f t="shared" si="9"/>
        <v>0</v>
      </c>
      <c r="AB23" s="484">
        <f t="shared" si="10"/>
        <v>0</v>
      </c>
      <c r="AE23" s="484">
        <v>0</v>
      </c>
      <c r="AH23" s="484">
        <v>0</v>
      </c>
      <c r="AI23" s="504">
        <f>32000000</f>
        <v>32000000</v>
      </c>
      <c r="AJ23" s="505">
        <v>2.5700000000000001E-2</v>
      </c>
      <c r="AK23" s="484">
        <f t="shared" si="11"/>
        <v>2284.4444444444443</v>
      </c>
      <c r="AL23" s="504">
        <f t="shared" si="55"/>
        <v>35000000</v>
      </c>
      <c r="AM23" s="505">
        <v>2.7E-2</v>
      </c>
      <c r="AN23" s="484">
        <f t="shared" si="12"/>
        <v>2625</v>
      </c>
      <c r="AO23" s="504">
        <f t="shared" si="1"/>
        <v>25000000</v>
      </c>
      <c r="AP23" s="505">
        <v>2.7699999999999999E-2</v>
      </c>
      <c r="AQ23" s="484">
        <f t="shared" si="13"/>
        <v>1923.6111111111111</v>
      </c>
      <c r="AR23" s="504">
        <f t="shared" si="54"/>
        <v>30000000</v>
      </c>
      <c r="AS23" s="505">
        <v>2.7199999999999998E-2</v>
      </c>
      <c r="AT23" s="484">
        <f t="shared" si="14"/>
        <v>2266.6666666666665</v>
      </c>
      <c r="AW23" s="484">
        <f t="shared" si="15"/>
        <v>0</v>
      </c>
      <c r="AZ23" s="484">
        <f t="shared" si="16"/>
        <v>0</v>
      </c>
      <c r="BC23" s="484">
        <f t="shared" si="17"/>
        <v>0</v>
      </c>
      <c r="BF23" s="484">
        <f t="shared" si="18"/>
        <v>0</v>
      </c>
      <c r="BI23" s="484">
        <f t="shared" si="19"/>
        <v>0</v>
      </c>
      <c r="BL23" s="484">
        <f t="shared" si="20"/>
        <v>0</v>
      </c>
      <c r="BO23" s="484">
        <f t="shared" si="21"/>
        <v>0</v>
      </c>
      <c r="BR23" s="484">
        <f t="shared" si="22"/>
        <v>0</v>
      </c>
      <c r="BU23" s="484">
        <f t="shared" si="23"/>
        <v>0</v>
      </c>
      <c r="BX23" s="484">
        <f t="shared" si="24"/>
        <v>0</v>
      </c>
      <c r="CA23" s="484">
        <f t="shared" si="25"/>
        <v>0</v>
      </c>
      <c r="CD23" s="484">
        <f t="shared" si="26"/>
        <v>0</v>
      </c>
      <c r="CG23" s="484">
        <f t="shared" si="27"/>
        <v>0</v>
      </c>
      <c r="CJ23" s="484">
        <f t="shared" si="28"/>
        <v>0</v>
      </c>
      <c r="CM23" s="484">
        <f t="shared" si="29"/>
        <v>0</v>
      </c>
      <c r="CP23" s="484">
        <f t="shared" si="30"/>
        <v>0</v>
      </c>
      <c r="CS23" s="484">
        <f t="shared" si="31"/>
        <v>0</v>
      </c>
      <c r="CV23" s="484">
        <f t="shared" si="32"/>
        <v>0</v>
      </c>
      <c r="CY23" s="484">
        <f t="shared" si="33"/>
        <v>0</v>
      </c>
      <c r="DB23" s="484">
        <f t="shared" si="34"/>
        <v>0</v>
      </c>
      <c r="DE23" s="484">
        <f t="shared" si="35"/>
        <v>0</v>
      </c>
      <c r="DH23" s="484">
        <f t="shared" si="36"/>
        <v>0</v>
      </c>
      <c r="DK23" s="484">
        <f t="shared" si="37"/>
        <v>0</v>
      </c>
      <c r="DN23" s="484">
        <f t="shared" si="38"/>
        <v>0</v>
      </c>
      <c r="DQ23" s="484">
        <f t="shared" si="39"/>
        <v>0</v>
      </c>
      <c r="DT23" s="484">
        <f t="shared" si="40"/>
        <v>0</v>
      </c>
      <c r="DW23" s="484">
        <f t="shared" si="41"/>
        <v>0</v>
      </c>
      <c r="DZ23" s="484"/>
      <c r="EA23" s="484"/>
      <c r="EB23" s="294">
        <f t="shared" si="42"/>
        <v>122000000</v>
      </c>
      <c r="EC23" s="294">
        <f t="shared" si="43"/>
        <v>0</v>
      </c>
      <c r="ED23" s="484">
        <f t="shared" si="44"/>
        <v>9099.7222222222226</v>
      </c>
      <c r="EE23" s="485">
        <f t="shared" si="45"/>
        <v>2.6851639344262296E-2</v>
      </c>
      <c r="EG23" s="294">
        <f t="shared" si="46"/>
        <v>0</v>
      </c>
      <c r="EH23" s="484">
        <f t="shared" si="47"/>
        <v>0</v>
      </c>
      <c r="EI23" s="485">
        <f t="shared" si="48"/>
        <v>0</v>
      </c>
      <c r="EJ23" s="485"/>
      <c r="EK23" s="294">
        <f t="shared" si="49"/>
        <v>122000000</v>
      </c>
      <c r="EL23" s="294">
        <f t="shared" si="50"/>
        <v>0</v>
      </c>
      <c r="EM23" s="294">
        <f t="shared" si="51"/>
        <v>9099.7222222222226</v>
      </c>
      <c r="EN23" s="485">
        <f t="shared" si="52"/>
        <v>2.6851639344262296E-2</v>
      </c>
      <c r="EP23" s="484"/>
    </row>
    <row r="24" spans="1:146">
      <c r="A24" s="503">
        <f t="shared" si="53"/>
        <v>43629</v>
      </c>
      <c r="D24" s="484">
        <f t="shared" si="2"/>
        <v>0</v>
      </c>
      <c r="G24" s="484">
        <f t="shared" si="3"/>
        <v>0</v>
      </c>
      <c r="J24" s="484">
        <f t="shared" si="4"/>
        <v>0</v>
      </c>
      <c r="M24" s="484">
        <f t="shared" si="5"/>
        <v>0</v>
      </c>
      <c r="P24" s="484">
        <f t="shared" si="6"/>
        <v>0</v>
      </c>
      <c r="S24" s="484">
        <f t="shared" si="7"/>
        <v>0</v>
      </c>
      <c r="V24" s="484">
        <f t="shared" si="8"/>
        <v>0</v>
      </c>
      <c r="Y24" s="484">
        <f t="shared" si="9"/>
        <v>0</v>
      </c>
      <c r="AB24" s="484">
        <f t="shared" si="10"/>
        <v>0</v>
      </c>
      <c r="AE24" s="484">
        <v>0</v>
      </c>
      <c r="AH24" s="484">
        <v>0</v>
      </c>
      <c r="AI24" s="504">
        <f>37850000</f>
        <v>37850000</v>
      </c>
      <c r="AJ24" s="505">
        <v>2.5700000000000001E-2</v>
      </c>
      <c r="AK24" s="484">
        <f t="shared" si="11"/>
        <v>2702.0694444444443</v>
      </c>
      <c r="AL24" s="504">
        <f t="shared" si="55"/>
        <v>35000000</v>
      </c>
      <c r="AM24" s="505">
        <v>2.7E-2</v>
      </c>
      <c r="AN24" s="484">
        <f t="shared" si="12"/>
        <v>2625</v>
      </c>
      <c r="AO24" s="504">
        <f t="shared" si="1"/>
        <v>25000000</v>
      </c>
      <c r="AP24" s="505">
        <v>2.7699999999999999E-2</v>
      </c>
      <c r="AQ24" s="484">
        <f t="shared" si="13"/>
        <v>1923.6111111111111</v>
      </c>
      <c r="AR24" s="504">
        <f t="shared" si="54"/>
        <v>30000000</v>
      </c>
      <c r="AS24" s="505">
        <v>2.7199999999999998E-2</v>
      </c>
      <c r="AT24" s="484">
        <f t="shared" si="14"/>
        <v>2266.6666666666665</v>
      </c>
      <c r="AW24" s="484">
        <f t="shared" si="15"/>
        <v>0</v>
      </c>
      <c r="AZ24" s="484">
        <f t="shared" si="16"/>
        <v>0</v>
      </c>
      <c r="BC24" s="484">
        <f t="shared" si="17"/>
        <v>0</v>
      </c>
      <c r="BF24" s="484">
        <f t="shared" si="18"/>
        <v>0</v>
      </c>
      <c r="BI24" s="484">
        <f t="shared" si="19"/>
        <v>0</v>
      </c>
      <c r="BL24" s="484">
        <f t="shared" si="20"/>
        <v>0</v>
      </c>
      <c r="BO24" s="484">
        <f t="shared" si="21"/>
        <v>0</v>
      </c>
      <c r="BR24" s="484">
        <f t="shared" si="22"/>
        <v>0</v>
      </c>
      <c r="BU24" s="484">
        <f t="shared" si="23"/>
        <v>0</v>
      </c>
      <c r="BX24" s="484">
        <f t="shared" si="24"/>
        <v>0</v>
      </c>
      <c r="CA24" s="484">
        <f t="shared" si="25"/>
        <v>0</v>
      </c>
      <c r="CD24" s="484">
        <f t="shared" si="26"/>
        <v>0</v>
      </c>
      <c r="CG24" s="484">
        <f t="shared" si="27"/>
        <v>0</v>
      </c>
      <c r="CJ24" s="484">
        <f t="shared" si="28"/>
        <v>0</v>
      </c>
      <c r="CM24" s="484">
        <f t="shared" si="29"/>
        <v>0</v>
      </c>
      <c r="CP24" s="484">
        <f t="shared" si="30"/>
        <v>0</v>
      </c>
      <c r="CS24" s="484">
        <f t="shared" si="31"/>
        <v>0</v>
      </c>
      <c r="CV24" s="484">
        <f t="shared" si="32"/>
        <v>0</v>
      </c>
      <c r="CY24" s="484">
        <f t="shared" si="33"/>
        <v>0</v>
      </c>
      <c r="DB24" s="484">
        <f t="shared" si="34"/>
        <v>0</v>
      </c>
      <c r="DE24" s="484">
        <f t="shared" si="35"/>
        <v>0</v>
      </c>
      <c r="DH24" s="484">
        <f t="shared" si="36"/>
        <v>0</v>
      </c>
      <c r="DK24" s="484">
        <f t="shared" si="37"/>
        <v>0</v>
      </c>
      <c r="DN24" s="484">
        <f t="shared" si="38"/>
        <v>0</v>
      </c>
      <c r="DQ24" s="484">
        <f t="shared" si="39"/>
        <v>0</v>
      </c>
      <c r="DT24" s="484">
        <f t="shared" si="40"/>
        <v>0</v>
      </c>
      <c r="DW24" s="484">
        <f t="shared" si="41"/>
        <v>0</v>
      </c>
      <c r="DZ24" s="484"/>
      <c r="EA24" s="484"/>
      <c r="EB24" s="294">
        <f t="shared" si="42"/>
        <v>127850000</v>
      </c>
      <c r="EC24" s="294">
        <f t="shared" si="43"/>
        <v>0</v>
      </c>
      <c r="ED24" s="484">
        <f t="shared" si="44"/>
        <v>9517.3472222222226</v>
      </c>
      <c r="EE24" s="485">
        <f t="shared" si="45"/>
        <v>2.6798944075087996E-2</v>
      </c>
      <c r="EG24" s="294">
        <f t="shared" si="46"/>
        <v>0</v>
      </c>
      <c r="EH24" s="484">
        <f t="shared" si="47"/>
        <v>0</v>
      </c>
      <c r="EI24" s="485">
        <f t="shared" si="48"/>
        <v>0</v>
      </c>
      <c r="EJ24" s="485"/>
      <c r="EK24" s="294">
        <f t="shared" si="49"/>
        <v>127850000</v>
      </c>
      <c r="EL24" s="294">
        <f t="shared" si="50"/>
        <v>0</v>
      </c>
      <c r="EM24" s="294">
        <f t="shared" si="51"/>
        <v>9517.3472222222226</v>
      </c>
      <c r="EN24" s="485">
        <f t="shared" si="52"/>
        <v>2.6798944075087996E-2</v>
      </c>
      <c r="EP24" s="484"/>
    </row>
    <row r="25" spans="1:146">
      <c r="A25" s="503">
        <f t="shared" si="53"/>
        <v>43630</v>
      </c>
      <c r="D25" s="484">
        <f t="shared" si="2"/>
        <v>0</v>
      </c>
      <c r="G25" s="484">
        <f t="shared" si="3"/>
        <v>0</v>
      </c>
      <c r="J25" s="484">
        <f t="shared" si="4"/>
        <v>0</v>
      </c>
      <c r="M25" s="484">
        <f t="shared" si="5"/>
        <v>0</v>
      </c>
      <c r="P25" s="484">
        <f t="shared" si="6"/>
        <v>0</v>
      </c>
      <c r="S25" s="484">
        <f t="shared" si="7"/>
        <v>0</v>
      </c>
      <c r="V25" s="484">
        <f t="shared" si="8"/>
        <v>0</v>
      </c>
      <c r="Y25" s="484">
        <f t="shared" si="9"/>
        <v>0</v>
      </c>
      <c r="AB25" s="484">
        <f t="shared" si="10"/>
        <v>0</v>
      </c>
      <c r="AE25" s="484">
        <v>0</v>
      </c>
      <c r="AH25" s="484">
        <v>0</v>
      </c>
      <c r="AI25" s="504">
        <f>46150000</f>
        <v>46150000</v>
      </c>
      <c r="AJ25" s="505">
        <v>2.5600000000000001E-2</v>
      </c>
      <c r="AK25" s="484">
        <f t="shared" si="11"/>
        <v>3281.7777777777778</v>
      </c>
      <c r="AL25" s="504">
        <f t="shared" si="55"/>
        <v>35000000</v>
      </c>
      <c r="AM25" s="505">
        <v>2.7E-2</v>
      </c>
      <c r="AN25" s="484">
        <f t="shared" si="12"/>
        <v>2625</v>
      </c>
      <c r="AO25" s="504"/>
      <c r="AP25" s="505"/>
      <c r="AQ25" s="484">
        <f t="shared" si="13"/>
        <v>0</v>
      </c>
      <c r="AR25" s="504">
        <f t="shared" si="54"/>
        <v>30000000</v>
      </c>
      <c r="AS25" s="505">
        <v>2.7199999999999998E-2</v>
      </c>
      <c r="AT25" s="484">
        <f t="shared" si="14"/>
        <v>2266.6666666666665</v>
      </c>
      <c r="AW25" s="484">
        <f t="shared" si="15"/>
        <v>0</v>
      </c>
      <c r="AZ25" s="484">
        <f t="shared" si="16"/>
        <v>0</v>
      </c>
      <c r="BC25" s="484">
        <f t="shared" si="17"/>
        <v>0</v>
      </c>
      <c r="BF25" s="484">
        <f t="shared" si="18"/>
        <v>0</v>
      </c>
      <c r="BI25" s="484">
        <f t="shared" si="19"/>
        <v>0</v>
      </c>
      <c r="BL25" s="484">
        <f t="shared" si="20"/>
        <v>0</v>
      </c>
      <c r="BO25" s="484">
        <f t="shared" si="21"/>
        <v>0</v>
      </c>
      <c r="BR25" s="484">
        <f t="shared" si="22"/>
        <v>0</v>
      </c>
      <c r="BU25" s="484">
        <f t="shared" si="23"/>
        <v>0</v>
      </c>
      <c r="BX25" s="484">
        <f t="shared" si="24"/>
        <v>0</v>
      </c>
      <c r="CA25" s="484">
        <f t="shared" si="25"/>
        <v>0</v>
      </c>
      <c r="CD25" s="484">
        <f t="shared" si="26"/>
        <v>0</v>
      </c>
      <c r="CG25" s="484">
        <f t="shared" si="27"/>
        <v>0</v>
      </c>
      <c r="CJ25" s="484">
        <f t="shared" si="28"/>
        <v>0</v>
      </c>
      <c r="CM25" s="484">
        <f t="shared" si="29"/>
        <v>0</v>
      </c>
      <c r="CP25" s="484">
        <f t="shared" si="30"/>
        <v>0</v>
      </c>
      <c r="CS25" s="484">
        <f t="shared" si="31"/>
        <v>0</v>
      </c>
      <c r="CV25" s="484">
        <f t="shared" si="32"/>
        <v>0</v>
      </c>
      <c r="CY25" s="484">
        <f t="shared" si="33"/>
        <v>0</v>
      </c>
      <c r="DB25" s="484">
        <f t="shared" si="34"/>
        <v>0</v>
      </c>
      <c r="DE25" s="484">
        <f t="shared" si="35"/>
        <v>0</v>
      </c>
      <c r="DH25" s="484">
        <f t="shared" si="36"/>
        <v>0</v>
      </c>
      <c r="DK25" s="484">
        <f t="shared" si="37"/>
        <v>0</v>
      </c>
      <c r="DN25" s="484">
        <f t="shared" si="38"/>
        <v>0</v>
      </c>
      <c r="DQ25" s="484">
        <f t="shared" si="39"/>
        <v>0</v>
      </c>
      <c r="DT25" s="484">
        <f t="shared" si="40"/>
        <v>0</v>
      </c>
      <c r="DW25" s="484">
        <f t="shared" si="41"/>
        <v>0</v>
      </c>
      <c r="DZ25" s="484"/>
      <c r="EA25" s="484"/>
      <c r="EB25" s="294">
        <f t="shared" si="42"/>
        <v>111150000</v>
      </c>
      <c r="EC25" s="294">
        <f t="shared" si="43"/>
        <v>0</v>
      </c>
      <c r="ED25" s="484">
        <f t="shared" si="44"/>
        <v>8173.4444444444434</v>
      </c>
      <c r="EE25" s="485">
        <f t="shared" si="45"/>
        <v>2.6472694556905083E-2</v>
      </c>
      <c r="EG25" s="294">
        <f t="shared" si="46"/>
        <v>0</v>
      </c>
      <c r="EH25" s="484">
        <f t="shared" si="47"/>
        <v>0</v>
      </c>
      <c r="EI25" s="485">
        <f t="shared" si="48"/>
        <v>0</v>
      </c>
      <c r="EJ25" s="485"/>
      <c r="EK25" s="294">
        <f t="shared" si="49"/>
        <v>111150000</v>
      </c>
      <c r="EL25" s="294">
        <f t="shared" si="50"/>
        <v>0</v>
      </c>
      <c r="EM25" s="294">
        <f t="shared" si="51"/>
        <v>8173.4444444444434</v>
      </c>
      <c r="EN25" s="485">
        <f t="shared" si="52"/>
        <v>2.6472694556905083E-2</v>
      </c>
      <c r="EP25" s="484"/>
    </row>
    <row r="26" spans="1:146">
      <c r="A26" s="503">
        <f t="shared" si="53"/>
        <v>43631</v>
      </c>
      <c r="D26" s="484">
        <f t="shared" si="2"/>
        <v>0</v>
      </c>
      <c r="G26" s="484">
        <f t="shared" si="3"/>
        <v>0</v>
      </c>
      <c r="J26" s="484">
        <f t="shared" si="4"/>
        <v>0</v>
      </c>
      <c r="M26" s="484">
        <f t="shared" si="5"/>
        <v>0</v>
      </c>
      <c r="P26" s="484">
        <f t="shared" si="6"/>
        <v>0</v>
      </c>
      <c r="S26" s="484">
        <f t="shared" si="7"/>
        <v>0</v>
      </c>
      <c r="V26" s="484">
        <f t="shared" si="8"/>
        <v>0</v>
      </c>
      <c r="Y26" s="484">
        <f t="shared" si="9"/>
        <v>0</v>
      </c>
      <c r="AB26" s="484">
        <f t="shared" si="10"/>
        <v>0</v>
      </c>
      <c r="AE26" s="484">
        <v>0</v>
      </c>
      <c r="AH26" s="484">
        <v>0</v>
      </c>
      <c r="AI26" s="504">
        <f>46150000</f>
        <v>46150000</v>
      </c>
      <c r="AJ26" s="505">
        <v>2.5600000000000001E-2</v>
      </c>
      <c r="AK26" s="484">
        <f t="shared" si="11"/>
        <v>3281.7777777777778</v>
      </c>
      <c r="AL26" s="504">
        <f t="shared" si="55"/>
        <v>35000000</v>
      </c>
      <c r="AM26" s="505">
        <v>2.7E-2</v>
      </c>
      <c r="AN26" s="484">
        <f t="shared" si="12"/>
        <v>2625</v>
      </c>
      <c r="AO26" s="504"/>
      <c r="AP26" s="505"/>
      <c r="AQ26" s="484">
        <f t="shared" si="13"/>
        <v>0</v>
      </c>
      <c r="AR26" s="504">
        <f t="shared" si="54"/>
        <v>30000000</v>
      </c>
      <c r="AS26" s="505">
        <v>2.7199999999999998E-2</v>
      </c>
      <c r="AT26" s="484">
        <f t="shared" si="14"/>
        <v>2266.6666666666665</v>
      </c>
      <c r="AW26" s="484">
        <f t="shared" si="15"/>
        <v>0</v>
      </c>
      <c r="AZ26" s="484">
        <f t="shared" si="16"/>
        <v>0</v>
      </c>
      <c r="BC26" s="484">
        <f t="shared" si="17"/>
        <v>0</v>
      </c>
      <c r="BF26" s="484">
        <f t="shared" si="18"/>
        <v>0</v>
      </c>
      <c r="BI26" s="484">
        <f t="shared" si="19"/>
        <v>0</v>
      </c>
      <c r="BL26" s="484">
        <f t="shared" si="20"/>
        <v>0</v>
      </c>
      <c r="BO26" s="484">
        <f t="shared" si="21"/>
        <v>0</v>
      </c>
      <c r="BR26" s="484">
        <f t="shared" si="22"/>
        <v>0</v>
      </c>
      <c r="BU26" s="484">
        <f t="shared" si="23"/>
        <v>0</v>
      </c>
      <c r="BX26" s="484">
        <f t="shared" si="24"/>
        <v>0</v>
      </c>
      <c r="CA26" s="484">
        <f t="shared" si="25"/>
        <v>0</v>
      </c>
      <c r="CD26" s="484">
        <f t="shared" si="26"/>
        <v>0</v>
      </c>
      <c r="CG26" s="484">
        <f t="shared" si="27"/>
        <v>0</v>
      </c>
      <c r="CJ26" s="484">
        <f t="shared" si="28"/>
        <v>0</v>
      </c>
      <c r="CM26" s="484">
        <f t="shared" si="29"/>
        <v>0</v>
      </c>
      <c r="CP26" s="484">
        <f t="shared" si="30"/>
        <v>0</v>
      </c>
      <c r="CS26" s="484">
        <f t="shared" si="31"/>
        <v>0</v>
      </c>
      <c r="CV26" s="484">
        <f t="shared" si="32"/>
        <v>0</v>
      </c>
      <c r="CY26" s="484">
        <f t="shared" si="33"/>
        <v>0</v>
      </c>
      <c r="DB26" s="484">
        <f t="shared" si="34"/>
        <v>0</v>
      </c>
      <c r="DE26" s="484">
        <f t="shared" si="35"/>
        <v>0</v>
      </c>
      <c r="DH26" s="484">
        <f t="shared" si="36"/>
        <v>0</v>
      </c>
      <c r="DK26" s="484">
        <f t="shared" si="37"/>
        <v>0</v>
      </c>
      <c r="DN26" s="484">
        <f t="shared" si="38"/>
        <v>0</v>
      </c>
      <c r="DQ26" s="484">
        <f t="shared" si="39"/>
        <v>0</v>
      </c>
      <c r="DT26" s="484">
        <f t="shared" si="40"/>
        <v>0</v>
      </c>
      <c r="DW26" s="484">
        <f t="shared" si="41"/>
        <v>0</v>
      </c>
      <c r="DZ26" s="484"/>
      <c r="EA26" s="484"/>
      <c r="EB26" s="294">
        <f t="shared" si="42"/>
        <v>111150000</v>
      </c>
      <c r="EC26" s="294">
        <f t="shared" si="43"/>
        <v>0</v>
      </c>
      <c r="ED26" s="484">
        <f t="shared" si="44"/>
        <v>8173.4444444444434</v>
      </c>
      <c r="EE26" s="485">
        <f t="shared" si="45"/>
        <v>2.6472694556905083E-2</v>
      </c>
      <c r="EG26" s="294">
        <f t="shared" si="46"/>
        <v>0</v>
      </c>
      <c r="EH26" s="484">
        <f t="shared" si="47"/>
        <v>0</v>
      </c>
      <c r="EI26" s="485">
        <f t="shared" si="48"/>
        <v>0</v>
      </c>
      <c r="EJ26" s="485"/>
      <c r="EK26" s="294">
        <f t="shared" si="49"/>
        <v>111150000</v>
      </c>
      <c r="EL26" s="294">
        <f t="shared" si="50"/>
        <v>0</v>
      </c>
      <c r="EM26" s="294">
        <f t="shared" si="51"/>
        <v>8173.4444444444434</v>
      </c>
      <c r="EN26" s="485">
        <f t="shared" si="52"/>
        <v>2.6472694556905083E-2</v>
      </c>
      <c r="EP26" s="484"/>
    </row>
    <row r="27" spans="1:146">
      <c r="A27" s="503">
        <f t="shared" si="53"/>
        <v>43632</v>
      </c>
      <c r="D27" s="484">
        <f t="shared" si="2"/>
        <v>0</v>
      </c>
      <c r="G27" s="484">
        <f t="shared" si="3"/>
        <v>0</v>
      </c>
      <c r="J27" s="484">
        <f t="shared" si="4"/>
        <v>0</v>
      </c>
      <c r="M27" s="484">
        <f t="shared" si="5"/>
        <v>0</v>
      </c>
      <c r="P27" s="484">
        <f t="shared" si="6"/>
        <v>0</v>
      </c>
      <c r="S27" s="484">
        <f t="shared" si="7"/>
        <v>0</v>
      </c>
      <c r="V27" s="484">
        <f t="shared" si="8"/>
        <v>0</v>
      </c>
      <c r="Y27" s="484">
        <f t="shared" si="9"/>
        <v>0</v>
      </c>
      <c r="AB27" s="484">
        <f t="shared" si="10"/>
        <v>0</v>
      </c>
      <c r="AE27" s="484">
        <v>0</v>
      </c>
      <c r="AH27" s="484">
        <v>0</v>
      </c>
      <c r="AI27" s="504">
        <f>46150000</f>
        <v>46150000</v>
      </c>
      <c r="AJ27" s="505">
        <v>2.5600000000000001E-2</v>
      </c>
      <c r="AK27" s="484">
        <f t="shared" si="11"/>
        <v>3281.7777777777778</v>
      </c>
      <c r="AL27" s="504">
        <f t="shared" si="55"/>
        <v>35000000</v>
      </c>
      <c r="AM27" s="505">
        <v>2.7E-2</v>
      </c>
      <c r="AN27" s="484">
        <f t="shared" si="12"/>
        <v>2625</v>
      </c>
      <c r="AO27" s="504"/>
      <c r="AP27" s="505"/>
      <c r="AQ27" s="484">
        <f t="shared" si="13"/>
        <v>0</v>
      </c>
      <c r="AR27" s="504">
        <f t="shared" si="54"/>
        <v>30000000</v>
      </c>
      <c r="AS27" s="505">
        <v>2.7199999999999998E-2</v>
      </c>
      <c r="AT27" s="484">
        <f t="shared" si="14"/>
        <v>2266.6666666666665</v>
      </c>
      <c r="AW27" s="484">
        <f t="shared" si="15"/>
        <v>0</v>
      </c>
      <c r="AZ27" s="484">
        <f t="shared" si="16"/>
        <v>0</v>
      </c>
      <c r="BC27" s="484">
        <f t="shared" si="17"/>
        <v>0</v>
      </c>
      <c r="BF27" s="484">
        <f t="shared" si="18"/>
        <v>0</v>
      </c>
      <c r="BI27" s="484">
        <f t="shared" si="19"/>
        <v>0</v>
      </c>
      <c r="BL27" s="484">
        <f t="shared" si="20"/>
        <v>0</v>
      </c>
      <c r="BO27" s="484">
        <f t="shared" si="21"/>
        <v>0</v>
      </c>
      <c r="BR27" s="484">
        <f t="shared" si="22"/>
        <v>0</v>
      </c>
      <c r="BU27" s="484">
        <f t="shared" si="23"/>
        <v>0</v>
      </c>
      <c r="BX27" s="484">
        <f t="shared" si="24"/>
        <v>0</v>
      </c>
      <c r="CA27" s="484">
        <f t="shared" si="25"/>
        <v>0</v>
      </c>
      <c r="CD27" s="484">
        <f t="shared" si="26"/>
        <v>0</v>
      </c>
      <c r="CG27" s="484">
        <f t="shared" si="27"/>
        <v>0</v>
      </c>
      <c r="CJ27" s="484">
        <f t="shared" si="28"/>
        <v>0</v>
      </c>
      <c r="CM27" s="484">
        <f t="shared" si="29"/>
        <v>0</v>
      </c>
      <c r="CP27" s="484">
        <f t="shared" si="30"/>
        <v>0</v>
      </c>
      <c r="CS27" s="484">
        <f t="shared" si="31"/>
        <v>0</v>
      </c>
      <c r="CV27" s="484">
        <f t="shared" si="32"/>
        <v>0</v>
      </c>
      <c r="CY27" s="484">
        <f t="shared" si="33"/>
        <v>0</v>
      </c>
      <c r="DB27" s="484">
        <f t="shared" si="34"/>
        <v>0</v>
      </c>
      <c r="DE27" s="484">
        <f t="shared" si="35"/>
        <v>0</v>
      </c>
      <c r="DH27" s="484">
        <f t="shared" si="36"/>
        <v>0</v>
      </c>
      <c r="DK27" s="484">
        <f t="shared" si="37"/>
        <v>0</v>
      </c>
      <c r="DN27" s="484">
        <f t="shared" si="38"/>
        <v>0</v>
      </c>
      <c r="DQ27" s="484">
        <f t="shared" si="39"/>
        <v>0</v>
      </c>
      <c r="DT27" s="484">
        <f t="shared" si="40"/>
        <v>0</v>
      </c>
      <c r="DW27" s="484">
        <f t="shared" si="41"/>
        <v>0</v>
      </c>
      <c r="DZ27" s="484"/>
      <c r="EA27" s="484"/>
      <c r="EB27" s="294">
        <f t="shared" si="42"/>
        <v>111150000</v>
      </c>
      <c r="EC27" s="294">
        <f t="shared" si="43"/>
        <v>0</v>
      </c>
      <c r="ED27" s="484">
        <f t="shared" si="44"/>
        <v>8173.4444444444434</v>
      </c>
      <c r="EE27" s="485">
        <f t="shared" si="45"/>
        <v>2.6472694556905083E-2</v>
      </c>
      <c r="EG27" s="294">
        <f t="shared" si="46"/>
        <v>0</v>
      </c>
      <c r="EH27" s="484">
        <f t="shared" si="47"/>
        <v>0</v>
      </c>
      <c r="EI27" s="485">
        <f t="shared" si="48"/>
        <v>0</v>
      </c>
      <c r="EJ27" s="485"/>
      <c r="EK27" s="294">
        <f t="shared" si="49"/>
        <v>111150000</v>
      </c>
      <c r="EL27" s="294">
        <f t="shared" si="50"/>
        <v>0</v>
      </c>
      <c r="EM27" s="294">
        <f t="shared" si="51"/>
        <v>8173.4444444444434</v>
      </c>
      <c r="EN27" s="485">
        <f t="shared" si="52"/>
        <v>2.6472694556905083E-2</v>
      </c>
      <c r="EP27" s="484"/>
    </row>
    <row r="28" spans="1:146">
      <c r="A28" s="503">
        <f t="shared" si="53"/>
        <v>43633</v>
      </c>
      <c r="D28" s="484">
        <f t="shared" si="2"/>
        <v>0</v>
      </c>
      <c r="G28" s="484">
        <f t="shared" si="3"/>
        <v>0</v>
      </c>
      <c r="J28" s="484">
        <f t="shared" si="4"/>
        <v>0</v>
      </c>
      <c r="M28" s="484">
        <f t="shared" si="5"/>
        <v>0</v>
      </c>
      <c r="P28" s="484">
        <f t="shared" si="6"/>
        <v>0</v>
      </c>
      <c r="S28" s="484">
        <f t="shared" si="7"/>
        <v>0</v>
      </c>
      <c r="V28" s="484">
        <f t="shared" si="8"/>
        <v>0</v>
      </c>
      <c r="Y28" s="484">
        <f t="shared" si="9"/>
        <v>0</v>
      </c>
      <c r="AB28" s="484">
        <f t="shared" si="10"/>
        <v>0</v>
      </c>
      <c r="AE28" s="484">
        <v>0</v>
      </c>
      <c r="AH28" s="484">
        <v>0</v>
      </c>
      <c r="AI28" s="504">
        <f>65075000</f>
        <v>65075000</v>
      </c>
      <c r="AJ28" s="505">
        <v>2.5600000000000001E-2</v>
      </c>
      <c r="AK28" s="484">
        <f t="shared" si="11"/>
        <v>4627.5555555555557</v>
      </c>
      <c r="AL28" s="504">
        <f t="shared" si="55"/>
        <v>35000000</v>
      </c>
      <c r="AM28" s="505">
        <v>2.7E-2</v>
      </c>
      <c r="AN28" s="484">
        <f t="shared" si="12"/>
        <v>2625</v>
      </c>
      <c r="AO28" s="504"/>
      <c r="AP28" s="505"/>
      <c r="AQ28" s="484">
        <f t="shared" si="13"/>
        <v>0</v>
      </c>
      <c r="AR28" s="504">
        <f t="shared" si="54"/>
        <v>30000000</v>
      </c>
      <c r="AS28" s="505">
        <v>2.7199999999999998E-2</v>
      </c>
      <c r="AT28" s="484">
        <f t="shared" si="14"/>
        <v>2266.6666666666665</v>
      </c>
      <c r="AW28" s="484">
        <f t="shared" si="15"/>
        <v>0</v>
      </c>
      <c r="AZ28" s="484">
        <f t="shared" si="16"/>
        <v>0</v>
      </c>
      <c r="BC28" s="484">
        <f t="shared" si="17"/>
        <v>0</v>
      </c>
      <c r="BF28" s="484">
        <f t="shared" si="18"/>
        <v>0</v>
      </c>
      <c r="BI28" s="484">
        <f t="shared" si="19"/>
        <v>0</v>
      </c>
      <c r="BL28" s="484">
        <f t="shared" si="20"/>
        <v>0</v>
      </c>
      <c r="BO28" s="484">
        <f t="shared" si="21"/>
        <v>0</v>
      </c>
      <c r="BR28" s="484">
        <f t="shared" si="22"/>
        <v>0</v>
      </c>
      <c r="BU28" s="484">
        <f t="shared" si="23"/>
        <v>0</v>
      </c>
      <c r="BX28" s="484">
        <f t="shared" si="24"/>
        <v>0</v>
      </c>
      <c r="CA28" s="484">
        <f t="shared" si="25"/>
        <v>0</v>
      </c>
      <c r="CD28" s="484">
        <f t="shared" si="26"/>
        <v>0</v>
      </c>
      <c r="CG28" s="484">
        <f t="shared" si="27"/>
        <v>0</v>
      </c>
      <c r="CJ28" s="484">
        <f t="shared" si="28"/>
        <v>0</v>
      </c>
      <c r="CM28" s="484">
        <f t="shared" si="29"/>
        <v>0</v>
      </c>
      <c r="CP28" s="484">
        <f t="shared" si="30"/>
        <v>0</v>
      </c>
      <c r="CS28" s="484">
        <f t="shared" si="31"/>
        <v>0</v>
      </c>
      <c r="CV28" s="484">
        <f t="shared" si="32"/>
        <v>0</v>
      </c>
      <c r="CY28" s="484">
        <f t="shared" si="33"/>
        <v>0</v>
      </c>
      <c r="DB28" s="484">
        <f t="shared" si="34"/>
        <v>0</v>
      </c>
      <c r="DE28" s="484">
        <f t="shared" si="35"/>
        <v>0</v>
      </c>
      <c r="DH28" s="484">
        <f t="shared" si="36"/>
        <v>0</v>
      </c>
      <c r="DK28" s="484">
        <f t="shared" si="37"/>
        <v>0</v>
      </c>
      <c r="DN28" s="484">
        <f t="shared" si="38"/>
        <v>0</v>
      </c>
      <c r="DQ28" s="484">
        <f t="shared" si="39"/>
        <v>0</v>
      </c>
      <c r="DT28" s="484">
        <f t="shared" si="40"/>
        <v>0</v>
      </c>
      <c r="DW28" s="484">
        <f t="shared" si="41"/>
        <v>0</v>
      </c>
      <c r="DZ28" s="484"/>
      <c r="EA28" s="484"/>
      <c r="EB28" s="294">
        <f t="shared" si="42"/>
        <v>130075000</v>
      </c>
      <c r="EC28" s="294">
        <f t="shared" si="43"/>
        <v>0</v>
      </c>
      <c r="ED28" s="484">
        <f t="shared" si="44"/>
        <v>9519.2222222222226</v>
      </c>
      <c r="EE28" s="485">
        <f t="shared" si="45"/>
        <v>2.6345723620987894E-2</v>
      </c>
      <c r="EG28" s="294">
        <f t="shared" si="46"/>
        <v>0</v>
      </c>
      <c r="EH28" s="484">
        <f t="shared" si="47"/>
        <v>0</v>
      </c>
      <c r="EI28" s="485">
        <f t="shared" si="48"/>
        <v>0</v>
      </c>
      <c r="EJ28" s="485"/>
      <c r="EK28" s="294">
        <f t="shared" si="49"/>
        <v>130075000</v>
      </c>
      <c r="EL28" s="294">
        <f t="shared" si="50"/>
        <v>0</v>
      </c>
      <c r="EM28" s="294">
        <f t="shared" si="51"/>
        <v>9519.2222222222226</v>
      </c>
      <c r="EN28" s="485">
        <f t="shared" si="52"/>
        <v>2.6345723620987894E-2</v>
      </c>
      <c r="EP28" s="484"/>
    </row>
    <row r="29" spans="1:146">
      <c r="A29" s="503">
        <f t="shared" si="53"/>
        <v>43634</v>
      </c>
      <c r="D29" s="484">
        <f t="shared" si="2"/>
        <v>0</v>
      </c>
      <c r="G29" s="484">
        <f t="shared" si="3"/>
        <v>0</v>
      </c>
      <c r="J29" s="484">
        <f t="shared" si="4"/>
        <v>0</v>
      </c>
      <c r="M29" s="484">
        <f t="shared" si="5"/>
        <v>0</v>
      </c>
      <c r="P29" s="484">
        <f t="shared" si="6"/>
        <v>0</v>
      </c>
      <c r="S29" s="484">
        <f t="shared" si="7"/>
        <v>0</v>
      </c>
      <c r="V29" s="484">
        <f t="shared" si="8"/>
        <v>0</v>
      </c>
      <c r="Y29" s="484">
        <f t="shared" si="9"/>
        <v>0</v>
      </c>
      <c r="AB29" s="484">
        <f t="shared" si="10"/>
        <v>0</v>
      </c>
      <c r="AE29" s="484">
        <v>0</v>
      </c>
      <c r="AH29" s="484">
        <v>0</v>
      </c>
      <c r="AI29" s="504">
        <f>60825000</f>
        <v>60825000</v>
      </c>
      <c r="AJ29" s="505">
        <v>2.5600000000000001E-2</v>
      </c>
      <c r="AK29" s="484">
        <f t="shared" si="11"/>
        <v>4325.333333333333</v>
      </c>
      <c r="AL29" s="504">
        <f t="shared" si="55"/>
        <v>35000000</v>
      </c>
      <c r="AM29" s="505">
        <v>2.7E-2</v>
      </c>
      <c r="AN29" s="484">
        <f t="shared" si="12"/>
        <v>2625</v>
      </c>
      <c r="AO29" s="504"/>
      <c r="AP29" s="505"/>
      <c r="AQ29" s="484">
        <f t="shared" si="13"/>
        <v>0</v>
      </c>
      <c r="AR29" s="504">
        <f t="shared" si="54"/>
        <v>30000000</v>
      </c>
      <c r="AS29" s="505">
        <v>2.7199999999999998E-2</v>
      </c>
      <c r="AT29" s="484">
        <f t="shared" si="14"/>
        <v>2266.6666666666665</v>
      </c>
      <c r="AW29" s="484">
        <f t="shared" si="15"/>
        <v>0</v>
      </c>
      <c r="AZ29" s="484">
        <f t="shared" si="16"/>
        <v>0</v>
      </c>
      <c r="BC29" s="484">
        <f t="shared" si="17"/>
        <v>0</v>
      </c>
      <c r="BF29" s="484">
        <f t="shared" si="18"/>
        <v>0</v>
      </c>
      <c r="BI29" s="484">
        <f t="shared" si="19"/>
        <v>0</v>
      </c>
      <c r="BL29" s="484">
        <f t="shared" si="20"/>
        <v>0</v>
      </c>
      <c r="BO29" s="484">
        <f t="shared" si="21"/>
        <v>0</v>
      </c>
      <c r="BR29" s="484">
        <f t="shared" si="22"/>
        <v>0</v>
      </c>
      <c r="BU29" s="484">
        <f t="shared" si="23"/>
        <v>0</v>
      </c>
      <c r="BX29" s="484">
        <f t="shared" si="24"/>
        <v>0</v>
      </c>
      <c r="CA29" s="484">
        <f t="shared" si="25"/>
        <v>0</v>
      </c>
      <c r="CD29" s="484">
        <f t="shared" si="26"/>
        <v>0</v>
      </c>
      <c r="CG29" s="484">
        <f t="shared" si="27"/>
        <v>0</v>
      </c>
      <c r="CJ29" s="484">
        <f t="shared" si="28"/>
        <v>0</v>
      </c>
      <c r="CM29" s="484">
        <f t="shared" si="29"/>
        <v>0</v>
      </c>
      <c r="CP29" s="484">
        <f t="shared" si="30"/>
        <v>0</v>
      </c>
      <c r="CS29" s="484">
        <f t="shared" si="31"/>
        <v>0</v>
      </c>
      <c r="CV29" s="484">
        <f t="shared" si="32"/>
        <v>0</v>
      </c>
      <c r="CY29" s="484">
        <f t="shared" si="33"/>
        <v>0</v>
      </c>
      <c r="DB29" s="484">
        <f t="shared" si="34"/>
        <v>0</v>
      </c>
      <c r="DE29" s="484">
        <f t="shared" si="35"/>
        <v>0</v>
      </c>
      <c r="DH29" s="484">
        <f t="shared" si="36"/>
        <v>0</v>
      </c>
      <c r="DK29" s="484">
        <f t="shared" si="37"/>
        <v>0</v>
      </c>
      <c r="DN29" s="484">
        <f t="shared" si="38"/>
        <v>0</v>
      </c>
      <c r="DQ29" s="484">
        <f t="shared" si="39"/>
        <v>0</v>
      </c>
      <c r="DT29" s="484">
        <f t="shared" si="40"/>
        <v>0</v>
      </c>
      <c r="DW29" s="484">
        <f t="shared" si="41"/>
        <v>0</v>
      </c>
      <c r="DZ29" s="484"/>
      <c r="EA29" s="484"/>
      <c r="EB29" s="294">
        <f t="shared" si="42"/>
        <v>125825000</v>
      </c>
      <c r="EC29" s="294">
        <f t="shared" si="43"/>
        <v>0</v>
      </c>
      <c r="ED29" s="484">
        <f t="shared" si="44"/>
        <v>9217</v>
      </c>
      <c r="EE29" s="485">
        <f t="shared" si="45"/>
        <v>2.6370911980925893E-2</v>
      </c>
      <c r="EG29" s="294">
        <f t="shared" si="46"/>
        <v>0</v>
      </c>
      <c r="EH29" s="484">
        <f t="shared" si="47"/>
        <v>0</v>
      </c>
      <c r="EI29" s="485">
        <f t="shared" si="48"/>
        <v>0</v>
      </c>
      <c r="EJ29" s="485"/>
      <c r="EK29" s="294">
        <f t="shared" si="49"/>
        <v>125825000</v>
      </c>
      <c r="EL29" s="294">
        <f t="shared" si="50"/>
        <v>0</v>
      </c>
      <c r="EM29" s="294">
        <f t="shared" si="51"/>
        <v>9217</v>
      </c>
      <c r="EN29" s="485">
        <f t="shared" si="52"/>
        <v>2.6370911980925893E-2</v>
      </c>
      <c r="EP29" s="484"/>
    </row>
    <row r="30" spans="1:146">
      <c r="A30" s="503">
        <f t="shared" si="53"/>
        <v>43635</v>
      </c>
      <c r="D30" s="484">
        <f t="shared" si="2"/>
        <v>0</v>
      </c>
      <c r="G30" s="484">
        <f t="shared" si="3"/>
        <v>0</v>
      </c>
      <c r="J30" s="484">
        <f t="shared" si="4"/>
        <v>0</v>
      </c>
      <c r="M30" s="484">
        <f t="shared" si="5"/>
        <v>0</v>
      </c>
      <c r="P30" s="484">
        <f t="shared" si="6"/>
        <v>0</v>
      </c>
      <c r="S30" s="484">
        <f t="shared" si="7"/>
        <v>0</v>
      </c>
      <c r="V30" s="484">
        <f t="shared" si="8"/>
        <v>0</v>
      </c>
      <c r="Y30" s="484">
        <f t="shared" si="9"/>
        <v>0</v>
      </c>
      <c r="AB30" s="484">
        <f t="shared" si="10"/>
        <v>0</v>
      </c>
      <c r="AE30" s="484">
        <v>0</v>
      </c>
      <c r="AH30" s="484">
        <v>0</v>
      </c>
      <c r="AI30" s="504">
        <f>54475000</f>
        <v>54475000</v>
      </c>
      <c r="AJ30" s="505">
        <v>2.5600000000000001E-2</v>
      </c>
      <c r="AK30" s="484">
        <f t="shared" si="11"/>
        <v>3873.7777777777778</v>
      </c>
      <c r="AL30" s="504">
        <f t="shared" si="55"/>
        <v>35000000</v>
      </c>
      <c r="AM30" s="505">
        <v>2.7E-2</v>
      </c>
      <c r="AN30" s="484">
        <f t="shared" si="12"/>
        <v>2625</v>
      </c>
      <c r="AO30" s="504"/>
      <c r="AP30" s="505"/>
      <c r="AQ30" s="484">
        <f t="shared" si="13"/>
        <v>0</v>
      </c>
      <c r="AR30" s="504">
        <f t="shared" si="54"/>
        <v>30000000</v>
      </c>
      <c r="AS30" s="505">
        <v>2.7199999999999998E-2</v>
      </c>
      <c r="AT30" s="484">
        <f t="shared" si="14"/>
        <v>2266.6666666666665</v>
      </c>
      <c r="AW30" s="484">
        <f t="shared" si="15"/>
        <v>0</v>
      </c>
      <c r="AZ30" s="484">
        <f t="shared" si="16"/>
        <v>0</v>
      </c>
      <c r="BC30" s="484">
        <f t="shared" si="17"/>
        <v>0</v>
      </c>
      <c r="BF30" s="484">
        <f t="shared" si="18"/>
        <v>0</v>
      </c>
      <c r="BI30" s="484">
        <f t="shared" si="19"/>
        <v>0</v>
      </c>
      <c r="BL30" s="484">
        <f t="shared" si="20"/>
        <v>0</v>
      </c>
      <c r="BO30" s="484">
        <f t="shared" si="21"/>
        <v>0</v>
      </c>
      <c r="BR30" s="484">
        <f t="shared" si="22"/>
        <v>0</v>
      </c>
      <c r="BU30" s="484">
        <f t="shared" si="23"/>
        <v>0</v>
      </c>
      <c r="BX30" s="484">
        <f t="shared" si="24"/>
        <v>0</v>
      </c>
      <c r="CA30" s="484">
        <f t="shared" si="25"/>
        <v>0</v>
      </c>
      <c r="CD30" s="484">
        <f t="shared" si="26"/>
        <v>0</v>
      </c>
      <c r="CG30" s="484">
        <f t="shared" si="27"/>
        <v>0</v>
      </c>
      <c r="CJ30" s="484">
        <f t="shared" si="28"/>
        <v>0</v>
      </c>
      <c r="CM30" s="484">
        <f t="shared" si="29"/>
        <v>0</v>
      </c>
      <c r="CP30" s="484">
        <f t="shared" si="30"/>
        <v>0</v>
      </c>
      <c r="CS30" s="484">
        <f t="shared" si="31"/>
        <v>0</v>
      </c>
      <c r="CV30" s="484">
        <f t="shared" si="32"/>
        <v>0</v>
      </c>
      <c r="CY30" s="484">
        <f t="shared" si="33"/>
        <v>0</v>
      </c>
      <c r="DB30" s="484">
        <f t="shared" si="34"/>
        <v>0</v>
      </c>
      <c r="DE30" s="484">
        <f t="shared" si="35"/>
        <v>0</v>
      </c>
      <c r="DH30" s="484">
        <f t="shared" si="36"/>
        <v>0</v>
      </c>
      <c r="DK30" s="484">
        <f t="shared" si="37"/>
        <v>0</v>
      </c>
      <c r="DN30" s="484">
        <f t="shared" si="38"/>
        <v>0</v>
      </c>
      <c r="DQ30" s="484">
        <f t="shared" si="39"/>
        <v>0</v>
      </c>
      <c r="DT30" s="484">
        <f t="shared" si="40"/>
        <v>0</v>
      </c>
      <c r="DW30" s="484">
        <f t="shared" si="41"/>
        <v>0</v>
      </c>
      <c r="DZ30" s="484"/>
      <c r="EA30" s="484"/>
      <c r="EB30" s="294">
        <f t="shared" si="42"/>
        <v>119475000</v>
      </c>
      <c r="EC30" s="294">
        <f t="shared" si="43"/>
        <v>0</v>
      </c>
      <c r="ED30" s="484">
        <f t="shared" si="44"/>
        <v>8765.4444444444434</v>
      </c>
      <c r="EE30" s="485">
        <f t="shared" si="45"/>
        <v>2.6411885331659338E-2</v>
      </c>
      <c r="EG30" s="294">
        <f t="shared" si="46"/>
        <v>0</v>
      </c>
      <c r="EH30" s="484">
        <f t="shared" si="47"/>
        <v>0</v>
      </c>
      <c r="EI30" s="485">
        <f t="shared" si="48"/>
        <v>0</v>
      </c>
      <c r="EJ30" s="485"/>
      <c r="EK30" s="294">
        <f t="shared" si="49"/>
        <v>119475000</v>
      </c>
      <c r="EL30" s="294">
        <f t="shared" si="50"/>
        <v>0</v>
      </c>
      <c r="EM30" s="294">
        <f t="shared" si="51"/>
        <v>8765.4444444444434</v>
      </c>
      <c r="EN30" s="485">
        <f t="shared" si="52"/>
        <v>2.6411885331659338E-2</v>
      </c>
      <c r="EP30" s="484"/>
    </row>
    <row r="31" spans="1:146">
      <c r="A31" s="503">
        <f t="shared" si="53"/>
        <v>43636</v>
      </c>
      <c r="D31" s="484">
        <f t="shared" si="2"/>
        <v>0</v>
      </c>
      <c r="G31" s="484">
        <f t="shared" si="3"/>
        <v>0</v>
      </c>
      <c r="J31" s="484">
        <f t="shared" si="4"/>
        <v>0</v>
      </c>
      <c r="M31" s="484">
        <f t="shared" si="5"/>
        <v>0</v>
      </c>
      <c r="P31" s="484">
        <f t="shared" si="6"/>
        <v>0</v>
      </c>
      <c r="S31" s="484">
        <f t="shared" si="7"/>
        <v>0</v>
      </c>
      <c r="V31" s="484">
        <f t="shared" si="8"/>
        <v>0</v>
      </c>
      <c r="Y31" s="484">
        <f t="shared" si="9"/>
        <v>0</v>
      </c>
      <c r="AB31" s="484">
        <f t="shared" si="10"/>
        <v>0</v>
      </c>
      <c r="AE31" s="484">
        <v>0</v>
      </c>
      <c r="AH31" s="484">
        <v>0</v>
      </c>
      <c r="AI31" s="504">
        <f>52025000</f>
        <v>52025000</v>
      </c>
      <c r="AJ31" s="505">
        <v>2.5499999999999998E-2</v>
      </c>
      <c r="AK31" s="484">
        <f t="shared" si="11"/>
        <v>3685.1041666666665</v>
      </c>
      <c r="AL31" s="504">
        <f t="shared" si="55"/>
        <v>35000000</v>
      </c>
      <c r="AM31" s="505">
        <v>2.7E-2</v>
      </c>
      <c r="AN31" s="484">
        <f t="shared" si="12"/>
        <v>2625</v>
      </c>
      <c r="AO31" s="504"/>
      <c r="AP31" s="505"/>
      <c r="AQ31" s="484">
        <f t="shared" si="13"/>
        <v>0</v>
      </c>
      <c r="AR31" s="504">
        <f t="shared" si="54"/>
        <v>30000000</v>
      </c>
      <c r="AS31" s="505">
        <v>2.7199999999999998E-2</v>
      </c>
      <c r="AT31" s="484">
        <f t="shared" si="14"/>
        <v>2266.6666666666665</v>
      </c>
      <c r="AW31" s="484">
        <f t="shared" si="15"/>
        <v>0</v>
      </c>
      <c r="AZ31" s="484">
        <f t="shared" si="16"/>
        <v>0</v>
      </c>
      <c r="BC31" s="484">
        <f t="shared" si="17"/>
        <v>0</v>
      </c>
      <c r="BF31" s="484">
        <f t="shared" si="18"/>
        <v>0</v>
      </c>
      <c r="BI31" s="484">
        <f t="shared" si="19"/>
        <v>0</v>
      </c>
      <c r="BL31" s="484">
        <f t="shared" si="20"/>
        <v>0</v>
      </c>
      <c r="BO31" s="484">
        <f t="shared" si="21"/>
        <v>0</v>
      </c>
      <c r="BR31" s="484">
        <f t="shared" si="22"/>
        <v>0</v>
      </c>
      <c r="BU31" s="484">
        <f t="shared" si="23"/>
        <v>0</v>
      </c>
      <c r="BX31" s="484">
        <f t="shared" si="24"/>
        <v>0</v>
      </c>
      <c r="CA31" s="484">
        <f t="shared" si="25"/>
        <v>0</v>
      </c>
      <c r="CD31" s="484">
        <f t="shared" si="26"/>
        <v>0</v>
      </c>
      <c r="CG31" s="484">
        <f t="shared" si="27"/>
        <v>0</v>
      </c>
      <c r="CJ31" s="484">
        <f t="shared" si="28"/>
        <v>0</v>
      </c>
      <c r="CM31" s="484">
        <f t="shared" si="29"/>
        <v>0</v>
      </c>
      <c r="CP31" s="484">
        <f t="shared" si="30"/>
        <v>0</v>
      </c>
      <c r="CS31" s="484">
        <f t="shared" si="31"/>
        <v>0</v>
      </c>
      <c r="CV31" s="484">
        <f t="shared" si="32"/>
        <v>0</v>
      </c>
      <c r="CY31" s="484">
        <f t="shared" si="33"/>
        <v>0</v>
      </c>
      <c r="DB31" s="484">
        <f t="shared" si="34"/>
        <v>0</v>
      </c>
      <c r="DE31" s="484">
        <f t="shared" si="35"/>
        <v>0</v>
      </c>
      <c r="DH31" s="484">
        <f t="shared" si="36"/>
        <v>0</v>
      </c>
      <c r="DK31" s="484">
        <f t="shared" si="37"/>
        <v>0</v>
      </c>
      <c r="DN31" s="484">
        <f t="shared" si="38"/>
        <v>0</v>
      </c>
      <c r="DQ31" s="484">
        <f t="shared" si="39"/>
        <v>0</v>
      </c>
      <c r="DT31" s="484">
        <f t="shared" si="40"/>
        <v>0</v>
      </c>
      <c r="DW31" s="484">
        <f t="shared" si="41"/>
        <v>0</v>
      </c>
      <c r="DZ31" s="484"/>
      <c r="EA31" s="484"/>
      <c r="EB31" s="294">
        <f t="shared" si="42"/>
        <v>117025000</v>
      </c>
      <c r="EC31" s="294">
        <f t="shared" si="43"/>
        <v>0</v>
      </c>
      <c r="ED31" s="484">
        <f t="shared" si="44"/>
        <v>8576.7708333333321</v>
      </c>
      <c r="EE31" s="485">
        <f t="shared" si="45"/>
        <v>2.6384426404614393E-2</v>
      </c>
      <c r="EG31" s="294">
        <f t="shared" si="46"/>
        <v>0</v>
      </c>
      <c r="EH31" s="484">
        <f t="shared" si="47"/>
        <v>0</v>
      </c>
      <c r="EI31" s="485">
        <f t="shared" si="48"/>
        <v>0</v>
      </c>
      <c r="EJ31" s="485"/>
      <c r="EK31" s="294">
        <f t="shared" si="49"/>
        <v>117025000</v>
      </c>
      <c r="EL31" s="294">
        <f t="shared" si="50"/>
        <v>0</v>
      </c>
      <c r="EM31" s="294">
        <f t="shared" si="51"/>
        <v>8576.7708333333321</v>
      </c>
      <c r="EN31" s="485">
        <f t="shared" si="52"/>
        <v>2.6384426404614393E-2</v>
      </c>
      <c r="EP31" s="484"/>
    </row>
    <row r="32" spans="1:146">
      <c r="A32" s="503">
        <f t="shared" si="53"/>
        <v>43637</v>
      </c>
      <c r="D32" s="484">
        <f t="shared" si="2"/>
        <v>0</v>
      </c>
      <c r="G32" s="484">
        <f t="shared" si="3"/>
        <v>0</v>
      </c>
      <c r="J32" s="484">
        <f t="shared" si="4"/>
        <v>0</v>
      </c>
      <c r="M32" s="484">
        <f t="shared" si="5"/>
        <v>0</v>
      </c>
      <c r="P32" s="484">
        <f t="shared" si="6"/>
        <v>0</v>
      </c>
      <c r="S32" s="484">
        <f t="shared" si="7"/>
        <v>0</v>
      </c>
      <c r="V32" s="484">
        <f t="shared" si="8"/>
        <v>0</v>
      </c>
      <c r="Y32" s="484">
        <f t="shared" si="9"/>
        <v>0</v>
      </c>
      <c r="AB32" s="484">
        <f t="shared" si="10"/>
        <v>0</v>
      </c>
      <c r="AE32" s="484">
        <v>0</v>
      </c>
      <c r="AH32" s="484">
        <v>0</v>
      </c>
      <c r="AI32" s="504">
        <f>50975000</f>
        <v>50975000</v>
      </c>
      <c r="AJ32" s="505">
        <v>2.5499999999999998E-2</v>
      </c>
      <c r="AK32" s="484">
        <f t="shared" si="11"/>
        <v>3610.7291666666665</v>
      </c>
      <c r="AL32" s="504">
        <f t="shared" si="55"/>
        <v>35000000</v>
      </c>
      <c r="AM32" s="505">
        <v>2.7E-2</v>
      </c>
      <c r="AN32" s="484">
        <f t="shared" si="12"/>
        <v>2625</v>
      </c>
      <c r="AO32" s="504"/>
      <c r="AP32" s="505"/>
      <c r="AQ32" s="484">
        <f t="shared" si="13"/>
        <v>0</v>
      </c>
      <c r="AR32" s="504">
        <f t="shared" si="54"/>
        <v>30000000</v>
      </c>
      <c r="AS32" s="505">
        <v>2.7199999999999998E-2</v>
      </c>
      <c r="AT32" s="484">
        <f t="shared" si="14"/>
        <v>2266.6666666666665</v>
      </c>
      <c r="AW32" s="484">
        <f t="shared" si="15"/>
        <v>0</v>
      </c>
      <c r="AZ32" s="484">
        <f t="shared" si="16"/>
        <v>0</v>
      </c>
      <c r="BC32" s="484">
        <f t="shared" si="17"/>
        <v>0</v>
      </c>
      <c r="BF32" s="484">
        <f t="shared" si="18"/>
        <v>0</v>
      </c>
      <c r="BI32" s="484">
        <f t="shared" si="19"/>
        <v>0</v>
      </c>
      <c r="BL32" s="484">
        <f t="shared" si="20"/>
        <v>0</v>
      </c>
      <c r="BO32" s="484">
        <f t="shared" si="21"/>
        <v>0</v>
      </c>
      <c r="BR32" s="484">
        <f t="shared" si="22"/>
        <v>0</v>
      </c>
      <c r="BU32" s="484">
        <f t="shared" si="23"/>
        <v>0</v>
      </c>
      <c r="BX32" s="484">
        <f t="shared" si="24"/>
        <v>0</v>
      </c>
      <c r="CA32" s="484">
        <f t="shared" si="25"/>
        <v>0</v>
      </c>
      <c r="CD32" s="484">
        <f t="shared" si="26"/>
        <v>0</v>
      </c>
      <c r="CG32" s="484">
        <f t="shared" si="27"/>
        <v>0</v>
      </c>
      <c r="CJ32" s="484">
        <f t="shared" si="28"/>
        <v>0</v>
      </c>
      <c r="CM32" s="484">
        <f t="shared" si="29"/>
        <v>0</v>
      </c>
      <c r="CP32" s="484">
        <f t="shared" si="30"/>
        <v>0</v>
      </c>
      <c r="CS32" s="484">
        <f t="shared" si="31"/>
        <v>0</v>
      </c>
      <c r="CV32" s="484">
        <f t="shared" si="32"/>
        <v>0</v>
      </c>
      <c r="CY32" s="484">
        <f t="shared" si="33"/>
        <v>0</v>
      </c>
      <c r="DB32" s="484">
        <f t="shared" si="34"/>
        <v>0</v>
      </c>
      <c r="DE32" s="484">
        <f t="shared" si="35"/>
        <v>0</v>
      </c>
      <c r="DH32" s="484">
        <f t="shared" si="36"/>
        <v>0</v>
      </c>
      <c r="DK32" s="484">
        <f t="shared" si="37"/>
        <v>0</v>
      </c>
      <c r="DN32" s="484">
        <f t="shared" si="38"/>
        <v>0</v>
      </c>
      <c r="DQ32" s="484">
        <f t="shared" si="39"/>
        <v>0</v>
      </c>
      <c r="DT32" s="484">
        <f t="shared" si="40"/>
        <v>0</v>
      </c>
      <c r="DW32" s="484">
        <f t="shared" si="41"/>
        <v>0</v>
      </c>
      <c r="DZ32" s="484"/>
      <c r="EA32" s="484"/>
      <c r="EB32" s="294">
        <f t="shared" si="42"/>
        <v>115975000</v>
      </c>
      <c r="EC32" s="294">
        <f t="shared" si="43"/>
        <v>0</v>
      </c>
      <c r="ED32" s="484">
        <f t="shared" si="44"/>
        <v>8502.3958333333321</v>
      </c>
      <c r="EE32" s="485">
        <f t="shared" si="45"/>
        <v>2.6392433714162531E-2</v>
      </c>
      <c r="EG32" s="294">
        <f t="shared" si="46"/>
        <v>0</v>
      </c>
      <c r="EH32" s="484">
        <f t="shared" si="47"/>
        <v>0</v>
      </c>
      <c r="EI32" s="485">
        <f t="shared" si="48"/>
        <v>0</v>
      </c>
      <c r="EJ32" s="485"/>
      <c r="EK32" s="294">
        <f t="shared" si="49"/>
        <v>115975000</v>
      </c>
      <c r="EL32" s="294">
        <f t="shared" si="50"/>
        <v>0</v>
      </c>
      <c r="EM32" s="294">
        <f t="shared" si="51"/>
        <v>8502.3958333333321</v>
      </c>
      <c r="EN32" s="485">
        <f t="shared" si="52"/>
        <v>2.6392433714162531E-2</v>
      </c>
      <c r="EP32" s="484"/>
    </row>
    <row r="33" spans="1:146">
      <c r="A33" s="503">
        <f t="shared" si="53"/>
        <v>43638</v>
      </c>
      <c r="D33" s="484">
        <f t="shared" si="2"/>
        <v>0</v>
      </c>
      <c r="G33" s="484">
        <f t="shared" si="3"/>
        <v>0</v>
      </c>
      <c r="J33" s="484">
        <f t="shared" si="4"/>
        <v>0</v>
      </c>
      <c r="M33" s="484">
        <f t="shared" si="5"/>
        <v>0</v>
      </c>
      <c r="P33" s="484">
        <f t="shared" si="6"/>
        <v>0</v>
      </c>
      <c r="S33" s="484">
        <f t="shared" si="7"/>
        <v>0</v>
      </c>
      <c r="V33" s="484">
        <f t="shared" si="8"/>
        <v>0</v>
      </c>
      <c r="Y33" s="484">
        <f t="shared" si="9"/>
        <v>0</v>
      </c>
      <c r="AB33" s="484">
        <f t="shared" si="10"/>
        <v>0</v>
      </c>
      <c r="AE33" s="484">
        <v>0</v>
      </c>
      <c r="AH33" s="484">
        <v>0</v>
      </c>
      <c r="AI33" s="504">
        <f>50975000</f>
        <v>50975000</v>
      </c>
      <c r="AJ33" s="505">
        <v>2.5499999999999998E-2</v>
      </c>
      <c r="AK33" s="484">
        <f t="shared" si="11"/>
        <v>3610.7291666666665</v>
      </c>
      <c r="AL33" s="504">
        <f t="shared" si="55"/>
        <v>35000000</v>
      </c>
      <c r="AM33" s="505">
        <v>2.7E-2</v>
      </c>
      <c r="AN33" s="484">
        <f t="shared" si="12"/>
        <v>2625</v>
      </c>
      <c r="AO33" s="504"/>
      <c r="AP33" s="505"/>
      <c r="AQ33" s="484">
        <f t="shared" si="13"/>
        <v>0</v>
      </c>
      <c r="AR33" s="504">
        <f t="shared" si="54"/>
        <v>30000000</v>
      </c>
      <c r="AS33" s="505">
        <v>2.7199999999999998E-2</v>
      </c>
      <c r="AT33" s="484">
        <f t="shared" si="14"/>
        <v>2266.6666666666665</v>
      </c>
      <c r="AW33" s="484">
        <f t="shared" si="15"/>
        <v>0</v>
      </c>
      <c r="AZ33" s="484">
        <f t="shared" si="16"/>
        <v>0</v>
      </c>
      <c r="BC33" s="484">
        <f t="shared" si="17"/>
        <v>0</v>
      </c>
      <c r="BF33" s="484">
        <f t="shared" si="18"/>
        <v>0</v>
      </c>
      <c r="BI33" s="484">
        <f t="shared" si="19"/>
        <v>0</v>
      </c>
      <c r="BL33" s="484">
        <f t="shared" si="20"/>
        <v>0</v>
      </c>
      <c r="BO33" s="484">
        <f t="shared" si="21"/>
        <v>0</v>
      </c>
      <c r="BR33" s="484">
        <f t="shared" si="22"/>
        <v>0</v>
      </c>
      <c r="BU33" s="484">
        <f t="shared" si="23"/>
        <v>0</v>
      </c>
      <c r="BX33" s="484">
        <f t="shared" si="24"/>
        <v>0</v>
      </c>
      <c r="CA33" s="484">
        <f t="shared" si="25"/>
        <v>0</v>
      </c>
      <c r="CD33" s="484">
        <f t="shared" si="26"/>
        <v>0</v>
      </c>
      <c r="CG33" s="484">
        <f t="shared" si="27"/>
        <v>0</v>
      </c>
      <c r="CJ33" s="484">
        <f t="shared" si="28"/>
        <v>0</v>
      </c>
      <c r="CM33" s="484">
        <f t="shared" si="29"/>
        <v>0</v>
      </c>
      <c r="CP33" s="484">
        <f t="shared" si="30"/>
        <v>0</v>
      </c>
      <c r="CS33" s="484">
        <f t="shared" si="31"/>
        <v>0</v>
      </c>
      <c r="CV33" s="484">
        <f t="shared" si="32"/>
        <v>0</v>
      </c>
      <c r="CY33" s="484">
        <f t="shared" si="33"/>
        <v>0</v>
      </c>
      <c r="DB33" s="484">
        <f t="shared" si="34"/>
        <v>0</v>
      </c>
      <c r="DE33" s="484">
        <f t="shared" si="35"/>
        <v>0</v>
      </c>
      <c r="DH33" s="484">
        <f t="shared" si="36"/>
        <v>0</v>
      </c>
      <c r="DK33" s="484">
        <f t="shared" si="37"/>
        <v>0</v>
      </c>
      <c r="DN33" s="484">
        <f t="shared" si="38"/>
        <v>0</v>
      </c>
      <c r="DQ33" s="484">
        <f t="shared" si="39"/>
        <v>0</v>
      </c>
      <c r="DT33" s="484">
        <f t="shared" si="40"/>
        <v>0</v>
      </c>
      <c r="DW33" s="484">
        <f t="shared" si="41"/>
        <v>0</v>
      </c>
      <c r="DZ33" s="484"/>
      <c r="EA33" s="484"/>
      <c r="EB33" s="294">
        <f t="shared" si="42"/>
        <v>115975000</v>
      </c>
      <c r="EC33" s="294">
        <f t="shared" si="43"/>
        <v>0</v>
      </c>
      <c r="ED33" s="484">
        <f t="shared" si="44"/>
        <v>8502.3958333333321</v>
      </c>
      <c r="EE33" s="485">
        <f t="shared" si="45"/>
        <v>2.6392433714162531E-2</v>
      </c>
      <c r="EG33" s="294">
        <f t="shared" si="46"/>
        <v>0</v>
      </c>
      <c r="EH33" s="484">
        <f t="shared" si="47"/>
        <v>0</v>
      </c>
      <c r="EI33" s="485">
        <f t="shared" si="48"/>
        <v>0</v>
      </c>
      <c r="EJ33" s="485"/>
      <c r="EK33" s="294">
        <f t="shared" si="49"/>
        <v>115975000</v>
      </c>
      <c r="EL33" s="294">
        <f t="shared" si="50"/>
        <v>0</v>
      </c>
      <c r="EM33" s="294">
        <f t="shared" si="51"/>
        <v>8502.3958333333321</v>
      </c>
      <c r="EN33" s="485">
        <f t="shared" si="52"/>
        <v>2.6392433714162531E-2</v>
      </c>
      <c r="EP33" s="484"/>
    </row>
    <row r="34" spans="1:146">
      <c r="A34" s="503">
        <f t="shared" si="53"/>
        <v>43639</v>
      </c>
      <c r="D34" s="484">
        <f t="shared" si="2"/>
        <v>0</v>
      </c>
      <c r="G34" s="484">
        <f t="shared" si="3"/>
        <v>0</v>
      </c>
      <c r="J34" s="484">
        <f t="shared" si="4"/>
        <v>0</v>
      </c>
      <c r="M34" s="484">
        <f t="shared" si="5"/>
        <v>0</v>
      </c>
      <c r="P34" s="484">
        <f t="shared" si="6"/>
        <v>0</v>
      </c>
      <c r="S34" s="484">
        <f t="shared" si="7"/>
        <v>0</v>
      </c>
      <c r="V34" s="484">
        <f t="shared" si="8"/>
        <v>0</v>
      </c>
      <c r="Y34" s="484">
        <f t="shared" si="9"/>
        <v>0</v>
      </c>
      <c r="AB34" s="484">
        <f t="shared" si="10"/>
        <v>0</v>
      </c>
      <c r="AE34" s="484">
        <v>0</v>
      </c>
      <c r="AH34" s="484">
        <v>0</v>
      </c>
      <c r="AI34" s="504">
        <f>50975000</f>
        <v>50975000</v>
      </c>
      <c r="AJ34" s="505">
        <v>2.5499999999999998E-2</v>
      </c>
      <c r="AK34" s="484">
        <f t="shared" si="11"/>
        <v>3610.7291666666665</v>
      </c>
      <c r="AL34" s="504">
        <f t="shared" si="55"/>
        <v>35000000</v>
      </c>
      <c r="AM34" s="505">
        <v>2.7E-2</v>
      </c>
      <c r="AN34" s="484">
        <f t="shared" si="12"/>
        <v>2625</v>
      </c>
      <c r="AO34" s="504"/>
      <c r="AP34" s="505"/>
      <c r="AQ34" s="484">
        <f t="shared" si="13"/>
        <v>0</v>
      </c>
      <c r="AR34" s="504">
        <f t="shared" si="54"/>
        <v>30000000</v>
      </c>
      <c r="AS34" s="505">
        <v>2.7199999999999998E-2</v>
      </c>
      <c r="AT34" s="484">
        <f t="shared" si="14"/>
        <v>2266.6666666666665</v>
      </c>
      <c r="AW34" s="484">
        <f t="shared" si="15"/>
        <v>0</v>
      </c>
      <c r="AZ34" s="484">
        <f t="shared" si="16"/>
        <v>0</v>
      </c>
      <c r="BC34" s="484">
        <f t="shared" si="17"/>
        <v>0</v>
      </c>
      <c r="BF34" s="484">
        <f t="shared" si="18"/>
        <v>0</v>
      </c>
      <c r="BI34" s="484">
        <f t="shared" si="19"/>
        <v>0</v>
      </c>
      <c r="BL34" s="484">
        <f t="shared" si="20"/>
        <v>0</v>
      </c>
      <c r="BO34" s="484">
        <f t="shared" si="21"/>
        <v>0</v>
      </c>
      <c r="BR34" s="484">
        <f t="shared" si="22"/>
        <v>0</v>
      </c>
      <c r="BU34" s="484">
        <f t="shared" si="23"/>
        <v>0</v>
      </c>
      <c r="BX34" s="484">
        <f t="shared" si="24"/>
        <v>0</v>
      </c>
      <c r="CA34" s="484">
        <f t="shared" si="25"/>
        <v>0</v>
      </c>
      <c r="CD34" s="484">
        <f t="shared" si="26"/>
        <v>0</v>
      </c>
      <c r="CG34" s="484">
        <f t="shared" si="27"/>
        <v>0</v>
      </c>
      <c r="CJ34" s="484">
        <f t="shared" si="28"/>
        <v>0</v>
      </c>
      <c r="CM34" s="484">
        <f t="shared" si="29"/>
        <v>0</v>
      </c>
      <c r="CP34" s="484">
        <f t="shared" si="30"/>
        <v>0</v>
      </c>
      <c r="CS34" s="484">
        <f t="shared" si="31"/>
        <v>0</v>
      </c>
      <c r="CV34" s="484">
        <f t="shared" si="32"/>
        <v>0</v>
      </c>
      <c r="CY34" s="484">
        <f t="shared" si="33"/>
        <v>0</v>
      </c>
      <c r="DB34" s="484">
        <f t="shared" si="34"/>
        <v>0</v>
      </c>
      <c r="DE34" s="484">
        <f t="shared" si="35"/>
        <v>0</v>
      </c>
      <c r="DH34" s="484">
        <f t="shared" si="36"/>
        <v>0</v>
      </c>
      <c r="DK34" s="484">
        <f t="shared" si="37"/>
        <v>0</v>
      </c>
      <c r="DN34" s="484">
        <f t="shared" si="38"/>
        <v>0</v>
      </c>
      <c r="DQ34" s="484">
        <f t="shared" si="39"/>
        <v>0</v>
      </c>
      <c r="DT34" s="484">
        <f t="shared" si="40"/>
        <v>0</v>
      </c>
      <c r="DW34" s="484">
        <f t="shared" si="41"/>
        <v>0</v>
      </c>
      <c r="DZ34" s="484"/>
      <c r="EA34" s="484"/>
      <c r="EB34" s="294">
        <f t="shared" si="42"/>
        <v>115975000</v>
      </c>
      <c r="EC34" s="294">
        <f t="shared" si="43"/>
        <v>0</v>
      </c>
      <c r="ED34" s="484">
        <f t="shared" si="44"/>
        <v>8502.3958333333321</v>
      </c>
      <c r="EE34" s="485">
        <f t="shared" si="45"/>
        <v>2.6392433714162531E-2</v>
      </c>
      <c r="EG34" s="294">
        <f t="shared" si="46"/>
        <v>0</v>
      </c>
      <c r="EH34" s="484">
        <f t="shared" si="47"/>
        <v>0</v>
      </c>
      <c r="EI34" s="485">
        <f t="shared" si="48"/>
        <v>0</v>
      </c>
      <c r="EJ34" s="485"/>
      <c r="EK34" s="294">
        <f t="shared" si="49"/>
        <v>115975000</v>
      </c>
      <c r="EL34" s="294">
        <f t="shared" si="50"/>
        <v>0</v>
      </c>
      <c r="EM34" s="294">
        <f t="shared" si="51"/>
        <v>8502.3958333333321</v>
      </c>
      <c r="EN34" s="485">
        <f t="shared" si="52"/>
        <v>2.6392433714162531E-2</v>
      </c>
      <c r="EP34" s="484"/>
    </row>
    <row r="35" spans="1:146">
      <c r="A35" s="503">
        <f t="shared" si="53"/>
        <v>43640</v>
      </c>
      <c r="D35" s="484">
        <f t="shared" si="2"/>
        <v>0</v>
      </c>
      <c r="G35" s="484">
        <f t="shared" si="3"/>
        <v>0</v>
      </c>
      <c r="J35" s="484">
        <f t="shared" si="4"/>
        <v>0</v>
      </c>
      <c r="M35" s="484">
        <f t="shared" si="5"/>
        <v>0</v>
      </c>
      <c r="P35" s="484">
        <f t="shared" si="6"/>
        <v>0</v>
      </c>
      <c r="S35" s="484">
        <f t="shared" si="7"/>
        <v>0</v>
      </c>
      <c r="V35" s="484">
        <f t="shared" si="8"/>
        <v>0</v>
      </c>
      <c r="Y35" s="484">
        <f t="shared" si="9"/>
        <v>0</v>
      </c>
      <c r="AB35" s="484">
        <f t="shared" si="10"/>
        <v>0</v>
      </c>
      <c r="AE35" s="484">
        <v>0</v>
      </c>
      <c r="AH35" s="484">
        <v>0</v>
      </c>
      <c r="AI35" s="504">
        <f>49625000</f>
        <v>49625000</v>
      </c>
      <c r="AJ35" s="505">
        <v>2.5499999999999998E-2</v>
      </c>
      <c r="AK35" s="484">
        <f t="shared" si="11"/>
        <v>3515.1041666666665</v>
      </c>
      <c r="AL35" s="504">
        <f t="shared" si="55"/>
        <v>35000000</v>
      </c>
      <c r="AM35" s="505">
        <v>2.7E-2</v>
      </c>
      <c r="AN35" s="484">
        <f t="shared" si="12"/>
        <v>2625</v>
      </c>
      <c r="AO35" s="504"/>
      <c r="AP35" s="505"/>
      <c r="AQ35" s="484">
        <f t="shared" si="13"/>
        <v>0</v>
      </c>
      <c r="AR35" s="504">
        <f t="shared" si="54"/>
        <v>30000000</v>
      </c>
      <c r="AS35" s="505">
        <v>2.7199999999999998E-2</v>
      </c>
      <c r="AT35" s="484">
        <f t="shared" si="14"/>
        <v>2266.6666666666665</v>
      </c>
      <c r="AW35" s="484">
        <f t="shared" si="15"/>
        <v>0</v>
      </c>
      <c r="AZ35" s="484">
        <f t="shared" si="16"/>
        <v>0</v>
      </c>
      <c r="BC35" s="484">
        <f t="shared" si="17"/>
        <v>0</v>
      </c>
      <c r="BF35" s="484">
        <f t="shared" si="18"/>
        <v>0</v>
      </c>
      <c r="BI35" s="484">
        <f t="shared" si="19"/>
        <v>0</v>
      </c>
      <c r="BL35" s="484">
        <f t="shared" si="20"/>
        <v>0</v>
      </c>
      <c r="BO35" s="484">
        <f t="shared" si="21"/>
        <v>0</v>
      </c>
      <c r="BR35" s="484">
        <f t="shared" si="22"/>
        <v>0</v>
      </c>
      <c r="BU35" s="484">
        <f t="shared" si="23"/>
        <v>0</v>
      </c>
      <c r="BX35" s="484">
        <f t="shared" si="24"/>
        <v>0</v>
      </c>
      <c r="CA35" s="484">
        <f t="shared" si="25"/>
        <v>0</v>
      </c>
      <c r="CD35" s="484">
        <f t="shared" si="26"/>
        <v>0</v>
      </c>
      <c r="CG35" s="484">
        <f t="shared" si="27"/>
        <v>0</v>
      </c>
      <c r="CJ35" s="484">
        <f t="shared" si="28"/>
        <v>0</v>
      </c>
      <c r="CM35" s="484">
        <f t="shared" si="29"/>
        <v>0</v>
      </c>
      <c r="CP35" s="484">
        <f t="shared" si="30"/>
        <v>0</v>
      </c>
      <c r="CS35" s="484">
        <f t="shared" si="31"/>
        <v>0</v>
      </c>
      <c r="CV35" s="484">
        <f t="shared" si="32"/>
        <v>0</v>
      </c>
      <c r="CY35" s="484">
        <f t="shared" si="33"/>
        <v>0</v>
      </c>
      <c r="DB35" s="484">
        <f t="shared" si="34"/>
        <v>0</v>
      </c>
      <c r="DE35" s="484">
        <f t="shared" si="35"/>
        <v>0</v>
      </c>
      <c r="DH35" s="484">
        <f t="shared" si="36"/>
        <v>0</v>
      </c>
      <c r="DK35" s="484">
        <f t="shared" si="37"/>
        <v>0</v>
      </c>
      <c r="DN35" s="484">
        <f t="shared" si="38"/>
        <v>0</v>
      </c>
      <c r="DQ35" s="484">
        <f t="shared" si="39"/>
        <v>0</v>
      </c>
      <c r="DT35" s="484">
        <f t="shared" si="40"/>
        <v>0</v>
      </c>
      <c r="DW35" s="484">
        <f t="shared" si="41"/>
        <v>0</v>
      </c>
      <c r="DZ35" s="484"/>
      <c r="EA35" s="484"/>
      <c r="EB35" s="294">
        <f t="shared" si="42"/>
        <v>114625000</v>
      </c>
      <c r="EC35" s="294">
        <f t="shared" si="43"/>
        <v>0</v>
      </c>
      <c r="ED35" s="484">
        <f t="shared" si="44"/>
        <v>8406.7708333333321</v>
      </c>
      <c r="EE35" s="485">
        <f t="shared" si="45"/>
        <v>2.6402944383860413E-2</v>
      </c>
      <c r="EG35" s="294">
        <f t="shared" si="46"/>
        <v>0</v>
      </c>
      <c r="EH35" s="484">
        <f t="shared" si="47"/>
        <v>0</v>
      </c>
      <c r="EI35" s="485">
        <f t="shared" si="48"/>
        <v>0</v>
      </c>
      <c r="EJ35" s="485"/>
      <c r="EK35" s="294">
        <f t="shared" si="49"/>
        <v>114625000</v>
      </c>
      <c r="EL35" s="294">
        <f t="shared" si="50"/>
        <v>0</v>
      </c>
      <c r="EM35" s="294">
        <f t="shared" si="51"/>
        <v>8406.7708333333321</v>
      </c>
      <c r="EN35" s="485">
        <f t="shared" si="52"/>
        <v>2.6402944383860413E-2</v>
      </c>
      <c r="EP35" s="484"/>
    </row>
    <row r="36" spans="1:146">
      <c r="A36" s="503">
        <f t="shared" si="53"/>
        <v>43641</v>
      </c>
      <c r="D36" s="484">
        <f t="shared" si="2"/>
        <v>0</v>
      </c>
      <c r="G36" s="484">
        <f t="shared" si="3"/>
        <v>0</v>
      </c>
      <c r="J36" s="484">
        <f t="shared" si="4"/>
        <v>0</v>
      </c>
      <c r="M36" s="484">
        <f t="shared" si="5"/>
        <v>0</v>
      </c>
      <c r="P36" s="484">
        <f t="shared" si="6"/>
        <v>0</v>
      </c>
      <c r="S36" s="484">
        <f t="shared" si="7"/>
        <v>0</v>
      </c>
      <c r="V36" s="484">
        <f t="shared" si="8"/>
        <v>0</v>
      </c>
      <c r="Y36" s="484">
        <f t="shared" si="9"/>
        <v>0</v>
      </c>
      <c r="AB36" s="484">
        <f t="shared" si="10"/>
        <v>0</v>
      </c>
      <c r="AE36" s="484">
        <v>0</v>
      </c>
      <c r="AH36" s="484">
        <v>0</v>
      </c>
      <c r="AI36" s="504">
        <f>39050000</f>
        <v>39050000</v>
      </c>
      <c r="AJ36" s="505">
        <v>2.5499999999999998E-2</v>
      </c>
      <c r="AK36" s="484">
        <f t="shared" si="11"/>
        <v>2766.0416666666665</v>
      </c>
      <c r="AL36" s="504">
        <f t="shared" si="55"/>
        <v>35000000</v>
      </c>
      <c r="AM36" s="505">
        <v>2.7E-2</v>
      </c>
      <c r="AN36" s="484">
        <f t="shared" si="12"/>
        <v>2625</v>
      </c>
      <c r="AO36" s="504"/>
      <c r="AP36" s="505"/>
      <c r="AQ36" s="484">
        <f t="shared" si="13"/>
        <v>0</v>
      </c>
      <c r="AR36" s="504">
        <f t="shared" si="54"/>
        <v>30000000</v>
      </c>
      <c r="AS36" s="505">
        <v>2.7199999999999998E-2</v>
      </c>
      <c r="AT36" s="484">
        <f t="shared" si="14"/>
        <v>2266.6666666666665</v>
      </c>
      <c r="AW36" s="484">
        <f t="shared" si="15"/>
        <v>0</v>
      </c>
      <c r="AZ36" s="484">
        <f t="shared" si="16"/>
        <v>0</v>
      </c>
      <c r="BC36" s="484">
        <f t="shared" si="17"/>
        <v>0</v>
      </c>
      <c r="BF36" s="484">
        <f t="shared" si="18"/>
        <v>0</v>
      </c>
      <c r="BI36" s="484">
        <f t="shared" si="19"/>
        <v>0</v>
      </c>
      <c r="BL36" s="484">
        <f t="shared" si="20"/>
        <v>0</v>
      </c>
      <c r="BO36" s="484">
        <f t="shared" si="21"/>
        <v>0</v>
      </c>
      <c r="BR36" s="484">
        <f t="shared" si="22"/>
        <v>0</v>
      </c>
      <c r="BU36" s="484">
        <f t="shared" si="23"/>
        <v>0</v>
      </c>
      <c r="BX36" s="484">
        <f t="shared" si="24"/>
        <v>0</v>
      </c>
      <c r="CA36" s="484">
        <f t="shared" si="25"/>
        <v>0</v>
      </c>
      <c r="CD36" s="484">
        <f t="shared" si="26"/>
        <v>0</v>
      </c>
      <c r="CG36" s="484">
        <f t="shared" si="27"/>
        <v>0</v>
      </c>
      <c r="CJ36" s="484">
        <f t="shared" si="28"/>
        <v>0</v>
      </c>
      <c r="CM36" s="484">
        <f t="shared" si="29"/>
        <v>0</v>
      </c>
      <c r="CP36" s="484">
        <f t="shared" si="30"/>
        <v>0</v>
      </c>
      <c r="CS36" s="484">
        <f t="shared" si="31"/>
        <v>0</v>
      </c>
      <c r="CV36" s="484">
        <f t="shared" si="32"/>
        <v>0</v>
      </c>
      <c r="CY36" s="484">
        <f t="shared" si="33"/>
        <v>0</v>
      </c>
      <c r="DB36" s="484">
        <f t="shared" si="34"/>
        <v>0</v>
      </c>
      <c r="DE36" s="484">
        <f t="shared" si="35"/>
        <v>0</v>
      </c>
      <c r="DH36" s="484">
        <f t="shared" si="36"/>
        <v>0</v>
      </c>
      <c r="DK36" s="484">
        <f t="shared" si="37"/>
        <v>0</v>
      </c>
      <c r="DN36" s="484">
        <f t="shared" si="38"/>
        <v>0</v>
      </c>
      <c r="DQ36" s="484">
        <f t="shared" si="39"/>
        <v>0</v>
      </c>
      <c r="DT36" s="484">
        <f t="shared" si="40"/>
        <v>0</v>
      </c>
      <c r="DW36" s="484">
        <f t="shared" si="41"/>
        <v>0</v>
      </c>
      <c r="DZ36" s="484"/>
      <c r="EA36" s="484"/>
      <c r="EB36" s="294">
        <f t="shared" si="42"/>
        <v>104050000</v>
      </c>
      <c r="EC36" s="294">
        <f t="shared" si="43"/>
        <v>0</v>
      </c>
      <c r="ED36" s="484">
        <f t="shared" si="44"/>
        <v>7657.7083333333321</v>
      </c>
      <c r="EE36" s="485">
        <f t="shared" si="45"/>
        <v>2.6494714079769336E-2</v>
      </c>
      <c r="EG36" s="294">
        <f t="shared" si="46"/>
        <v>0</v>
      </c>
      <c r="EH36" s="484">
        <f t="shared" si="47"/>
        <v>0</v>
      </c>
      <c r="EI36" s="485">
        <f t="shared" si="48"/>
        <v>0</v>
      </c>
      <c r="EJ36" s="485"/>
      <c r="EK36" s="294">
        <f t="shared" si="49"/>
        <v>104050000</v>
      </c>
      <c r="EL36" s="294">
        <f t="shared" si="50"/>
        <v>0</v>
      </c>
      <c r="EM36" s="294">
        <f t="shared" si="51"/>
        <v>7657.7083333333321</v>
      </c>
      <c r="EN36" s="485">
        <f t="shared" si="52"/>
        <v>2.6494714079769336E-2</v>
      </c>
      <c r="EP36" s="484"/>
    </row>
    <row r="37" spans="1:146">
      <c r="A37" s="503">
        <f t="shared" si="53"/>
        <v>43642</v>
      </c>
      <c r="D37" s="484">
        <f t="shared" si="2"/>
        <v>0</v>
      </c>
      <c r="G37" s="484">
        <f t="shared" si="3"/>
        <v>0</v>
      </c>
      <c r="J37" s="484">
        <f t="shared" si="4"/>
        <v>0</v>
      </c>
      <c r="M37" s="484">
        <f t="shared" si="5"/>
        <v>0</v>
      </c>
      <c r="P37" s="484">
        <f t="shared" si="6"/>
        <v>0</v>
      </c>
      <c r="S37" s="484">
        <f t="shared" si="7"/>
        <v>0</v>
      </c>
      <c r="V37" s="484">
        <f t="shared" si="8"/>
        <v>0</v>
      </c>
      <c r="Y37" s="484">
        <f t="shared" si="9"/>
        <v>0</v>
      </c>
      <c r="AB37" s="484">
        <f t="shared" si="10"/>
        <v>0</v>
      </c>
      <c r="AE37" s="484">
        <v>0</v>
      </c>
      <c r="AH37" s="484">
        <v>0</v>
      </c>
      <c r="AI37" s="504">
        <f>28100000</f>
        <v>28100000</v>
      </c>
      <c r="AJ37" s="505">
        <v>2.5499999999999998E-2</v>
      </c>
      <c r="AK37" s="484">
        <f t="shared" si="11"/>
        <v>1990.4166666666667</v>
      </c>
      <c r="AL37" s="504">
        <f t="shared" si="55"/>
        <v>35000000</v>
      </c>
      <c r="AM37" s="505">
        <v>2.7E-2</v>
      </c>
      <c r="AN37" s="484">
        <f t="shared" si="12"/>
        <v>2625</v>
      </c>
      <c r="AO37" s="504"/>
      <c r="AP37" s="505"/>
      <c r="AQ37" s="484">
        <f t="shared" si="13"/>
        <v>0</v>
      </c>
      <c r="AR37" s="504">
        <f t="shared" si="54"/>
        <v>30000000</v>
      </c>
      <c r="AS37" s="505">
        <v>2.7199999999999998E-2</v>
      </c>
      <c r="AT37" s="484">
        <f t="shared" si="14"/>
        <v>2266.6666666666665</v>
      </c>
      <c r="AW37" s="484">
        <f t="shared" si="15"/>
        <v>0</v>
      </c>
      <c r="AZ37" s="484">
        <f t="shared" si="16"/>
        <v>0</v>
      </c>
      <c r="BC37" s="484">
        <f t="shared" si="17"/>
        <v>0</v>
      </c>
      <c r="BF37" s="484">
        <f t="shared" si="18"/>
        <v>0</v>
      </c>
      <c r="BI37" s="484">
        <f t="shared" si="19"/>
        <v>0</v>
      </c>
      <c r="BL37" s="484">
        <f t="shared" si="20"/>
        <v>0</v>
      </c>
      <c r="BO37" s="484">
        <f t="shared" si="21"/>
        <v>0</v>
      </c>
      <c r="BR37" s="484">
        <f t="shared" si="22"/>
        <v>0</v>
      </c>
      <c r="BU37" s="484">
        <f t="shared" si="23"/>
        <v>0</v>
      </c>
      <c r="BX37" s="484">
        <f t="shared" si="24"/>
        <v>0</v>
      </c>
      <c r="CA37" s="484">
        <f t="shared" si="25"/>
        <v>0</v>
      </c>
      <c r="CD37" s="484">
        <f t="shared" si="26"/>
        <v>0</v>
      </c>
      <c r="CG37" s="484">
        <f t="shared" si="27"/>
        <v>0</v>
      </c>
      <c r="CJ37" s="484">
        <f t="shared" si="28"/>
        <v>0</v>
      </c>
      <c r="CM37" s="484">
        <f t="shared" si="29"/>
        <v>0</v>
      </c>
      <c r="CP37" s="484">
        <f t="shared" si="30"/>
        <v>0</v>
      </c>
      <c r="CS37" s="484">
        <f t="shared" si="31"/>
        <v>0</v>
      </c>
      <c r="CV37" s="484">
        <f t="shared" si="32"/>
        <v>0</v>
      </c>
      <c r="CY37" s="484">
        <f t="shared" si="33"/>
        <v>0</v>
      </c>
      <c r="DB37" s="484">
        <f t="shared" si="34"/>
        <v>0</v>
      </c>
      <c r="DE37" s="484">
        <f t="shared" si="35"/>
        <v>0</v>
      </c>
      <c r="DH37" s="484">
        <f t="shared" si="36"/>
        <v>0</v>
      </c>
      <c r="DK37" s="484">
        <f t="shared" si="37"/>
        <v>0</v>
      </c>
      <c r="DN37" s="484">
        <f t="shared" si="38"/>
        <v>0</v>
      </c>
      <c r="DQ37" s="484">
        <f t="shared" si="39"/>
        <v>0</v>
      </c>
      <c r="DT37" s="484">
        <f t="shared" si="40"/>
        <v>0</v>
      </c>
      <c r="DW37" s="484">
        <f t="shared" si="41"/>
        <v>0</v>
      </c>
      <c r="DZ37" s="484"/>
      <c r="EA37" s="484"/>
      <c r="EB37" s="294">
        <f t="shared" si="42"/>
        <v>93100000</v>
      </c>
      <c r="EC37" s="294">
        <f t="shared" si="43"/>
        <v>0</v>
      </c>
      <c r="ED37" s="484">
        <f t="shared" si="44"/>
        <v>6882.0833333333339</v>
      </c>
      <c r="EE37" s="485">
        <f t="shared" si="45"/>
        <v>2.6611707841031149E-2</v>
      </c>
      <c r="EG37" s="294">
        <f t="shared" si="46"/>
        <v>0</v>
      </c>
      <c r="EH37" s="484">
        <f t="shared" si="47"/>
        <v>0</v>
      </c>
      <c r="EI37" s="485">
        <f t="shared" si="48"/>
        <v>0</v>
      </c>
      <c r="EJ37" s="485"/>
      <c r="EK37" s="294">
        <f t="shared" si="49"/>
        <v>93100000</v>
      </c>
      <c r="EL37" s="294">
        <f t="shared" si="50"/>
        <v>0</v>
      </c>
      <c r="EM37" s="294">
        <f t="shared" si="51"/>
        <v>6882.083333333333</v>
      </c>
      <c r="EN37" s="485">
        <f t="shared" si="52"/>
        <v>2.6611707841031149E-2</v>
      </c>
      <c r="EP37" s="484"/>
    </row>
    <row r="38" spans="1:146">
      <c r="A38" s="503">
        <f t="shared" si="53"/>
        <v>43643</v>
      </c>
      <c r="D38" s="484">
        <f t="shared" si="2"/>
        <v>0</v>
      </c>
      <c r="G38" s="484">
        <f t="shared" si="3"/>
        <v>0</v>
      </c>
      <c r="J38" s="484">
        <f t="shared" si="4"/>
        <v>0</v>
      </c>
      <c r="M38" s="484">
        <f t="shared" si="5"/>
        <v>0</v>
      </c>
      <c r="P38" s="484">
        <f t="shared" si="6"/>
        <v>0</v>
      </c>
      <c r="S38" s="484">
        <f t="shared" si="7"/>
        <v>0</v>
      </c>
      <c r="V38" s="484">
        <f t="shared" si="8"/>
        <v>0</v>
      </c>
      <c r="Y38" s="484">
        <f t="shared" si="9"/>
        <v>0</v>
      </c>
      <c r="AB38" s="484">
        <f t="shared" si="10"/>
        <v>0</v>
      </c>
      <c r="AE38" s="484">
        <v>0</v>
      </c>
      <c r="AH38" s="484">
        <v>0</v>
      </c>
      <c r="AI38" s="504">
        <f>23525000</f>
        <v>23525000</v>
      </c>
      <c r="AJ38" s="505">
        <v>2.5499999999999998E-2</v>
      </c>
      <c r="AK38" s="484">
        <f t="shared" si="11"/>
        <v>1666.3541666666667</v>
      </c>
      <c r="AL38" s="504">
        <f t="shared" si="55"/>
        <v>35000000</v>
      </c>
      <c r="AM38" s="505">
        <v>2.7E-2</v>
      </c>
      <c r="AN38" s="484">
        <f t="shared" si="12"/>
        <v>2625</v>
      </c>
      <c r="AO38" s="504"/>
      <c r="AP38" s="505"/>
      <c r="AQ38" s="484">
        <f t="shared" si="13"/>
        <v>0</v>
      </c>
      <c r="AR38" s="504">
        <f t="shared" si="54"/>
        <v>30000000</v>
      </c>
      <c r="AS38" s="505">
        <v>2.7199999999999998E-2</v>
      </c>
      <c r="AT38" s="484">
        <f t="shared" si="14"/>
        <v>2266.6666666666665</v>
      </c>
      <c r="AW38" s="484">
        <f t="shared" si="15"/>
        <v>0</v>
      </c>
      <c r="AZ38" s="484">
        <f t="shared" si="16"/>
        <v>0</v>
      </c>
      <c r="BC38" s="484">
        <f t="shared" si="17"/>
        <v>0</v>
      </c>
      <c r="BF38" s="484">
        <f t="shared" si="18"/>
        <v>0</v>
      </c>
      <c r="BI38" s="484">
        <f t="shared" si="19"/>
        <v>0</v>
      </c>
      <c r="BL38" s="484">
        <f t="shared" si="20"/>
        <v>0</v>
      </c>
      <c r="BO38" s="484">
        <f t="shared" si="21"/>
        <v>0</v>
      </c>
      <c r="BR38" s="484">
        <f t="shared" si="22"/>
        <v>0</v>
      </c>
      <c r="BU38" s="484">
        <f t="shared" si="23"/>
        <v>0</v>
      </c>
      <c r="BX38" s="484">
        <f t="shared" si="24"/>
        <v>0</v>
      </c>
      <c r="CA38" s="484">
        <f t="shared" si="25"/>
        <v>0</v>
      </c>
      <c r="CD38" s="484">
        <f t="shared" si="26"/>
        <v>0</v>
      </c>
      <c r="CG38" s="484">
        <f t="shared" si="27"/>
        <v>0</v>
      </c>
      <c r="CJ38" s="484">
        <f t="shared" si="28"/>
        <v>0</v>
      </c>
      <c r="CM38" s="484">
        <f t="shared" si="29"/>
        <v>0</v>
      </c>
      <c r="CP38" s="484">
        <f t="shared" si="30"/>
        <v>0</v>
      </c>
      <c r="CS38" s="484">
        <f t="shared" si="31"/>
        <v>0</v>
      </c>
      <c r="CV38" s="484">
        <f t="shared" si="32"/>
        <v>0</v>
      </c>
      <c r="CY38" s="484">
        <f t="shared" si="33"/>
        <v>0</v>
      </c>
      <c r="DB38" s="484">
        <f t="shared" si="34"/>
        <v>0</v>
      </c>
      <c r="DE38" s="484">
        <f t="shared" si="35"/>
        <v>0</v>
      </c>
      <c r="DH38" s="484">
        <f t="shared" si="36"/>
        <v>0</v>
      </c>
      <c r="DK38" s="484">
        <f t="shared" si="37"/>
        <v>0</v>
      </c>
      <c r="DN38" s="484">
        <f t="shared" si="38"/>
        <v>0</v>
      </c>
      <c r="DQ38" s="484">
        <f t="shared" si="39"/>
        <v>0</v>
      </c>
      <c r="DT38" s="484">
        <f t="shared" si="40"/>
        <v>0</v>
      </c>
      <c r="DW38" s="484">
        <f t="shared" si="41"/>
        <v>0</v>
      </c>
      <c r="DZ38" s="484"/>
      <c r="EA38" s="484"/>
      <c r="EB38" s="294">
        <f t="shared" si="42"/>
        <v>88525000</v>
      </c>
      <c r="EC38" s="294">
        <f t="shared" si="43"/>
        <v>0</v>
      </c>
      <c r="ED38" s="484">
        <f t="shared" si="44"/>
        <v>6558.0208333333339</v>
      </c>
      <c r="EE38" s="485">
        <f t="shared" si="45"/>
        <v>2.6669161253883085E-2</v>
      </c>
      <c r="EG38" s="294">
        <f t="shared" si="46"/>
        <v>0</v>
      </c>
      <c r="EH38" s="484">
        <f t="shared" si="47"/>
        <v>0</v>
      </c>
      <c r="EI38" s="485">
        <f t="shared" si="48"/>
        <v>0</v>
      </c>
      <c r="EJ38" s="485"/>
      <c r="EK38" s="294">
        <f t="shared" si="49"/>
        <v>88525000</v>
      </c>
      <c r="EL38" s="294">
        <f t="shared" si="50"/>
        <v>0</v>
      </c>
      <c r="EM38" s="294">
        <f t="shared" si="51"/>
        <v>6558.020833333333</v>
      </c>
      <c r="EN38" s="485">
        <f t="shared" si="52"/>
        <v>2.6669161253883081E-2</v>
      </c>
      <c r="EP38" s="484"/>
    </row>
    <row r="39" spans="1:146">
      <c r="A39" s="503">
        <f t="shared" si="53"/>
        <v>43644</v>
      </c>
      <c r="D39" s="484">
        <f t="shared" si="2"/>
        <v>0</v>
      </c>
      <c r="G39" s="484">
        <f t="shared" si="3"/>
        <v>0</v>
      </c>
      <c r="J39" s="484">
        <f t="shared" si="4"/>
        <v>0</v>
      </c>
      <c r="M39" s="484">
        <f t="shared" si="5"/>
        <v>0</v>
      </c>
      <c r="P39" s="484">
        <f t="shared" si="6"/>
        <v>0</v>
      </c>
      <c r="S39" s="484">
        <f t="shared" si="7"/>
        <v>0</v>
      </c>
      <c r="V39" s="484">
        <f t="shared" si="8"/>
        <v>0</v>
      </c>
      <c r="Y39" s="484">
        <f t="shared" si="9"/>
        <v>0</v>
      </c>
      <c r="AB39" s="484">
        <f t="shared" si="10"/>
        <v>0</v>
      </c>
      <c r="AE39" s="484">
        <v>0</v>
      </c>
      <c r="AH39" s="484">
        <v>0</v>
      </c>
      <c r="AI39" s="504">
        <f>140225000</f>
        <v>140225000</v>
      </c>
      <c r="AJ39" s="505">
        <v>2.5499999999999998E-2</v>
      </c>
      <c r="AK39" s="484">
        <f t="shared" si="11"/>
        <v>9932.6041666666661</v>
      </c>
      <c r="AL39" s="504">
        <f t="shared" si="55"/>
        <v>35000000</v>
      </c>
      <c r="AM39" s="505">
        <v>2.7E-2</v>
      </c>
      <c r="AN39" s="484">
        <f t="shared" si="12"/>
        <v>2625</v>
      </c>
      <c r="AO39" s="504"/>
      <c r="AP39" s="505"/>
      <c r="AQ39" s="484">
        <f t="shared" si="13"/>
        <v>0</v>
      </c>
      <c r="AR39" s="504">
        <f t="shared" si="54"/>
        <v>30000000</v>
      </c>
      <c r="AS39" s="505">
        <v>2.7199999999999998E-2</v>
      </c>
      <c r="AT39" s="484">
        <f t="shared" si="14"/>
        <v>2266.6666666666665</v>
      </c>
      <c r="AW39" s="484">
        <f t="shared" si="15"/>
        <v>0</v>
      </c>
      <c r="AZ39" s="484">
        <f t="shared" si="16"/>
        <v>0</v>
      </c>
      <c r="BC39" s="484">
        <f t="shared" si="17"/>
        <v>0</v>
      </c>
      <c r="BF39" s="484">
        <f t="shared" si="18"/>
        <v>0</v>
      </c>
      <c r="BI39" s="484">
        <f t="shared" si="19"/>
        <v>0</v>
      </c>
      <c r="BL39" s="484">
        <f t="shared" si="20"/>
        <v>0</v>
      </c>
      <c r="BO39" s="484">
        <f t="shared" si="21"/>
        <v>0</v>
      </c>
      <c r="BR39" s="484">
        <f t="shared" si="22"/>
        <v>0</v>
      </c>
      <c r="BU39" s="484">
        <f t="shared" si="23"/>
        <v>0</v>
      </c>
      <c r="BX39" s="484">
        <f t="shared" si="24"/>
        <v>0</v>
      </c>
      <c r="CA39" s="484">
        <f t="shared" si="25"/>
        <v>0</v>
      </c>
      <c r="CD39" s="484">
        <f t="shared" si="26"/>
        <v>0</v>
      </c>
      <c r="CG39" s="484">
        <f t="shared" si="27"/>
        <v>0</v>
      </c>
      <c r="CJ39" s="484">
        <f t="shared" si="28"/>
        <v>0</v>
      </c>
      <c r="CM39" s="484">
        <f t="shared" si="29"/>
        <v>0</v>
      </c>
      <c r="CP39" s="484">
        <f t="shared" si="30"/>
        <v>0</v>
      </c>
      <c r="CS39" s="484">
        <f t="shared" si="31"/>
        <v>0</v>
      </c>
      <c r="CV39" s="484">
        <f t="shared" si="32"/>
        <v>0</v>
      </c>
      <c r="CY39" s="484">
        <f t="shared" si="33"/>
        <v>0</v>
      </c>
      <c r="DB39" s="484">
        <f t="shared" si="34"/>
        <v>0</v>
      </c>
      <c r="DE39" s="484">
        <f t="shared" si="35"/>
        <v>0</v>
      </c>
      <c r="DH39" s="484">
        <f t="shared" si="36"/>
        <v>0</v>
      </c>
      <c r="DK39" s="484">
        <f t="shared" si="37"/>
        <v>0</v>
      </c>
      <c r="DN39" s="484">
        <f t="shared" si="38"/>
        <v>0</v>
      </c>
      <c r="DQ39" s="484">
        <f t="shared" si="39"/>
        <v>0</v>
      </c>
      <c r="DT39" s="484">
        <f t="shared" si="40"/>
        <v>0</v>
      </c>
      <c r="DW39" s="484">
        <f t="shared" si="41"/>
        <v>0</v>
      </c>
      <c r="DZ39" s="484"/>
      <c r="EA39" s="484"/>
      <c r="EB39" s="294">
        <f t="shared" si="42"/>
        <v>205225000</v>
      </c>
      <c r="EC39" s="294">
        <f t="shared" si="43"/>
        <v>0</v>
      </c>
      <c r="ED39" s="484">
        <f t="shared" si="44"/>
        <v>14824.270833333332</v>
      </c>
      <c r="EE39" s="485">
        <f t="shared" si="45"/>
        <v>2.6004324521866243E-2</v>
      </c>
      <c r="EG39" s="294">
        <f t="shared" si="46"/>
        <v>0</v>
      </c>
      <c r="EH39" s="484">
        <f t="shared" si="47"/>
        <v>0</v>
      </c>
      <c r="EI39" s="485">
        <f t="shared" si="48"/>
        <v>0</v>
      </c>
      <c r="EJ39" s="485"/>
      <c r="EK39" s="294">
        <f t="shared" si="49"/>
        <v>205225000</v>
      </c>
      <c r="EL39" s="294">
        <f t="shared" si="50"/>
        <v>0</v>
      </c>
      <c r="EM39" s="294">
        <f t="shared" si="51"/>
        <v>14824.270833333332</v>
      </c>
      <c r="EN39" s="485">
        <f t="shared" si="52"/>
        <v>2.6004324521866243E-2</v>
      </c>
      <c r="EP39" s="484"/>
    </row>
    <row r="40" spans="1:146">
      <c r="A40" s="503">
        <f t="shared" si="53"/>
        <v>43645</v>
      </c>
      <c r="D40" s="484">
        <f t="shared" si="2"/>
        <v>0</v>
      </c>
      <c r="G40" s="484">
        <f t="shared" si="3"/>
        <v>0</v>
      </c>
      <c r="J40" s="484">
        <f t="shared" si="4"/>
        <v>0</v>
      </c>
      <c r="M40" s="484">
        <f t="shared" si="5"/>
        <v>0</v>
      </c>
      <c r="P40" s="484">
        <f t="shared" si="6"/>
        <v>0</v>
      </c>
      <c r="S40" s="484">
        <f t="shared" si="7"/>
        <v>0</v>
      </c>
      <c r="V40" s="484">
        <f t="shared" si="8"/>
        <v>0</v>
      </c>
      <c r="Y40" s="484">
        <f t="shared" si="9"/>
        <v>0</v>
      </c>
      <c r="AB40" s="484">
        <f t="shared" si="10"/>
        <v>0</v>
      </c>
      <c r="AE40" s="484">
        <v>0</v>
      </c>
      <c r="AH40" s="484">
        <v>0</v>
      </c>
      <c r="AI40" s="504">
        <f>140225000</f>
        <v>140225000</v>
      </c>
      <c r="AJ40" s="505">
        <v>2.5499999999999998E-2</v>
      </c>
      <c r="AK40" s="484">
        <f t="shared" si="11"/>
        <v>9932.6041666666661</v>
      </c>
      <c r="AL40" s="504">
        <f t="shared" si="55"/>
        <v>35000000</v>
      </c>
      <c r="AM40" s="505">
        <v>2.7E-2</v>
      </c>
      <c r="AN40" s="484">
        <f t="shared" si="12"/>
        <v>2625</v>
      </c>
      <c r="AO40" s="504"/>
      <c r="AP40" s="505"/>
      <c r="AQ40" s="484">
        <f t="shared" si="13"/>
        <v>0</v>
      </c>
      <c r="AR40" s="504">
        <f t="shared" si="54"/>
        <v>30000000</v>
      </c>
      <c r="AS40" s="505">
        <v>2.7199999999999998E-2</v>
      </c>
      <c r="AT40" s="484">
        <f t="shared" si="14"/>
        <v>2266.6666666666665</v>
      </c>
      <c r="AW40" s="484">
        <f t="shared" si="15"/>
        <v>0</v>
      </c>
      <c r="AZ40" s="484">
        <f t="shared" si="16"/>
        <v>0</v>
      </c>
      <c r="BC40" s="484">
        <f t="shared" si="17"/>
        <v>0</v>
      </c>
      <c r="BF40" s="484">
        <f t="shared" si="18"/>
        <v>0</v>
      </c>
      <c r="BI40" s="484">
        <f t="shared" si="19"/>
        <v>0</v>
      </c>
      <c r="BL40" s="484">
        <f t="shared" si="20"/>
        <v>0</v>
      </c>
      <c r="BO40" s="484">
        <f t="shared" si="21"/>
        <v>0</v>
      </c>
      <c r="BR40" s="484">
        <f t="shared" si="22"/>
        <v>0</v>
      </c>
      <c r="BU40" s="484">
        <f t="shared" si="23"/>
        <v>0</v>
      </c>
      <c r="BX40" s="484">
        <f t="shared" si="24"/>
        <v>0</v>
      </c>
      <c r="CA40" s="484">
        <f t="shared" si="25"/>
        <v>0</v>
      </c>
      <c r="CD40" s="484">
        <f t="shared" si="26"/>
        <v>0</v>
      </c>
      <c r="CG40" s="484">
        <f t="shared" si="27"/>
        <v>0</v>
      </c>
      <c r="CJ40" s="484">
        <f t="shared" si="28"/>
        <v>0</v>
      </c>
      <c r="CM40" s="484">
        <f t="shared" si="29"/>
        <v>0</v>
      </c>
      <c r="CP40" s="484">
        <f t="shared" si="30"/>
        <v>0</v>
      </c>
      <c r="CS40" s="484">
        <f t="shared" si="31"/>
        <v>0</v>
      </c>
      <c r="CV40" s="484">
        <f t="shared" si="32"/>
        <v>0</v>
      </c>
      <c r="CY40" s="484">
        <f t="shared" si="33"/>
        <v>0</v>
      </c>
      <c r="DB40" s="484">
        <f t="shared" si="34"/>
        <v>0</v>
      </c>
      <c r="DE40" s="484">
        <f t="shared" si="35"/>
        <v>0</v>
      </c>
      <c r="DH40" s="484">
        <f t="shared" si="36"/>
        <v>0</v>
      </c>
      <c r="DK40" s="484">
        <f t="shared" si="37"/>
        <v>0</v>
      </c>
      <c r="DN40" s="484">
        <f t="shared" si="38"/>
        <v>0</v>
      </c>
      <c r="DQ40" s="484">
        <f t="shared" si="39"/>
        <v>0</v>
      </c>
      <c r="DT40" s="484">
        <f t="shared" si="40"/>
        <v>0</v>
      </c>
      <c r="DW40" s="484">
        <f t="shared" si="41"/>
        <v>0</v>
      </c>
      <c r="DZ40" s="484"/>
      <c r="EA40" s="484"/>
      <c r="EB40" s="294">
        <f t="shared" si="42"/>
        <v>205225000</v>
      </c>
      <c r="EC40" s="294">
        <f t="shared" si="43"/>
        <v>0</v>
      </c>
      <c r="ED40" s="484">
        <f t="shared" si="44"/>
        <v>14824.270833333332</v>
      </c>
      <c r="EE40" s="485">
        <f t="shared" si="45"/>
        <v>2.6004324521866243E-2</v>
      </c>
      <c r="EG40" s="294">
        <f t="shared" si="46"/>
        <v>0</v>
      </c>
      <c r="EH40" s="484">
        <f t="shared" si="47"/>
        <v>0</v>
      </c>
      <c r="EI40" s="485">
        <f t="shared" si="48"/>
        <v>0</v>
      </c>
      <c r="EJ40" s="485"/>
      <c r="EK40" s="294">
        <f t="shared" si="49"/>
        <v>205225000</v>
      </c>
      <c r="EL40" s="294">
        <f t="shared" si="50"/>
        <v>0</v>
      </c>
      <c r="EM40" s="294">
        <f t="shared" si="51"/>
        <v>14824.270833333332</v>
      </c>
      <c r="EN40" s="485">
        <f t="shared" si="52"/>
        <v>2.6004324521866243E-2</v>
      </c>
      <c r="EP40" s="484"/>
    </row>
    <row r="41" spans="1:146">
      <c r="A41" s="503">
        <f t="shared" si="53"/>
        <v>43646</v>
      </c>
      <c r="D41" s="484">
        <f t="shared" si="2"/>
        <v>0</v>
      </c>
      <c r="G41" s="484">
        <f t="shared" si="3"/>
        <v>0</v>
      </c>
      <c r="J41" s="484">
        <f t="shared" si="4"/>
        <v>0</v>
      </c>
      <c r="M41" s="484">
        <f t="shared" si="5"/>
        <v>0</v>
      </c>
      <c r="P41" s="484">
        <f t="shared" si="6"/>
        <v>0</v>
      </c>
      <c r="S41" s="484">
        <f t="shared" si="7"/>
        <v>0</v>
      </c>
      <c r="V41" s="484">
        <f t="shared" si="8"/>
        <v>0</v>
      </c>
      <c r="Y41" s="484">
        <f t="shared" si="9"/>
        <v>0</v>
      </c>
      <c r="AB41" s="484">
        <f t="shared" si="10"/>
        <v>0</v>
      </c>
      <c r="AE41" s="484">
        <v>0</v>
      </c>
      <c r="AH41" s="484">
        <v>0</v>
      </c>
      <c r="AI41" s="504">
        <f>140225000</f>
        <v>140225000</v>
      </c>
      <c r="AJ41" s="505">
        <v>2.5499999999999998E-2</v>
      </c>
      <c r="AK41" s="484">
        <f t="shared" si="11"/>
        <v>9932.6041666666661</v>
      </c>
      <c r="AL41" s="504">
        <f t="shared" si="55"/>
        <v>35000000</v>
      </c>
      <c r="AM41" s="505">
        <v>2.7E-2</v>
      </c>
      <c r="AN41" s="484">
        <f t="shared" si="12"/>
        <v>2625</v>
      </c>
      <c r="AO41" s="504"/>
      <c r="AP41" s="505"/>
      <c r="AQ41" s="484">
        <f t="shared" si="13"/>
        <v>0</v>
      </c>
      <c r="AR41" s="504">
        <f t="shared" si="54"/>
        <v>30000000</v>
      </c>
      <c r="AS41" s="505">
        <v>2.7199999999999998E-2</v>
      </c>
      <c r="AT41" s="484">
        <f t="shared" si="14"/>
        <v>2266.6666666666665</v>
      </c>
      <c r="AW41" s="484">
        <f t="shared" si="15"/>
        <v>0</v>
      </c>
      <c r="AZ41" s="484">
        <f t="shared" si="16"/>
        <v>0</v>
      </c>
      <c r="BC41" s="484">
        <f t="shared" si="17"/>
        <v>0</v>
      </c>
      <c r="BF41" s="484">
        <f t="shared" si="18"/>
        <v>0</v>
      </c>
      <c r="BI41" s="484">
        <f t="shared" si="19"/>
        <v>0</v>
      </c>
      <c r="BL41" s="484">
        <f t="shared" si="20"/>
        <v>0</v>
      </c>
      <c r="BO41" s="484">
        <f t="shared" si="21"/>
        <v>0</v>
      </c>
      <c r="BR41" s="484">
        <f t="shared" si="22"/>
        <v>0</v>
      </c>
      <c r="BU41" s="484">
        <f t="shared" si="23"/>
        <v>0</v>
      </c>
      <c r="BX41" s="484">
        <f t="shared" si="24"/>
        <v>0</v>
      </c>
      <c r="CA41" s="484">
        <f t="shared" si="25"/>
        <v>0</v>
      </c>
      <c r="CD41" s="484">
        <f t="shared" si="26"/>
        <v>0</v>
      </c>
      <c r="CG41" s="484">
        <f t="shared" si="27"/>
        <v>0</v>
      </c>
      <c r="CJ41" s="484">
        <f t="shared" si="28"/>
        <v>0</v>
      </c>
      <c r="CM41" s="484">
        <f t="shared" si="29"/>
        <v>0</v>
      </c>
      <c r="CP41" s="484">
        <f t="shared" si="30"/>
        <v>0</v>
      </c>
      <c r="CS41" s="484">
        <f t="shared" si="31"/>
        <v>0</v>
      </c>
      <c r="CV41" s="484">
        <f t="shared" si="32"/>
        <v>0</v>
      </c>
      <c r="CY41" s="484">
        <f t="shared" si="33"/>
        <v>0</v>
      </c>
      <c r="DB41" s="484">
        <f t="shared" si="34"/>
        <v>0</v>
      </c>
      <c r="DE41" s="484">
        <f t="shared" si="35"/>
        <v>0</v>
      </c>
      <c r="DH41" s="484">
        <f t="shared" si="36"/>
        <v>0</v>
      </c>
      <c r="DK41" s="484">
        <f t="shared" si="37"/>
        <v>0</v>
      </c>
      <c r="DN41" s="484">
        <f t="shared" si="38"/>
        <v>0</v>
      </c>
      <c r="DQ41" s="484">
        <f t="shared" si="39"/>
        <v>0</v>
      </c>
      <c r="DT41" s="484">
        <f t="shared" si="40"/>
        <v>0</v>
      </c>
      <c r="DW41" s="484">
        <f t="shared" si="41"/>
        <v>0</v>
      </c>
      <c r="DZ41" s="482"/>
      <c r="EA41" s="484"/>
      <c r="EB41" s="294">
        <f t="shared" si="42"/>
        <v>205225000</v>
      </c>
      <c r="EC41" s="294">
        <f t="shared" si="43"/>
        <v>0</v>
      </c>
      <c r="ED41" s="484">
        <f t="shared" si="44"/>
        <v>14824.270833333332</v>
      </c>
      <c r="EE41" s="485">
        <f t="shared" si="45"/>
        <v>2.6004324521866243E-2</v>
      </c>
      <c r="EG41" s="294">
        <f t="shared" si="46"/>
        <v>0</v>
      </c>
      <c r="EH41" s="484">
        <f t="shared" si="47"/>
        <v>0</v>
      </c>
      <c r="EI41" s="485">
        <f t="shared" si="48"/>
        <v>0</v>
      </c>
      <c r="EJ41" s="485"/>
      <c r="EK41" s="294">
        <f t="shared" si="49"/>
        <v>205225000</v>
      </c>
      <c r="EL41" s="294">
        <f t="shared" si="50"/>
        <v>0</v>
      </c>
      <c r="EM41" s="294">
        <f t="shared" si="51"/>
        <v>14824.270833333332</v>
      </c>
      <c r="EN41" s="485">
        <f t="shared" si="52"/>
        <v>2.6004324521866243E-2</v>
      </c>
      <c r="EP41" s="484"/>
    </row>
    <row r="42" spans="1:146">
      <c r="A42" s="295" t="s">
        <v>13</v>
      </c>
      <c r="D42" s="507">
        <f>SUM(D12:D41)</f>
        <v>0</v>
      </c>
      <c r="G42" s="507">
        <f>SUM(G12:G41)</f>
        <v>0</v>
      </c>
      <c r="J42" s="507">
        <f>SUM(J12:J41)</f>
        <v>0</v>
      </c>
      <c r="M42" s="507">
        <f>SUM(M12:M41)</f>
        <v>0</v>
      </c>
      <c r="P42" s="507">
        <f>SUM(P12:P41)</f>
        <v>0</v>
      </c>
      <c r="S42" s="507">
        <f>SUM(S12:S41)</f>
        <v>0</v>
      </c>
      <c r="V42" s="507">
        <f>SUM(V12:V41)</f>
        <v>0</v>
      </c>
      <c r="Y42" s="507">
        <f>SUM(Y12:Y41)</f>
        <v>0</v>
      </c>
      <c r="AB42" s="507">
        <f>SUM(AB12:AB41)</f>
        <v>0</v>
      </c>
      <c r="AE42" s="507">
        <f>SUM(AE12:AE41)</f>
        <v>0</v>
      </c>
      <c r="AH42" s="507">
        <f>SUM(AH12:AH41)</f>
        <v>0</v>
      </c>
      <c r="AK42" s="507">
        <f>SUM(AK12:AK41)</f>
        <v>130127.51388888896</v>
      </c>
      <c r="AN42" s="507">
        <f>SUM(AN12:AN41)</f>
        <v>74458.333333333343</v>
      </c>
      <c r="AQ42" s="507">
        <f>SUM(AQ12:AQ41)</f>
        <v>25006.944444444438</v>
      </c>
      <c r="AT42" s="507">
        <f>SUM(AT12:AT41)</f>
        <v>63466.666666666642</v>
      </c>
      <c r="AW42" s="507">
        <f>SUM(AW12:AW41)</f>
        <v>0</v>
      </c>
      <c r="AZ42" s="507">
        <f>SUM(AZ12:AZ41)</f>
        <v>0</v>
      </c>
      <c r="BC42" s="507">
        <f>SUM(BC12:BC41)</f>
        <v>0</v>
      </c>
      <c r="BF42" s="507">
        <f>SUM(BF12:BF41)</f>
        <v>0</v>
      </c>
      <c r="BI42" s="507">
        <f>SUM(BI12:BI41)</f>
        <v>0</v>
      </c>
      <c r="BL42" s="507">
        <f>SUM(BL12:BL41)</f>
        <v>0</v>
      </c>
      <c r="BO42" s="507">
        <f>SUM(BO12:BO41)</f>
        <v>0</v>
      </c>
      <c r="BR42" s="507">
        <f>SUM(BR12:BR41)</f>
        <v>0</v>
      </c>
      <c r="BU42" s="507">
        <f>SUM(BU12:BU41)</f>
        <v>0</v>
      </c>
      <c r="BX42" s="507">
        <f>SUM(BX12:BX41)</f>
        <v>0</v>
      </c>
      <c r="CA42" s="507">
        <f>SUM(CA12:CA41)</f>
        <v>0</v>
      </c>
      <c r="CD42" s="507">
        <f>SUM(CD12:CD41)</f>
        <v>0</v>
      </c>
      <c r="CG42" s="507">
        <f>SUM(CG12:CG41)</f>
        <v>0</v>
      </c>
      <c r="CJ42" s="507">
        <f>SUM(CJ12:CJ41)</f>
        <v>0</v>
      </c>
      <c r="CM42" s="507">
        <f>SUM(CM12:CM41)</f>
        <v>0</v>
      </c>
      <c r="CP42" s="507">
        <f>SUM(CP12:CP41)</f>
        <v>0</v>
      </c>
      <c r="CS42" s="507">
        <f>SUM(CS12:CS41)</f>
        <v>0</v>
      </c>
      <c r="CV42" s="507">
        <f>SUM(CV12:CV41)</f>
        <v>0</v>
      </c>
      <c r="CY42" s="507">
        <f>SUM(CY12:CY41)</f>
        <v>0</v>
      </c>
      <c r="DB42" s="507">
        <f>SUM(DB12:DB41)</f>
        <v>0</v>
      </c>
      <c r="DE42" s="507">
        <f>SUM(DE12:DE41)</f>
        <v>0</v>
      </c>
      <c r="DH42" s="507">
        <f>SUM(DH12:DH41)</f>
        <v>0</v>
      </c>
      <c r="DK42" s="507">
        <f>SUM(DK12:DK41)</f>
        <v>0</v>
      </c>
      <c r="DN42" s="507">
        <f>SUM(DN12:DN41)</f>
        <v>0</v>
      </c>
      <c r="DQ42" s="507">
        <f>SUM(DQ12:DQ41)</f>
        <v>0</v>
      </c>
      <c r="DT42" s="507">
        <f>SUM(DT12:DT41)</f>
        <v>0</v>
      </c>
      <c r="DW42" s="507">
        <f>SUM(DW12:DW41)</f>
        <v>0</v>
      </c>
      <c r="DZ42" s="482"/>
      <c r="EA42" s="482"/>
      <c r="EB42" s="484"/>
      <c r="EC42" s="484"/>
      <c r="ED42" s="507">
        <f>SUM(ED12:ED41)</f>
        <v>293059.45833333337</v>
      </c>
      <c r="EE42" s="485"/>
      <c r="EG42" s="484"/>
      <c r="EH42" s="507">
        <f>SUM(EH12:EH41)</f>
        <v>0</v>
      </c>
      <c r="EI42" s="485"/>
      <c r="EJ42" s="485"/>
      <c r="EK42" s="484"/>
      <c r="EL42" s="484"/>
      <c r="EM42" s="507">
        <f>SUM(EM12:EM41)</f>
        <v>293059.45833333337</v>
      </c>
      <c r="EN42" s="485"/>
    </row>
    <row r="45" spans="1:146">
      <c r="EM45" s="506"/>
    </row>
    <row r="47" spans="1:146">
      <c r="EM47" s="484"/>
    </row>
    <row r="48" spans="1:146">
      <c r="EM48" s="484"/>
    </row>
  </sheetData>
  <pageMargins left="0.7" right="0.7" top="0.75" bottom="0.75" header="0.3" footer="0.3"/>
  <pageSetup scale="47" orientation="portrait" r:id="rId1"/>
  <headerFooter>
    <oddFooter>&amp;CSchedule MA-TU&amp;RJune 2019 &amp;P of &amp;N
Confidential
4 CSR 240-2.090(9(A).2(D).II)</oddFooter>
  </headerFooter>
  <colBreaks count="2" manualBreakCount="2">
    <brk id="37" max="1048575" man="1"/>
    <brk id="131" max="4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9"/>
  <sheetViews>
    <sheetView zoomScale="80" zoomScaleNormal="80" workbookViewId="0">
      <selection activeCell="A2" sqref="A2"/>
    </sheetView>
  </sheetViews>
  <sheetFormatPr defaultRowHeight="12.75"/>
  <cols>
    <col min="1" max="1" width="14.7109375" style="648" bestFit="1" customWidth="1"/>
    <col min="2" max="2" width="15.5703125" style="646" hidden="1" customWidth="1"/>
    <col min="3" max="3" width="15.42578125" style="647" hidden="1" customWidth="1"/>
    <col min="4" max="4" width="15.42578125" style="648" hidden="1" customWidth="1"/>
    <col min="5" max="5" width="15.5703125" style="646" bestFit="1" customWidth="1"/>
    <col min="6" max="6" width="8.5703125" style="647" customWidth="1"/>
    <col min="7" max="7" width="18.140625" style="648" bestFit="1" customWidth="1"/>
    <col min="8" max="8" width="15.42578125" style="646" hidden="1" customWidth="1"/>
    <col min="9" max="9" width="10.28515625" style="647" hidden="1" customWidth="1"/>
    <col min="10" max="10" width="13.42578125" style="648" hidden="1" customWidth="1"/>
    <col min="11" max="11" width="14.42578125" style="646" hidden="1" customWidth="1"/>
    <col min="12" max="12" width="10.28515625" style="647" hidden="1" customWidth="1"/>
    <col min="13" max="13" width="11.7109375" style="648" hidden="1" customWidth="1"/>
    <col min="14" max="14" width="14.42578125" style="646" hidden="1" customWidth="1"/>
    <col min="15" max="15" width="10.28515625" style="647" hidden="1" customWidth="1"/>
    <col min="16" max="16" width="11.7109375" style="648" hidden="1" customWidth="1"/>
    <col min="17" max="17" width="15.42578125" style="646" hidden="1" customWidth="1"/>
    <col min="18" max="18" width="10.28515625" style="647" hidden="1" customWidth="1"/>
    <col min="19" max="19" width="11.7109375" style="648" hidden="1" customWidth="1"/>
    <col min="20" max="20" width="15.42578125" style="646" hidden="1" customWidth="1"/>
    <col min="21" max="21" width="10.28515625" style="647" hidden="1" customWidth="1"/>
    <col min="22" max="22" width="11.7109375" style="648" hidden="1" customWidth="1"/>
    <col min="23" max="23" width="15.42578125" style="646" hidden="1" customWidth="1"/>
    <col min="24" max="24" width="10.28515625" style="647" hidden="1" customWidth="1"/>
    <col min="25" max="25" width="11.7109375" style="648" hidden="1" customWidth="1"/>
    <col min="26" max="26" width="15.42578125" style="646" hidden="1" customWidth="1"/>
    <col min="27" max="27" width="10.28515625" style="647" hidden="1" customWidth="1"/>
    <col min="28" max="28" width="11.7109375" style="648" hidden="1" customWidth="1"/>
    <col min="29" max="29" width="15.42578125" style="646" hidden="1" customWidth="1"/>
    <col min="30" max="30" width="10.28515625" style="647" hidden="1" customWidth="1"/>
    <col min="31" max="31" width="11.7109375" style="648" hidden="1" customWidth="1"/>
    <col min="32" max="32" width="14.42578125" style="646" hidden="1" customWidth="1"/>
    <col min="33" max="33" width="10.28515625" style="647" hidden="1" customWidth="1"/>
    <col min="34" max="34" width="10.7109375" style="648" hidden="1" customWidth="1"/>
    <col min="35" max="35" width="14.42578125" style="646" customWidth="1"/>
    <col min="36" max="36" width="12.140625" style="647" bestFit="1" customWidth="1"/>
    <col min="37" max="37" width="13.42578125" style="648" bestFit="1" customWidth="1"/>
    <col min="38" max="38" width="14.42578125" style="646" customWidth="1"/>
    <col min="39" max="39" width="12.140625" style="647" bestFit="1" customWidth="1"/>
    <col min="40" max="40" width="18.28515625" style="648" customWidth="1"/>
    <col min="41" max="41" width="15.5703125" style="646" bestFit="1" customWidth="1"/>
    <col min="42" max="42" width="12.42578125" style="647" bestFit="1" customWidth="1"/>
    <col min="43" max="43" width="13.140625" style="648" bestFit="1" customWidth="1"/>
    <col min="44" max="44" width="15.5703125" style="646" bestFit="1" customWidth="1"/>
    <col min="45" max="45" width="12.140625" style="647" bestFit="1" customWidth="1"/>
    <col min="46" max="46" width="13.28515625" style="648" bestFit="1" customWidth="1"/>
    <col min="47" max="47" width="14.42578125" style="646" hidden="1" customWidth="1"/>
    <col min="48" max="48" width="10.28515625" style="647" hidden="1" customWidth="1"/>
    <col min="49" max="49" width="10.7109375" style="648" hidden="1" customWidth="1"/>
    <col min="50" max="50" width="14.42578125" style="646" hidden="1" customWidth="1"/>
    <col min="51" max="51" width="10.28515625" style="647" hidden="1" customWidth="1"/>
    <col min="52" max="52" width="10.7109375" style="648" hidden="1" customWidth="1"/>
    <col min="53" max="53" width="14.42578125" style="646" hidden="1" customWidth="1"/>
    <col min="54" max="54" width="10.28515625" style="647" hidden="1" customWidth="1"/>
    <col min="55" max="55" width="10.7109375" style="648" hidden="1" customWidth="1"/>
    <col min="56" max="56" width="14.42578125" style="646" hidden="1" customWidth="1"/>
    <col min="57" max="57" width="10.28515625" style="647" hidden="1" customWidth="1"/>
    <col min="58" max="58" width="10.7109375" style="648" hidden="1" customWidth="1"/>
    <col min="59" max="59" width="14.42578125" style="646" hidden="1" customWidth="1"/>
    <col min="60" max="60" width="10.28515625" style="647" hidden="1" customWidth="1"/>
    <col min="61" max="61" width="10.7109375" style="648" hidden="1" customWidth="1"/>
    <col min="62" max="62" width="14.42578125" style="646" hidden="1" customWidth="1"/>
    <col min="63" max="63" width="10.28515625" style="647" hidden="1" customWidth="1"/>
    <col min="64" max="64" width="10.7109375" style="648" hidden="1" customWidth="1"/>
    <col min="65" max="65" width="14.42578125" style="646" hidden="1" customWidth="1"/>
    <col min="66" max="66" width="10.28515625" style="647" hidden="1" customWidth="1"/>
    <col min="67" max="67" width="10.7109375" style="648" hidden="1" customWidth="1"/>
    <col min="68" max="68" width="14.42578125" style="646" hidden="1" customWidth="1"/>
    <col min="69" max="69" width="10.28515625" style="647" hidden="1" customWidth="1"/>
    <col min="70" max="70" width="10.7109375" style="648" hidden="1" customWidth="1"/>
    <col min="71" max="71" width="14.42578125" style="646" hidden="1" customWidth="1"/>
    <col min="72" max="72" width="10.28515625" style="647" hidden="1" customWidth="1"/>
    <col min="73" max="73" width="10.7109375" style="648" hidden="1" customWidth="1"/>
    <col min="74" max="74" width="14.42578125" style="646" hidden="1" customWidth="1"/>
    <col min="75" max="75" width="10.28515625" style="647" hidden="1" customWidth="1"/>
    <col min="76" max="76" width="10.7109375" style="648" hidden="1" customWidth="1"/>
    <col min="77" max="77" width="14.42578125" style="646" hidden="1" customWidth="1"/>
    <col min="78" max="78" width="10.28515625" style="647" hidden="1" customWidth="1"/>
    <col min="79" max="79" width="10.7109375" style="648" hidden="1" customWidth="1"/>
    <col min="80" max="80" width="14.42578125" style="646" hidden="1" customWidth="1"/>
    <col min="81" max="81" width="10.28515625" style="647" hidden="1" customWidth="1"/>
    <col min="82" max="82" width="10.7109375" style="648" hidden="1" customWidth="1"/>
    <col min="83" max="83" width="14.42578125" style="646" hidden="1" customWidth="1"/>
    <col min="84" max="84" width="10.28515625" style="647" hidden="1" customWidth="1"/>
    <col min="85" max="85" width="10.7109375" style="648" hidden="1" customWidth="1"/>
    <col min="86" max="86" width="14.42578125" style="646" hidden="1" customWidth="1"/>
    <col min="87" max="87" width="10.28515625" style="647" hidden="1" customWidth="1"/>
    <col min="88" max="88" width="10.7109375" style="648" hidden="1" customWidth="1"/>
    <col min="89" max="89" width="14.42578125" style="646" hidden="1" customWidth="1"/>
    <col min="90" max="90" width="10.28515625" style="647" hidden="1" customWidth="1"/>
    <col min="91" max="91" width="10.7109375" style="648" hidden="1" customWidth="1"/>
    <col min="92" max="92" width="14.42578125" style="646" hidden="1" customWidth="1"/>
    <col min="93" max="93" width="10.28515625" style="647" hidden="1" customWidth="1"/>
    <col min="94" max="94" width="10.7109375" style="648" hidden="1" customWidth="1"/>
    <col min="95" max="95" width="14.42578125" style="646" hidden="1" customWidth="1"/>
    <col min="96" max="96" width="10.28515625" style="647" hidden="1" customWidth="1"/>
    <col min="97" max="97" width="10.7109375" style="648" hidden="1" customWidth="1"/>
    <col min="98" max="98" width="14.42578125" style="646" hidden="1" customWidth="1"/>
    <col min="99" max="99" width="10.28515625" style="647" hidden="1" customWidth="1"/>
    <col min="100" max="100" width="10.7109375" style="648" hidden="1" customWidth="1"/>
    <col min="101" max="101" width="14.42578125" style="646" hidden="1" customWidth="1"/>
    <col min="102" max="102" width="10.28515625" style="647" hidden="1" customWidth="1"/>
    <col min="103" max="103" width="10.7109375" style="648" hidden="1" customWidth="1"/>
    <col min="104" max="104" width="14.42578125" style="646" hidden="1" customWidth="1"/>
    <col min="105" max="105" width="10.28515625" style="647" hidden="1" customWidth="1"/>
    <col min="106" max="106" width="10.7109375" style="648" hidden="1" customWidth="1"/>
    <col min="107" max="107" width="14.42578125" style="646" hidden="1" customWidth="1"/>
    <col min="108" max="108" width="10.28515625" style="647" hidden="1" customWidth="1"/>
    <col min="109" max="109" width="10.7109375" style="648" hidden="1" customWidth="1"/>
    <col min="110" max="110" width="14.42578125" style="646" hidden="1" customWidth="1"/>
    <col min="111" max="111" width="10.28515625" style="647" hidden="1" customWidth="1"/>
    <col min="112" max="112" width="10.7109375" style="648" hidden="1" customWidth="1"/>
    <col min="113" max="113" width="14.42578125" style="646" hidden="1" customWidth="1"/>
    <col min="114" max="114" width="10.28515625" style="647" hidden="1" customWidth="1"/>
    <col min="115" max="115" width="10.7109375" style="648" hidden="1" customWidth="1"/>
    <col min="116" max="116" width="14.42578125" style="646" hidden="1" customWidth="1"/>
    <col min="117" max="117" width="10.28515625" style="647" hidden="1" customWidth="1"/>
    <col min="118" max="118" width="10.7109375" style="648" hidden="1" customWidth="1"/>
    <col min="119" max="119" width="14.42578125" style="646" hidden="1" customWidth="1"/>
    <col min="120" max="120" width="10.28515625" style="647" hidden="1" customWidth="1"/>
    <col min="121" max="121" width="10.7109375" style="648" hidden="1" customWidth="1"/>
    <col min="122" max="122" width="14.42578125" style="646" hidden="1" customWidth="1"/>
    <col min="123" max="123" width="10.28515625" style="647" hidden="1" customWidth="1"/>
    <col min="124" max="124" width="10.7109375" style="648" hidden="1" customWidth="1"/>
    <col min="125" max="125" width="14.42578125" style="646" hidden="1" customWidth="1"/>
    <col min="126" max="126" width="10.28515625" style="647" hidden="1" customWidth="1"/>
    <col min="127" max="127" width="10.7109375" style="648" hidden="1" customWidth="1"/>
    <col min="128" max="128" width="14.42578125" style="646" hidden="1" customWidth="1"/>
    <col min="129" max="129" width="10.28515625" style="647" hidden="1" customWidth="1"/>
    <col min="130" max="130" width="10.7109375" style="648" hidden="1" customWidth="1"/>
    <col min="131" max="131" width="2.7109375" style="648" customWidth="1"/>
    <col min="132" max="132" width="25.28515625" style="648" bestFit="1" customWidth="1"/>
    <col min="133" max="133" width="15.42578125" style="648" hidden="1" customWidth="1"/>
    <col min="134" max="134" width="14.28515625" style="648" bestFit="1" customWidth="1"/>
    <col min="135" max="135" width="17.85546875" style="648" bestFit="1" customWidth="1"/>
    <col min="136" max="136" width="2.7109375" style="648" customWidth="1"/>
    <col min="137" max="137" width="15.42578125" style="648" hidden="1" customWidth="1"/>
    <col min="138" max="138" width="14.42578125" style="648" hidden="1" customWidth="1"/>
    <col min="139" max="139" width="12.42578125" style="648" hidden="1" customWidth="1"/>
    <col min="140" max="140" width="0.7109375" style="648" customWidth="1"/>
    <col min="141" max="141" width="17.7109375" style="648" bestFit="1" customWidth="1"/>
    <col min="142" max="142" width="15.42578125" style="648" hidden="1" customWidth="1"/>
    <col min="143" max="143" width="14.28515625" style="648" bestFit="1" customWidth="1"/>
    <col min="144" max="144" width="18.140625" style="648" bestFit="1" customWidth="1"/>
    <col min="145" max="145" width="43" style="648" bestFit="1" customWidth="1"/>
    <col min="146" max="146" width="20.5703125" style="648" bestFit="1" customWidth="1"/>
    <col min="147" max="147" width="23.28515625" style="648" bestFit="1" customWidth="1"/>
    <col min="148" max="16384" width="9.140625" style="648"/>
  </cols>
  <sheetData>
    <row r="1" spans="1:147" s="520" customFormat="1">
      <c r="A1" s="519" t="s">
        <v>0</v>
      </c>
      <c r="B1" s="531"/>
      <c r="C1" s="641"/>
      <c r="E1" s="531"/>
      <c r="F1" s="641"/>
      <c r="H1" s="531"/>
      <c r="I1" s="641"/>
      <c r="K1" s="531"/>
      <c r="L1" s="641"/>
      <c r="N1" s="531"/>
      <c r="O1" s="641"/>
      <c r="Q1" s="531"/>
      <c r="R1" s="641"/>
      <c r="T1" s="531"/>
      <c r="U1" s="641"/>
      <c r="W1" s="531"/>
      <c r="X1" s="641"/>
      <c r="Z1" s="531"/>
      <c r="AA1" s="641"/>
      <c r="AC1" s="531"/>
      <c r="AD1" s="641"/>
      <c r="AF1" s="531"/>
      <c r="AG1" s="641"/>
      <c r="AI1" s="531"/>
      <c r="AJ1" s="641"/>
      <c r="AL1" s="531"/>
      <c r="AM1" s="641"/>
      <c r="AO1" s="531"/>
      <c r="AP1" s="641"/>
      <c r="AR1" s="531"/>
      <c r="AS1" s="641"/>
      <c r="AU1" s="531"/>
      <c r="AV1" s="641"/>
      <c r="AX1" s="531"/>
      <c r="AY1" s="641"/>
      <c r="BA1" s="531"/>
      <c r="BB1" s="641"/>
      <c r="BD1" s="531"/>
      <c r="BE1" s="641"/>
      <c r="BG1" s="531"/>
      <c r="BH1" s="641"/>
      <c r="BJ1" s="531"/>
      <c r="BK1" s="641"/>
      <c r="BM1" s="531"/>
      <c r="BN1" s="641"/>
      <c r="BP1" s="531"/>
      <c r="BQ1" s="641"/>
      <c r="BS1" s="531"/>
      <c r="BT1" s="641"/>
      <c r="BV1" s="531"/>
      <c r="BW1" s="641"/>
      <c r="BY1" s="531"/>
      <c r="BZ1" s="641"/>
      <c r="CB1" s="531"/>
      <c r="CC1" s="641"/>
      <c r="CE1" s="531"/>
      <c r="CF1" s="641"/>
      <c r="CH1" s="531"/>
      <c r="CI1" s="641"/>
      <c r="CK1" s="531"/>
      <c r="CL1" s="641"/>
      <c r="CN1" s="531"/>
      <c r="CO1" s="641"/>
      <c r="CQ1" s="531"/>
      <c r="CR1" s="641"/>
      <c r="CT1" s="531"/>
      <c r="CU1" s="641"/>
      <c r="CW1" s="531"/>
      <c r="CX1" s="641"/>
      <c r="CZ1" s="531"/>
      <c r="DA1" s="641"/>
      <c r="DC1" s="531"/>
      <c r="DD1" s="641"/>
      <c r="DF1" s="531"/>
      <c r="DG1" s="641"/>
      <c r="DI1" s="531"/>
      <c r="DJ1" s="641"/>
      <c r="DL1" s="531"/>
      <c r="DM1" s="641"/>
      <c r="DO1" s="531"/>
      <c r="DP1" s="641"/>
      <c r="DR1" s="531"/>
      <c r="DS1" s="641"/>
      <c r="DU1" s="531"/>
      <c r="DV1" s="641"/>
      <c r="DX1" s="531"/>
      <c r="DY1" s="641"/>
      <c r="DZ1" s="517"/>
      <c r="ED1" s="521"/>
      <c r="EE1" s="642" t="s">
        <v>118</v>
      </c>
      <c r="EI1" s="521" t="s">
        <v>59</v>
      </c>
      <c r="EM1" s="521"/>
      <c r="EN1" s="521" t="s">
        <v>120</v>
      </c>
      <c r="EO1" s="519" t="s">
        <v>121</v>
      </c>
      <c r="EP1" s="519" t="s">
        <v>122</v>
      </c>
      <c r="EQ1" s="519" t="s">
        <v>123</v>
      </c>
    </row>
    <row r="2" spans="1:147" s="520" customFormat="1">
      <c r="A2" s="519" t="s">
        <v>49</v>
      </c>
      <c r="B2" s="531"/>
      <c r="C2" s="641"/>
      <c r="E2" s="523"/>
      <c r="F2" s="641"/>
      <c r="G2" s="521"/>
      <c r="H2" s="531"/>
      <c r="I2" s="641"/>
      <c r="K2" s="531"/>
      <c r="L2" s="641"/>
      <c r="N2" s="531"/>
      <c r="O2" s="641"/>
      <c r="Q2" s="531"/>
      <c r="R2" s="641"/>
      <c r="T2" s="531"/>
      <c r="U2" s="641"/>
      <c r="W2" s="531"/>
      <c r="X2" s="641"/>
      <c r="Z2" s="531"/>
      <c r="AA2" s="641"/>
      <c r="AC2" s="531"/>
      <c r="AD2" s="641"/>
      <c r="AF2" s="531"/>
      <c r="AG2" s="641"/>
      <c r="AI2" s="531"/>
      <c r="AJ2" s="641"/>
      <c r="AL2" s="531"/>
      <c r="AM2" s="641"/>
      <c r="AO2" s="531"/>
      <c r="AP2" s="641"/>
      <c r="AR2" s="531"/>
      <c r="AS2" s="641"/>
      <c r="AU2" s="531"/>
      <c r="AV2" s="641"/>
      <c r="AX2" s="531"/>
      <c r="AY2" s="641"/>
      <c r="BA2" s="531"/>
      <c r="BB2" s="641"/>
      <c r="BD2" s="531"/>
      <c r="BE2" s="641"/>
      <c r="BG2" s="531"/>
      <c r="BH2" s="641"/>
      <c r="BJ2" s="531"/>
      <c r="BK2" s="641"/>
      <c r="BM2" s="531"/>
      <c r="BN2" s="641"/>
      <c r="BP2" s="531"/>
      <c r="BQ2" s="641"/>
      <c r="BS2" s="531"/>
      <c r="BT2" s="641"/>
      <c r="BV2" s="531"/>
      <c r="BW2" s="641"/>
      <c r="BY2" s="531"/>
      <c r="BZ2" s="641"/>
      <c r="CB2" s="531"/>
      <c r="CC2" s="641"/>
      <c r="CE2" s="531"/>
      <c r="CF2" s="641"/>
      <c r="CH2" s="531"/>
      <c r="CI2" s="641"/>
      <c r="CK2" s="531"/>
      <c r="CL2" s="641"/>
      <c r="CN2" s="531"/>
      <c r="CO2" s="641"/>
      <c r="CQ2" s="531"/>
      <c r="CR2" s="641"/>
      <c r="CT2" s="531"/>
      <c r="CU2" s="641"/>
      <c r="CW2" s="531"/>
      <c r="CX2" s="641"/>
      <c r="CZ2" s="531"/>
      <c r="DA2" s="641"/>
      <c r="DC2" s="531"/>
      <c r="DD2" s="641"/>
      <c r="DF2" s="531"/>
      <c r="DG2" s="641"/>
      <c r="DI2" s="531"/>
      <c r="DJ2" s="641"/>
      <c r="DL2" s="531"/>
      <c r="DM2" s="641"/>
      <c r="DO2" s="531"/>
      <c r="DP2" s="641"/>
      <c r="DR2" s="531"/>
      <c r="DS2" s="641"/>
      <c r="DU2" s="531"/>
      <c r="DV2" s="641"/>
      <c r="DX2" s="531"/>
      <c r="DY2" s="641"/>
      <c r="EB2" s="643" t="s">
        <v>51</v>
      </c>
      <c r="EC2" s="643"/>
      <c r="ED2" s="644"/>
      <c r="EE2" s="644">
        <f>EB42</f>
        <v>116775000</v>
      </c>
      <c r="EI2" s="644">
        <f>EG41</f>
        <v>0</v>
      </c>
      <c r="EM2" s="644"/>
      <c r="EN2" s="644">
        <f>EK42</f>
        <v>116775000</v>
      </c>
      <c r="EO2" s="531">
        <v>-13150</v>
      </c>
      <c r="EP2" s="531">
        <f>EN2+EO2</f>
        <v>116761850</v>
      </c>
      <c r="EQ2" s="531">
        <f>EE2+EO2</f>
        <v>116761850</v>
      </c>
    </row>
    <row r="3" spans="1:147" s="520" customFormat="1" ht="13.5" thickBot="1">
      <c r="A3" s="645" t="s">
        <v>240</v>
      </c>
      <c r="B3" s="531"/>
      <c r="C3" s="641"/>
      <c r="E3" s="523"/>
      <c r="F3" s="641"/>
      <c r="G3" s="521"/>
      <c r="H3" s="531"/>
      <c r="I3" s="641"/>
      <c r="K3" s="531"/>
      <c r="L3" s="641"/>
      <c r="N3" s="531"/>
      <c r="O3" s="641"/>
      <c r="Q3" s="531"/>
      <c r="R3" s="641"/>
      <c r="T3" s="531"/>
      <c r="U3" s="641"/>
      <c r="W3" s="531"/>
      <c r="X3" s="641"/>
      <c r="Z3" s="531"/>
      <c r="AA3" s="641"/>
      <c r="AC3" s="531"/>
      <c r="AD3" s="641"/>
      <c r="AF3" s="531"/>
      <c r="AG3" s="641"/>
      <c r="AI3" s="531"/>
      <c r="AJ3" s="641"/>
      <c r="AL3" s="531"/>
      <c r="AM3" s="641"/>
      <c r="AO3" s="531"/>
      <c r="AP3" s="641"/>
      <c r="AR3" s="531"/>
      <c r="AS3" s="641"/>
      <c r="AU3" s="531"/>
      <c r="AV3" s="641"/>
      <c r="AX3" s="531"/>
      <c r="AY3" s="641"/>
      <c r="BA3" s="531"/>
      <c r="BB3" s="641"/>
      <c r="BD3" s="531"/>
      <c r="BE3" s="641"/>
      <c r="BG3" s="531"/>
      <c r="BH3" s="641"/>
      <c r="BJ3" s="531"/>
      <c r="BK3" s="641"/>
      <c r="BM3" s="531"/>
      <c r="BN3" s="641"/>
      <c r="BP3" s="531"/>
      <c r="BQ3" s="641"/>
      <c r="BS3" s="531"/>
      <c r="BT3" s="641"/>
      <c r="BV3" s="531"/>
      <c r="BW3" s="641"/>
      <c r="BY3" s="531"/>
      <c r="BZ3" s="641"/>
      <c r="CB3" s="531"/>
      <c r="CC3" s="641"/>
      <c r="CE3" s="531"/>
      <c r="CF3" s="641"/>
      <c r="CH3" s="531"/>
      <c r="CI3" s="641"/>
      <c r="CK3" s="531"/>
      <c r="CL3" s="641"/>
      <c r="CN3" s="531"/>
      <c r="CO3" s="641"/>
      <c r="CQ3" s="531"/>
      <c r="CR3" s="641"/>
      <c r="CT3" s="531"/>
      <c r="CU3" s="641"/>
      <c r="CW3" s="531"/>
      <c r="CX3" s="641"/>
      <c r="CZ3" s="531"/>
      <c r="DA3" s="641"/>
      <c r="DC3" s="531"/>
      <c r="DD3" s="641"/>
      <c r="DF3" s="531"/>
      <c r="DG3" s="641"/>
      <c r="DI3" s="531"/>
      <c r="DJ3" s="641"/>
      <c r="DL3" s="531"/>
      <c r="DM3" s="641"/>
      <c r="DO3" s="531"/>
      <c r="DP3" s="641"/>
      <c r="DR3" s="531"/>
      <c r="DS3" s="641"/>
      <c r="DU3" s="531"/>
      <c r="DV3" s="641"/>
      <c r="DX3" s="531"/>
      <c r="DY3" s="641"/>
      <c r="EB3" s="643"/>
      <c r="EC3" s="643"/>
      <c r="ED3" s="644"/>
      <c r="EE3" s="644"/>
      <c r="EI3" s="644"/>
      <c r="EM3" s="644"/>
      <c r="EN3" s="644"/>
      <c r="EO3" s="531"/>
      <c r="EP3" s="531"/>
      <c r="EQ3" s="531"/>
    </row>
    <row r="4" spans="1:147" ht="13.5" thickTop="1">
      <c r="A4" s="645"/>
      <c r="E4" s="518" t="s">
        <v>50</v>
      </c>
      <c r="F4" s="649"/>
      <c r="G4" s="650"/>
      <c r="EB4" s="643" t="s">
        <v>52</v>
      </c>
      <c r="EC4" s="643"/>
      <c r="ED4" s="644"/>
      <c r="EE4" s="644">
        <f>AVERAGE(EB12:EB42)</f>
        <v>147533064.51612905</v>
      </c>
      <c r="EI4" s="644">
        <f>AVERAGE(EG12:EG41)</f>
        <v>0</v>
      </c>
      <c r="EM4" s="644"/>
      <c r="EN4" s="644">
        <f>AVERAGE(EK12:EK42)</f>
        <v>147533064.51612905</v>
      </c>
    </row>
    <row r="5" spans="1:147">
      <c r="D5" s="643"/>
      <c r="E5" s="651" t="s">
        <v>51</v>
      </c>
      <c r="F5" s="644"/>
      <c r="G5" s="652">
        <f>EQ2</f>
        <v>116761850</v>
      </c>
      <c r="AI5" s="519" t="s">
        <v>198</v>
      </c>
      <c r="EB5" s="643" t="s">
        <v>53</v>
      </c>
      <c r="EC5" s="643"/>
      <c r="ED5" s="653"/>
      <c r="EE5" s="653">
        <f>IF(EE4=0,0,360*(AVERAGE(ED12:ED42)/EE4))</f>
        <v>2.5948692747935126E-2</v>
      </c>
      <c r="EI5" s="653">
        <f>IF(EI4=0,0,360*(AVERAGE(EH12:EH41)/EI4))</f>
        <v>0</v>
      </c>
      <c r="EM5" s="653"/>
      <c r="EN5" s="653">
        <f>IF(EN4=0,0,360*(AVERAGE(EM12:EM42)/EN4))</f>
        <v>2.5948692747935126E-2</v>
      </c>
      <c r="EO5" s="520" t="s">
        <v>199</v>
      </c>
      <c r="EQ5" s="521" t="s">
        <v>198</v>
      </c>
    </row>
    <row r="6" spans="1:147">
      <c r="D6" s="643"/>
      <c r="E6" s="651" t="s">
        <v>52</v>
      </c>
      <c r="F6" s="644"/>
      <c r="G6" s="652">
        <f>EE4</f>
        <v>147533064.51612905</v>
      </c>
      <c r="AI6" s="654" t="s">
        <v>120</v>
      </c>
      <c r="EB6" s="655" t="s">
        <v>57</v>
      </c>
      <c r="EC6" s="655"/>
      <c r="ED6" s="644"/>
      <c r="EE6" s="644">
        <f>MAX(EB12:EB42)</f>
        <v>210600000</v>
      </c>
      <c r="EI6" s="644">
        <f>MAX(EG12:EG41)</f>
        <v>0</v>
      </c>
      <c r="EM6" s="644"/>
      <c r="EN6" s="644">
        <f>MAX(EK12:EK42)</f>
        <v>210600000</v>
      </c>
    </row>
    <row r="7" spans="1:147">
      <c r="D7" s="643"/>
      <c r="E7" s="651" t="s">
        <v>53</v>
      </c>
      <c r="F7" s="644"/>
      <c r="G7" s="656">
        <f>EE5</f>
        <v>2.5948692747935126E-2</v>
      </c>
    </row>
    <row r="8" spans="1:147" ht="13.5" thickBot="1">
      <c r="D8" s="643"/>
      <c r="E8" s="657" t="s">
        <v>57</v>
      </c>
      <c r="F8" s="658"/>
      <c r="G8" s="659">
        <f>EE6</f>
        <v>210600000</v>
      </c>
      <c r="AI8" s="654" t="s">
        <v>120</v>
      </c>
      <c r="EB8" s="522" t="s">
        <v>54</v>
      </c>
      <c r="EC8" s="522"/>
      <c r="ED8" s="660"/>
      <c r="EE8" s="660"/>
      <c r="EG8" s="522" t="s">
        <v>55</v>
      </c>
      <c r="EH8" s="660"/>
      <c r="EI8" s="660"/>
      <c r="EJ8" s="661"/>
      <c r="EK8" s="522" t="s">
        <v>56</v>
      </c>
      <c r="EL8" s="522"/>
      <c r="EM8" s="660"/>
      <c r="EN8" s="660"/>
    </row>
    <row r="9" spans="1:147" ht="13.5" thickTop="1">
      <c r="AI9" s="523" t="s">
        <v>112</v>
      </c>
      <c r="AL9" s="523" t="s">
        <v>112</v>
      </c>
      <c r="AO9" s="523" t="s">
        <v>112</v>
      </c>
      <c r="AR9" s="523" t="s">
        <v>112</v>
      </c>
      <c r="AU9" s="523" t="s">
        <v>112</v>
      </c>
      <c r="AX9" s="523" t="s">
        <v>112</v>
      </c>
      <c r="BA9" s="523" t="s">
        <v>112</v>
      </c>
      <c r="BD9" s="523" t="s">
        <v>112</v>
      </c>
      <c r="BG9" s="523" t="s">
        <v>112</v>
      </c>
      <c r="BJ9" s="523" t="s">
        <v>112</v>
      </c>
      <c r="BM9" s="523" t="s">
        <v>112</v>
      </c>
      <c r="BP9" s="523" t="s">
        <v>112</v>
      </c>
      <c r="BS9" s="523" t="s">
        <v>112</v>
      </c>
      <c r="BV9" s="523" t="s">
        <v>112</v>
      </c>
      <c r="BY9" s="523" t="s">
        <v>112</v>
      </c>
      <c r="CB9" s="523" t="s">
        <v>112</v>
      </c>
      <c r="CE9" s="523" t="s">
        <v>112</v>
      </c>
      <c r="CH9" s="523" t="s">
        <v>112</v>
      </c>
      <c r="CK9" s="523" t="s">
        <v>112</v>
      </c>
      <c r="CN9" s="523" t="s">
        <v>112</v>
      </c>
      <c r="CQ9" s="523" t="s">
        <v>112</v>
      </c>
      <c r="CT9" s="523" t="s">
        <v>112</v>
      </c>
      <c r="CW9" s="523" t="s">
        <v>112</v>
      </c>
      <c r="CZ9" s="523" t="s">
        <v>112</v>
      </c>
      <c r="DC9" s="523" t="s">
        <v>112</v>
      </c>
      <c r="DF9" s="523" t="s">
        <v>112</v>
      </c>
      <c r="DI9" s="523" t="s">
        <v>112</v>
      </c>
      <c r="DL9" s="523" t="s">
        <v>112</v>
      </c>
      <c r="DO9" s="523" t="s">
        <v>112</v>
      </c>
      <c r="DR9" s="523" t="s">
        <v>112</v>
      </c>
      <c r="EB9" s="662"/>
      <c r="EC9" s="662"/>
      <c r="ED9" s="662"/>
      <c r="EE9" s="662" t="s">
        <v>58</v>
      </c>
      <c r="EG9" s="662"/>
      <c r="EH9" s="524" t="s">
        <v>59</v>
      </c>
      <c r="EI9" s="662" t="s">
        <v>58</v>
      </c>
      <c r="EJ9" s="662"/>
      <c r="EK9" s="521" t="s">
        <v>113</v>
      </c>
      <c r="EL9" s="521" t="s">
        <v>114</v>
      </c>
      <c r="EM9" s="524" t="s">
        <v>60</v>
      </c>
      <c r="EN9" s="662" t="s">
        <v>58</v>
      </c>
    </row>
    <row r="10" spans="1:147">
      <c r="B10" s="663" t="s">
        <v>61</v>
      </c>
      <c r="C10" s="664"/>
      <c r="D10" s="660"/>
      <c r="E10" s="663" t="s">
        <v>62</v>
      </c>
      <c r="F10" s="664"/>
      <c r="G10" s="660"/>
      <c r="H10" s="663" t="s">
        <v>63</v>
      </c>
      <c r="I10" s="664"/>
      <c r="J10" s="660"/>
      <c r="K10" s="663" t="s">
        <v>64</v>
      </c>
      <c r="L10" s="664"/>
      <c r="M10" s="660"/>
      <c r="N10" s="663" t="s">
        <v>65</v>
      </c>
      <c r="O10" s="664"/>
      <c r="P10" s="660"/>
      <c r="Q10" s="663" t="s">
        <v>66</v>
      </c>
      <c r="R10" s="664"/>
      <c r="S10" s="660"/>
      <c r="T10" s="663" t="s">
        <v>67</v>
      </c>
      <c r="U10" s="664"/>
      <c r="V10" s="660"/>
      <c r="W10" s="663" t="s">
        <v>68</v>
      </c>
      <c r="X10" s="664"/>
      <c r="Y10" s="660"/>
      <c r="Z10" s="663" t="s">
        <v>69</v>
      </c>
      <c r="AA10" s="664"/>
      <c r="AB10" s="660"/>
      <c r="AC10" s="525" t="s">
        <v>70</v>
      </c>
      <c r="AD10" s="664"/>
      <c r="AE10" s="660"/>
      <c r="AF10" s="525" t="s">
        <v>71</v>
      </c>
      <c r="AG10" s="664"/>
      <c r="AH10" s="660"/>
      <c r="AI10" s="663" t="s">
        <v>72</v>
      </c>
      <c r="AJ10" s="664"/>
      <c r="AK10" s="660"/>
      <c r="AL10" s="663" t="s">
        <v>73</v>
      </c>
      <c r="AM10" s="664"/>
      <c r="AN10" s="660"/>
      <c r="AO10" s="663" t="s">
        <v>74</v>
      </c>
      <c r="AP10" s="664"/>
      <c r="AQ10" s="660"/>
      <c r="AR10" s="663" t="s">
        <v>75</v>
      </c>
      <c r="AS10" s="664"/>
      <c r="AT10" s="660"/>
      <c r="AU10" s="663" t="s">
        <v>76</v>
      </c>
      <c r="AV10" s="664"/>
      <c r="AW10" s="660"/>
      <c r="AX10" s="663" t="s">
        <v>77</v>
      </c>
      <c r="AY10" s="664"/>
      <c r="AZ10" s="660"/>
      <c r="BA10" s="663" t="s">
        <v>78</v>
      </c>
      <c r="BB10" s="664"/>
      <c r="BC10" s="660"/>
      <c r="BD10" s="663" t="s">
        <v>79</v>
      </c>
      <c r="BE10" s="664"/>
      <c r="BF10" s="660"/>
      <c r="BG10" s="663" t="s">
        <v>80</v>
      </c>
      <c r="BH10" s="664"/>
      <c r="BI10" s="660"/>
      <c r="BJ10" s="663" t="s">
        <v>81</v>
      </c>
      <c r="BK10" s="664"/>
      <c r="BL10" s="660"/>
      <c r="BM10" s="663" t="s">
        <v>82</v>
      </c>
      <c r="BN10" s="664"/>
      <c r="BO10" s="660"/>
      <c r="BP10" s="663" t="s">
        <v>83</v>
      </c>
      <c r="BQ10" s="664"/>
      <c r="BR10" s="660"/>
      <c r="BS10" s="663" t="s">
        <v>84</v>
      </c>
      <c r="BT10" s="664"/>
      <c r="BU10" s="660"/>
      <c r="BV10" s="663" t="s">
        <v>85</v>
      </c>
      <c r="BW10" s="664"/>
      <c r="BX10" s="660"/>
      <c r="BY10" s="663" t="s">
        <v>86</v>
      </c>
      <c r="BZ10" s="664"/>
      <c r="CA10" s="660"/>
      <c r="CB10" s="663" t="s">
        <v>87</v>
      </c>
      <c r="CC10" s="664"/>
      <c r="CD10" s="660"/>
      <c r="CE10" s="663" t="s">
        <v>88</v>
      </c>
      <c r="CF10" s="664"/>
      <c r="CG10" s="660"/>
      <c r="CH10" s="663" t="s">
        <v>89</v>
      </c>
      <c r="CI10" s="664"/>
      <c r="CJ10" s="660"/>
      <c r="CK10" s="663" t="s">
        <v>90</v>
      </c>
      <c r="CL10" s="664"/>
      <c r="CM10" s="660"/>
      <c r="CN10" s="663" t="s">
        <v>91</v>
      </c>
      <c r="CO10" s="664"/>
      <c r="CP10" s="660"/>
      <c r="CQ10" s="663" t="s">
        <v>92</v>
      </c>
      <c r="CR10" s="664"/>
      <c r="CS10" s="660"/>
      <c r="CT10" s="663" t="s">
        <v>93</v>
      </c>
      <c r="CU10" s="664"/>
      <c r="CV10" s="660"/>
      <c r="CW10" s="663" t="s">
        <v>94</v>
      </c>
      <c r="CX10" s="664"/>
      <c r="CY10" s="660"/>
      <c r="CZ10" s="663" t="s">
        <v>95</v>
      </c>
      <c r="DA10" s="664"/>
      <c r="DB10" s="660"/>
      <c r="DC10" s="663" t="s">
        <v>96</v>
      </c>
      <c r="DD10" s="664"/>
      <c r="DE10" s="660"/>
      <c r="DF10" s="663" t="s">
        <v>97</v>
      </c>
      <c r="DG10" s="664"/>
      <c r="DH10" s="660"/>
      <c r="DI10" s="663" t="s">
        <v>98</v>
      </c>
      <c r="DJ10" s="664"/>
      <c r="DK10" s="660"/>
      <c r="DL10" s="663" t="s">
        <v>99</v>
      </c>
      <c r="DM10" s="664"/>
      <c r="DN10" s="660"/>
      <c r="DO10" s="663" t="s">
        <v>100</v>
      </c>
      <c r="DP10" s="664"/>
      <c r="DQ10" s="660"/>
      <c r="DR10" s="663" t="s">
        <v>101</v>
      </c>
      <c r="DS10" s="664"/>
      <c r="DT10" s="660"/>
      <c r="DU10" s="663" t="s">
        <v>102</v>
      </c>
      <c r="DV10" s="664"/>
      <c r="DW10" s="660"/>
      <c r="DX10" s="526" t="s">
        <v>115</v>
      </c>
      <c r="DY10" s="664"/>
      <c r="DZ10" s="660"/>
      <c r="EA10" s="661"/>
      <c r="EB10" s="521" t="s">
        <v>116</v>
      </c>
      <c r="EC10" s="521" t="s">
        <v>117</v>
      </c>
      <c r="ED10" s="662" t="s">
        <v>103</v>
      </c>
      <c r="EE10" s="662" t="s">
        <v>104</v>
      </c>
      <c r="EG10" s="524" t="s">
        <v>105</v>
      </c>
      <c r="EH10" s="662" t="s">
        <v>103</v>
      </c>
      <c r="EI10" s="662" t="s">
        <v>104</v>
      </c>
      <c r="EJ10" s="662"/>
      <c r="EK10" s="524" t="s">
        <v>60</v>
      </c>
      <c r="EL10" s="524" t="s">
        <v>60</v>
      </c>
      <c r="EM10" s="662" t="s">
        <v>103</v>
      </c>
      <c r="EN10" s="662" t="s">
        <v>104</v>
      </c>
    </row>
    <row r="11" spans="1:147">
      <c r="A11" s="662" t="s">
        <v>106</v>
      </c>
      <c r="B11" s="527" t="s">
        <v>107</v>
      </c>
      <c r="C11" s="528" t="s">
        <v>108</v>
      </c>
      <c r="D11" s="529" t="s">
        <v>109</v>
      </c>
      <c r="E11" s="527" t="s">
        <v>107</v>
      </c>
      <c r="F11" s="528" t="s">
        <v>108</v>
      </c>
      <c r="G11" s="529" t="s">
        <v>109</v>
      </c>
      <c r="H11" s="527" t="s">
        <v>107</v>
      </c>
      <c r="I11" s="528" t="s">
        <v>108</v>
      </c>
      <c r="J11" s="529" t="s">
        <v>109</v>
      </c>
      <c r="K11" s="527" t="s">
        <v>107</v>
      </c>
      <c r="L11" s="528" t="s">
        <v>108</v>
      </c>
      <c r="M11" s="529" t="s">
        <v>109</v>
      </c>
      <c r="N11" s="527" t="s">
        <v>107</v>
      </c>
      <c r="O11" s="528" t="s">
        <v>108</v>
      </c>
      <c r="P11" s="529" t="s">
        <v>109</v>
      </c>
      <c r="Q11" s="527" t="s">
        <v>107</v>
      </c>
      <c r="R11" s="528" t="s">
        <v>108</v>
      </c>
      <c r="S11" s="529" t="s">
        <v>109</v>
      </c>
      <c r="T11" s="527" t="s">
        <v>107</v>
      </c>
      <c r="U11" s="528" t="s">
        <v>108</v>
      </c>
      <c r="V11" s="529" t="s">
        <v>109</v>
      </c>
      <c r="W11" s="527" t="s">
        <v>107</v>
      </c>
      <c r="X11" s="528" t="s">
        <v>108</v>
      </c>
      <c r="Y11" s="529" t="s">
        <v>109</v>
      </c>
      <c r="Z11" s="527" t="s">
        <v>107</v>
      </c>
      <c r="AA11" s="528" t="s">
        <v>108</v>
      </c>
      <c r="AB11" s="529" t="s">
        <v>109</v>
      </c>
      <c r="AC11" s="527" t="s">
        <v>107</v>
      </c>
      <c r="AD11" s="528" t="s">
        <v>108</v>
      </c>
      <c r="AE11" s="529" t="s">
        <v>109</v>
      </c>
      <c r="AF11" s="527" t="s">
        <v>107</v>
      </c>
      <c r="AG11" s="528" t="s">
        <v>108</v>
      </c>
      <c r="AH11" s="529" t="s">
        <v>109</v>
      </c>
      <c r="AI11" s="527" t="s">
        <v>107</v>
      </c>
      <c r="AJ11" s="528" t="s">
        <v>108</v>
      </c>
      <c r="AK11" s="529" t="s">
        <v>109</v>
      </c>
      <c r="AL11" s="527" t="s">
        <v>107</v>
      </c>
      <c r="AM11" s="528" t="s">
        <v>108</v>
      </c>
      <c r="AN11" s="529" t="s">
        <v>109</v>
      </c>
      <c r="AO11" s="527" t="s">
        <v>107</v>
      </c>
      <c r="AP11" s="528" t="s">
        <v>108</v>
      </c>
      <c r="AQ11" s="529" t="s">
        <v>109</v>
      </c>
      <c r="AR11" s="527" t="s">
        <v>107</v>
      </c>
      <c r="AS11" s="528" t="s">
        <v>108</v>
      </c>
      <c r="AT11" s="529" t="s">
        <v>109</v>
      </c>
      <c r="AU11" s="527" t="s">
        <v>107</v>
      </c>
      <c r="AV11" s="528" t="s">
        <v>108</v>
      </c>
      <c r="AW11" s="529" t="s">
        <v>109</v>
      </c>
      <c r="AX11" s="527" t="s">
        <v>107</v>
      </c>
      <c r="AY11" s="528" t="s">
        <v>108</v>
      </c>
      <c r="AZ11" s="529" t="s">
        <v>109</v>
      </c>
      <c r="BA11" s="527" t="s">
        <v>107</v>
      </c>
      <c r="BB11" s="528" t="s">
        <v>108</v>
      </c>
      <c r="BC11" s="529" t="s">
        <v>109</v>
      </c>
      <c r="BD11" s="527" t="s">
        <v>107</v>
      </c>
      <c r="BE11" s="528" t="s">
        <v>108</v>
      </c>
      <c r="BF11" s="529" t="s">
        <v>109</v>
      </c>
      <c r="BG11" s="527" t="s">
        <v>107</v>
      </c>
      <c r="BH11" s="528" t="s">
        <v>108</v>
      </c>
      <c r="BI11" s="529" t="s">
        <v>109</v>
      </c>
      <c r="BJ11" s="527" t="s">
        <v>107</v>
      </c>
      <c r="BK11" s="528" t="s">
        <v>108</v>
      </c>
      <c r="BL11" s="529" t="s">
        <v>109</v>
      </c>
      <c r="BM11" s="527" t="s">
        <v>107</v>
      </c>
      <c r="BN11" s="528" t="s">
        <v>108</v>
      </c>
      <c r="BO11" s="529" t="s">
        <v>109</v>
      </c>
      <c r="BP11" s="527" t="s">
        <v>107</v>
      </c>
      <c r="BQ11" s="528" t="s">
        <v>108</v>
      </c>
      <c r="BR11" s="529" t="s">
        <v>109</v>
      </c>
      <c r="BS11" s="527" t="s">
        <v>107</v>
      </c>
      <c r="BT11" s="528" t="s">
        <v>108</v>
      </c>
      <c r="BU11" s="529" t="s">
        <v>109</v>
      </c>
      <c r="BV11" s="527" t="s">
        <v>107</v>
      </c>
      <c r="BW11" s="528" t="s">
        <v>108</v>
      </c>
      <c r="BX11" s="529" t="s">
        <v>109</v>
      </c>
      <c r="BY11" s="527" t="s">
        <v>107</v>
      </c>
      <c r="BZ11" s="528" t="s">
        <v>108</v>
      </c>
      <c r="CA11" s="529" t="s">
        <v>109</v>
      </c>
      <c r="CB11" s="527" t="s">
        <v>107</v>
      </c>
      <c r="CC11" s="528" t="s">
        <v>108</v>
      </c>
      <c r="CD11" s="529" t="s">
        <v>109</v>
      </c>
      <c r="CE11" s="527" t="s">
        <v>107</v>
      </c>
      <c r="CF11" s="528" t="s">
        <v>108</v>
      </c>
      <c r="CG11" s="529" t="s">
        <v>109</v>
      </c>
      <c r="CH11" s="527" t="s">
        <v>107</v>
      </c>
      <c r="CI11" s="528" t="s">
        <v>108</v>
      </c>
      <c r="CJ11" s="529" t="s">
        <v>109</v>
      </c>
      <c r="CK11" s="527" t="s">
        <v>107</v>
      </c>
      <c r="CL11" s="528" t="s">
        <v>108</v>
      </c>
      <c r="CM11" s="529" t="s">
        <v>109</v>
      </c>
      <c r="CN11" s="527" t="s">
        <v>107</v>
      </c>
      <c r="CO11" s="528" t="s">
        <v>108</v>
      </c>
      <c r="CP11" s="529" t="s">
        <v>109</v>
      </c>
      <c r="CQ11" s="527" t="s">
        <v>107</v>
      </c>
      <c r="CR11" s="528" t="s">
        <v>108</v>
      </c>
      <c r="CS11" s="529" t="s">
        <v>109</v>
      </c>
      <c r="CT11" s="527" t="s">
        <v>107</v>
      </c>
      <c r="CU11" s="528" t="s">
        <v>108</v>
      </c>
      <c r="CV11" s="529" t="s">
        <v>109</v>
      </c>
      <c r="CW11" s="527" t="s">
        <v>107</v>
      </c>
      <c r="CX11" s="528" t="s">
        <v>108</v>
      </c>
      <c r="CY11" s="529" t="s">
        <v>109</v>
      </c>
      <c r="CZ11" s="527" t="s">
        <v>107</v>
      </c>
      <c r="DA11" s="528" t="s">
        <v>108</v>
      </c>
      <c r="DB11" s="529" t="s">
        <v>109</v>
      </c>
      <c r="DC11" s="527" t="s">
        <v>107</v>
      </c>
      <c r="DD11" s="528" t="s">
        <v>108</v>
      </c>
      <c r="DE11" s="529" t="s">
        <v>109</v>
      </c>
      <c r="DF11" s="527" t="s">
        <v>107</v>
      </c>
      <c r="DG11" s="528" t="s">
        <v>108</v>
      </c>
      <c r="DH11" s="529" t="s">
        <v>109</v>
      </c>
      <c r="DI11" s="527" t="s">
        <v>107</v>
      </c>
      <c r="DJ11" s="528" t="s">
        <v>108</v>
      </c>
      <c r="DK11" s="529" t="s">
        <v>109</v>
      </c>
      <c r="DL11" s="527" t="s">
        <v>107</v>
      </c>
      <c r="DM11" s="528" t="s">
        <v>108</v>
      </c>
      <c r="DN11" s="529" t="s">
        <v>109</v>
      </c>
      <c r="DO11" s="527" t="s">
        <v>107</v>
      </c>
      <c r="DP11" s="528" t="s">
        <v>108</v>
      </c>
      <c r="DQ11" s="529" t="s">
        <v>109</v>
      </c>
      <c r="DR11" s="527" t="s">
        <v>107</v>
      </c>
      <c r="DS11" s="528" t="s">
        <v>108</v>
      </c>
      <c r="DT11" s="529" t="s">
        <v>109</v>
      </c>
      <c r="DU11" s="527" t="s">
        <v>107</v>
      </c>
      <c r="DV11" s="528" t="s">
        <v>108</v>
      </c>
      <c r="DW11" s="529" t="s">
        <v>109</v>
      </c>
      <c r="DX11" s="527" t="s">
        <v>107</v>
      </c>
      <c r="DY11" s="528"/>
      <c r="DZ11" s="529"/>
      <c r="EA11" s="529"/>
      <c r="EB11" s="529" t="s">
        <v>110</v>
      </c>
      <c r="EC11" s="529" t="s">
        <v>110</v>
      </c>
      <c r="ED11" s="529" t="s">
        <v>109</v>
      </c>
      <c r="EE11" s="530" t="s">
        <v>108</v>
      </c>
      <c r="EG11" s="529" t="s">
        <v>110</v>
      </c>
      <c r="EH11" s="529" t="s">
        <v>109</v>
      </c>
      <c r="EI11" s="530" t="s">
        <v>108</v>
      </c>
      <c r="EJ11" s="530"/>
      <c r="EK11" s="529" t="s">
        <v>110</v>
      </c>
      <c r="EL11" s="529" t="s">
        <v>110</v>
      </c>
      <c r="EM11" s="529" t="s">
        <v>109</v>
      </c>
      <c r="EN11" s="530" t="s">
        <v>108</v>
      </c>
    </row>
    <row r="12" spans="1:147">
      <c r="A12" s="665">
        <v>43647</v>
      </c>
      <c r="D12" s="646">
        <f>(B12*C12)/360</f>
        <v>0</v>
      </c>
      <c r="G12" s="646">
        <f>(E12*F12)/360</f>
        <v>0</v>
      </c>
      <c r="J12" s="646">
        <f>(H12*I12)/360</f>
        <v>0</v>
      </c>
      <c r="M12" s="646">
        <f>(K12*L12)/360</f>
        <v>0</v>
      </c>
      <c r="P12" s="646">
        <f>(N12*O12)/360</f>
        <v>0</v>
      </c>
      <c r="S12" s="646">
        <f>(Q12*R12)/360</f>
        <v>0</v>
      </c>
      <c r="V12" s="646">
        <f>(T12*U12)/360</f>
        <v>0</v>
      </c>
      <c r="Y12" s="646">
        <f>(W12*X12)/360</f>
        <v>0</v>
      </c>
      <c r="AB12" s="646">
        <f>(Z12*AA12)/360</f>
        <v>0</v>
      </c>
      <c r="AE12" s="646">
        <v>0</v>
      </c>
      <c r="AH12" s="646">
        <v>0</v>
      </c>
      <c r="AI12" s="666">
        <f>95250000+350000</f>
        <v>95600000</v>
      </c>
      <c r="AJ12" s="667">
        <v>2.5499999999999998E-2</v>
      </c>
      <c r="AK12" s="646">
        <f>(AI12*AJ12)/360</f>
        <v>6771.666666666667</v>
      </c>
      <c r="AL12" s="666">
        <f t="shared" ref="AL12:AL18" si="0">35000000</f>
        <v>35000000</v>
      </c>
      <c r="AM12" s="667">
        <v>2.7E-2</v>
      </c>
      <c r="AN12" s="646">
        <f>(AL12*AM12)/360</f>
        <v>2625</v>
      </c>
      <c r="AO12" s="666">
        <f>30000000</f>
        <v>30000000</v>
      </c>
      <c r="AP12" s="667">
        <v>2.7199999999999998E-2</v>
      </c>
      <c r="AQ12" s="646">
        <f>(AO12*AP12)/360</f>
        <v>2266.6666666666665</v>
      </c>
      <c r="AR12" s="666">
        <f t="shared" ref="AR12:AR18" si="1">50000000</f>
        <v>50000000</v>
      </c>
      <c r="AS12" s="667">
        <v>2.63E-2</v>
      </c>
      <c r="AT12" s="646">
        <f>(AR12*AS12)/360</f>
        <v>3652.7777777777778</v>
      </c>
      <c r="AW12" s="646">
        <f>(AU12*AV12)/360</f>
        <v>0</v>
      </c>
      <c r="AZ12" s="646">
        <f>(AX12*AY12)/360</f>
        <v>0</v>
      </c>
      <c r="BC12" s="646">
        <f>(BA12*BB12)/360</f>
        <v>0</v>
      </c>
      <c r="BF12" s="646">
        <f>(BD12*BE12)/360</f>
        <v>0</v>
      </c>
      <c r="BI12" s="646">
        <f>(BG12*BH12)/360</f>
        <v>0</v>
      </c>
      <c r="BL12" s="646">
        <f>(BJ12*BK12)/360</f>
        <v>0</v>
      </c>
      <c r="BO12" s="646">
        <f>(BM12*BN12)/360</f>
        <v>0</v>
      </c>
      <c r="BR12" s="646">
        <f>(BP12*BQ12)/360</f>
        <v>0</v>
      </c>
      <c r="BU12" s="646">
        <f>(BS12*BT12)/360</f>
        <v>0</v>
      </c>
      <c r="BX12" s="646">
        <f>(BV12*BW12)/360</f>
        <v>0</v>
      </c>
      <c r="CA12" s="646">
        <f>(BY12*BZ12)/360</f>
        <v>0</v>
      </c>
      <c r="CD12" s="646">
        <f>(CB12*CC12)/360</f>
        <v>0</v>
      </c>
      <c r="CG12" s="646">
        <f>(CE12*CF12)/360</f>
        <v>0</v>
      </c>
      <c r="CJ12" s="646">
        <f>(CH12*CI12)/360</f>
        <v>0</v>
      </c>
      <c r="CM12" s="646">
        <f>(CK12*CL12)/360</f>
        <v>0</v>
      </c>
      <c r="CP12" s="646">
        <f>(CN12*CO12)/360</f>
        <v>0</v>
      </c>
      <c r="CS12" s="646">
        <f>(CQ12*CR12)/360</f>
        <v>0</v>
      </c>
      <c r="CV12" s="646">
        <f>(CT12*CU12)/360</f>
        <v>0</v>
      </c>
      <c r="CY12" s="646">
        <f>(CW12*CX12)/360</f>
        <v>0</v>
      </c>
      <c r="DB12" s="646">
        <f>(CZ12*DA12)/360</f>
        <v>0</v>
      </c>
      <c r="DE12" s="646">
        <f>(DC12*DD12)/360</f>
        <v>0</v>
      </c>
      <c r="DH12" s="646">
        <f>(DF12*DG12)/360</f>
        <v>0</v>
      </c>
      <c r="DK12" s="646">
        <f>(DI12*DJ12)/360</f>
        <v>0</v>
      </c>
      <c r="DN12" s="646">
        <f>(DL12*DM12)/360</f>
        <v>0</v>
      </c>
      <c r="DQ12" s="646">
        <f>(DO12*DP12)/360</f>
        <v>0</v>
      </c>
      <c r="DT12" s="646">
        <f>(DR12*DS12)/360</f>
        <v>0</v>
      </c>
      <c r="DW12" s="646">
        <f>(DU12*DV12)/360</f>
        <v>0</v>
      </c>
      <c r="DZ12" s="646"/>
      <c r="EA12" s="646"/>
      <c r="EB12" s="531">
        <f>B12+E12+H12+K12+N12+Q12+T12+W12+Z12+AC12+AF12+AL12+AO12+AR12+AU12+AX12+BA12+BD12+BG12+DU12+AI12+DR12+DO12+DL12+DI12+DF12+DC12+CZ12+CW12+CT12+CQ12+CN12+CK12+CH12+CE12+CB12+BY12+BV12+BS12+BP12+BM12+BJ12</f>
        <v>210600000</v>
      </c>
      <c r="EC12" s="531">
        <f>EB12-EK12+EL12</f>
        <v>0</v>
      </c>
      <c r="ED12" s="646">
        <f>D12+G12+J12+M12+P12+S12+V12+Y12+AB12+AE12+AH12+AK12+AN12+AQ12+AT12+AW12+AZ12+BC12+BF12+BI12+DW12+DT12+DQ12+DN12+DK12+DH12+DE12+DB12+CY12+CV12+CS12+CP12+CM12+CJ12+CG12+CD12+CA12+BX12+BU12+BR12+BO12+BL12</f>
        <v>15316.111111111111</v>
      </c>
      <c r="EE12" s="647">
        <f>IF(EB12&lt;&gt;0,((ED12/EB12)*360),0)</f>
        <v>2.6181386514719848E-2</v>
      </c>
      <c r="EG12" s="531">
        <f>Q12+T12+W12+Z12+AC12+AF12</f>
        <v>0</v>
      </c>
      <c r="EH12" s="646">
        <f>S12+V12+Y12+AB12+AE12+AH12</f>
        <v>0</v>
      </c>
      <c r="EI12" s="647">
        <f>IF(EG12&lt;&gt;0,((EH12/EG12)*360),0)</f>
        <v>0</v>
      </c>
      <c r="EJ12" s="647"/>
      <c r="EK12" s="531">
        <f>DR12+DL12+DI12+DF12+DC12+CZ12+CW12+CT12+CQ12+CN12+CK12+CH12+CE12+CB12+BY12+BV12+BS12+BP12+BM12+BJ12+BG12+BD12+BA12+AX12+AU12+AR12+AO12+AL12+AI12+DO12</f>
        <v>210600000</v>
      </c>
      <c r="EL12" s="531">
        <f>DX12</f>
        <v>0</v>
      </c>
      <c r="EM12" s="531">
        <f>DT12+DQ12+DN12+DK12+DH12+DE12+DB12+CY12+CV12+CS12+CP12+CM12+CJ12+CG12+CD12+CA12+BX12+BU12+BR12+BO12+BL12+BI12+BF12+BC12+AZ12+AW12+AT12+AQ12+AN12+AK12</f>
        <v>15316.111111111113</v>
      </c>
      <c r="EN12" s="647">
        <f>IF(EK12&lt;&gt;0,((EM12/EK12)*360),0)</f>
        <v>2.6181386514719851E-2</v>
      </c>
      <c r="EP12" s="646"/>
    </row>
    <row r="13" spans="1:147">
      <c r="A13" s="665">
        <f>1+A12</f>
        <v>43648</v>
      </c>
      <c r="D13" s="646">
        <f t="shared" ref="D13:D42" si="2">(B13*C13)/360</f>
        <v>0</v>
      </c>
      <c r="G13" s="646">
        <f t="shared" ref="G13:G42" si="3">(E13*F13)/360</f>
        <v>0</v>
      </c>
      <c r="J13" s="646">
        <f t="shared" ref="J13:J42" si="4">(H13*I13)/360</f>
        <v>0</v>
      </c>
      <c r="M13" s="646">
        <f t="shared" ref="M13:M42" si="5">(K13*L13)/360</f>
        <v>0</v>
      </c>
      <c r="P13" s="646">
        <f t="shared" ref="P13:P42" si="6">(N13*O13)/360</f>
        <v>0</v>
      </c>
      <c r="S13" s="646">
        <f t="shared" ref="S13:S42" si="7">(Q13*R13)/360</f>
        <v>0</v>
      </c>
      <c r="V13" s="646">
        <f t="shared" ref="V13:V42" si="8">(T13*U13)/360</f>
        <v>0</v>
      </c>
      <c r="Y13" s="646">
        <f t="shared" ref="Y13:Y42" si="9">(W13*X13)/360</f>
        <v>0</v>
      </c>
      <c r="AB13" s="646">
        <f t="shared" ref="AB13:AB42" si="10">(Z13*AA13)/360</f>
        <v>0</v>
      </c>
      <c r="AE13" s="646">
        <v>0</v>
      </c>
      <c r="AH13" s="646">
        <v>0</v>
      </c>
      <c r="AI13" s="666">
        <f>109000000</f>
        <v>109000000</v>
      </c>
      <c r="AJ13" s="667">
        <v>2.5499999999999998E-2</v>
      </c>
      <c r="AK13" s="646">
        <f t="shared" ref="AK13:AK42" si="11">(AI13*AJ13)/360</f>
        <v>7720.833333333333</v>
      </c>
      <c r="AL13" s="666">
        <f t="shared" si="0"/>
        <v>35000000</v>
      </c>
      <c r="AM13" s="667">
        <v>2.7E-2</v>
      </c>
      <c r="AN13" s="646">
        <f t="shared" ref="AN13:AN42" si="12">(AL13*AM13)/360</f>
        <v>2625</v>
      </c>
      <c r="AO13" s="666"/>
      <c r="AP13" s="667"/>
      <c r="AQ13" s="646">
        <f t="shared" ref="AQ13:AQ42" si="13">(AO13*AP13)/360</f>
        <v>0</v>
      </c>
      <c r="AR13" s="666">
        <f t="shared" si="1"/>
        <v>50000000</v>
      </c>
      <c r="AS13" s="667">
        <v>2.63E-2</v>
      </c>
      <c r="AT13" s="646">
        <f t="shared" ref="AT13:AT42" si="14">(AR13*AS13)/360</f>
        <v>3652.7777777777778</v>
      </c>
      <c r="AW13" s="646">
        <f t="shared" ref="AW13:AW42" si="15">(AU13*AV13)/360</f>
        <v>0</v>
      </c>
      <c r="AZ13" s="646">
        <f t="shared" ref="AZ13:AZ42" si="16">(AX13*AY13)/360</f>
        <v>0</v>
      </c>
      <c r="BC13" s="646">
        <f t="shared" ref="BC13:BC42" si="17">(BA13*BB13)/360</f>
        <v>0</v>
      </c>
      <c r="BF13" s="646">
        <f t="shared" ref="BF13:BF42" si="18">(BD13*BE13)/360</f>
        <v>0</v>
      </c>
      <c r="BI13" s="646">
        <f t="shared" ref="BI13:BI42" si="19">(BG13*BH13)/360</f>
        <v>0</v>
      </c>
      <c r="BL13" s="646">
        <f t="shared" ref="BL13:BL42" si="20">(BJ13*BK13)/360</f>
        <v>0</v>
      </c>
      <c r="BO13" s="646">
        <f t="shared" ref="BO13:BO42" si="21">(BM13*BN13)/360</f>
        <v>0</v>
      </c>
      <c r="BR13" s="646">
        <f t="shared" ref="BR13:BR42" si="22">(BP13*BQ13)/360</f>
        <v>0</v>
      </c>
      <c r="BU13" s="646">
        <f t="shared" ref="BU13:BU42" si="23">(BS13*BT13)/360</f>
        <v>0</v>
      </c>
      <c r="BX13" s="646">
        <f t="shared" ref="BX13:BX42" si="24">(BV13*BW13)/360</f>
        <v>0</v>
      </c>
      <c r="CA13" s="646">
        <f t="shared" ref="CA13:CA42" si="25">(BY13*BZ13)/360</f>
        <v>0</v>
      </c>
      <c r="CD13" s="646">
        <f t="shared" ref="CD13:CD42" si="26">(CB13*CC13)/360</f>
        <v>0</v>
      </c>
      <c r="CG13" s="646">
        <f t="shared" ref="CG13:CG42" si="27">(CE13*CF13)/360</f>
        <v>0</v>
      </c>
      <c r="CJ13" s="646">
        <f t="shared" ref="CJ13:CJ42" si="28">(CH13*CI13)/360</f>
        <v>0</v>
      </c>
      <c r="CM13" s="646">
        <f t="shared" ref="CM13:CM42" si="29">(CK13*CL13)/360</f>
        <v>0</v>
      </c>
      <c r="CP13" s="646">
        <f t="shared" ref="CP13:CP42" si="30">(CN13*CO13)/360</f>
        <v>0</v>
      </c>
      <c r="CS13" s="646">
        <f t="shared" ref="CS13:CS42" si="31">(CQ13*CR13)/360</f>
        <v>0</v>
      </c>
      <c r="CV13" s="646">
        <f t="shared" ref="CV13:CV42" si="32">(CT13*CU13)/360</f>
        <v>0</v>
      </c>
      <c r="CY13" s="646">
        <f t="shared" ref="CY13:CY42" si="33">(CW13*CX13)/360</f>
        <v>0</v>
      </c>
      <c r="DB13" s="646">
        <f t="shared" ref="DB13:DB42" si="34">(CZ13*DA13)/360</f>
        <v>0</v>
      </c>
      <c r="DE13" s="646">
        <f t="shared" ref="DE13:DE42" si="35">(DC13*DD13)/360</f>
        <v>0</v>
      </c>
      <c r="DH13" s="646">
        <f t="shared" ref="DH13:DH42" si="36">(DF13*DG13)/360</f>
        <v>0</v>
      </c>
      <c r="DK13" s="646">
        <f t="shared" ref="DK13:DK42" si="37">(DI13*DJ13)/360</f>
        <v>0</v>
      </c>
      <c r="DN13" s="646">
        <f t="shared" ref="DN13:DN42" si="38">(DL13*DM13)/360</f>
        <v>0</v>
      </c>
      <c r="DQ13" s="646">
        <f t="shared" ref="DQ13:DQ42" si="39">(DO13*DP13)/360</f>
        <v>0</v>
      </c>
      <c r="DT13" s="646">
        <f t="shared" ref="DT13:DT42" si="40">(DR13*DS13)/360</f>
        <v>0</v>
      </c>
      <c r="DW13" s="646">
        <f t="shared" ref="DW13:DW42" si="41">(DU13*DV13)/360</f>
        <v>0</v>
      </c>
      <c r="DZ13" s="646"/>
      <c r="EA13" s="646"/>
      <c r="EB13" s="531">
        <f t="shared" ref="EB13:EB42" si="42">B13+E13+H13+K13+N13+Q13+T13+W13+Z13+AC13+AF13+AL13+AO13+AR13+AU13+AX13+BA13+BD13+BG13+DU13+AI13+DR13+DO13+DL13+DI13+DF13+DC13+CZ13+CW13+CT13+CQ13+CN13+CK13+CH13+CE13+CB13+BY13+BV13+BS13+BP13+BM13+BJ13</f>
        <v>194000000</v>
      </c>
      <c r="EC13" s="531">
        <f t="shared" ref="EC13:EC42" si="43">EB13-EK13+EL13</f>
        <v>0</v>
      </c>
      <c r="ED13" s="646">
        <f t="shared" ref="ED13:ED42" si="44">D13+G13+J13+M13+P13+S13+V13+Y13+AB13+AE13+AH13+AK13+AN13+AQ13+AT13+AW13+AZ13+BC13+BF13+BI13+DW13+DT13+DQ13+DN13+DK13+DH13+DE13+DB13+CY13+CV13+CS13+CP13+CM13+CJ13+CG13+CD13+CA13+BX13+BU13+BR13+BO13+BL13</f>
        <v>13998.611111111109</v>
      </c>
      <c r="EE13" s="647">
        <f t="shared" ref="EE13:EE42" si="45">IF(EB13&lt;&gt;0,((ED13/EB13)*360),0)</f>
        <v>2.5976804123711339E-2</v>
      </c>
      <c r="EG13" s="531">
        <f t="shared" ref="EG13:EG42" si="46">Q13+T13+W13+Z13+AC13+AF13</f>
        <v>0</v>
      </c>
      <c r="EH13" s="646">
        <f t="shared" ref="EH13:EH42" si="47">S13+V13+Y13+AB13+AE13+AH13</f>
        <v>0</v>
      </c>
      <c r="EI13" s="647">
        <f t="shared" ref="EI13:EI42" si="48">IF(EG13&lt;&gt;0,((EH13/EG13)*360),0)</f>
        <v>0</v>
      </c>
      <c r="EJ13" s="647"/>
      <c r="EK13" s="531">
        <f t="shared" ref="EK13:EK42" si="49">DR13+DL13+DI13+DF13+DC13+CZ13+CW13+CT13+CQ13+CN13+CK13+CH13+CE13+CB13+BY13+BV13+BS13+BP13+BM13+BJ13+BG13+BD13+BA13+AX13+AU13+AR13+AO13+AL13+AI13+DO13</f>
        <v>194000000</v>
      </c>
      <c r="EL13" s="531">
        <f t="shared" ref="EL13:EL42" si="50">DX13</f>
        <v>0</v>
      </c>
      <c r="EM13" s="531">
        <f t="shared" ref="EM13:EM42" si="51">DT13+DQ13+DN13+DK13+DH13+DE13+DB13+CY13+CV13+CS13+CP13+CM13+CJ13+CG13+CD13+CA13+BX13+BU13+BR13+BO13+BL13+BI13+BF13+BC13+AZ13+AW13+AT13+AQ13+AN13+AK13</f>
        <v>13998.611111111109</v>
      </c>
      <c r="EN13" s="647">
        <f t="shared" ref="EN13:EN42" si="52">IF(EK13&lt;&gt;0,((EM13/EK13)*360),0)</f>
        <v>2.5976804123711339E-2</v>
      </c>
      <c r="EP13" s="646"/>
    </row>
    <row r="14" spans="1:147">
      <c r="A14" s="665">
        <f t="shared" ref="A14:A42" si="53">1+A13</f>
        <v>43649</v>
      </c>
      <c r="D14" s="646">
        <f t="shared" si="2"/>
        <v>0</v>
      </c>
      <c r="G14" s="646">
        <f t="shared" si="3"/>
        <v>0</v>
      </c>
      <c r="J14" s="646">
        <f t="shared" si="4"/>
        <v>0</v>
      </c>
      <c r="M14" s="646">
        <f t="shared" si="5"/>
        <v>0</v>
      </c>
      <c r="P14" s="646">
        <f t="shared" si="6"/>
        <v>0</v>
      </c>
      <c r="S14" s="646">
        <f t="shared" si="7"/>
        <v>0</v>
      </c>
      <c r="V14" s="646">
        <f t="shared" si="8"/>
        <v>0</v>
      </c>
      <c r="Y14" s="646">
        <f t="shared" si="9"/>
        <v>0</v>
      </c>
      <c r="AB14" s="646">
        <f t="shared" si="10"/>
        <v>0</v>
      </c>
      <c r="AE14" s="646">
        <v>0</v>
      </c>
      <c r="AH14" s="646">
        <v>0</v>
      </c>
      <c r="AI14" s="666">
        <f>25000000</f>
        <v>25000000</v>
      </c>
      <c r="AJ14" s="667">
        <v>2.5399999999999999E-2</v>
      </c>
      <c r="AK14" s="646">
        <f t="shared" si="11"/>
        <v>1763.8888888888889</v>
      </c>
      <c r="AL14" s="666">
        <f t="shared" si="0"/>
        <v>35000000</v>
      </c>
      <c r="AM14" s="667">
        <v>2.7E-2</v>
      </c>
      <c r="AN14" s="646">
        <f t="shared" si="12"/>
        <v>2625</v>
      </c>
      <c r="AO14" s="666">
        <v>74275000</v>
      </c>
      <c r="AP14" s="667">
        <v>2.5399999999999999E-2</v>
      </c>
      <c r="AQ14" s="646">
        <f t="shared" si="13"/>
        <v>5240.5138888888887</v>
      </c>
      <c r="AR14" s="666">
        <f t="shared" si="1"/>
        <v>50000000</v>
      </c>
      <c r="AS14" s="667">
        <v>2.63E-2</v>
      </c>
      <c r="AT14" s="646">
        <f t="shared" si="14"/>
        <v>3652.7777777777778</v>
      </c>
      <c r="AW14" s="646">
        <f t="shared" si="15"/>
        <v>0</v>
      </c>
      <c r="AZ14" s="646">
        <f t="shared" si="16"/>
        <v>0</v>
      </c>
      <c r="BC14" s="646">
        <f t="shared" si="17"/>
        <v>0</v>
      </c>
      <c r="BF14" s="646">
        <f t="shared" si="18"/>
        <v>0</v>
      </c>
      <c r="BI14" s="646">
        <f t="shared" si="19"/>
        <v>0</v>
      </c>
      <c r="BL14" s="646">
        <f t="shared" si="20"/>
        <v>0</v>
      </c>
      <c r="BO14" s="646">
        <f t="shared" si="21"/>
        <v>0</v>
      </c>
      <c r="BR14" s="646">
        <f t="shared" si="22"/>
        <v>0</v>
      </c>
      <c r="BU14" s="646">
        <f t="shared" si="23"/>
        <v>0</v>
      </c>
      <c r="BX14" s="646">
        <f t="shared" si="24"/>
        <v>0</v>
      </c>
      <c r="CA14" s="646">
        <f t="shared" si="25"/>
        <v>0</v>
      </c>
      <c r="CD14" s="646">
        <f t="shared" si="26"/>
        <v>0</v>
      </c>
      <c r="CG14" s="646">
        <f t="shared" si="27"/>
        <v>0</v>
      </c>
      <c r="CJ14" s="646">
        <f t="shared" si="28"/>
        <v>0</v>
      </c>
      <c r="CM14" s="646">
        <f t="shared" si="29"/>
        <v>0</v>
      </c>
      <c r="CP14" s="646">
        <f t="shared" si="30"/>
        <v>0</v>
      </c>
      <c r="CS14" s="646">
        <f t="shared" si="31"/>
        <v>0</v>
      </c>
      <c r="CV14" s="646">
        <f t="shared" si="32"/>
        <v>0</v>
      </c>
      <c r="CY14" s="646">
        <f t="shared" si="33"/>
        <v>0</v>
      </c>
      <c r="DB14" s="646">
        <f t="shared" si="34"/>
        <v>0</v>
      </c>
      <c r="DE14" s="646">
        <f t="shared" si="35"/>
        <v>0</v>
      </c>
      <c r="DH14" s="646">
        <f t="shared" si="36"/>
        <v>0</v>
      </c>
      <c r="DK14" s="646">
        <f t="shared" si="37"/>
        <v>0</v>
      </c>
      <c r="DN14" s="646">
        <f t="shared" si="38"/>
        <v>0</v>
      </c>
      <c r="DQ14" s="646">
        <f t="shared" si="39"/>
        <v>0</v>
      </c>
      <c r="DT14" s="646">
        <f t="shared" si="40"/>
        <v>0</v>
      </c>
      <c r="DW14" s="646">
        <f t="shared" si="41"/>
        <v>0</v>
      </c>
      <c r="DZ14" s="646"/>
      <c r="EA14" s="646"/>
      <c r="EB14" s="531">
        <f t="shared" si="42"/>
        <v>184275000</v>
      </c>
      <c r="EC14" s="531">
        <f t="shared" si="43"/>
        <v>0</v>
      </c>
      <c r="ED14" s="646">
        <f t="shared" si="44"/>
        <v>13282.180555555555</v>
      </c>
      <c r="EE14" s="647">
        <f t="shared" si="45"/>
        <v>2.5948093881427211E-2</v>
      </c>
      <c r="EG14" s="531">
        <f t="shared" si="46"/>
        <v>0</v>
      </c>
      <c r="EH14" s="646">
        <f t="shared" si="47"/>
        <v>0</v>
      </c>
      <c r="EI14" s="647">
        <f t="shared" si="48"/>
        <v>0</v>
      </c>
      <c r="EJ14" s="647"/>
      <c r="EK14" s="531">
        <f t="shared" si="49"/>
        <v>184275000</v>
      </c>
      <c r="EL14" s="531">
        <f t="shared" si="50"/>
        <v>0</v>
      </c>
      <c r="EM14" s="531">
        <f t="shared" si="51"/>
        <v>13282.180555555555</v>
      </c>
      <c r="EN14" s="647">
        <f t="shared" si="52"/>
        <v>2.5948093881427211E-2</v>
      </c>
      <c r="EP14" s="646"/>
    </row>
    <row r="15" spans="1:147">
      <c r="A15" s="665">
        <f t="shared" si="53"/>
        <v>43650</v>
      </c>
      <c r="D15" s="646">
        <f t="shared" si="2"/>
        <v>0</v>
      </c>
      <c r="G15" s="646">
        <f t="shared" si="3"/>
        <v>0</v>
      </c>
      <c r="J15" s="646">
        <f t="shared" si="4"/>
        <v>0</v>
      </c>
      <c r="M15" s="646">
        <f t="shared" si="5"/>
        <v>0</v>
      </c>
      <c r="P15" s="646">
        <f t="shared" si="6"/>
        <v>0</v>
      </c>
      <c r="S15" s="646">
        <f t="shared" si="7"/>
        <v>0</v>
      </c>
      <c r="V15" s="646">
        <f t="shared" si="8"/>
        <v>0</v>
      </c>
      <c r="Y15" s="646">
        <f t="shared" si="9"/>
        <v>0</v>
      </c>
      <c r="AB15" s="646">
        <f t="shared" si="10"/>
        <v>0</v>
      </c>
      <c r="AE15" s="646">
        <v>0</v>
      </c>
      <c r="AH15" s="646">
        <v>0</v>
      </c>
      <c r="AI15" s="666">
        <f>25000000</f>
        <v>25000000</v>
      </c>
      <c r="AJ15" s="667">
        <v>2.5399999999999999E-2</v>
      </c>
      <c r="AK15" s="646">
        <f t="shared" si="11"/>
        <v>1763.8888888888889</v>
      </c>
      <c r="AL15" s="666">
        <f t="shared" si="0"/>
        <v>35000000</v>
      </c>
      <c r="AM15" s="667">
        <v>2.7E-2</v>
      </c>
      <c r="AN15" s="646">
        <f t="shared" si="12"/>
        <v>2625</v>
      </c>
      <c r="AO15" s="666">
        <v>74275000</v>
      </c>
      <c r="AP15" s="667">
        <v>2.5399999999999999E-2</v>
      </c>
      <c r="AQ15" s="646">
        <f t="shared" si="13"/>
        <v>5240.5138888888887</v>
      </c>
      <c r="AR15" s="666">
        <f t="shared" si="1"/>
        <v>50000000</v>
      </c>
      <c r="AS15" s="667">
        <v>2.63E-2</v>
      </c>
      <c r="AT15" s="646">
        <f t="shared" si="14"/>
        <v>3652.7777777777778</v>
      </c>
      <c r="AW15" s="646">
        <f t="shared" si="15"/>
        <v>0</v>
      </c>
      <c r="AZ15" s="646">
        <f t="shared" si="16"/>
        <v>0</v>
      </c>
      <c r="BC15" s="646">
        <f t="shared" si="17"/>
        <v>0</v>
      </c>
      <c r="BF15" s="646">
        <f t="shared" si="18"/>
        <v>0</v>
      </c>
      <c r="BI15" s="646">
        <f t="shared" si="19"/>
        <v>0</v>
      </c>
      <c r="BL15" s="646">
        <f t="shared" si="20"/>
        <v>0</v>
      </c>
      <c r="BO15" s="646">
        <f t="shared" si="21"/>
        <v>0</v>
      </c>
      <c r="BR15" s="646">
        <f t="shared" si="22"/>
        <v>0</v>
      </c>
      <c r="BU15" s="646">
        <f t="shared" si="23"/>
        <v>0</v>
      </c>
      <c r="BX15" s="646">
        <f t="shared" si="24"/>
        <v>0</v>
      </c>
      <c r="CA15" s="646">
        <f t="shared" si="25"/>
        <v>0</v>
      </c>
      <c r="CD15" s="646">
        <f t="shared" si="26"/>
        <v>0</v>
      </c>
      <c r="CG15" s="646">
        <f t="shared" si="27"/>
        <v>0</v>
      </c>
      <c r="CJ15" s="646">
        <f t="shared" si="28"/>
        <v>0</v>
      </c>
      <c r="CM15" s="646">
        <f t="shared" si="29"/>
        <v>0</v>
      </c>
      <c r="CP15" s="646">
        <f t="shared" si="30"/>
        <v>0</v>
      </c>
      <c r="CS15" s="646">
        <f t="shared" si="31"/>
        <v>0</v>
      </c>
      <c r="CV15" s="646">
        <f t="shared" si="32"/>
        <v>0</v>
      </c>
      <c r="CY15" s="646">
        <f t="shared" si="33"/>
        <v>0</v>
      </c>
      <c r="DB15" s="646">
        <f t="shared" si="34"/>
        <v>0</v>
      </c>
      <c r="DE15" s="646">
        <f t="shared" si="35"/>
        <v>0</v>
      </c>
      <c r="DH15" s="646">
        <f t="shared" si="36"/>
        <v>0</v>
      </c>
      <c r="DK15" s="646">
        <f t="shared" si="37"/>
        <v>0</v>
      </c>
      <c r="DN15" s="646">
        <f t="shared" si="38"/>
        <v>0</v>
      </c>
      <c r="DQ15" s="646">
        <f t="shared" si="39"/>
        <v>0</v>
      </c>
      <c r="DT15" s="646">
        <f t="shared" si="40"/>
        <v>0</v>
      </c>
      <c r="DW15" s="646">
        <f t="shared" si="41"/>
        <v>0</v>
      </c>
      <c r="DZ15" s="646"/>
      <c r="EA15" s="646"/>
      <c r="EB15" s="531">
        <f t="shared" si="42"/>
        <v>184275000</v>
      </c>
      <c r="EC15" s="531">
        <f t="shared" si="43"/>
        <v>0</v>
      </c>
      <c r="ED15" s="646">
        <f t="shared" si="44"/>
        <v>13282.180555555555</v>
      </c>
      <c r="EE15" s="647">
        <f t="shared" si="45"/>
        <v>2.5948093881427211E-2</v>
      </c>
      <c r="EG15" s="531">
        <f t="shared" si="46"/>
        <v>0</v>
      </c>
      <c r="EH15" s="646">
        <f t="shared" si="47"/>
        <v>0</v>
      </c>
      <c r="EI15" s="647">
        <f t="shared" si="48"/>
        <v>0</v>
      </c>
      <c r="EJ15" s="647"/>
      <c r="EK15" s="531">
        <f t="shared" si="49"/>
        <v>184275000</v>
      </c>
      <c r="EL15" s="531">
        <f t="shared" si="50"/>
        <v>0</v>
      </c>
      <c r="EM15" s="531">
        <f t="shared" si="51"/>
        <v>13282.180555555555</v>
      </c>
      <c r="EN15" s="647">
        <f t="shared" si="52"/>
        <v>2.5948093881427211E-2</v>
      </c>
      <c r="EP15" s="646"/>
    </row>
    <row r="16" spans="1:147">
      <c r="A16" s="665">
        <f t="shared" si="53"/>
        <v>43651</v>
      </c>
      <c r="D16" s="646">
        <f t="shared" si="2"/>
        <v>0</v>
      </c>
      <c r="G16" s="646">
        <f t="shared" si="3"/>
        <v>0</v>
      </c>
      <c r="J16" s="646">
        <f t="shared" si="4"/>
        <v>0</v>
      </c>
      <c r="M16" s="646">
        <f t="shared" si="5"/>
        <v>0</v>
      </c>
      <c r="P16" s="646">
        <f t="shared" si="6"/>
        <v>0</v>
      </c>
      <c r="S16" s="646">
        <f t="shared" si="7"/>
        <v>0</v>
      </c>
      <c r="V16" s="646">
        <f t="shared" si="8"/>
        <v>0</v>
      </c>
      <c r="Y16" s="646">
        <f t="shared" si="9"/>
        <v>0</v>
      </c>
      <c r="AB16" s="646">
        <f t="shared" si="10"/>
        <v>0</v>
      </c>
      <c r="AE16" s="646">
        <v>0</v>
      </c>
      <c r="AH16" s="646">
        <v>0</v>
      </c>
      <c r="AI16" s="666">
        <f>22675000+425000</f>
        <v>23100000</v>
      </c>
      <c r="AJ16" s="667">
        <v>2.5399999999999999E-2</v>
      </c>
      <c r="AK16" s="646">
        <f t="shared" si="11"/>
        <v>1629.8333333333333</v>
      </c>
      <c r="AL16" s="666">
        <f t="shared" si="0"/>
        <v>35000000</v>
      </c>
      <c r="AM16" s="667">
        <v>2.7E-2</v>
      </c>
      <c r="AN16" s="646">
        <f t="shared" si="12"/>
        <v>2625</v>
      </c>
      <c r="AO16" s="666">
        <v>74275000</v>
      </c>
      <c r="AP16" s="667">
        <v>2.5399999999999999E-2</v>
      </c>
      <c r="AQ16" s="646">
        <f t="shared" si="13"/>
        <v>5240.5138888888887</v>
      </c>
      <c r="AR16" s="666">
        <f t="shared" si="1"/>
        <v>50000000</v>
      </c>
      <c r="AS16" s="667">
        <v>2.63E-2</v>
      </c>
      <c r="AT16" s="646">
        <f t="shared" si="14"/>
        <v>3652.7777777777778</v>
      </c>
      <c r="AW16" s="646">
        <f t="shared" si="15"/>
        <v>0</v>
      </c>
      <c r="AZ16" s="646">
        <f t="shared" si="16"/>
        <v>0</v>
      </c>
      <c r="BC16" s="646">
        <f t="shared" si="17"/>
        <v>0</v>
      </c>
      <c r="BF16" s="646">
        <f t="shared" si="18"/>
        <v>0</v>
      </c>
      <c r="BI16" s="646">
        <f t="shared" si="19"/>
        <v>0</v>
      </c>
      <c r="BL16" s="646">
        <f t="shared" si="20"/>
        <v>0</v>
      </c>
      <c r="BO16" s="646">
        <f t="shared" si="21"/>
        <v>0</v>
      </c>
      <c r="BR16" s="646">
        <f t="shared" si="22"/>
        <v>0</v>
      </c>
      <c r="BU16" s="646">
        <f t="shared" si="23"/>
        <v>0</v>
      </c>
      <c r="BX16" s="646">
        <f t="shared" si="24"/>
        <v>0</v>
      </c>
      <c r="CA16" s="646">
        <f t="shared" si="25"/>
        <v>0</v>
      </c>
      <c r="CD16" s="646">
        <f t="shared" si="26"/>
        <v>0</v>
      </c>
      <c r="CG16" s="646">
        <f t="shared" si="27"/>
        <v>0</v>
      </c>
      <c r="CJ16" s="646">
        <f t="shared" si="28"/>
        <v>0</v>
      </c>
      <c r="CM16" s="646">
        <f t="shared" si="29"/>
        <v>0</v>
      </c>
      <c r="CP16" s="646">
        <f t="shared" si="30"/>
        <v>0</v>
      </c>
      <c r="CS16" s="646">
        <f t="shared" si="31"/>
        <v>0</v>
      </c>
      <c r="CV16" s="646">
        <f t="shared" si="32"/>
        <v>0</v>
      </c>
      <c r="CY16" s="646">
        <f t="shared" si="33"/>
        <v>0</v>
      </c>
      <c r="DB16" s="646">
        <f t="shared" si="34"/>
        <v>0</v>
      </c>
      <c r="DE16" s="646">
        <f t="shared" si="35"/>
        <v>0</v>
      </c>
      <c r="DH16" s="646">
        <f t="shared" si="36"/>
        <v>0</v>
      </c>
      <c r="DK16" s="646">
        <f t="shared" si="37"/>
        <v>0</v>
      </c>
      <c r="DN16" s="646">
        <f t="shared" si="38"/>
        <v>0</v>
      </c>
      <c r="DQ16" s="646">
        <f t="shared" si="39"/>
        <v>0</v>
      </c>
      <c r="DT16" s="646">
        <f t="shared" si="40"/>
        <v>0</v>
      </c>
      <c r="DW16" s="646">
        <f t="shared" si="41"/>
        <v>0</v>
      </c>
      <c r="DZ16" s="646"/>
      <c r="EA16" s="646"/>
      <c r="EB16" s="531">
        <f t="shared" si="42"/>
        <v>182375000</v>
      </c>
      <c r="EC16" s="531">
        <f t="shared" si="43"/>
        <v>0</v>
      </c>
      <c r="ED16" s="646">
        <f t="shared" si="44"/>
        <v>13148.125</v>
      </c>
      <c r="EE16" s="647">
        <f t="shared" si="45"/>
        <v>2.5953803975325568E-2</v>
      </c>
      <c r="EG16" s="531">
        <f t="shared" si="46"/>
        <v>0</v>
      </c>
      <c r="EH16" s="646">
        <f t="shared" si="47"/>
        <v>0</v>
      </c>
      <c r="EI16" s="647">
        <f t="shared" si="48"/>
        <v>0</v>
      </c>
      <c r="EJ16" s="647"/>
      <c r="EK16" s="531">
        <f t="shared" si="49"/>
        <v>182375000</v>
      </c>
      <c r="EL16" s="531">
        <f t="shared" si="50"/>
        <v>0</v>
      </c>
      <c r="EM16" s="531">
        <f t="shared" si="51"/>
        <v>13148.125</v>
      </c>
      <c r="EN16" s="647">
        <f t="shared" si="52"/>
        <v>2.5953803975325568E-2</v>
      </c>
      <c r="EP16" s="646"/>
    </row>
    <row r="17" spans="1:146">
      <c r="A17" s="665">
        <f t="shared" si="53"/>
        <v>43652</v>
      </c>
      <c r="D17" s="646">
        <f t="shared" si="2"/>
        <v>0</v>
      </c>
      <c r="G17" s="646">
        <f t="shared" si="3"/>
        <v>0</v>
      </c>
      <c r="J17" s="646">
        <f t="shared" si="4"/>
        <v>0</v>
      </c>
      <c r="M17" s="646">
        <f t="shared" si="5"/>
        <v>0</v>
      </c>
      <c r="P17" s="646">
        <f t="shared" si="6"/>
        <v>0</v>
      </c>
      <c r="S17" s="646">
        <f t="shared" si="7"/>
        <v>0</v>
      </c>
      <c r="V17" s="646">
        <f t="shared" si="8"/>
        <v>0</v>
      </c>
      <c r="Y17" s="646">
        <f t="shared" si="9"/>
        <v>0</v>
      </c>
      <c r="AB17" s="646">
        <f t="shared" si="10"/>
        <v>0</v>
      </c>
      <c r="AE17" s="646">
        <v>0</v>
      </c>
      <c r="AH17" s="646">
        <v>0</v>
      </c>
      <c r="AI17" s="666">
        <f>22675000+425000</f>
        <v>23100000</v>
      </c>
      <c r="AJ17" s="667">
        <v>2.5399999999999999E-2</v>
      </c>
      <c r="AK17" s="646">
        <f t="shared" si="11"/>
        <v>1629.8333333333333</v>
      </c>
      <c r="AL17" s="666">
        <f t="shared" si="0"/>
        <v>35000000</v>
      </c>
      <c r="AM17" s="667">
        <v>2.7E-2</v>
      </c>
      <c r="AN17" s="646">
        <f t="shared" si="12"/>
        <v>2625</v>
      </c>
      <c r="AO17" s="666">
        <v>74275000</v>
      </c>
      <c r="AP17" s="667">
        <v>2.5399999999999999E-2</v>
      </c>
      <c r="AQ17" s="646">
        <f t="shared" si="13"/>
        <v>5240.5138888888887</v>
      </c>
      <c r="AR17" s="666">
        <f t="shared" si="1"/>
        <v>50000000</v>
      </c>
      <c r="AS17" s="667">
        <v>2.63E-2</v>
      </c>
      <c r="AT17" s="646">
        <f t="shared" si="14"/>
        <v>3652.7777777777778</v>
      </c>
      <c r="AW17" s="646">
        <f t="shared" si="15"/>
        <v>0</v>
      </c>
      <c r="AZ17" s="646">
        <f t="shared" si="16"/>
        <v>0</v>
      </c>
      <c r="BC17" s="646">
        <f t="shared" si="17"/>
        <v>0</v>
      </c>
      <c r="BF17" s="646">
        <f t="shared" si="18"/>
        <v>0</v>
      </c>
      <c r="BI17" s="646">
        <f t="shared" si="19"/>
        <v>0</v>
      </c>
      <c r="BL17" s="646">
        <f t="shared" si="20"/>
        <v>0</v>
      </c>
      <c r="BO17" s="646">
        <f t="shared" si="21"/>
        <v>0</v>
      </c>
      <c r="BR17" s="646">
        <f t="shared" si="22"/>
        <v>0</v>
      </c>
      <c r="BU17" s="646">
        <f t="shared" si="23"/>
        <v>0</v>
      </c>
      <c r="BX17" s="646">
        <f t="shared" si="24"/>
        <v>0</v>
      </c>
      <c r="CA17" s="646">
        <f t="shared" si="25"/>
        <v>0</v>
      </c>
      <c r="CD17" s="646">
        <f t="shared" si="26"/>
        <v>0</v>
      </c>
      <c r="CG17" s="646">
        <f t="shared" si="27"/>
        <v>0</v>
      </c>
      <c r="CJ17" s="646">
        <f t="shared" si="28"/>
        <v>0</v>
      </c>
      <c r="CM17" s="646">
        <f t="shared" si="29"/>
        <v>0</v>
      </c>
      <c r="CP17" s="646">
        <f t="shared" si="30"/>
        <v>0</v>
      </c>
      <c r="CS17" s="646">
        <f t="shared" si="31"/>
        <v>0</v>
      </c>
      <c r="CV17" s="646">
        <f t="shared" si="32"/>
        <v>0</v>
      </c>
      <c r="CY17" s="646">
        <f t="shared" si="33"/>
        <v>0</v>
      </c>
      <c r="DB17" s="646">
        <f t="shared" si="34"/>
        <v>0</v>
      </c>
      <c r="DE17" s="646">
        <f t="shared" si="35"/>
        <v>0</v>
      </c>
      <c r="DH17" s="646">
        <f t="shared" si="36"/>
        <v>0</v>
      </c>
      <c r="DK17" s="646">
        <f t="shared" si="37"/>
        <v>0</v>
      </c>
      <c r="DN17" s="646">
        <f t="shared" si="38"/>
        <v>0</v>
      </c>
      <c r="DQ17" s="646">
        <f t="shared" si="39"/>
        <v>0</v>
      </c>
      <c r="DT17" s="646">
        <f t="shared" si="40"/>
        <v>0</v>
      </c>
      <c r="DW17" s="646">
        <f t="shared" si="41"/>
        <v>0</v>
      </c>
      <c r="DZ17" s="646"/>
      <c r="EA17" s="646"/>
      <c r="EB17" s="531">
        <f t="shared" si="42"/>
        <v>182375000</v>
      </c>
      <c r="EC17" s="531">
        <f t="shared" si="43"/>
        <v>0</v>
      </c>
      <c r="ED17" s="646">
        <f t="shared" si="44"/>
        <v>13148.125</v>
      </c>
      <c r="EE17" s="647">
        <f t="shared" si="45"/>
        <v>2.5953803975325568E-2</v>
      </c>
      <c r="EG17" s="531">
        <f t="shared" si="46"/>
        <v>0</v>
      </c>
      <c r="EH17" s="646">
        <f t="shared" si="47"/>
        <v>0</v>
      </c>
      <c r="EI17" s="647">
        <f t="shared" si="48"/>
        <v>0</v>
      </c>
      <c r="EJ17" s="647"/>
      <c r="EK17" s="531">
        <f t="shared" si="49"/>
        <v>182375000</v>
      </c>
      <c r="EL17" s="531">
        <f t="shared" si="50"/>
        <v>0</v>
      </c>
      <c r="EM17" s="531">
        <f t="shared" si="51"/>
        <v>13148.125</v>
      </c>
      <c r="EN17" s="647">
        <f t="shared" si="52"/>
        <v>2.5953803975325568E-2</v>
      </c>
      <c r="EP17" s="646"/>
    </row>
    <row r="18" spans="1:146">
      <c r="A18" s="665">
        <f t="shared" si="53"/>
        <v>43653</v>
      </c>
      <c r="D18" s="646">
        <f t="shared" si="2"/>
        <v>0</v>
      </c>
      <c r="G18" s="646">
        <f t="shared" si="3"/>
        <v>0</v>
      </c>
      <c r="J18" s="646">
        <f t="shared" si="4"/>
        <v>0</v>
      </c>
      <c r="M18" s="646">
        <f t="shared" si="5"/>
        <v>0</v>
      </c>
      <c r="P18" s="646">
        <f t="shared" si="6"/>
        <v>0</v>
      </c>
      <c r="S18" s="646">
        <f t="shared" si="7"/>
        <v>0</v>
      </c>
      <c r="V18" s="646">
        <f t="shared" si="8"/>
        <v>0</v>
      </c>
      <c r="Y18" s="646">
        <f t="shared" si="9"/>
        <v>0</v>
      </c>
      <c r="AB18" s="646">
        <f t="shared" si="10"/>
        <v>0</v>
      </c>
      <c r="AE18" s="646">
        <v>0</v>
      </c>
      <c r="AH18" s="646">
        <v>0</v>
      </c>
      <c r="AI18" s="666">
        <f>22675000+425000</f>
        <v>23100000</v>
      </c>
      <c r="AJ18" s="667">
        <v>2.5399999999999999E-2</v>
      </c>
      <c r="AK18" s="646">
        <f t="shared" si="11"/>
        <v>1629.8333333333333</v>
      </c>
      <c r="AL18" s="666">
        <f t="shared" si="0"/>
        <v>35000000</v>
      </c>
      <c r="AM18" s="667">
        <v>2.7E-2</v>
      </c>
      <c r="AN18" s="646">
        <f t="shared" si="12"/>
        <v>2625</v>
      </c>
      <c r="AO18" s="666">
        <v>74275000</v>
      </c>
      <c r="AP18" s="667">
        <v>2.5399999999999999E-2</v>
      </c>
      <c r="AQ18" s="646">
        <f t="shared" si="13"/>
        <v>5240.5138888888887</v>
      </c>
      <c r="AR18" s="666">
        <f t="shared" si="1"/>
        <v>50000000</v>
      </c>
      <c r="AS18" s="667">
        <v>2.63E-2</v>
      </c>
      <c r="AT18" s="646">
        <f t="shared" si="14"/>
        <v>3652.7777777777778</v>
      </c>
      <c r="AW18" s="646">
        <f t="shared" si="15"/>
        <v>0</v>
      </c>
      <c r="AZ18" s="646">
        <f t="shared" si="16"/>
        <v>0</v>
      </c>
      <c r="BC18" s="646">
        <f t="shared" si="17"/>
        <v>0</v>
      </c>
      <c r="BF18" s="646">
        <f t="shared" si="18"/>
        <v>0</v>
      </c>
      <c r="BI18" s="646">
        <f t="shared" si="19"/>
        <v>0</v>
      </c>
      <c r="BL18" s="646">
        <f t="shared" si="20"/>
        <v>0</v>
      </c>
      <c r="BO18" s="646">
        <f t="shared" si="21"/>
        <v>0</v>
      </c>
      <c r="BR18" s="646">
        <f t="shared" si="22"/>
        <v>0</v>
      </c>
      <c r="BU18" s="646">
        <f t="shared" si="23"/>
        <v>0</v>
      </c>
      <c r="BX18" s="646">
        <f t="shared" si="24"/>
        <v>0</v>
      </c>
      <c r="CA18" s="646">
        <f t="shared" si="25"/>
        <v>0</v>
      </c>
      <c r="CD18" s="646">
        <f t="shared" si="26"/>
        <v>0</v>
      </c>
      <c r="CG18" s="646">
        <f t="shared" si="27"/>
        <v>0</v>
      </c>
      <c r="CJ18" s="646">
        <f t="shared" si="28"/>
        <v>0</v>
      </c>
      <c r="CM18" s="646">
        <f t="shared" si="29"/>
        <v>0</v>
      </c>
      <c r="CP18" s="646">
        <f t="shared" si="30"/>
        <v>0</v>
      </c>
      <c r="CS18" s="646">
        <f t="shared" si="31"/>
        <v>0</v>
      </c>
      <c r="CV18" s="646">
        <f t="shared" si="32"/>
        <v>0</v>
      </c>
      <c r="CY18" s="646">
        <f t="shared" si="33"/>
        <v>0</v>
      </c>
      <c r="DB18" s="646">
        <f t="shared" si="34"/>
        <v>0</v>
      </c>
      <c r="DE18" s="646">
        <f t="shared" si="35"/>
        <v>0</v>
      </c>
      <c r="DH18" s="646">
        <f t="shared" si="36"/>
        <v>0</v>
      </c>
      <c r="DK18" s="646">
        <f t="shared" si="37"/>
        <v>0</v>
      </c>
      <c r="DN18" s="646">
        <f t="shared" si="38"/>
        <v>0</v>
      </c>
      <c r="DQ18" s="646">
        <f t="shared" si="39"/>
        <v>0</v>
      </c>
      <c r="DT18" s="646">
        <f t="shared" si="40"/>
        <v>0</v>
      </c>
      <c r="DW18" s="646">
        <f t="shared" si="41"/>
        <v>0</v>
      </c>
      <c r="DZ18" s="646"/>
      <c r="EA18" s="646"/>
      <c r="EB18" s="531">
        <f t="shared" si="42"/>
        <v>182375000</v>
      </c>
      <c r="EC18" s="531">
        <f t="shared" si="43"/>
        <v>0</v>
      </c>
      <c r="ED18" s="646">
        <f t="shared" si="44"/>
        <v>13148.125</v>
      </c>
      <c r="EE18" s="647">
        <f t="shared" si="45"/>
        <v>2.5953803975325568E-2</v>
      </c>
      <c r="EG18" s="531">
        <f t="shared" si="46"/>
        <v>0</v>
      </c>
      <c r="EH18" s="646">
        <f t="shared" si="47"/>
        <v>0</v>
      </c>
      <c r="EI18" s="647">
        <f t="shared" si="48"/>
        <v>0</v>
      </c>
      <c r="EJ18" s="647"/>
      <c r="EK18" s="531">
        <f t="shared" si="49"/>
        <v>182375000</v>
      </c>
      <c r="EL18" s="531">
        <f t="shared" si="50"/>
        <v>0</v>
      </c>
      <c r="EM18" s="531">
        <f t="shared" si="51"/>
        <v>13148.125</v>
      </c>
      <c r="EN18" s="647">
        <f t="shared" si="52"/>
        <v>2.5953803975325568E-2</v>
      </c>
      <c r="EP18" s="646"/>
    </row>
    <row r="19" spans="1:146">
      <c r="A19" s="665">
        <f t="shared" si="53"/>
        <v>43654</v>
      </c>
      <c r="D19" s="646">
        <f t="shared" si="2"/>
        <v>0</v>
      </c>
      <c r="G19" s="646">
        <f t="shared" si="3"/>
        <v>0</v>
      </c>
      <c r="J19" s="646">
        <f t="shared" si="4"/>
        <v>0</v>
      </c>
      <c r="M19" s="646">
        <f t="shared" si="5"/>
        <v>0</v>
      </c>
      <c r="P19" s="646">
        <f t="shared" si="6"/>
        <v>0</v>
      </c>
      <c r="S19" s="646">
        <f t="shared" si="7"/>
        <v>0</v>
      </c>
      <c r="V19" s="646">
        <f t="shared" si="8"/>
        <v>0</v>
      </c>
      <c r="Y19" s="646">
        <f t="shared" si="9"/>
        <v>0</v>
      </c>
      <c r="AB19" s="646">
        <f t="shared" si="10"/>
        <v>0</v>
      </c>
      <c r="AE19" s="646">
        <v>0</v>
      </c>
      <c r="AH19" s="646">
        <v>0</v>
      </c>
      <c r="AI19" s="666">
        <f>97150000</f>
        <v>97150000</v>
      </c>
      <c r="AJ19" s="667">
        <v>2.5399999999999999E-2</v>
      </c>
      <c r="AK19" s="646">
        <f t="shared" si="11"/>
        <v>6854.4722222222226</v>
      </c>
      <c r="AL19" s="666"/>
      <c r="AM19" s="667"/>
      <c r="AN19" s="646">
        <f t="shared" si="12"/>
        <v>0</v>
      </c>
      <c r="AO19" s="666"/>
      <c r="AP19" s="667"/>
      <c r="AQ19" s="646">
        <f t="shared" si="13"/>
        <v>0</v>
      </c>
      <c r="AR19" s="666">
        <f t="shared" ref="AR19:AR42" si="54">50000000+30000000</f>
        <v>80000000</v>
      </c>
      <c r="AS19" s="667">
        <v>2.63E-2</v>
      </c>
      <c r="AT19" s="646">
        <f t="shared" si="14"/>
        <v>5844.4444444444443</v>
      </c>
      <c r="AW19" s="646">
        <f t="shared" si="15"/>
        <v>0</v>
      </c>
      <c r="AZ19" s="646">
        <f t="shared" si="16"/>
        <v>0</v>
      </c>
      <c r="BC19" s="646">
        <f t="shared" si="17"/>
        <v>0</v>
      </c>
      <c r="BF19" s="646">
        <f t="shared" si="18"/>
        <v>0</v>
      </c>
      <c r="BI19" s="646">
        <f t="shared" si="19"/>
        <v>0</v>
      </c>
      <c r="BL19" s="646">
        <f t="shared" si="20"/>
        <v>0</v>
      </c>
      <c r="BO19" s="646">
        <f t="shared" si="21"/>
        <v>0</v>
      </c>
      <c r="BR19" s="646">
        <f t="shared" si="22"/>
        <v>0</v>
      </c>
      <c r="BU19" s="646">
        <f t="shared" si="23"/>
        <v>0</v>
      </c>
      <c r="BX19" s="646">
        <f t="shared" si="24"/>
        <v>0</v>
      </c>
      <c r="CA19" s="646">
        <f t="shared" si="25"/>
        <v>0</v>
      </c>
      <c r="CD19" s="646">
        <f t="shared" si="26"/>
        <v>0</v>
      </c>
      <c r="CG19" s="646">
        <f t="shared" si="27"/>
        <v>0</v>
      </c>
      <c r="CJ19" s="646">
        <f t="shared" si="28"/>
        <v>0</v>
      </c>
      <c r="CM19" s="646">
        <f t="shared" si="29"/>
        <v>0</v>
      </c>
      <c r="CP19" s="646">
        <f t="shared" si="30"/>
        <v>0</v>
      </c>
      <c r="CS19" s="646">
        <f t="shared" si="31"/>
        <v>0</v>
      </c>
      <c r="CV19" s="646">
        <f t="shared" si="32"/>
        <v>0</v>
      </c>
      <c r="CY19" s="646">
        <f t="shared" si="33"/>
        <v>0</v>
      </c>
      <c r="DB19" s="646">
        <f t="shared" si="34"/>
        <v>0</v>
      </c>
      <c r="DE19" s="646">
        <f t="shared" si="35"/>
        <v>0</v>
      </c>
      <c r="DH19" s="646">
        <f t="shared" si="36"/>
        <v>0</v>
      </c>
      <c r="DK19" s="646">
        <f t="shared" si="37"/>
        <v>0</v>
      </c>
      <c r="DN19" s="646">
        <f t="shared" si="38"/>
        <v>0</v>
      </c>
      <c r="DQ19" s="646">
        <f t="shared" si="39"/>
        <v>0</v>
      </c>
      <c r="DT19" s="646">
        <f t="shared" si="40"/>
        <v>0</v>
      </c>
      <c r="DW19" s="646">
        <f t="shared" si="41"/>
        <v>0</v>
      </c>
      <c r="DZ19" s="646"/>
      <c r="EA19" s="646"/>
      <c r="EB19" s="531">
        <f t="shared" si="42"/>
        <v>177150000</v>
      </c>
      <c r="EC19" s="531">
        <f t="shared" si="43"/>
        <v>0</v>
      </c>
      <c r="ED19" s="646">
        <f t="shared" si="44"/>
        <v>12698.916666666668</v>
      </c>
      <c r="EE19" s="647">
        <f t="shared" si="45"/>
        <v>2.5806435224386116E-2</v>
      </c>
      <c r="EG19" s="531">
        <f t="shared" si="46"/>
        <v>0</v>
      </c>
      <c r="EH19" s="646">
        <f t="shared" si="47"/>
        <v>0</v>
      </c>
      <c r="EI19" s="647">
        <f t="shared" si="48"/>
        <v>0</v>
      </c>
      <c r="EJ19" s="647"/>
      <c r="EK19" s="531">
        <f t="shared" si="49"/>
        <v>177150000</v>
      </c>
      <c r="EL19" s="531">
        <f t="shared" si="50"/>
        <v>0</v>
      </c>
      <c r="EM19" s="531">
        <f t="shared" si="51"/>
        <v>12698.916666666668</v>
      </c>
      <c r="EN19" s="647">
        <f t="shared" si="52"/>
        <v>2.5806435224386116E-2</v>
      </c>
      <c r="EP19" s="646"/>
    </row>
    <row r="20" spans="1:146">
      <c r="A20" s="665">
        <f t="shared" si="53"/>
        <v>43655</v>
      </c>
      <c r="D20" s="646">
        <f t="shared" si="2"/>
        <v>0</v>
      </c>
      <c r="G20" s="646">
        <f t="shared" si="3"/>
        <v>0</v>
      </c>
      <c r="J20" s="646">
        <f t="shared" si="4"/>
        <v>0</v>
      </c>
      <c r="M20" s="646">
        <f t="shared" si="5"/>
        <v>0</v>
      </c>
      <c r="P20" s="646">
        <f t="shared" si="6"/>
        <v>0</v>
      </c>
      <c r="S20" s="646">
        <f t="shared" si="7"/>
        <v>0</v>
      </c>
      <c r="V20" s="646">
        <f t="shared" si="8"/>
        <v>0</v>
      </c>
      <c r="Y20" s="646">
        <f t="shared" si="9"/>
        <v>0</v>
      </c>
      <c r="AB20" s="646">
        <f t="shared" si="10"/>
        <v>0</v>
      </c>
      <c r="AE20" s="646">
        <v>0</v>
      </c>
      <c r="AH20" s="646">
        <v>0</v>
      </c>
      <c r="AI20" s="666">
        <f>81575000</f>
        <v>81575000</v>
      </c>
      <c r="AJ20" s="667">
        <v>2.5399999999999999E-2</v>
      </c>
      <c r="AK20" s="646">
        <f t="shared" si="11"/>
        <v>5755.5694444444443</v>
      </c>
      <c r="AL20" s="666"/>
      <c r="AM20" s="667"/>
      <c r="AN20" s="646">
        <f t="shared" si="12"/>
        <v>0</v>
      </c>
      <c r="AO20" s="666"/>
      <c r="AP20" s="667"/>
      <c r="AQ20" s="646">
        <f t="shared" si="13"/>
        <v>0</v>
      </c>
      <c r="AR20" s="666">
        <f t="shared" si="54"/>
        <v>80000000</v>
      </c>
      <c r="AS20" s="667">
        <v>2.63E-2</v>
      </c>
      <c r="AT20" s="646">
        <f t="shared" si="14"/>
        <v>5844.4444444444443</v>
      </c>
      <c r="AW20" s="646">
        <f t="shared" si="15"/>
        <v>0</v>
      </c>
      <c r="AZ20" s="646">
        <f t="shared" si="16"/>
        <v>0</v>
      </c>
      <c r="BC20" s="646">
        <f t="shared" si="17"/>
        <v>0</v>
      </c>
      <c r="BF20" s="646">
        <f t="shared" si="18"/>
        <v>0</v>
      </c>
      <c r="BI20" s="646">
        <f t="shared" si="19"/>
        <v>0</v>
      </c>
      <c r="BL20" s="646">
        <f t="shared" si="20"/>
        <v>0</v>
      </c>
      <c r="BO20" s="646">
        <f t="shared" si="21"/>
        <v>0</v>
      </c>
      <c r="BR20" s="646">
        <f t="shared" si="22"/>
        <v>0</v>
      </c>
      <c r="BU20" s="646">
        <f t="shared" si="23"/>
        <v>0</v>
      </c>
      <c r="BX20" s="646">
        <f t="shared" si="24"/>
        <v>0</v>
      </c>
      <c r="CA20" s="646">
        <f t="shared" si="25"/>
        <v>0</v>
      </c>
      <c r="CD20" s="646">
        <f t="shared" si="26"/>
        <v>0</v>
      </c>
      <c r="CG20" s="646">
        <f t="shared" si="27"/>
        <v>0</v>
      </c>
      <c r="CJ20" s="646">
        <f t="shared" si="28"/>
        <v>0</v>
      </c>
      <c r="CM20" s="646">
        <f t="shared" si="29"/>
        <v>0</v>
      </c>
      <c r="CP20" s="646">
        <f t="shared" si="30"/>
        <v>0</v>
      </c>
      <c r="CS20" s="646">
        <f t="shared" si="31"/>
        <v>0</v>
      </c>
      <c r="CV20" s="646">
        <f t="shared" si="32"/>
        <v>0</v>
      </c>
      <c r="CY20" s="646">
        <f t="shared" si="33"/>
        <v>0</v>
      </c>
      <c r="DB20" s="646">
        <f t="shared" si="34"/>
        <v>0</v>
      </c>
      <c r="DE20" s="646">
        <f t="shared" si="35"/>
        <v>0</v>
      </c>
      <c r="DH20" s="646">
        <f t="shared" si="36"/>
        <v>0</v>
      </c>
      <c r="DK20" s="646">
        <f t="shared" si="37"/>
        <v>0</v>
      </c>
      <c r="DN20" s="646">
        <f t="shared" si="38"/>
        <v>0</v>
      </c>
      <c r="DQ20" s="646">
        <f t="shared" si="39"/>
        <v>0</v>
      </c>
      <c r="DT20" s="646">
        <f t="shared" si="40"/>
        <v>0</v>
      </c>
      <c r="DW20" s="646">
        <f t="shared" si="41"/>
        <v>0</v>
      </c>
      <c r="DZ20" s="646"/>
      <c r="EA20" s="646"/>
      <c r="EB20" s="531">
        <f t="shared" si="42"/>
        <v>161575000</v>
      </c>
      <c r="EC20" s="531">
        <f t="shared" si="43"/>
        <v>0</v>
      </c>
      <c r="ED20" s="646">
        <f t="shared" si="44"/>
        <v>11600.013888888889</v>
      </c>
      <c r="EE20" s="647">
        <f t="shared" si="45"/>
        <v>2.5845613492186292E-2</v>
      </c>
      <c r="EG20" s="531">
        <f t="shared" si="46"/>
        <v>0</v>
      </c>
      <c r="EH20" s="646">
        <f t="shared" si="47"/>
        <v>0</v>
      </c>
      <c r="EI20" s="647">
        <f t="shared" si="48"/>
        <v>0</v>
      </c>
      <c r="EJ20" s="647"/>
      <c r="EK20" s="531">
        <f t="shared" si="49"/>
        <v>161575000</v>
      </c>
      <c r="EL20" s="531">
        <f t="shared" si="50"/>
        <v>0</v>
      </c>
      <c r="EM20" s="531">
        <f t="shared" si="51"/>
        <v>11600.013888888889</v>
      </c>
      <c r="EN20" s="647">
        <f t="shared" si="52"/>
        <v>2.5845613492186292E-2</v>
      </c>
      <c r="EP20" s="646"/>
    </row>
    <row r="21" spans="1:146">
      <c r="A21" s="665">
        <f t="shared" si="53"/>
        <v>43656</v>
      </c>
      <c r="D21" s="646">
        <f t="shared" si="2"/>
        <v>0</v>
      </c>
      <c r="G21" s="646">
        <f t="shared" si="3"/>
        <v>0</v>
      </c>
      <c r="J21" s="646">
        <f t="shared" si="4"/>
        <v>0</v>
      </c>
      <c r="M21" s="646">
        <f t="shared" si="5"/>
        <v>0</v>
      </c>
      <c r="P21" s="646">
        <f t="shared" si="6"/>
        <v>0</v>
      </c>
      <c r="S21" s="646">
        <f t="shared" si="7"/>
        <v>0</v>
      </c>
      <c r="V21" s="646">
        <f t="shared" si="8"/>
        <v>0</v>
      </c>
      <c r="Y21" s="646">
        <f t="shared" si="9"/>
        <v>0</v>
      </c>
      <c r="AB21" s="646">
        <f t="shared" si="10"/>
        <v>0</v>
      </c>
      <c r="AE21" s="646">
        <v>0</v>
      </c>
      <c r="AH21" s="646">
        <v>0</v>
      </c>
      <c r="AI21" s="666">
        <f>74225000</f>
        <v>74225000</v>
      </c>
      <c r="AJ21" s="667">
        <v>2.5399999999999999E-2</v>
      </c>
      <c r="AK21" s="646">
        <f t="shared" si="11"/>
        <v>5236.9861111111113</v>
      </c>
      <c r="AL21" s="666"/>
      <c r="AM21" s="667"/>
      <c r="AN21" s="646">
        <f t="shared" si="12"/>
        <v>0</v>
      </c>
      <c r="AO21" s="666"/>
      <c r="AP21" s="667"/>
      <c r="AQ21" s="646">
        <f t="shared" si="13"/>
        <v>0</v>
      </c>
      <c r="AR21" s="666">
        <f t="shared" si="54"/>
        <v>80000000</v>
      </c>
      <c r="AS21" s="667">
        <v>2.63E-2</v>
      </c>
      <c r="AT21" s="646">
        <f t="shared" si="14"/>
        <v>5844.4444444444443</v>
      </c>
      <c r="AW21" s="646">
        <f t="shared" si="15"/>
        <v>0</v>
      </c>
      <c r="AZ21" s="646">
        <f t="shared" si="16"/>
        <v>0</v>
      </c>
      <c r="BC21" s="646">
        <f t="shared" si="17"/>
        <v>0</v>
      </c>
      <c r="BF21" s="646">
        <f t="shared" si="18"/>
        <v>0</v>
      </c>
      <c r="BI21" s="646">
        <f t="shared" si="19"/>
        <v>0</v>
      </c>
      <c r="BL21" s="646">
        <f t="shared" si="20"/>
        <v>0</v>
      </c>
      <c r="BO21" s="646">
        <f t="shared" si="21"/>
        <v>0</v>
      </c>
      <c r="BR21" s="646">
        <f t="shared" si="22"/>
        <v>0</v>
      </c>
      <c r="BU21" s="646">
        <f t="shared" si="23"/>
        <v>0</v>
      </c>
      <c r="BX21" s="646">
        <f t="shared" si="24"/>
        <v>0</v>
      </c>
      <c r="CA21" s="646">
        <f t="shared" si="25"/>
        <v>0</v>
      </c>
      <c r="CD21" s="646">
        <f t="shared" si="26"/>
        <v>0</v>
      </c>
      <c r="CG21" s="646">
        <f t="shared" si="27"/>
        <v>0</v>
      </c>
      <c r="CJ21" s="646">
        <f t="shared" si="28"/>
        <v>0</v>
      </c>
      <c r="CM21" s="646">
        <f t="shared" si="29"/>
        <v>0</v>
      </c>
      <c r="CP21" s="646">
        <f t="shared" si="30"/>
        <v>0</v>
      </c>
      <c r="CS21" s="646">
        <f t="shared" si="31"/>
        <v>0</v>
      </c>
      <c r="CV21" s="646">
        <f t="shared" si="32"/>
        <v>0</v>
      </c>
      <c r="CY21" s="646">
        <f t="shared" si="33"/>
        <v>0</v>
      </c>
      <c r="DB21" s="646">
        <f t="shared" si="34"/>
        <v>0</v>
      </c>
      <c r="DE21" s="646">
        <f t="shared" si="35"/>
        <v>0</v>
      </c>
      <c r="DH21" s="646">
        <f t="shared" si="36"/>
        <v>0</v>
      </c>
      <c r="DK21" s="646">
        <f t="shared" si="37"/>
        <v>0</v>
      </c>
      <c r="DN21" s="646">
        <f t="shared" si="38"/>
        <v>0</v>
      </c>
      <c r="DQ21" s="646">
        <f t="shared" si="39"/>
        <v>0</v>
      </c>
      <c r="DT21" s="646">
        <f t="shared" si="40"/>
        <v>0</v>
      </c>
      <c r="DW21" s="646">
        <f t="shared" si="41"/>
        <v>0</v>
      </c>
      <c r="DZ21" s="646"/>
      <c r="EA21" s="646"/>
      <c r="EB21" s="531">
        <f t="shared" si="42"/>
        <v>154225000</v>
      </c>
      <c r="EC21" s="531">
        <f t="shared" si="43"/>
        <v>0</v>
      </c>
      <c r="ED21" s="646">
        <f t="shared" si="44"/>
        <v>11081.430555555555</v>
      </c>
      <c r="EE21" s="647">
        <f t="shared" si="45"/>
        <v>2.5866850380936942E-2</v>
      </c>
      <c r="EG21" s="531">
        <f t="shared" si="46"/>
        <v>0</v>
      </c>
      <c r="EH21" s="646">
        <f t="shared" si="47"/>
        <v>0</v>
      </c>
      <c r="EI21" s="647">
        <f t="shared" si="48"/>
        <v>0</v>
      </c>
      <c r="EJ21" s="647"/>
      <c r="EK21" s="531">
        <f t="shared" si="49"/>
        <v>154225000</v>
      </c>
      <c r="EL21" s="531">
        <f t="shared" si="50"/>
        <v>0</v>
      </c>
      <c r="EM21" s="531">
        <f t="shared" si="51"/>
        <v>11081.430555555555</v>
      </c>
      <c r="EN21" s="647">
        <f t="shared" si="52"/>
        <v>2.5866850380936942E-2</v>
      </c>
      <c r="EP21" s="646"/>
    </row>
    <row r="22" spans="1:146">
      <c r="A22" s="665">
        <f t="shared" si="53"/>
        <v>43657</v>
      </c>
      <c r="D22" s="646">
        <f t="shared" si="2"/>
        <v>0</v>
      </c>
      <c r="G22" s="646">
        <f t="shared" si="3"/>
        <v>0</v>
      </c>
      <c r="J22" s="646">
        <f t="shared" si="4"/>
        <v>0</v>
      </c>
      <c r="M22" s="646">
        <f t="shared" si="5"/>
        <v>0</v>
      </c>
      <c r="P22" s="646">
        <f t="shared" si="6"/>
        <v>0</v>
      </c>
      <c r="S22" s="646">
        <f t="shared" si="7"/>
        <v>0</v>
      </c>
      <c r="V22" s="646">
        <f t="shared" si="8"/>
        <v>0</v>
      </c>
      <c r="Y22" s="646">
        <f t="shared" si="9"/>
        <v>0</v>
      </c>
      <c r="AB22" s="646">
        <f t="shared" si="10"/>
        <v>0</v>
      </c>
      <c r="AE22" s="646">
        <v>0</v>
      </c>
      <c r="AH22" s="646">
        <v>0</v>
      </c>
      <c r="AI22" s="666">
        <f>65975000</f>
        <v>65975000</v>
      </c>
      <c r="AJ22" s="667">
        <v>2.5399999999999999E-2</v>
      </c>
      <c r="AK22" s="646">
        <f t="shared" si="11"/>
        <v>4654.9027777777774</v>
      </c>
      <c r="AL22" s="666"/>
      <c r="AM22" s="667"/>
      <c r="AN22" s="646">
        <f t="shared" si="12"/>
        <v>0</v>
      </c>
      <c r="AO22" s="666"/>
      <c r="AP22" s="667"/>
      <c r="AQ22" s="646">
        <f t="shared" si="13"/>
        <v>0</v>
      </c>
      <c r="AR22" s="666">
        <f t="shared" si="54"/>
        <v>80000000</v>
      </c>
      <c r="AS22" s="667">
        <v>2.63E-2</v>
      </c>
      <c r="AT22" s="646">
        <f t="shared" si="14"/>
        <v>5844.4444444444443</v>
      </c>
      <c r="AW22" s="646">
        <f t="shared" si="15"/>
        <v>0</v>
      </c>
      <c r="AZ22" s="646">
        <f t="shared" si="16"/>
        <v>0</v>
      </c>
      <c r="BC22" s="646">
        <f t="shared" si="17"/>
        <v>0</v>
      </c>
      <c r="BF22" s="646">
        <f t="shared" si="18"/>
        <v>0</v>
      </c>
      <c r="BI22" s="646">
        <f t="shared" si="19"/>
        <v>0</v>
      </c>
      <c r="BL22" s="646">
        <f t="shared" si="20"/>
        <v>0</v>
      </c>
      <c r="BO22" s="646">
        <f t="shared" si="21"/>
        <v>0</v>
      </c>
      <c r="BR22" s="646">
        <f t="shared" si="22"/>
        <v>0</v>
      </c>
      <c r="BU22" s="646">
        <f t="shared" si="23"/>
        <v>0</v>
      </c>
      <c r="BX22" s="646">
        <f t="shared" si="24"/>
        <v>0</v>
      </c>
      <c r="CA22" s="646">
        <f t="shared" si="25"/>
        <v>0</v>
      </c>
      <c r="CD22" s="646">
        <f t="shared" si="26"/>
        <v>0</v>
      </c>
      <c r="CG22" s="646">
        <f t="shared" si="27"/>
        <v>0</v>
      </c>
      <c r="CJ22" s="646">
        <f t="shared" si="28"/>
        <v>0</v>
      </c>
      <c r="CM22" s="646">
        <f t="shared" si="29"/>
        <v>0</v>
      </c>
      <c r="CP22" s="646">
        <f t="shared" si="30"/>
        <v>0</v>
      </c>
      <c r="CS22" s="646">
        <f t="shared" si="31"/>
        <v>0</v>
      </c>
      <c r="CV22" s="646">
        <f t="shared" si="32"/>
        <v>0</v>
      </c>
      <c r="CY22" s="646">
        <f t="shared" si="33"/>
        <v>0</v>
      </c>
      <c r="DB22" s="646">
        <f t="shared" si="34"/>
        <v>0</v>
      </c>
      <c r="DE22" s="646">
        <f t="shared" si="35"/>
        <v>0</v>
      </c>
      <c r="DH22" s="646">
        <f t="shared" si="36"/>
        <v>0</v>
      </c>
      <c r="DK22" s="646">
        <f t="shared" si="37"/>
        <v>0</v>
      </c>
      <c r="DN22" s="646">
        <f t="shared" si="38"/>
        <v>0</v>
      </c>
      <c r="DQ22" s="646">
        <f t="shared" si="39"/>
        <v>0</v>
      </c>
      <c r="DT22" s="646">
        <f t="shared" si="40"/>
        <v>0</v>
      </c>
      <c r="DW22" s="646">
        <f t="shared" si="41"/>
        <v>0</v>
      </c>
      <c r="DZ22" s="646"/>
      <c r="EA22" s="646"/>
      <c r="EB22" s="531">
        <f t="shared" si="42"/>
        <v>145975000</v>
      </c>
      <c r="EC22" s="531">
        <f t="shared" si="43"/>
        <v>0</v>
      </c>
      <c r="ED22" s="646">
        <f t="shared" si="44"/>
        <v>10499.347222222223</v>
      </c>
      <c r="EE22" s="647">
        <f t="shared" si="45"/>
        <v>2.5893235143003939E-2</v>
      </c>
      <c r="EG22" s="531">
        <f t="shared" si="46"/>
        <v>0</v>
      </c>
      <c r="EH22" s="646">
        <f t="shared" si="47"/>
        <v>0</v>
      </c>
      <c r="EI22" s="647">
        <f t="shared" si="48"/>
        <v>0</v>
      </c>
      <c r="EJ22" s="647"/>
      <c r="EK22" s="531">
        <f t="shared" si="49"/>
        <v>145975000</v>
      </c>
      <c r="EL22" s="531">
        <f t="shared" si="50"/>
        <v>0</v>
      </c>
      <c r="EM22" s="531">
        <f t="shared" si="51"/>
        <v>10499.347222222223</v>
      </c>
      <c r="EN22" s="647">
        <f t="shared" si="52"/>
        <v>2.5893235143003939E-2</v>
      </c>
      <c r="EP22" s="646"/>
    </row>
    <row r="23" spans="1:146">
      <c r="A23" s="665">
        <f t="shared" si="53"/>
        <v>43658</v>
      </c>
      <c r="D23" s="646">
        <f t="shared" si="2"/>
        <v>0</v>
      </c>
      <c r="G23" s="646">
        <f t="shared" si="3"/>
        <v>0</v>
      </c>
      <c r="J23" s="646">
        <f t="shared" si="4"/>
        <v>0</v>
      </c>
      <c r="M23" s="646">
        <f t="shared" si="5"/>
        <v>0</v>
      </c>
      <c r="P23" s="646">
        <f t="shared" si="6"/>
        <v>0</v>
      </c>
      <c r="S23" s="646">
        <f t="shared" si="7"/>
        <v>0</v>
      </c>
      <c r="V23" s="646">
        <f t="shared" si="8"/>
        <v>0</v>
      </c>
      <c r="Y23" s="646">
        <f t="shared" si="9"/>
        <v>0</v>
      </c>
      <c r="AB23" s="646">
        <f t="shared" si="10"/>
        <v>0</v>
      </c>
      <c r="AE23" s="646">
        <v>0</v>
      </c>
      <c r="AH23" s="646">
        <v>0</v>
      </c>
      <c r="AI23" s="666">
        <f>77150000</f>
        <v>77150000</v>
      </c>
      <c r="AJ23" s="667">
        <v>2.5399999999999999E-2</v>
      </c>
      <c r="AK23" s="646">
        <f t="shared" si="11"/>
        <v>5443.3611111111113</v>
      </c>
      <c r="AL23" s="666"/>
      <c r="AM23" s="667"/>
      <c r="AN23" s="646">
        <f t="shared" si="12"/>
        <v>0</v>
      </c>
      <c r="AO23" s="666"/>
      <c r="AP23" s="667"/>
      <c r="AQ23" s="646">
        <f t="shared" si="13"/>
        <v>0</v>
      </c>
      <c r="AR23" s="666">
        <f t="shared" si="54"/>
        <v>80000000</v>
      </c>
      <c r="AS23" s="667">
        <v>2.63E-2</v>
      </c>
      <c r="AT23" s="646">
        <f t="shared" si="14"/>
        <v>5844.4444444444443</v>
      </c>
      <c r="AW23" s="646">
        <f t="shared" si="15"/>
        <v>0</v>
      </c>
      <c r="AZ23" s="646">
        <f t="shared" si="16"/>
        <v>0</v>
      </c>
      <c r="BC23" s="646">
        <f t="shared" si="17"/>
        <v>0</v>
      </c>
      <c r="BF23" s="646">
        <f t="shared" si="18"/>
        <v>0</v>
      </c>
      <c r="BI23" s="646">
        <f t="shared" si="19"/>
        <v>0</v>
      </c>
      <c r="BL23" s="646">
        <f t="shared" si="20"/>
        <v>0</v>
      </c>
      <c r="BO23" s="646">
        <f t="shared" si="21"/>
        <v>0</v>
      </c>
      <c r="BR23" s="646">
        <f t="shared" si="22"/>
        <v>0</v>
      </c>
      <c r="BU23" s="646">
        <f t="shared" si="23"/>
        <v>0</v>
      </c>
      <c r="BX23" s="646">
        <f t="shared" si="24"/>
        <v>0</v>
      </c>
      <c r="CA23" s="646">
        <f t="shared" si="25"/>
        <v>0</v>
      </c>
      <c r="CD23" s="646">
        <f t="shared" si="26"/>
        <v>0</v>
      </c>
      <c r="CG23" s="646">
        <f t="shared" si="27"/>
        <v>0</v>
      </c>
      <c r="CJ23" s="646">
        <f t="shared" si="28"/>
        <v>0</v>
      </c>
      <c r="CM23" s="646">
        <f t="shared" si="29"/>
        <v>0</v>
      </c>
      <c r="CP23" s="646">
        <f t="shared" si="30"/>
        <v>0</v>
      </c>
      <c r="CS23" s="646">
        <f t="shared" si="31"/>
        <v>0</v>
      </c>
      <c r="CV23" s="646">
        <f t="shared" si="32"/>
        <v>0</v>
      </c>
      <c r="CY23" s="646">
        <f t="shared" si="33"/>
        <v>0</v>
      </c>
      <c r="DB23" s="646">
        <f t="shared" si="34"/>
        <v>0</v>
      </c>
      <c r="DE23" s="646">
        <f t="shared" si="35"/>
        <v>0</v>
      </c>
      <c r="DH23" s="646">
        <f t="shared" si="36"/>
        <v>0</v>
      </c>
      <c r="DK23" s="646">
        <f t="shared" si="37"/>
        <v>0</v>
      </c>
      <c r="DN23" s="646">
        <f t="shared" si="38"/>
        <v>0</v>
      </c>
      <c r="DQ23" s="646">
        <f t="shared" si="39"/>
        <v>0</v>
      </c>
      <c r="DT23" s="646">
        <f t="shared" si="40"/>
        <v>0</v>
      </c>
      <c r="DW23" s="646">
        <f t="shared" si="41"/>
        <v>0</v>
      </c>
      <c r="DZ23" s="646"/>
      <c r="EA23" s="646"/>
      <c r="EB23" s="531">
        <f t="shared" si="42"/>
        <v>157150000</v>
      </c>
      <c r="EC23" s="531">
        <f t="shared" si="43"/>
        <v>0</v>
      </c>
      <c r="ED23" s="646">
        <f t="shared" si="44"/>
        <v>11287.805555555555</v>
      </c>
      <c r="EE23" s="647">
        <f t="shared" si="45"/>
        <v>2.5858160992682146E-2</v>
      </c>
      <c r="EG23" s="531">
        <f t="shared" si="46"/>
        <v>0</v>
      </c>
      <c r="EH23" s="646">
        <f t="shared" si="47"/>
        <v>0</v>
      </c>
      <c r="EI23" s="647">
        <f t="shared" si="48"/>
        <v>0</v>
      </c>
      <c r="EJ23" s="647"/>
      <c r="EK23" s="531">
        <f t="shared" si="49"/>
        <v>157150000</v>
      </c>
      <c r="EL23" s="531">
        <f t="shared" si="50"/>
        <v>0</v>
      </c>
      <c r="EM23" s="531">
        <f t="shared" si="51"/>
        <v>11287.805555555555</v>
      </c>
      <c r="EN23" s="647">
        <f t="shared" si="52"/>
        <v>2.5858160992682146E-2</v>
      </c>
      <c r="EP23" s="646"/>
    </row>
    <row r="24" spans="1:146">
      <c r="A24" s="665">
        <f t="shared" si="53"/>
        <v>43659</v>
      </c>
      <c r="D24" s="646">
        <f t="shared" si="2"/>
        <v>0</v>
      </c>
      <c r="G24" s="646">
        <f t="shared" si="3"/>
        <v>0</v>
      </c>
      <c r="J24" s="646">
        <f t="shared" si="4"/>
        <v>0</v>
      </c>
      <c r="M24" s="646">
        <f t="shared" si="5"/>
        <v>0</v>
      </c>
      <c r="P24" s="646">
        <f t="shared" si="6"/>
        <v>0</v>
      </c>
      <c r="S24" s="646">
        <f t="shared" si="7"/>
        <v>0</v>
      </c>
      <c r="V24" s="646">
        <f t="shared" si="8"/>
        <v>0</v>
      </c>
      <c r="Y24" s="646">
        <f t="shared" si="9"/>
        <v>0</v>
      </c>
      <c r="AB24" s="646">
        <f t="shared" si="10"/>
        <v>0</v>
      </c>
      <c r="AE24" s="646">
        <v>0</v>
      </c>
      <c r="AH24" s="646">
        <v>0</v>
      </c>
      <c r="AI24" s="666">
        <f>77150000</f>
        <v>77150000</v>
      </c>
      <c r="AJ24" s="667">
        <v>2.5399999999999999E-2</v>
      </c>
      <c r="AK24" s="646">
        <f t="shared" si="11"/>
        <v>5443.3611111111113</v>
      </c>
      <c r="AL24" s="666"/>
      <c r="AM24" s="667"/>
      <c r="AN24" s="646">
        <f t="shared" si="12"/>
        <v>0</v>
      </c>
      <c r="AO24" s="666"/>
      <c r="AP24" s="667"/>
      <c r="AQ24" s="646">
        <f t="shared" si="13"/>
        <v>0</v>
      </c>
      <c r="AR24" s="666">
        <f t="shared" si="54"/>
        <v>80000000</v>
      </c>
      <c r="AS24" s="667">
        <v>2.63E-2</v>
      </c>
      <c r="AT24" s="646">
        <f t="shared" si="14"/>
        <v>5844.4444444444443</v>
      </c>
      <c r="AW24" s="646">
        <f t="shared" si="15"/>
        <v>0</v>
      </c>
      <c r="AZ24" s="646">
        <f t="shared" si="16"/>
        <v>0</v>
      </c>
      <c r="BC24" s="646">
        <f t="shared" si="17"/>
        <v>0</v>
      </c>
      <c r="BF24" s="646">
        <f t="shared" si="18"/>
        <v>0</v>
      </c>
      <c r="BI24" s="646">
        <f t="shared" si="19"/>
        <v>0</v>
      </c>
      <c r="BL24" s="646">
        <f t="shared" si="20"/>
        <v>0</v>
      </c>
      <c r="BO24" s="646">
        <f t="shared" si="21"/>
        <v>0</v>
      </c>
      <c r="BR24" s="646">
        <f t="shared" si="22"/>
        <v>0</v>
      </c>
      <c r="BU24" s="646">
        <f t="shared" si="23"/>
        <v>0</v>
      </c>
      <c r="BX24" s="646">
        <f t="shared" si="24"/>
        <v>0</v>
      </c>
      <c r="CA24" s="646">
        <f t="shared" si="25"/>
        <v>0</v>
      </c>
      <c r="CD24" s="646">
        <f t="shared" si="26"/>
        <v>0</v>
      </c>
      <c r="CG24" s="646">
        <f t="shared" si="27"/>
        <v>0</v>
      </c>
      <c r="CJ24" s="646">
        <f t="shared" si="28"/>
        <v>0</v>
      </c>
      <c r="CM24" s="646">
        <f t="shared" si="29"/>
        <v>0</v>
      </c>
      <c r="CP24" s="646">
        <f t="shared" si="30"/>
        <v>0</v>
      </c>
      <c r="CS24" s="646">
        <f t="shared" si="31"/>
        <v>0</v>
      </c>
      <c r="CV24" s="646">
        <f t="shared" si="32"/>
        <v>0</v>
      </c>
      <c r="CY24" s="646">
        <f t="shared" si="33"/>
        <v>0</v>
      </c>
      <c r="DB24" s="646">
        <f t="shared" si="34"/>
        <v>0</v>
      </c>
      <c r="DE24" s="646">
        <f t="shared" si="35"/>
        <v>0</v>
      </c>
      <c r="DH24" s="646">
        <f t="shared" si="36"/>
        <v>0</v>
      </c>
      <c r="DK24" s="646">
        <f t="shared" si="37"/>
        <v>0</v>
      </c>
      <c r="DN24" s="646">
        <f t="shared" si="38"/>
        <v>0</v>
      </c>
      <c r="DQ24" s="646">
        <f t="shared" si="39"/>
        <v>0</v>
      </c>
      <c r="DT24" s="646">
        <f t="shared" si="40"/>
        <v>0</v>
      </c>
      <c r="DW24" s="646">
        <f t="shared" si="41"/>
        <v>0</v>
      </c>
      <c r="DZ24" s="646"/>
      <c r="EA24" s="646"/>
      <c r="EB24" s="531">
        <f t="shared" si="42"/>
        <v>157150000</v>
      </c>
      <c r="EC24" s="531">
        <f t="shared" si="43"/>
        <v>0</v>
      </c>
      <c r="ED24" s="646">
        <f t="shared" si="44"/>
        <v>11287.805555555555</v>
      </c>
      <c r="EE24" s="647">
        <f t="shared" si="45"/>
        <v>2.5858160992682146E-2</v>
      </c>
      <c r="EG24" s="531">
        <f t="shared" si="46"/>
        <v>0</v>
      </c>
      <c r="EH24" s="646">
        <f t="shared" si="47"/>
        <v>0</v>
      </c>
      <c r="EI24" s="647">
        <f t="shared" si="48"/>
        <v>0</v>
      </c>
      <c r="EJ24" s="647"/>
      <c r="EK24" s="531">
        <f t="shared" si="49"/>
        <v>157150000</v>
      </c>
      <c r="EL24" s="531">
        <f t="shared" si="50"/>
        <v>0</v>
      </c>
      <c r="EM24" s="531">
        <f t="shared" si="51"/>
        <v>11287.805555555555</v>
      </c>
      <c r="EN24" s="647">
        <f t="shared" si="52"/>
        <v>2.5858160992682146E-2</v>
      </c>
      <c r="EP24" s="646"/>
    </row>
    <row r="25" spans="1:146">
      <c r="A25" s="665">
        <f t="shared" si="53"/>
        <v>43660</v>
      </c>
      <c r="D25" s="646">
        <f t="shared" si="2"/>
        <v>0</v>
      </c>
      <c r="G25" s="646">
        <f t="shared" si="3"/>
        <v>0</v>
      </c>
      <c r="J25" s="646">
        <f t="shared" si="4"/>
        <v>0</v>
      </c>
      <c r="M25" s="646">
        <f t="shared" si="5"/>
        <v>0</v>
      </c>
      <c r="P25" s="646">
        <f t="shared" si="6"/>
        <v>0</v>
      </c>
      <c r="S25" s="646">
        <f t="shared" si="7"/>
        <v>0</v>
      </c>
      <c r="V25" s="646">
        <f t="shared" si="8"/>
        <v>0</v>
      </c>
      <c r="Y25" s="646">
        <f t="shared" si="9"/>
        <v>0</v>
      </c>
      <c r="AB25" s="646">
        <f t="shared" si="10"/>
        <v>0</v>
      </c>
      <c r="AE25" s="646">
        <v>0</v>
      </c>
      <c r="AH25" s="646">
        <v>0</v>
      </c>
      <c r="AI25" s="666">
        <f>77150000</f>
        <v>77150000</v>
      </c>
      <c r="AJ25" s="667">
        <v>2.5399999999999999E-2</v>
      </c>
      <c r="AK25" s="646">
        <f t="shared" si="11"/>
        <v>5443.3611111111113</v>
      </c>
      <c r="AL25" s="666"/>
      <c r="AM25" s="667"/>
      <c r="AN25" s="646">
        <f t="shared" si="12"/>
        <v>0</v>
      </c>
      <c r="AO25" s="666"/>
      <c r="AP25" s="667"/>
      <c r="AQ25" s="646">
        <f t="shared" si="13"/>
        <v>0</v>
      </c>
      <c r="AR25" s="666">
        <f t="shared" si="54"/>
        <v>80000000</v>
      </c>
      <c r="AS25" s="667">
        <v>2.63E-2</v>
      </c>
      <c r="AT25" s="646">
        <f t="shared" si="14"/>
        <v>5844.4444444444443</v>
      </c>
      <c r="AW25" s="646">
        <f t="shared" si="15"/>
        <v>0</v>
      </c>
      <c r="AZ25" s="646">
        <f t="shared" si="16"/>
        <v>0</v>
      </c>
      <c r="BC25" s="646">
        <f t="shared" si="17"/>
        <v>0</v>
      </c>
      <c r="BF25" s="646">
        <f t="shared" si="18"/>
        <v>0</v>
      </c>
      <c r="BI25" s="646">
        <f t="shared" si="19"/>
        <v>0</v>
      </c>
      <c r="BL25" s="646">
        <f t="shared" si="20"/>
        <v>0</v>
      </c>
      <c r="BO25" s="646">
        <f t="shared" si="21"/>
        <v>0</v>
      </c>
      <c r="BR25" s="646">
        <f t="shared" si="22"/>
        <v>0</v>
      </c>
      <c r="BU25" s="646">
        <f t="shared" si="23"/>
        <v>0</v>
      </c>
      <c r="BX25" s="646">
        <f t="shared" si="24"/>
        <v>0</v>
      </c>
      <c r="CA25" s="646">
        <f t="shared" si="25"/>
        <v>0</v>
      </c>
      <c r="CD25" s="646">
        <f t="shared" si="26"/>
        <v>0</v>
      </c>
      <c r="CG25" s="646">
        <f t="shared" si="27"/>
        <v>0</v>
      </c>
      <c r="CJ25" s="646">
        <f t="shared" si="28"/>
        <v>0</v>
      </c>
      <c r="CM25" s="646">
        <f t="shared" si="29"/>
        <v>0</v>
      </c>
      <c r="CP25" s="646">
        <f t="shared" si="30"/>
        <v>0</v>
      </c>
      <c r="CS25" s="646">
        <f t="shared" si="31"/>
        <v>0</v>
      </c>
      <c r="CV25" s="646">
        <f t="shared" si="32"/>
        <v>0</v>
      </c>
      <c r="CY25" s="646">
        <f t="shared" si="33"/>
        <v>0</v>
      </c>
      <c r="DB25" s="646">
        <f t="shared" si="34"/>
        <v>0</v>
      </c>
      <c r="DE25" s="646">
        <f t="shared" si="35"/>
        <v>0</v>
      </c>
      <c r="DH25" s="646">
        <f t="shared" si="36"/>
        <v>0</v>
      </c>
      <c r="DK25" s="646">
        <f t="shared" si="37"/>
        <v>0</v>
      </c>
      <c r="DN25" s="646">
        <f t="shared" si="38"/>
        <v>0</v>
      </c>
      <c r="DQ25" s="646">
        <f t="shared" si="39"/>
        <v>0</v>
      </c>
      <c r="DT25" s="646">
        <f t="shared" si="40"/>
        <v>0</v>
      </c>
      <c r="DW25" s="646">
        <f t="shared" si="41"/>
        <v>0</v>
      </c>
      <c r="DZ25" s="646"/>
      <c r="EA25" s="646"/>
      <c r="EB25" s="531">
        <f t="shared" si="42"/>
        <v>157150000</v>
      </c>
      <c r="EC25" s="531">
        <f t="shared" si="43"/>
        <v>0</v>
      </c>
      <c r="ED25" s="646">
        <f t="shared" si="44"/>
        <v>11287.805555555555</v>
      </c>
      <c r="EE25" s="647">
        <f t="shared" si="45"/>
        <v>2.5858160992682146E-2</v>
      </c>
      <c r="EG25" s="531">
        <f t="shared" si="46"/>
        <v>0</v>
      </c>
      <c r="EH25" s="646">
        <f t="shared" si="47"/>
        <v>0</v>
      </c>
      <c r="EI25" s="647">
        <f t="shared" si="48"/>
        <v>0</v>
      </c>
      <c r="EJ25" s="647"/>
      <c r="EK25" s="531">
        <f t="shared" si="49"/>
        <v>157150000</v>
      </c>
      <c r="EL25" s="531">
        <f t="shared" si="50"/>
        <v>0</v>
      </c>
      <c r="EM25" s="531">
        <f t="shared" si="51"/>
        <v>11287.805555555555</v>
      </c>
      <c r="EN25" s="647">
        <f t="shared" si="52"/>
        <v>2.5858160992682146E-2</v>
      </c>
      <c r="EP25" s="646"/>
    </row>
    <row r="26" spans="1:146">
      <c r="A26" s="665">
        <f t="shared" si="53"/>
        <v>43661</v>
      </c>
      <c r="D26" s="646">
        <f t="shared" si="2"/>
        <v>0</v>
      </c>
      <c r="G26" s="646">
        <f t="shared" si="3"/>
        <v>0</v>
      </c>
      <c r="J26" s="646">
        <f t="shared" si="4"/>
        <v>0</v>
      </c>
      <c r="M26" s="646">
        <f t="shared" si="5"/>
        <v>0</v>
      </c>
      <c r="P26" s="646">
        <f t="shared" si="6"/>
        <v>0</v>
      </c>
      <c r="S26" s="646">
        <f t="shared" si="7"/>
        <v>0</v>
      </c>
      <c r="V26" s="646">
        <f t="shared" si="8"/>
        <v>0</v>
      </c>
      <c r="Y26" s="646">
        <f t="shared" si="9"/>
        <v>0</v>
      </c>
      <c r="AB26" s="646">
        <f t="shared" si="10"/>
        <v>0</v>
      </c>
      <c r="AE26" s="646">
        <v>0</v>
      </c>
      <c r="AH26" s="646">
        <v>0</v>
      </c>
      <c r="AI26" s="666">
        <f>80375000</f>
        <v>80375000</v>
      </c>
      <c r="AJ26" s="667">
        <v>2.5399999999999999E-2</v>
      </c>
      <c r="AK26" s="646">
        <f t="shared" si="11"/>
        <v>5670.9027777777774</v>
      </c>
      <c r="AL26" s="666"/>
      <c r="AM26" s="667"/>
      <c r="AN26" s="646">
        <f t="shared" si="12"/>
        <v>0</v>
      </c>
      <c r="AO26" s="666"/>
      <c r="AP26" s="667"/>
      <c r="AQ26" s="646">
        <f t="shared" si="13"/>
        <v>0</v>
      </c>
      <c r="AR26" s="666">
        <f t="shared" si="54"/>
        <v>80000000</v>
      </c>
      <c r="AS26" s="667">
        <v>2.63E-2</v>
      </c>
      <c r="AT26" s="646">
        <f t="shared" si="14"/>
        <v>5844.4444444444443</v>
      </c>
      <c r="AW26" s="646">
        <f t="shared" si="15"/>
        <v>0</v>
      </c>
      <c r="AZ26" s="646">
        <f t="shared" si="16"/>
        <v>0</v>
      </c>
      <c r="BC26" s="646">
        <f t="shared" si="17"/>
        <v>0</v>
      </c>
      <c r="BF26" s="646">
        <f t="shared" si="18"/>
        <v>0</v>
      </c>
      <c r="BI26" s="646">
        <f t="shared" si="19"/>
        <v>0</v>
      </c>
      <c r="BL26" s="646">
        <f t="shared" si="20"/>
        <v>0</v>
      </c>
      <c r="BO26" s="646">
        <f t="shared" si="21"/>
        <v>0</v>
      </c>
      <c r="BR26" s="646">
        <f t="shared" si="22"/>
        <v>0</v>
      </c>
      <c r="BU26" s="646">
        <f t="shared" si="23"/>
        <v>0</v>
      </c>
      <c r="BX26" s="646">
        <f t="shared" si="24"/>
        <v>0</v>
      </c>
      <c r="CA26" s="646">
        <f t="shared" si="25"/>
        <v>0</v>
      </c>
      <c r="CD26" s="646">
        <f t="shared" si="26"/>
        <v>0</v>
      </c>
      <c r="CG26" s="646">
        <f t="shared" si="27"/>
        <v>0</v>
      </c>
      <c r="CJ26" s="646">
        <f t="shared" si="28"/>
        <v>0</v>
      </c>
      <c r="CM26" s="646">
        <f t="shared" si="29"/>
        <v>0</v>
      </c>
      <c r="CP26" s="646">
        <f t="shared" si="30"/>
        <v>0</v>
      </c>
      <c r="CS26" s="646">
        <f t="shared" si="31"/>
        <v>0</v>
      </c>
      <c r="CV26" s="646">
        <f t="shared" si="32"/>
        <v>0</v>
      </c>
      <c r="CY26" s="646">
        <f t="shared" si="33"/>
        <v>0</v>
      </c>
      <c r="DB26" s="646">
        <f t="shared" si="34"/>
        <v>0</v>
      </c>
      <c r="DE26" s="646">
        <f t="shared" si="35"/>
        <v>0</v>
      </c>
      <c r="DH26" s="646">
        <f t="shared" si="36"/>
        <v>0</v>
      </c>
      <c r="DK26" s="646">
        <f t="shared" si="37"/>
        <v>0</v>
      </c>
      <c r="DN26" s="646">
        <f t="shared" si="38"/>
        <v>0</v>
      </c>
      <c r="DQ26" s="646">
        <f t="shared" si="39"/>
        <v>0</v>
      </c>
      <c r="DT26" s="646">
        <f t="shared" si="40"/>
        <v>0</v>
      </c>
      <c r="DW26" s="646">
        <f t="shared" si="41"/>
        <v>0</v>
      </c>
      <c r="DZ26" s="646"/>
      <c r="EA26" s="646"/>
      <c r="EB26" s="531">
        <f t="shared" si="42"/>
        <v>160375000</v>
      </c>
      <c r="EC26" s="531">
        <f t="shared" si="43"/>
        <v>0</v>
      </c>
      <c r="ED26" s="646">
        <f t="shared" si="44"/>
        <v>11515.347222222223</v>
      </c>
      <c r="EE26" s="647">
        <f t="shared" si="45"/>
        <v>2.5848947778643803E-2</v>
      </c>
      <c r="EG26" s="531">
        <f t="shared" si="46"/>
        <v>0</v>
      </c>
      <c r="EH26" s="646">
        <f t="shared" si="47"/>
        <v>0</v>
      </c>
      <c r="EI26" s="647">
        <f t="shared" si="48"/>
        <v>0</v>
      </c>
      <c r="EJ26" s="647"/>
      <c r="EK26" s="531">
        <f t="shared" si="49"/>
        <v>160375000</v>
      </c>
      <c r="EL26" s="531">
        <f t="shared" si="50"/>
        <v>0</v>
      </c>
      <c r="EM26" s="531">
        <f t="shared" si="51"/>
        <v>11515.347222222223</v>
      </c>
      <c r="EN26" s="647">
        <f t="shared" si="52"/>
        <v>2.5848947778643803E-2</v>
      </c>
      <c r="EP26" s="646"/>
    </row>
    <row r="27" spans="1:146">
      <c r="A27" s="665">
        <f t="shared" si="53"/>
        <v>43662</v>
      </c>
      <c r="D27" s="646">
        <f t="shared" si="2"/>
        <v>0</v>
      </c>
      <c r="G27" s="646">
        <f t="shared" si="3"/>
        <v>0</v>
      </c>
      <c r="J27" s="646">
        <f t="shared" si="4"/>
        <v>0</v>
      </c>
      <c r="M27" s="646">
        <f t="shared" si="5"/>
        <v>0</v>
      </c>
      <c r="P27" s="646">
        <f t="shared" si="6"/>
        <v>0</v>
      </c>
      <c r="S27" s="646">
        <f t="shared" si="7"/>
        <v>0</v>
      </c>
      <c r="V27" s="646">
        <f t="shared" si="8"/>
        <v>0</v>
      </c>
      <c r="Y27" s="646">
        <f t="shared" si="9"/>
        <v>0</v>
      </c>
      <c r="AB27" s="646">
        <f t="shared" si="10"/>
        <v>0</v>
      </c>
      <c r="AE27" s="646">
        <v>0</v>
      </c>
      <c r="AH27" s="646">
        <v>0</v>
      </c>
      <c r="AI27" s="666">
        <f>67450000</f>
        <v>67450000</v>
      </c>
      <c r="AJ27" s="667">
        <v>2.5399999999999999E-2</v>
      </c>
      <c r="AK27" s="646">
        <f t="shared" si="11"/>
        <v>4758.9722222222226</v>
      </c>
      <c r="AL27" s="666"/>
      <c r="AM27" s="667"/>
      <c r="AN27" s="646">
        <f t="shared" si="12"/>
        <v>0</v>
      </c>
      <c r="AO27" s="666"/>
      <c r="AP27" s="667"/>
      <c r="AQ27" s="646">
        <f t="shared" si="13"/>
        <v>0</v>
      </c>
      <c r="AR27" s="666">
        <f t="shared" si="54"/>
        <v>80000000</v>
      </c>
      <c r="AS27" s="667">
        <v>2.63E-2</v>
      </c>
      <c r="AT27" s="646">
        <f t="shared" si="14"/>
        <v>5844.4444444444443</v>
      </c>
      <c r="AW27" s="646">
        <f t="shared" si="15"/>
        <v>0</v>
      </c>
      <c r="AZ27" s="646">
        <f t="shared" si="16"/>
        <v>0</v>
      </c>
      <c r="BC27" s="646">
        <f t="shared" si="17"/>
        <v>0</v>
      </c>
      <c r="BF27" s="646">
        <f t="shared" si="18"/>
        <v>0</v>
      </c>
      <c r="BI27" s="646">
        <f t="shared" si="19"/>
        <v>0</v>
      </c>
      <c r="BL27" s="646">
        <f t="shared" si="20"/>
        <v>0</v>
      </c>
      <c r="BO27" s="646">
        <f t="shared" si="21"/>
        <v>0</v>
      </c>
      <c r="BR27" s="646">
        <f t="shared" si="22"/>
        <v>0</v>
      </c>
      <c r="BU27" s="646">
        <f t="shared" si="23"/>
        <v>0</v>
      </c>
      <c r="BX27" s="646">
        <f t="shared" si="24"/>
        <v>0</v>
      </c>
      <c r="CA27" s="646">
        <f t="shared" si="25"/>
        <v>0</v>
      </c>
      <c r="CD27" s="646">
        <f t="shared" si="26"/>
        <v>0</v>
      </c>
      <c r="CG27" s="646">
        <f t="shared" si="27"/>
        <v>0</v>
      </c>
      <c r="CJ27" s="646">
        <f t="shared" si="28"/>
        <v>0</v>
      </c>
      <c r="CM27" s="646">
        <f t="shared" si="29"/>
        <v>0</v>
      </c>
      <c r="CP27" s="646">
        <f t="shared" si="30"/>
        <v>0</v>
      </c>
      <c r="CS27" s="646">
        <f t="shared" si="31"/>
        <v>0</v>
      </c>
      <c r="CV27" s="646">
        <f t="shared" si="32"/>
        <v>0</v>
      </c>
      <c r="CY27" s="646">
        <f t="shared" si="33"/>
        <v>0</v>
      </c>
      <c r="DB27" s="646">
        <f t="shared" si="34"/>
        <v>0</v>
      </c>
      <c r="DE27" s="646">
        <f t="shared" si="35"/>
        <v>0</v>
      </c>
      <c r="DH27" s="646">
        <f t="shared" si="36"/>
        <v>0</v>
      </c>
      <c r="DK27" s="646">
        <f t="shared" si="37"/>
        <v>0</v>
      </c>
      <c r="DN27" s="646">
        <f t="shared" si="38"/>
        <v>0</v>
      </c>
      <c r="DQ27" s="646">
        <f t="shared" si="39"/>
        <v>0</v>
      </c>
      <c r="DT27" s="646">
        <f t="shared" si="40"/>
        <v>0</v>
      </c>
      <c r="DW27" s="646">
        <f t="shared" si="41"/>
        <v>0</v>
      </c>
      <c r="DZ27" s="646"/>
      <c r="EA27" s="646"/>
      <c r="EB27" s="531">
        <f t="shared" si="42"/>
        <v>147450000</v>
      </c>
      <c r="EC27" s="531">
        <f t="shared" si="43"/>
        <v>0</v>
      </c>
      <c r="ED27" s="646">
        <f t="shared" si="44"/>
        <v>10603.416666666668</v>
      </c>
      <c r="EE27" s="647">
        <f t="shared" si="45"/>
        <v>2.5888301119023401E-2</v>
      </c>
      <c r="EG27" s="531">
        <f t="shared" si="46"/>
        <v>0</v>
      </c>
      <c r="EH27" s="646">
        <f t="shared" si="47"/>
        <v>0</v>
      </c>
      <c r="EI27" s="647">
        <f t="shared" si="48"/>
        <v>0</v>
      </c>
      <c r="EJ27" s="647"/>
      <c r="EK27" s="531">
        <f t="shared" si="49"/>
        <v>147450000</v>
      </c>
      <c r="EL27" s="531">
        <f t="shared" si="50"/>
        <v>0</v>
      </c>
      <c r="EM27" s="531">
        <f t="shared" si="51"/>
        <v>10603.416666666668</v>
      </c>
      <c r="EN27" s="647">
        <f t="shared" si="52"/>
        <v>2.5888301119023401E-2</v>
      </c>
      <c r="EP27" s="646"/>
    </row>
    <row r="28" spans="1:146">
      <c r="A28" s="665">
        <f t="shared" si="53"/>
        <v>43663</v>
      </c>
      <c r="D28" s="646">
        <f t="shared" si="2"/>
        <v>0</v>
      </c>
      <c r="G28" s="646">
        <f t="shared" si="3"/>
        <v>0</v>
      </c>
      <c r="J28" s="646">
        <f t="shared" si="4"/>
        <v>0</v>
      </c>
      <c r="M28" s="646">
        <f t="shared" si="5"/>
        <v>0</v>
      </c>
      <c r="P28" s="646">
        <f t="shared" si="6"/>
        <v>0</v>
      </c>
      <c r="S28" s="646">
        <f t="shared" si="7"/>
        <v>0</v>
      </c>
      <c r="V28" s="646">
        <f t="shared" si="8"/>
        <v>0</v>
      </c>
      <c r="Y28" s="646">
        <f t="shared" si="9"/>
        <v>0</v>
      </c>
      <c r="AB28" s="646">
        <f t="shared" si="10"/>
        <v>0</v>
      </c>
      <c r="AE28" s="646">
        <v>0</v>
      </c>
      <c r="AH28" s="646">
        <v>0</v>
      </c>
      <c r="AI28" s="666">
        <f>69425000</f>
        <v>69425000</v>
      </c>
      <c r="AJ28" s="667">
        <v>2.5399999999999999E-2</v>
      </c>
      <c r="AK28" s="646">
        <f t="shared" si="11"/>
        <v>4898.3194444444443</v>
      </c>
      <c r="AL28" s="666"/>
      <c r="AM28" s="667"/>
      <c r="AN28" s="646">
        <f t="shared" si="12"/>
        <v>0</v>
      </c>
      <c r="AO28" s="666"/>
      <c r="AP28" s="667"/>
      <c r="AQ28" s="646">
        <f t="shared" si="13"/>
        <v>0</v>
      </c>
      <c r="AR28" s="666">
        <f t="shared" si="54"/>
        <v>80000000</v>
      </c>
      <c r="AS28" s="667">
        <v>2.63E-2</v>
      </c>
      <c r="AT28" s="646">
        <f t="shared" si="14"/>
        <v>5844.4444444444443</v>
      </c>
      <c r="AW28" s="646">
        <f t="shared" si="15"/>
        <v>0</v>
      </c>
      <c r="AZ28" s="646">
        <f t="shared" si="16"/>
        <v>0</v>
      </c>
      <c r="BC28" s="646">
        <f t="shared" si="17"/>
        <v>0</v>
      </c>
      <c r="BF28" s="646">
        <f t="shared" si="18"/>
        <v>0</v>
      </c>
      <c r="BI28" s="646">
        <f t="shared" si="19"/>
        <v>0</v>
      </c>
      <c r="BL28" s="646">
        <f t="shared" si="20"/>
        <v>0</v>
      </c>
      <c r="BO28" s="646">
        <f t="shared" si="21"/>
        <v>0</v>
      </c>
      <c r="BR28" s="646">
        <f t="shared" si="22"/>
        <v>0</v>
      </c>
      <c r="BU28" s="646">
        <f t="shared" si="23"/>
        <v>0</v>
      </c>
      <c r="BX28" s="646">
        <f t="shared" si="24"/>
        <v>0</v>
      </c>
      <c r="CA28" s="646">
        <f t="shared" si="25"/>
        <v>0</v>
      </c>
      <c r="CD28" s="646">
        <f t="shared" si="26"/>
        <v>0</v>
      </c>
      <c r="CG28" s="646">
        <f t="shared" si="27"/>
        <v>0</v>
      </c>
      <c r="CJ28" s="646">
        <f t="shared" si="28"/>
        <v>0</v>
      </c>
      <c r="CM28" s="646">
        <f t="shared" si="29"/>
        <v>0</v>
      </c>
      <c r="CP28" s="646">
        <f t="shared" si="30"/>
        <v>0</v>
      </c>
      <c r="CS28" s="646">
        <f t="shared" si="31"/>
        <v>0</v>
      </c>
      <c r="CV28" s="646">
        <f t="shared" si="32"/>
        <v>0</v>
      </c>
      <c r="CY28" s="646">
        <f t="shared" si="33"/>
        <v>0</v>
      </c>
      <c r="DB28" s="646">
        <f t="shared" si="34"/>
        <v>0</v>
      </c>
      <c r="DE28" s="646">
        <f t="shared" si="35"/>
        <v>0</v>
      </c>
      <c r="DH28" s="646">
        <f t="shared" si="36"/>
        <v>0</v>
      </c>
      <c r="DK28" s="646">
        <f t="shared" si="37"/>
        <v>0</v>
      </c>
      <c r="DN28" s="646">
        <f t="shared" si="38"/>
        <v>0</v>
      </c>
      <c r="DQ28" s="646">
        <f t="shared" si="39"/>
        <v>0</v>
      </c>
      <c r="DT28" s="646">
        <f t="shared" si="40"/>
        <v>0</v>
      </c>
      <c r="DW28" s="646">
        <f t="shared" si="41"/>
        <v>0</v>
      </c>
      <c r="DZ28" s="646"/>
      <c r="EA28" s="646"/>
      <c r="EB28" s="531">
        <f t="shared" si="42"/>
        <v>149425000</v>
      </c>
      <c r="EC28" s="531">
        <f t="shared" si="43"/>
        <v>0</v>
      </c>
      <c r="ED28" s="646">
        <f t="shared" si="44"/>
        <v>10742.763888888889</v>
      </c>
      <c r="EE28" s="647">
        <f t="shared" si="45"/>
        <v>2.5881847080475157E-2</v>
      </c>
      <c r="EG28" s="531">
        <f t="shared" si="46"/>
        <v>0</v>
      </c>
      <c r="EH28" s="646">
        <f t="shared" si="47"/>
        <v>0</v>
      </c>
      <c r="EI28" s="647">
        <f t="shared" si="48"/>
        <v>0</v>
      </c>
      <c r="EJ28" s="647"/>
      <c r="EK28" s="531">
        <f t="shared" si="49"/>
        <v>149425000</v>
      </c>
      <c r="EL28" s="531">
        <f t="shared" si="50"/>
        <v>0</v>
      </c>
      <c r="EM28" s="531">
        <f t="shared" si="51"/>
        <v>10742.763888888889</v>
      </c>
      <c r="EN28" s="647">
        <f t="shared" si="52"/>
        <v>2.5881847080475157E-2</v>
      </c>
      <c r="EP28" s="646"/>
    </row>
    <row r="29" spans="1:146">
      <c r="A29" s="665">
        <f t="shared" si="53"/>
        <v>43664</v>
      </c>
      <c r="D29" s="646">
        <f t="shared" si="2"/>
        <v>0</v>
      </c>
      <c r="G29" s="646">
        <f t="shared" si="3"/>
        <v>0</v>
      </c>
      <c r="J29" s="646">
        <f t="shared" si="4"/>
        <v>0</v>
      </c>
      <c r="M29" s="646">
        <f t="shared" si="5"/>
        <v>0</v>
      </c>
      <c r="P29" s="646">
        <f t="shared" si="6"/>
        <v>0</v>
      </c>
      <c r="S29" s="646">
        <f t="shared" si="7"/>
        <v>0</v>
      </c>
      <c r="V29" s="646">
        <f t="shared" si="8"/>
        <v>0</v>
      </c>
      <c r="Y29" s="646">
        <f t="shared" si="9"/>
        <v>0</v>
      </c>
      <c r="AB29" s="646">
        <f t="shared" si="10"/>
        <v>0</v>
      </c>
      <c r="AE29" s="646">
        <v>0</v>
      </c>
      <c r="AH29" s="646">
        <v>0</v>
      </c>
      <c r="AI29" s="666">
        <f>61950000</f>
        <v>61950000</v>
      </c>
      <c r="AJ29" s="667">
        <v>2.5399999999999999E-2</v>
      </c>
      <c r="AK29" s="646">
        <f t="shared" si="11"/>
        <v>4370.916666666667</v>
      </c>
      <c r="AL29" s="666"/>
      <c r="AM29" s="667"/>
      <c r="AN29" s="646">
        <f t="shared" si="12"/>
        <v>0</v>
      </c>
      <c r="AO29" s="666"/>
      <c r="AP29" s="667"/>
      <c r="AQ29" s="646">
        <f t="shared" si="13"/>
        <v>0</v>
      </c>
      <c r="AR29" s="666">
        <f t="shared" si="54"/>
        <v>80000000</v>
      </c>
      <c r="AS29" s="667">
        <v>2.63E-2</v>
      </c>
      <c r="AT29" s="646">
        <f t="shared" si="14"/>
        <v>5844.4444444444443</v>
      </c>
      <c r="AW29" s="646">
        <f t="shared" si="15"/>
        <v>0</v>
      </c>
      <c r="AZ29" s="646">
        <f t="shared" si="16"/>
        <v>0</v>
      </c>
      <c r="BC29" s="646">
        <f t="shared" si="17"/>
        <v>0</v>
      </c>
      <c r="BF29" s="646">
        <f t="shared" si="18"/>
        <v>0</v>
      </c>
      <c r="BI29" s="646">
        <f t="shared" si="19"/>
        <v>0</v>
      </c>
      <c r="BL29" s="646">
        <f t="shared" si="20"/>
        <v>0</v>
      </c>
      <c r="BO29" s="646">
        <f t="shared" si="21"/>
        <v>0</v>
      </c>
      <c r="BR29" s="646">
        <f t="shared" si="22"/>
        <v>0</v>
      </c>
      <c r="BU29" s="646">
        <f t="shared" si="23"/>
        <v>0</v>
      </c>
      <c r="BX29" s="646">
        <f t="shared" si="24"/>
        <v>0</v>
      </c>
      <c r="CA29" s="646">
        <f t="shared" si="25"/>
        <v>0</v>
      </c>
      <c r="CD29" s="646">
        <f t="shared" si="26"/>
        <v>0</v>
      </c>
      <c r="CG29" s="646">
        <f t="shared" si="27"/>
        <v>0</v>
      </c>
      <c r="CJ29" s="646">
        <f t="shared" si="28"/>
        <v>0</v>
      </c>
      <c r="CM29" s="646">
        <f t="shared" si="29"/>
        <v>0</v>
      </c>
      <c r="CP29" s="646">
        <f t="shared" si="30"/>
        <v>0</v>
      </c>
      <c r="CS29" s="646">
        <f t="shared" si="31"/>
        <v>0</v>
      </c>
      <c r="CV29" s="646">
        <f t="shared" si="32"/>
        <v>0</v>
      </c>
      <c r="CY29" s="646">
        <f t="shared" si="33"/>
        <v>0</v>
      </c>
      <c r="DB29" s="646">
        <f t="shared" si="34"/>
        <v>0</v>
      </c>
      <c r="DE29" s="646">
        <f t="shared" si="35"/>
        <v>0</v>
      </c>
      <c r="DH29" s="646">
        <f t="shared" si="36"/>
        <v>0</v>
      </c>
      <c r="DK29" s="646">
        <f t="shared" si="37"/>
        <v>0</v>
      </c>
      <c r="DN29" s="646">
        <f t="shared" si="38"/>
        <v>0</v>
      </c>
      <c r="DQ29" s="646">
        <f t="shared" si="39"/>
        <v>0</v>
      </c>
      <c r="DT29" s="646">
        <f t="shared" si="40"/>
        <v>0</v>
      </c>
      <c r="DW29" s="646">
        <f t="shared" si="41"/>
        <v>0</v>
      </c>
      <c r="DZ29" s="646"/>
      <c r="EA29" s="646"/>
      <c r="EB29" s="531">
        <f t="shared" si="42"/>
        <v>141950000</v>
      </c>
      <c r="EC29" s="531">
        <f t="shared" si="43"/>
        <v>0</v>
      </c>
      <c r="ED29" s="646">
        <f t="shared" si="44"/>
        <v>10215.361111111111</v>
      </c>
      <c r="EE29" s="647">
        <f t="shared" si="45"/>
        <v>2.5907220852412823E-2</v>
      </c>
      <c r="EG29" s="531">
        <f t="shared" si="46"/>
        <v>0</v>
      </c>
      <c r="EH29" s="646">
        <f t="shared" si="47"/>
        <v>0</v>
      </c>
      <c r="EI29" s="647">
        <f t="shared" si="48"/>
        <v>0</v>
      </c>
      <c r="EJ29" s="647"/>
      <c r="EK29" s="531">
        <f t="shared" si="49"/>
        <v>141950000</v>
      </c>
      <c r="EL29" s="531">
        <f t="shared" si="50"/>
        <v>0</v>
      </c>
      <c r="EM29" s="531">
        <f t="shared" si="51"/>
        <v>10215.361111111111</v>
      </c>
      <c r="EN29" s="647">
        <f t="shared" si="52"/>
        <v>2.5907220852412823E-2</v>
      </c>
      <c r="EP29" s="646"/>
    </row>
    <row r="30" spans="1:146">
      <c r="A30" s="665">
        <f t="shared" si="53"/>
        <v>43665</v>
      </c>
      <c r="D30" s="646">
        <f t="shared" si="2"/>
        <v>0</v>
      </c>
      <c r="G30" s="646">
        <f t="shared" si="3"/>
        <v>0</v>
      </c>
      <c r="J30" s="646">
        <f t="shared" si="4"/>
        <v>0</v>
      </c>
      <c r="M30" s="646">
        <f t="shared" si="5"/>
        <v>0</v>
      </c>
      <c r="P30" s="646">
        <f t="shared" si="6"/>
        <v>0</v>
      </c>
      <c r="S30" s="646">
        <f t="shared" si="7"/>
        <v>0</v>
      </c>
      <c r="V30" s="646">
        <f t="shared" si="8"/>
        <v>0</v>
      </c>
      <c r="Y30" s="646">
        <f t="shared" si="9"/>
        <v>0</v>
      </c>
      <c r="AB30" s="646">
        <f t="shared" si="10"/>
        <v>0</v>
      </c>
      <c r="AE30" s="646">
        <v>0</v>
      </c>
      <c r="AH30" s="646">
        <v>0</v>
      </c>
      <c r="AI30" s="666">
        <f>49600000+175000</f>
        <v>49775000</v>
      </c>
      <c r="AJ30" s="667">
        <v>2.5399999999999999E-2</v>
      </c>
      <c r="AK30" s="646">
        <f t="shared" si="11"/>
        <v>3511.9027777777778</v>
      </c>
      <c r="AL30" s="666"/>
      <c r="AM30" s="667"/>
      <c r="AN30" s="646">
        <f t="shared" si="12"/>
        <v>0</v>
      </c>
      <c r="AO30" s="666"/>
      <c r="AP30" s="667"/>
      <c r="AQ30" s="646">
        <f t="shared" si="13"/>
        <v>0</v>
      </c>
      <c r="AR30" s="666">
        <f t="shared" si="54"/>
        <v>80000000</v>
      </c>
      <c r="AS30" s="667">
        <v>2.63E-2</v>
      </c>
      <c r="AT30" s="646">
        <f t="shared" si="14"/>
        <v>5844.4444444444443</v>
      </c>
      <c r="AW30" s="646">
        <f t="shared" si="15"/>
        <v>0</v>
      </c>
      <c r="AZ30" s="646">
        <f t="shared" si="16"/>
        <v>0</v>
      </c>
      <c r="BC30" s="646">
        <f t="shared" si="17"/>
        <v>0</v>
      </c>
      <c r="BF30" s="646">
        <f t="shared" si="18"/>
        <v>0</v>
      </c>
      <c r="BI30" s="646">
        <f t="shared" si="19"/>
        <v>0</v>
      </c>
      <c r="BL30" s="646">
        <f t="shared" si="20"/>
        <v>0</v>
      </c>
      <c r="BO30" s="646">
        <f t="shared" si="21"/>
        <v>0</v>
      </c>
      <c r="BR30" s="646">
        <f t="shared" si="22"/>
        <v>0</v>
      </c>
      <c r="BU30" s="646">
        <f t="shared" si="23"/>
        <v>0</v>
      </c>
      <c r="BX30" s="646">
        <f t="shared" si="24"/>
        <v>0</v>
      </c>
      <c r="CA30" s="646">
        <f t="shared" si="25"/>
        <v>0</v>
      </c>
      <c r="CD30" s="646">
        <f t="shared" si="26"/>
        <v>0</v>
      </c>
      <c r="CG30" s="646">
        <f t="shared" si="27"/>
        <v>0</v>
      </c>
      <c r="CJ30" s="646">
        <f t="shared" si="28"/>
        <v>0</v>
      </c>
      <c r="CM30" s="646">
        <f t="shared" si="29"/>
        <v>0</v>
      </c>
      <c r="CP30" s="646">
        <f t="shared" si="30"/>
        <v>0</v>
      </c>
      <c r="CS30" s="646">
        <f t="shared" si="31"/>
        <v>0</v>
      </c>
      <c r="CV30" s="646">
        <f t="shared" si="32"/>
        <v>0</v>
      </c>
      <c r="CY30" s="646">
        <f t="shared" si="33"/>
        <v>0</v>
      </c>
      <c r="DB30" s="646">
        <f t="shared" si="34"/>
        <v>0</v>
      </c>
      <c r="DE30" s="646">
        <f t="shared" si="35"/>
        <v>0</v>
      </c>
      <c r="DH30" s="646">
        <f t="shared" si="36"/>
        <v>0</v>
      </c>
      <c r="DK30" s="646">
        <f t="shared" si="37"/>
        <v>0</v>
      </c>
      <c r="DN30" s="646">
        <f t="shared" si="38"/>
        <v>0</v>
      </c>
      <c r="DQ30" s="646">
        <f t="shared" si="39"/>
        <v>0</v>
      </c>
      <c r="DT30" s="646">
        <f t="shared" si="40"/>
        <v>0</v>
      </c>
      <c r="DW30" s="646">
        <f t="shared" si="41"/>
        <v>0</v>
      </c>
      <c r="DZ30" s="646"/>
      <c r="EA30" s="646"/>
      <c r="EB30" s="531">
        <f t="shared" si="42"/>
        <v>129775000</v>
      </c>
      <c r="EC30" s="531">
        <f t="shared" si="43"/>
        <v>0</v>
      </c>
      <c r="ED30" s="646">
        <f t="shared" si="44"/>
        <v>9356.3472222222226</v>
      </c>
      <c r="EE30" s="647">
        <f t="shared" si="45"/>
        <v>2.5954806395684839E-2</v>
      </c>
      <c r="EG30" s="531">
        <f t="shared" si="46"/>
        <v>0</v>
      </c>
      <c r="EH30" s="646">
        <f t="shared" si="47"/>
        <v>0</v>
      </c>
      <c r="EI30" s="647">
        <f t="shared" si="48"/>
        <v>0</v>
      </c>
      <c r="EJ30" s="647"/>
      <c r="EK30" s="531">
        <f t="shared" si="49"/>
        <v>129775000</v>
      </c>
      <c r="EL30" s="531">
        <f t="shared" si="50"/>
        <v>0</v>
      </c>
      <c r="EM30" s="531">
        <f t="shared" si="51"/>
        <v>9356.3472222222226</v>
      </c>
      <c r="EN30" s="647">
        <f t="shared" si="52"/>
        <v>2.5954806395684839E-2</v>
      </c>
      <c r="EP30" s="646"/>
    </row>
    <row r="31" spans="1:146">
      <c r="A31" s="665">
        <f t="shared" si="53"/>
        <v>43666</v>
      </c>
      <c r="D31" s="646">
        <f t="shared" si="2"/>
        <v>0</v>
      </c>
      <c r="G31" s="646">
        <f t="shared" si="3"/>
        <v>0</v>
      </c>
      <c r="J31" s="646">
        <f t="shared" si="4"/>
        <v>0</v>
      </c>
      <c r="M31" s="646">
        <f t="shared" si="5"/>
        <v>0</v>
      </c>
      <c r="P31" s="646">
        <f t="shared" si="6"/>
        <v>0</v>
      </c>
      <c r="S31" s="646">
        <f t="shared" si="7"/>
        <v>0</v>
      </c>
      <c r="V31" s="646">
        <f t="shared" si="8"/>
        <v>0</v>
      </c>
      <c r="Y31" s="646">
        <f t="shared" si="9"/>
        <v>0</v>
      </c>
      <c r="AB31" s="646">
        <f t="shared" si="10"/>
        <v>0</v>
      </c>
      <c r="AE31" s="646">
        <v>0</v>
      </c>
      <c r="AH31" s="646">
        <v>0</v>
      </c>
      <c r="AI31" s="666">
        <f>49600000+175000</f>
        <v>49775000</v>
      </c>
      <c r="AJ31" s="667">
        <v>2.5399999999999999E-2</v>
      </c>
      <c r="AK31" s="646">
        <f t="shared" si="11"/>
        <v>3511.9027777777778</v>
      </c>
      <c r="AL31" s="666"/>
      <c r="AM31" s="667"/>
      <c r="AN31" s="646">
        <f t="shared" si="12"/>
        <v>0</v>
      </c>
      <c r="AO31" s="666"/>
      <c r="AP31" s="667"/>
      <c r="AQ31" s="646">
        <f t="shared" si="13"/>
        <v>0</v>
      </c>
      <c r="AR31" s="666">
        <f t="shared" si="54"/>
        <v>80000000</v>
      </c>
      <c r="AS31" s="667">
        <v>2.63E-2</v>
      </c>
      <c r="AT31" s="646">
        <f t="shared" si="14"/>
        <v>5844.4444444444443</v>
      </c>
      <c r="AW31" s="646">
        <f t="shared" si="15"/>
        <v>0</v>
      </c>
      <c r="AZ31" s="646">
        <f t="shared" si="16"/>
        <v>0</v>
      </c>
      <c r="BC31" s="646">
        <f t="shared" si="17"/>
        <v>0</v>
      </c>
      <c r="BF31" s="646">
        <f t="shared" si="18"/>
        <v>0</v>
      </c>
      <c r="BI31" s="646">
        <f t="shared" si="19"/>
        <v>0</v>
      </c>
      <c r="BL31" s="646">
        <f t="shared" si="20"/>
        <v>0</v>
      </c>
      <c r="BO31" s="646">
        <f t="shared" si="21"/>
        <v>0</v>
      </c>
      <c r="BR31" s="646">
        <f t="shared" si="22"/>
        <v>0</v>
      </c>
      <c r="BU31" s="646">
        <f t="shared" si="23"/>
        <v>0</v>
      </c>
      <c r="BX31" s="646">
        <f t="shared" si="24"/>
        <v>0</v>
      </c>
      <c r="CA31" s="646">
        <f t="shared" si="25"/>
        <v>0</v>
      </c>
      <c r="CD31" s="646">
        <f t="shared" si="26"/>
        <v>0</v>
      </c>
      <c r="CG31" s="646">
        <f t="shared" si="27"/>
        <v>0</v>
      </c>
      <c r="CJ31" s="646">
        <f t="shared" si="28"/>
        <v>0</v>
      </c>
      <c r="CM31" s="646">
        <f t="shared" si="29"/>
        <v>0</v>
      </c>
      <c r="CP31" s="646">
        <f t="shared" si="30"/>
        <v>0</v>
      </c>
      <c r="CS31" s="646">
        <f t="shared" si="31"/>
        <v>0</v>
      </c>
      <c r="CV31" s="646">
        <f t="shared" si="32"/>
        <v>0</v>
      </c>
      <c r="CY31" s="646">
        <f t="shared" si="33"/>
        <v>0</v>
      </c>
      <c r="DB31" s="646">
        <f t="shared" si="34"/>
        <v>0</v>
      </c>
      <c r="DE31" s="646">
        <f t="shared" si="35"/>
        <v>0</v>
      </c>
      <c r="DH31" s="646">
        <f t="shared" si="36"/>
        <v>0</v>
      </c>
      <c r="DK31" s="646">
        <f t="shared" si="37"/>
        <v>0</v>
      </c>
      <c r="DN31" s="646">
        <f t="shared" si="38"/>
        <v>0</v>
      </c>
      <c r="DQ31" s="646">
        <f t="shared" si="39"/>
        <v>0</v>
      </c>
      <c r="DT31" s="646">
        <f t="shared" si="40"/>
        <v>0</v>
      </c>
      <c r="DW31" s="646">
        <f t="shared" si="41"/>
        <v>0</v>
      </c>
      <c r="DZ31" s="646"/>
      <c r="EA31" s="646"/>
      <c r="EB31" s="531">
        <f t="shared" si="42"/>
        <v>129775000</v>
      </c>
      <c r="EC31" s="531">
        <f t="shared" si="43"/>
        <v>0</v>
      </c>
      <c r="ED31" s="646">
        <f t="shared" si="44"/>
        <v>9356.3472222222226</v>
      </c>
      <c r="EE31" s="647">
        <f t="shared" si="45"/>
        <v>2.5954806395684839E-2</v>
      </c>
      <c r="EG31" s="531">
        <f t="shared" si="46"/>
        <v>0</v>
      </c>
      <c r="EH31" s="646">
        <f t="shared" si="47"/>
        <v>0</v>
      </c>
      <c r="EI31" s="647">
        <f t="shared" si="48"/>
        <v>0</v>
      </c>
      <c r="EJ31" s="647"/>
      <c r="EK31" s="531">
        <f t="shared" si="49"/>
        <v>129775000</v>
      </c>
      <c r="EL31" s="531">
        <f t="shared" si="50"/>
        <v>0</v>
      </c>
      <c r="EM31" s="531">
        <f t="shared" si="51"/>
        <v>9356.3472222222226</v>
      </c>
      <c r="EN31" s="647">
        <f t="shared" si="52"/>
        <v>2.5954806395684839E-2</v>
      </c>
      <c r="EP31" s="646"/>
    </row>
    <row r="32" spans="1:146">
      <c r="A32" s="665">
        <f t="shared" si="53"/>
        <v>43667</v>
      </c>
      <c r="D32" s="646">
        <f t="shared" si="2"/>
        <v>0</v>
      </c>
      <c r="G32" s="646">
        <f t="shared" si="3"/>
        <v>0</v>
      </c>
      <c r="J32" s="646">
        <f t="shared" si="4"/>
        <v>0</v>
      </c>
      <c r="M32" s="646">
        <f t="shared" si="5"/>
        <v>0</v>
      </c>
      <c r="P32" s="646">
        <f t="shared" si="6"/>
        <v>0</v>
      </c>
      <c r="S32" s="646">
        <f t="shared" si="7"/>
        <v>0</v>
      </c>
      <c r="V32" s="646">
        <f t="shared" si="8"/>
        <v>0</v>
      </c>
      <c r="Y32" s="646">
        <f t="shared" si="9"/>
        <v>0</v>
      </c>
      <c r="AB32" s="646">
        <f t="shared" si="10"/>
        <v>0</v>
      </c>
      <c r="AE32" s="646">
        <v>0</v>
      </c>
      <c r="AH32" s="646">
        <v>0</v>
      </c>
      <c r="AI32" s="666">
        <f>49600000+175000</f>
        <v>49775000</v>
      </c>
      <c r="AJ32" s="667">
        <v>2.5399999999999999E-2</v>
      </c>
      <c r="AK32" s="646">
        <f t="shared" si="11"/>
        <v>3511.9027777777778</v>
      </c>
      <c r="AL32" s="666"/>
      <c r="AM32" s="667"/>
      <c r="AN32" s="646">
        <f t="shared" si="12"/>
        <v>0</v>
      </c>
      <c r="AO32" s="666"/>
      <c r="AP32" s="667"/>
      <c r="AQ32" s="646">
        <f t="shared" si="13"/>
        <v>0</v>
      </c>
      <c r="AR32" s="666">
        <f t="shared" si="54"/>
        <v>80000000</v>
      </c>
      <c r="AS32" s="667">
        <v>2.63E-2</v>
      </c>
      <c r="AT32" s="646">
        <f t="shared" si="14"/>
        <v>5844.4444444444443</v>
      </c>
      <c r="AW32" s="646">
        <f t="shared" si="15"/>
        <v>0</v>
      </c>
      <c r="AZ32" s="646">
        <f t="shared" si="16"/>
        <v>0</v>
      </c>
      <c r="BC32" s="646">
        <f t="shared" si="17"/>
        <v>0</v>
      </c>
      <c r="BF32" s="646">
        <f t="shared" si="18"/>
        <v>0</v>
      </c>
      <c r="BI32" s="646">
        <f t="shared" si="19"/>
        <v>0</v>
      </c>
      <c r="BL32" s="646">
        <f t="shared" si="20"/>
        <v>0</v>
      </c>
      <c r="BO32" s="646">
        <f t="shared" si="21"/>
        <v>0</v>
      </c>
      <c r="BR32" s="646">
        <f t="shared" si="22"/>
        <v>0</v>
      </c>
      <c r="BU32" s="646">
        <f t="shared" si="23"/>
        <v>0</v>
      </c>
      <c r="BX32" s="646">
        <f t="shared" si="24"/>
        <v>0</v>
      </c>
      <c r="CA32" s="646">
        <f t="shared" si="25"/>
        <v>0</v>
      </c>
      <c r="CD32" s="646">
        <f t="shared" si="26"/>
        <v>0</v>
      </c>
      <c r="CG32" s="646">
        <f t="shared" si="27"/>
        <v>0</v>
      </c>
      <c r="CJ32" s="646">
        <f t="shared" si="28"/>
        <v>0</v>
      </c>
      <c r="CM32" s="646">
        <f t="shared" si="29"/>
        <v>0</v>
      </c>
      <c r="CP32" s="646">
        <f t="shared" si="30"/>
        <v>0</v>
      </c>
      <c r="CS32" s="646">
        <f t="shared" si="31"/>
        <v>0</v>
      </c>
      <c r="CV32" s="646">
        <f t="shared" si="32"/>
        <v>0</v>
      </c>
      <c r="CY32" s="646">
        <f t="shared" si="33"/>
        <v>0</v>
      </c>
      <c r="DB32" s="646">
        <f t="shared" si="34"/>
        <v>0</v>
      </c>
      <c r="DE32" s="646">
        <f t="shared" si="35"/>
        <v>0</v>
      </c>
      <c r="DH32" s="646">
        <f t="shared" si="36"/>
        <v>0</v>
      </c>
      <c r="DK32" s="646">
        <f t="shared" si="37"/>
        <v>0</v>
      </c>
      <c r="DN32" s="646">
        <f t="shared" si="38"/>
        <v>0</v>
      </c>
      <c r="DQ32" s="646">
        <f t="shared" si="39"/>
        <v>0</v>
      </c>
      <c r="DT32" s="646">
        <f t="shared" si="40"/>
        <v>0</v>
      </c>
      <c r="DW32" s="646">
        <f t="shared" si="41"/>
        <v>0</v>
      </c>
      <c r="DZ32" s="646"/>
      <c r="EA32" s="646"/>
      <c r="EB32" s="531">
        <f t="shared" si="42"/>
        <v>129775000</v>
      </c>
      <c r="EC32" s="531">
        <f t="shared" si="43"/>
        <v>0</v>
      </c>
      <c r="ED32" s="646">
        <f t="shared" si="44"/>
        <v>9356.3472222222226</v>
      </c>
      <c r="EE32" s="647">
        <f t="shared" si="45"/>
        <v>2.5954806395684839E-2</v>
      </c>
      <c r="EG32" s="531">
        <f t="shared" si="46"/>
        <v>0</v>
      </c>
      <c r="EH32" s="646">
        <f t="shared" si="47"/>
        <v>0</v>
      </c>
      <c r="EI32" s="647">
        <f t="shared" si="48"/>
        <v>0</v>
      </c>
      <c r="EJ32" s="647"/>
      <c r="EK32" s="531">
        <f t="shared" si="49"/>
        <v>129775000</v>
      </c>
      <c r="EL32" s="531">
        <f t="shared" si="50"/>
        <v>0</v>
      </c>
      <c r="EM32" s="531">
        <f t="shared" si="51"/>
        <v>9356.3472222222226</v>
      </c>
      <c r="EN32" s="647">
        <f t="shared" si="52"/>
        <v>2.5954806395684839E-2</v>
      </c>
      <c r="EP32" s="646"/>
    </row>
    <row r="33" spans="1:146">
      <c r="A33" s="665">
        <f t="shared" si="53"/>
        <v>43668</v>
      </c>
      <c r="D33" s="646">
        <f t="shared" si="2"/>
        <v>0</v>
      </c>
      <c r="G33" s="646">
        <f t="shared" si="3"/>
        <v>0</v>
      </c>
      <c r="J33" s="646">
        <f t="shared" si="4"/>
        <v>0</v>
      </c>
      <c r="M33" s="646">
        <f t="shared" si="5"/>
        <v>0</v>
      </c>
      <c r="P33" s="646">
        <f t="shared" si="6"/>
        <v>0</v>
      </c>
      <c r="S33" s="646">
        <f t="shared" si="7"/>
        <v>0</v>
      </c>
      <c r="V33" s="646">
        <f t="shared" si="8"/>
        <v>0</v>
      </c>
      <c r="Y33" s="646">
        <f t="shared" si="9"/>
        <v>0</v>
      </c>
      <c r="AB33" s="646">
        <f t="shared" si="10"/>
        <v>0</v>
      </c>
      <c r="AE33" s="646">
        <v>0</v>
      </c>
      <c r="AH33" s="646">
        <v>0</v>
      </c>
      <c r="AI33" s="666">
        <f>52725000</f>
        <v>52725000</v>
      </c>
      <c r="AJ33" s="667">
        <v>2.5399999999999999E-2</v>
      </c>
      <c r="AK33" s="646">
        <f t="shared" si="11"/>
        <v>3720.0416666666665</v>
      </c>
      <c r="AL33" s="666"/>
      <c r="AM33" s="667"/>
      <c r="AN33" s="646">
        <f t="shared" si="12"/>
        <v>0</v>
      </c>
      <c r="AO33" s="666"/>
      <c r="AP33" s="667"/>
      <c r="AQ33" s="646">
        <f t="shared" si="13"/>
        <v>0</v>
      </c>
      <c r="AR33" s="666">
        <f t="shared" si="54"/>
        <v>80000000</v>
      </c>
      <c r="AS33" s="667">
        <v>2.63E-2</v>
      </c>
      <c r="AT33" s="646">
        <f t="shared" si="14"/>
        <v>5844.4444444444443</v>
      </c>
      <c r="AW33" s="646">
        <f t="shared" si="15"/>
        <v>0</v>
      </c>
      <c r="AZ33" s="646">
        <f t="shared" si="16"/>
        <v>0</v>
      </c>
      <c r="BC33" s="646">
        <f t="shared" si="17"/>
        <v>0</v>
      </c>
      <c r="BF33" s="646">
        <f t="shared" si="18"/>
        <v>0</v>
      </c>
      <c r="BI33" s="646">
        <f t="shared" si="19"/>
        <v>0</v>
      </c>
      <c r="BL33" s="646">
        <f t="shared" si="20"/>
        <v>0</v>
      </c>
      <c r="BO33" s="646">
        <f t="shared" si="21"/>
        <v>0</v>
      </c>
      <c r="BR33" s="646">
        <f t="shared" si="22"/>
        <v>0</v>
      </c>
      <c r="BU33" s="646">
        <f t="shared" si="23"/>
        <v>0</v>
      </c>
      <c r="BX33" s="646">
        <f t="shared" si="24"/>
        <v>0</v>
      </c>
      <c r="CA33" s="646">
        <f t="shared" si="25"/>
        <v>0</v>
      </c>
      <c r="CD33" s="646">
        <f t="shared" si="26"/>
        <v>0</v>
      </c>
      <c r="CG33" s="646">
        <f t="shared" si="27"/>
        <v>0</v>
      </c>
      <c r="CJ33" s="646">
        <f t="shared" si="28"/>
        <v>0</v>
      </c>
      <c r="CM33" s="646">
        <f t="shared" si="29"/>
        <v>0</v>
      </c>
      <c r="CP33" s="646">
        <f t="shared" si="30"/>
        <v>0</v>
      </c>
      <c r="CS33" s="646">
        <f t="shared" si="31"/>
        <v>0</v>
      </c>
      <c r="CV33" s="646">
        <f t="shared" si="32"/>
        <v>0</v>
      </c>
      <c r="CY33" s="646">
        <f t="shared" si="33"/>
        <v>0</v>
      </c>
      <c r="DB33" s="646">
        <f t="shared" si="34"/>
        <v>0</v>
      </c>
      <c r="DE33" s="646">
        <f t="shared" si="35"/>
        <v>0</v>
      </c>
      <c r="DH33" s="646">
        <f t="shared" si="36"/>
        <v>0</v>
      </c>
      <c r="DK33" s="646">
        <f t="shared" si="37"/>
        <v>0</v>
      </c>
      <c r="DN33" s="646">
        <f t="shared" si="38"/>
        <v>0</v>
      </c>
      <c r="DQ33" s="646">
        <f t="shared" si="39"/>
        <v>0</v>
      </c>
      <c r="DT33" s="646">
        <f t="shared" si="40"/>
        <v>0</v>
      </c>
      <c r="DW33" s="646">
        <f t="shared" si="41"/>
        <v>0</v>
      </c>
      <c r="DZ33" s="646"/>
      <c r="EA33" s="646"/>
      <c r="EB33" s="531">
        <f t="shared" si="42"/>
        <v>132725000</v>
      </c>
      <c r="EC33" s="531">
        <f t="shared" si="43"/>
        <v>0</v>
      </c>
      <c r="ED33" s="646">
        <f t="shared" si="44"/>
        <v>9564.4861111111113</v>
      </c>
      <c r="EE33" s="647">
        <f t="shared" si="45"/>
        <v>2.5942475042380862E-2</v>
      </c>
      <c r="EG33" s="531">
        <f t="shared" si="46"/>
        <v>0</v>
      </c>
      <c r="EH33" s="646">
        <f t="shared" si="47"/>
        <v>0</v>
      </c>
      <c r="EI33" s="647">
        <f t="shared" si="48"/>
        <v>0</v>
      </c>
      <c r="EJ33" s="647"/>
      <c r="EK33" s="531">
        <f t="shared" si="49"/>
        <v>132725000</v>
      </c>
      <c r="EL33" s="531">
        <f t="shared" si="50"/>
        <v>0</v>
      </c>
      <c r="EM33" s="531">
        <f t="shared" si="51"/>
        <v>9564.4861111111113</v>
      </c>
      <c r="EN33" s="647">
        <f t="shared" si="52"/>
        <v>2.5942475042380862E-2</v>
      </c>
      <c r="EP33" s="646"/>
    </row>
    <row r="34" spans="1:146">
      <c r="A34" s="665">
        <f t="shared" si="53"/>
        <v>43669</v>
      </c>
      <c r="D34" s="646">
        <f t="shared" si="2"/>
        <v>0</v>
      </c>
      <c r="G34" s="646">
        <f t="shared" si="3"/>
        <v>0</v>
      </c>
      <c r="J34" s="646">
        <f t="shared" si="4"/>
        <v>0</v>
      </c>
      <c r="M34" s="646">
        <f t="shared" si="5"/>
        <v>0</v>
      </c>
      <c r="P34" s="646">
        <f t="shared" si="6"/>
        <v>0</v>
      </c>
      <c r="S34" s="646">
        <f t="shared" si="7"/>
        <v>0</v>
      </c>
      <c r="V34" s="646">
        <f t="shared" si="8"/>
        <v>0</v>
      </c>
      <c r="Y34" s="646">
        <f t="shared" si="9"/>
        <v>0</v>
      </c>
      <c r="AB34" s="646">
        <f t="shared" si="10"/>
        <v>0</v>
      </c>
      <c r="AE34" s="646">
        <v>0</v>
      </c>
      <c r="AH34" s="646">
        <v>0</v>
      </c>
      <c r="AI34" s="666">
        <f>43775000</f>
        <v>43775000</v>
      </c>
      <c r="AJ34" s="667">
        <v>2.5399999999999999E-2</v>
      </c>
      <c r="AK34" s="646">
        <f t="shared" si="11"/>
        <v>3088.5694444444443</v>
      </c>
      <c r="AL34" s="666"/>
      <c r="AM34" s="667"/>
      <c r="AN34" s="646">
        <f t="shared" si="12"/>
        <v>0</v>
      </c>
      <c r="AO34" s="666"/>
      <c r="AP34" s="667"/>
      <c r="AQ34" s="646">
        <f t="shared" si="13"/>
        <v>0</v>
      </c>
      <c r="AR34" s="666">
        <f t="shared" si="54"/>
        <v>80000000</v>
      </c>
      <c r="AS34" s="667">
        <v>2.63E-2</v>
      </c>
      <c r="AT34" s="646">
        <f t="shared" si="14"/>
        <v>5844.4444444444443</v>
      </c>
      <c r="AW34" s="646">
        <f t="shared" si="15"/>
        <v>0</v>
      </c>
      <c r="AZ34" s="646">
        <f t="shared" si="16"/>
        <v>0</v>
      </c>
      <c r="BC34" s="646">
        <f t="shared" si="17"/>
        <v>0</v>
      </c>
      <c r="BF34" s="646">
        <f t="shared" si="18"/>
        <v>0</v>
      </c>
      <c r="BI34" s="646">
        <f t="shared" si="19"/>
        <v>0</v>
      </c>
      <c r="BL34" s="646">
        <f t="shared" si="20"/>
        <v>0</v>
      </c>
      <c r="BO34" s="646">
        <f t="shared" si="21"/>
        <v>0</v>
      </c>
      <c r="BR34" s="646">
        <f t="shared" si="22"/>
        <v>0</v>
      </c>
      <c r="BU34" s="646">
        <f t="shared" si="23"/>
        <v>0</v>
      </c>
      <c r="BX34" s="646">
        <f t="shared" si="24"/>
        <v>0</v>
      </c>
      <c r="CA34" s="646">
        <f t="shared" si="25"/>
        <v>0</v>
      </c>
      <c r="CD34" s="646">
        <f t="shared" si="26"/>
        <v>0</v>
      </c>
      <c r="CG34" s="646">
        <f t="shared" si="27"/>
        <v>0</v>
      </c>
      <c r="CJ34" s="646">
        <f t="shared" si="28"/>
        <v>0</v>
      </c>
      <c r="CM34" s="646">
        <f t="shared" si="29"/>
        <v>0</v>
      </c>
      <c r="CP34" s="646">
        <f t="shared" si="30"/>
        <v>0</v>
      </c>
      <c r="CS34" s="646">
        <f t="shared" si="31"/>
        <v>0</v>
      </c>
      <c r="CV34" s="646">
        <f t="shared" si="32"/>
        <v>0</v>
      </c>
      <c r="CY34" s="646">
        <f t="shared" si="33"/>
        <v>0</v>
      </c>
      <c r="DB34" s="646">
        <f t="shared" si="34"/>
        <v>0</v>
      </c>
      <c r="DE34" s="646">
        <f t="shared" si="35"/>
        <v>0</v>
      </c>
      <c r="DH34" s="646">
        <f t="shared" si="36"/>
        <v>0</v>
      </c>
      <c r="DK34" s="646">
        <f t="shared" si="37"/>
        <v>0</v>
      </c>
      <c r="DN34" s="646">
        <f t="shared" si="38"/>
        <v>0</v>
      </c>
      <c r="DQ34" s="646">
        <f t="shared" si="39"/>
        <v>0</v>
      </c>
      <c r="DT34" s="646">
        <f t="shared" si="40"/>
        <v>0</v>
      </c>
      <c r="DW34" s="646">
        <f t="shared" si="41"/>
        <v>0</v>
      </c>
      <c r="DZ34" s="646"/>
      <c r="EA34" s="646"/>
      <c r="EB34" s="531">
        <f t="shared" si="42"/>
        <v>123775000</v>
      </c>
      <c r="EC34" s="531">
        <f t="shared" si="43"/>
        <v>0</v>
      </c>
      <c r="ED34" s="646">
        <f t="shared" si="44"/>
        <v>8933.0138888888887</v>
      </c>
      <c r="EE34" s="647">
        <f t="shared" si="45"/>
        <v>2.5981700666532014E-2</v>
      </c>
      <c r="EG34" s="531">
        <f t="shared" si="46"/>
        <v>0</v>
      </c>
      <c r="EH34" s="646">
        <f t="shared" si="47"/>
        <v>0</v>
      </c>
      <c r="EI34" s="647">
        <f t="shared" si="48"/>
        <v>0</v>
      </c>
      <c r="EJ34" s="647"/>
      <c r="EK34" s="531">
        <f t="shared" si="49"/>
        <v>123775000</v>
      </c>
      <c r="EL34" s="531">
        <f t="shared" si="50"/>
        <v>0</v>
      </c>
      <c r="EM34" s="531">
        <f t="shared" si="51"/>
        <v>8933.0138888888887</v>
      </c>
      <c r="EN34" s="647">
        <f t="shared" si="52"/>
        <v>2.5981700666532014E-2</v>
      </c>
      <c r="EP34" s="646"/>
    </row>
    <row r="35" spans="1:146">
      <c r="A35" s="665">
        <f t="shared" si="53"/>
        <v>43670</v>
      </c>
      <c r="D35" s="646">
        <f t="shared" si="2"/>
        <v>0</v>
      </c>
      <c r="G35" s="646">
        <f t="shared" si="3"/>
        <v>0</v>
      </c>
      <c r="J35" s="646">
        <f t="shared" si="4"/>
        <v>0</v>
      </c>
      <c r="M35" s="646">
        <f t="shared" si="5"/>
        <v>0</v>
      </c>
      <c r="P35" s="646">
        <f t="shared" si="6"/>
        <v>0</v>
      </c>
      <c r="S35" s="646">
        <f t="shared" si="7"/>
        <v>0</v>
      </c>
      <c r="V35" s="646">
        <f t="shared" si="8"/>
        <v>0</v>
      </c>
      <c r="Y35" s="646">
        <f t="shared" si="9"/>
        <v>0</v>
      </c>
      <c r="AB35" s="646">
        <f t="shared" si="10"/>
        <v>0</v>
      </c>
      <c r="AE35" s="646">
        <v>0</v>
      </c>
      <c r="AH35" s="646">
        <v>0</v>
      </c>
      <c r="AI35" s="666">
        <f>26925000</f>
        <v>26925000</v>
      </c>
      <c r="AJ35" s="667">
        <v>2.5399999999999999E-2</v>
      </c>
      <c r="AK35" s="646">
        <f t="shared" si="11"/>
        <v>1899.7083333333333</v>
      </c>
      <c r="AL35" s="666"/>
      <c r="AM35" s="667"/>
      <c r="AN35" s="646">
        <f t="shared" si="12"/>
        <v>0</v>
      </c>
      <c r="AO35" s="666"/>
      <c r="AP35" s="667"/>
      <c r="AQ35" s="646">
        <f t="shared" si="13"/>
        <v>0</v>
      </c>
      <c r="AR35" s="666">
        <f t="shared" si="54"/>
        <v>80000000</v>
      </c>
      <c r="AS35" s="667">
        <v>2.63E-2</v>
      </c>
      <c r="AT35" s="646">
        <f t="shared" si="14"/>
        <v>5844.4444444444443</v>
      </c>
      <c r="AW35" s="646">
        <f t="shared" si="15"/>
        <v>0</v>
      </c>
      <c r="AZ35" s="646">
        <f t="shared" si="16"/>
        <v>0</v>
      </c>
      <c r="BC35" s="646">
        <f t="shared" si="17"/>
        <v>0</v>
      </c>
      <c r="BF35" s="646">
        <f t="shared" si="18"/>
        <v>0</v>
      </c>
      <c r="BI35" s="646">
        <f t="shared" si="19"/>
        <v>0</v>
      </c>
      <c r="BL35" s="646">
        <f t="shared" si="20"/>
        <v>0</v>
      </c>
      <c r="BO35" s="646">
        <f t="shared" si="21"/>
        <v>0</v>
      </c>
      <c r="BR35" s="646">
        <f t="shared" si="22"/>
        <v>0</v>
      </c>
      <c r="BU35" s="646">
        <f t="shared" si="23"/>
        <v>0</v>
      </c>
      <c r="BX35" s="646">
        <f t="shared" si="24"/>
        <v>0</v>
      </c>
      <c r="CA35" s="646">
        <f t="shared" si="25"/>
        <v>0</v>
      </c>
      <c r="CD35" s="646">
        <f t="shared" si="26"/>
        <v>0</v>
      </c>
      <c r="CG35" s="646">
        <f t="shared" si="27"/>
        <v>0</v>
      </c>
      <c r="CJ35" s="646">
        <f t="shared" si="28"/>
        <v>0</v>
      </c>
      <c r="CM35" s="646">
        <f t="shared" si="29"/>
        <v>0</v>
      </c>
      <c r="CP35" s="646">
        <f t="shared" si="30"/>
        <v>0</v>
      </c>
      <c r="CS35" s="646">
        <f t="shared" si="31"/>
        <v>0</v>
      </c>
      <c r="CV35" s="646">
        <f t="shared" si="32"/>
        <v>0</v>
      </c>
      <c r="CY35" s="646">
        <f t="shared" si="33"/>
        <v>0</v>
      </c>
      <c r="DB35" s="646">
        <f t="shared" si="34"/>
        <v>0</v>
      </c>
      <c r="DE35" s="646">
        <f t="shared" si="35"/>
        <v>0</v>
      </c>
      <c r="DH35" s="646">
        <f t="shared" si="36"/>
        <v>0</v>
      </c>
      <c r="DK35" s="646">
        <f t="shared" si="37"/>
        <v>0</v>
      </c>
      <c r="DN35" s="646">
        <f t="shared" si="38"/>
        <v>0</v>
      </c>
      <c r="DQ35" s="646">
        <f t="shared" si="39"/>
        <v>0</v>
      </c>
      <c r="DT35" s="646">
        <f t="shared" si="40"/>
        <v>0</v>
      </c>
      <c r="DW35" s="646">
        <f t="shared" si="41"/>
        <v>0</v>
      </c>
      <c r="DZ35" s="646"/>
      <c r="EA35" s="646"/>
      <c r="EB35" s="531">
        <f t="shared" si="42"/>
        <v>106925000</v>
      </c>
      <c r="EC35" s="531">
        <f t="shared" si="43"/>
        <v>0</v>
      </c>
      <c r="ED35" s="646">
        <f t="shared" si="44"/>
        <v>7744.1527777777774</v>
      </c>
      <c r="EE35" s="647">
        <f t="shared" si="45"/>
        <v>2.6073369184007482E-2</v>
      </c>
      <c r="EG35" s="531">
        <f t="shared" si="46"/>
        <v>0</v>
      </c>
      <c r="EH35" s="646">
        <f t="shared" si="47"/>
        <v>0</v>
      </c>
      <c r="EI35" s="647">
        <f t="shared" si="48"/>
        <v>0</v>
      </c>
      <c r="EJ35" s="647"/>
      <c r="EK35" s="531">
        <f t="shared" si="49"/>
        <v>106925000</v>
      </c>
      <c r="EL35" s="531">
        <f t="shared" si="50"/>
        <v>0</v>
      </c>
      <c r="EM35" s="531">
        <f t="shared" si="51"/>
        <v>7744.1527777777774</v>
      </c>
      <c r="EN35" s="647">
        <f t="shared" si="52"/>
        <v>2.6073369184007482E-2</v>
      </c>
      <c r="EP35" s="646"/>
    </row>
    <row r="36" spans="1:146">
      <c r="A36" s="665">
        <f t="shared" si="53"/>
        <v>43671</v>
      </c>
      <c r="D36" s="646">
        <f t="shared" si="2"/>
        <v>0</v>
      </c>
      <c r="G36" s="646">
        <f t="shared" si="3"/>
        <v>0</v>
      </c>
      <c r="J36" s="646">
        <f t="shared" si="4"/>
        <v>0</v>
      </c>
      <c r="M36" s="646">
        <f t="shared" si="5"/>
        <v>0</v>
      </c>
      <c r="P36" s="646">
        <f t="shared" si="6"/>
        <v>0</v>
      </c>
      <c r="S36" s="646">
        <f t="shared" si="7"/>
        <v>0</v>
      </c>
      <c r="V36" s="646">
        <f t="shared" si="8"/>
        <v>0</v>
      </c>
      <c r="Y36" s="646">
        <f t="shared" si="9"/>
        <v>0</v>
      </c>
      <c r="AB36" s="646">
        <f t="shared" si="10"/>
        <v>0</v>
      </c>
      <c r="AE36" s="646">
        <v>0</v>
      </c>
      <c r="AH36" s="646">
        <v>0</v>
      </c>
      <c r="AI36" s="666">
        <f>22175000</f>
        <v>22175000</v>
      </c>
      <c r="AJ36" s="667">
        <v>2.5399999999999999E-2</v>
      </c>
      <c r="AK36" s="646">
        <f t="shared" si="11"/>
        <v>1564.5694444444443</v>
      </c>
      <c r="AL36" s="666"/>
      <c r="AM36" s="667"/>
      <c r="AN36" s="646">
        <f t="shared" si="12"/>
        <v>0</v>
      </c>
      <c r="AO36" s="666"/>
      <c r="AP36" s="667"/>
      <c r="AQ36" s="646">
        <f t="shared" si="13"/>
        <v>0</v>
      </c>
      <c r="AR36" s="666">
        <f t="shared" si="54"/>
        <v>80000000</v>
      </c>
      <c r="AS36" s="667">
        <v>2.63E-2</v>
      </c>
      <c r="AT36" s="646">
        <f t="shared" si="14"/>
        <v>5844.4444444444443</v>
      </c>
      <c r="AW36" s="646">
        <f t="shared" si="15"/>
        <v>0</v>
      </c>
      <c r="AZ36" s="646">
        <f t="shared" si="16"/>
        <v>0</v>
      </c>
      <c r="BC36" s="646">
        <f t="shared" si="17"/>
        <v>0</v>
      </c>
      <c r="BF36" s="646">
        <f t="shared" si="18"/>
        <v>0</v>
      </c>
      <c r="BI36" s="646">
        <f t="shared" si="19"/>
        <v>0</v>
      </c>
      <c r="BL36" s="646">
        <f t="shared" si="20"/>
        <v>0</v>
      </c>
      <c r="BO36" s="646">
        <f t="shared" si="21"/>
        <v>0</v>
      </c>
      <c r="BR36" s="646">
        <f t="shared" si="22"/>
        <v>0</v>
      </c>
      <c r="BU36" s="646">
        <f t="shared" si="23"/>
        <v>0</v>
      </c>
      <c r="BX36" s="646">
        <f t="shared" si="24"/>
        <v>0</v>
      </c>
      <c r="CA36" s="646">
        <f t="shared" si="25"/>
        <v>0</v>
      </c>
      <c r="CD36" s="646">
        <f t="shared" si="26"/>
        <v>0</v>
      </c>
      <c r="CG36" s="646">
        <f t="shared" si="27"/>
        <v>0</v>
      </c>
      <c r="CJ36" s="646">
        <f t="shared" si="28"/>
        <v>0</v>
      </c>
      <c r="CM36" s="646">
        <f t="shared" si="29"/>
        <v>0</v>
      </c>
      <c r="CP36" s="646">
        <f t="shared" si="30"/>
        <v>0</v>
      </c>
      <c r="CS36" s="646">
        <f t="shared" si="31"/>
        <v>0</v>
      </c>
      <c r="CV36" s="646">
        <f t="shared" si="32"/>
        <v>0</v>
      </c>
      <c r="CY36" s="646">
        <f t="shared" si="33"/>
        <v>0</v>
      </c>
      <c r="DB36" s="646">
        <f t="shared" si="34"/>
        <v>0</v>
      </c>
      <c r="DE36" s="646">
        <f t="shared" si="35"/>
        <v>0</v>
      </c>
      <c r="DH36" s="646">
        <f t="shared" si="36"/>
        <v>0</v>
      </c>
      <c r="DK36" s="646">
        <f t="shared" si="37"/>
        <v>0</v>
      </c>
      <c r="DN36" s="646">
        <f t="shared" si="38"/>
        <v>0</v>
      </c>
      <c r="DQ36" s="646">
        <f t="shared" si="39"/>
        <v>0</v>
      </c>
      <c r="DT36" s="646">
        <f t="shared" si="40"/>
        <v>0</v>
      </c>
      <c r="DW36" s="646">
        <f t="shared" si="41"/>
        <v>0</v>
      </c>
      <c r="DZ36" s="646"/>
      <c r="EA36" s="646"/>
      <c r="EB36" s="531">
        <f t="shared" si="42"/>
        <v>102175000</v>
      </c>
      <c r="EC36" s="531">
        <f t="shared" si="43"/>
        <v>0</v>
      </c>
      <c r="ED36" s="646">
        <f t="shared" si="44"/>
        <v>7409.0138888888887</v>
      </c>
      <c r="EE36" s="647">
        <f t="shared" si="45"/>
        <v>2.6104673354538782E-2</v>
      </c>
      <c r="EG36" s="531">
        <f t="shared" si="46"/>
        <v>0</v>
      </c>
      <c r="EH36" s="646">
        <f t="shared" si="47"/>
        <v>0</v>
      </c>
      <c r="EI36" s="647">
        <f t="shared" si="48"/>
        <v>0</v>
      </c>
      <c r="EJ36" s="647"/>
      <c r="EK36" s="531">
        <f t="shared" si="49"/>
        <v>102175000</v>
      </c>
      <c r="EL36" s="531">
        <f t="shared" si="50"/>
        <v>0</v>
      </c>
      <c r="EM36" s="531">
        <f t="shared" si="51"/>
        <v>7409.0138888888887</v>
      </c>
      <c r="EN36" s="647">
        <f t="shared" si="52"/>
        <v>2.6104673354538782E-2</v>
      </c>
      <c r="EP36" s="646"/>
    </row>
    <row r="37" spans="1:146">
      <c r="A37" s="665">
        <f t="shared" si="53"/>
        <v>43672</v>
      </c>
      <c r="D37" s="646">
        <f t="shared" si="2"/>
        <v>0</v>
      </c>
      <c r="G37" s="646">
        <f t="shared" si="3"/>
        <v>0</v>
      </c>
      <c r="J37" s="646">
        <f t="shared" si="4"/>
        <v>0</v>
      </c>
      <c r="M37" s="646">
        <f t="shared" si="5"/>
        <v>0</v>
      </c>
      <c r="P37" s="646">
        <f t="shared" si="6"/>
        <v>0</v>
      </c>
      <c r="S37" s="646">
        <f t="shared" si="7"/>
        <v>0</v>
      </c>
      <c r="V37" s="646">
        <f t="shared" si="8"/>
        <v>0</v>
      </c>
      <c r="Y37" s="646">
        <f t="shared" si="9"/>
        <v>0</v>
      </c>
      <c r="AB37" s="646">
        <f t="shared" si="10"/>
        <v>0</v>
      </c>
      <c r="AE37" s="646">
        <v>0</v>
      </c>
      <c r="AH37" s="646">
        <v>0</v>
      </c>
      <c r="AI37" s="666">
        <f>31825000</f>
        <v>31825000</v>
      </c>
      <c r="AJ37" s="667">
        <v>2.5399999999999999E-2</v>
      </c>
      <c r="AK37" s="646">
        <f t="shared" si="11"/>
        <v>2245.4305555555557</v>
      </c>
      <c r="AL37" s="666"/>
      <c r="AM37" s="667"/>
      <c r="AN37" s="646">
        <f t="shared" si="12"/>
        <v>0</v>
      </c>
      <c r="AO37" s="666"/>
      <c r="AP37" s="667"/>
      <c r="AQ37" s="646">
        <f t="shared" si="13"/>
        <v>0</v>
      </c>
      <c r="AR37" s="666">
        <f t="shared" si="54"/>
        <v>80000000</v>
      </c>
      <c r="AS37" s="667">
        <v>2.63E-2</v>
      </c>
      <c r="AT37" s="646">
        <f t="shared" si="14"/>
        <v>5844.4444444444443</v>
      </c>
      <c r="AW37" s="646">
        <f t="shared" si="15"/>
        <v>0</v>
      </c>
      <c r="AZ37" s="646">
        <f t="shared" si="16"/>
        <v>0</v>
      </c>
      <c r="BC37" s="646">
        <f t="shared" si="17"/>
        <v>0</v>
      </c>
      <c r="BF37" s="646">
        <f t="shared" si="18"/>
        <v>0</v>
      </c>
      <c r="BI37" s="646">
        <f t="shared" si="19"/>
        <v>0</v>
      </c>
      <c r="BL37" s="646">
        <f t="shared" si="20"/>
        <v>0</v>
      </c>
      <c r="BO37" s="646">
        <f t="shared" si="21"/>
        <v>0</v>
      </c>
      <c r="BR37" s="646">
        <f t="shared" si="22"/>
        <v>0</v>
      </c>
      <c r="BU37" s="646">
        <f t="shared" si="23"/>
        <v>0</v>
      </c>
      <c r="BX37" s="646">
        <f t="shared" si="24"/>
        <v>0</v>
      </c>
      <c r="CA37" s="646">
        <f t="shared" si="25"/>
        <v>0</v>
      </c>
      <c r="CD37" s="646">
        <f t="shared" si="26"/>
        <v>0</v>
      </c>
      <c r="CG37" s="646">
        <f t="shared" si="27"/>
        <v>0</v>
      </c>
      <c r="CJ37" s="646">
        <f t="shared" si="28"/>
        <v>0</v>
      </c>
      <c r="CM37" s="646">
        <f t="shared" si="29"/>
        <v>0</v>
      </c>
      <c r="CP37" s="646">
        <f t="shared" si="30"/>
        <v>0</v>
      </c>
      <c r="CS37" s="646">
        <f t="shared" si="31"/>
        <v>0</v>
      </c>
      <c r="CV37" s="646">
        <f t="shared" si="32"/>
        <v>0</v>
      </c>
      <c r="CY37" s="646">
        <f t="shared" si="33"/>
        <v>0</v>
      </c>
      <c r="DB37" s="646">
        <f t="shared" si="34"/>
        <v>0</v>
      </c>
      <c r="DE37" s="646">
        <f t="shared" si="35"/>
        <v>0</v>
      </c>
      <c r="DH37" s="646">
        <f t="shared" si="36"/>
        <v>0</v>
      </c>
      <c r="DK37" s="646">
        <f t="shared" si="37"/>
        <v>0</v>
      </c>
      <c r="DN37" s="646">
        <f t="shared" si="38"/>
        <v>0</v>
      </c>
      <c r="DQ37" s="646">
        <f t="shared" si="39"/>
        <v>0</v>
      </c>
      <c r="DT37" s="646">
        <f t="shared" si="40"/>
        <v>0</v>
      </c>
      <c r="DW37" s="646">
        <f t="shared" si="41"/>
        <v>0</v>
      </c>
      <c r="DZ37" s="646"/>
      <c r="EA37" s="646"/>
      <c r="EB37" s="531">
        <f t="shared" si="42"/>
        <v>111825000</v>
      </c>
      <c r="EC37" s="531">
        <f t="shared" si="43"/>
        <v>0</v>
      </c>
      <c r="ED37" s="646">
        <f t="shared" si="44"/>
        <v>8089.875</v>
      </c>
      <c r="EE37" s="647">
        <f t="shared" si="45"/>
        <v>2.6043863179074443E-2</v>
      </c>
      <c r="EG37" s="531">
        <f t="shared" si="46"/>
        <v>0</v>
      </c>
      <c r="EH37" s="646">
        <f t="shared" si="47"/>
        <v>0</v>
      </c>
      <c r="EI37" s="647">
        <f t="shared" si="48"/>
        <v>0</v>
      </c>
      <c r="EJ37" s="647"/>
      <c r="EK37" s="531">
        <f t="shared" si="49"/>
        <v>111825000</v>
      </c>
      <c r="EL37" s="531">
        <f t="shared" si="50"/>
        <v>0</v>
      </c>
      <c r="EM37" s="531">
        <f t="shared" si="51"/>
        <v>8089.875</v>
      </c>
      <c r="EN37" s="647">
        <f t="shared" si="52"/>
        <v>2.6043863179074443E-2</v>
      </c>
      <c r="EP37" s="646"/>
    </row>
    <row r="38" spans="1:146">
      <c r="A38" s="665">
        <f t="shared" si="53"/>
        <v>43673</v>
      </c>
      <c r="D38" s="646">
        <f t="shared" si="2"/>
        <v>0</v>
      </c>
      <c r="G38" s="646">
        <f t="shared" si="3"/>
        <v>0</v>
      </c>
      <c r="J38" s="646">
        <f t="shared" si="4"/>
        <v>0</v>
      </c>
      <c r="M38" s="646">
        <f t="shared" si="5"/>
        <v>0</v>
      </c>
      <c r="P38" s="646">
        <f t="shared" si="6"/>
        <v>0</v>
      </c>
      <c r="S38" s="646">
        <f t="shared" si="7"/>
        <v>0</v>
      </c>
      <c r="V38" s="646">
        <f t="shared" si="8"/>
        <v>0</v>
      </c>
      <c r="Y38" s="646">
        <f t="shared" si="9"/>
        <v>0</v>
      </c>
      <c r="AB38" s="646">
        <f t="shared" si="10"/>
        <v>0</v>
      </c>
      <c r="AE38" s="646">
        <v>0</v>
      </c>
      <c r="AH38" s="646">
        <v>0</v>
      </c>
      <c r="AI38" s="666">
        <f>31825000</f>
        <v>31825000</v>
      </c>
      <c r="AJ38" s="667">
        <v>2.5399999999999999E-2</v>
      </c>
      <c r="AK38" s="646">
        <f t="shared" si="11"/>
        <v>2245.4305555555557</v>
      </c>
      <c r="AL38" s="666"/>
      <c r="AM38" s="667"/>
      <c r="AN38" s="646">
        <f t="shared" si="12"/>
        <v>0</v>
      </c>
      <c r="AO38" s="666"/>
      <c r="AP38" s="667"/>
      <c r="AQ38" s="646">
        <f t="shared" si="13"/>
        <v>0</v>
      </c>
      <c r="AR38" s="666">
        <f t="shared" si="54"/>
        <v>80000000</v>
      </c>
      <c r="AS38" s="667">
        <v>2.63E-2</v>
      </c>
      <c r="AT38" s="646">
        <f t="shared" si="14"/>
        <v>5844.4444444444443</v>
      </c>
      <c r="AW38" s="646">
        <f t="shared" si="15"/>
        <v>0</v>
      </c>
      <c r="AZ38" s="646">
        <f t="shared" si="16"/>
        <v>0</v>
      </c>
      <c r="BC38" s="646">
        <f t="shared" si="17"/>
        <v>0</v>
      </c>
      <c r="BF38" s="646">
        <f t="shared" si="18"/>
        <v>0</v>
      </c>
      <c r="BI38" s="646">
        <f t="shared" si="19"/>
        <v>0</v>
      </c>
      <c r="BL38" s="646">
        <f t="shared" si="20"/>
        <v>0</v>
      </c>
      <c r="BO38" s="646">
        <f t="shared" si="21"/>
        <v>0</v>
      </c>
      <c r="BR38" s="646">
        <f t="shared" si="22"/>
        <v>0</v>
      </c>
      <c r="BU38" s="646">
        <f t="shared" si="23"/>
        <v>0</v>
      </c>
      <c r="BX38" s="646">
        <f t="shared" si="24"/>
        <v>0</v>
      </c>
      <c r="CA38" s="646">
        <f t="shared" si="25"/>
        <v>0</v>
      </c>
      <c r="CD38" s="646">
        <f t="shared" si="26"/>
        <v>0</v>
      </c>
      <c r="CG38" s="646">
        <f t="shared" si="27"/>
        <v>0</v>
      </c>
      <c r="CJ38" s="646">
        <f t="shared" si="28"/>
        <v>0</v>
      </c>
      <c r="CM38" s="646">
        <f t="shared" si="29"/>
        <v>0</v>
      </c>
      <c r="CP38" s="646">
        <f t="shared" si="30"/>
        <v>0</v>
      </c>
      <c r="CS38" s="646">
        <f t="shared" si="31"/>
        <v>0</v>
      </c>
      <c r="CV38" s="646">
        <f t="shared" si="32"/>
        <v>0</v>
      </c>
      <c r="CY38" s="646">
        <f t="shared" si="33"/>
        <v>0</v>
      </c>
      <c r="DB38" s="646">
        <f t="shared" si="34"/>
        <v>0</v>
      </c>
      <c r="DE38" s="646">
        <f t="shared" si="35"/>
        <v>0</v>
      </c>
      <c r="DH38" s="646">
        <f t="shared" si="36"/>
        <v>0</v>
      </c>
      <c r="DK38" s="646">
        <f t="shared" si="37"/>
        <v>0</v>
      </c>
      <c r="DN38" s="646">
        <f t="shared" si="38"/>
        <v>0</v>
      </c>
      <c r="DQ38" s="646">
        <f t="shared" si="39"/>
        <v>0</v>
      </c>
      <c r="DT38" s="646">
        <f t="shared" si="40"/>
        <v>0</v>
      </c>
      <c r="DW38" s="646">
        <f t="shared" si="41"/>
        <v>0</v>
      </c>
      <c r="DZ38" s="646"/>
      <c r="EA38" s="646"/>
      <c r="EB38" s="531">
        <f t="shared" si="42"/>
        <v>111825000</v>
      </c>
      <c r="EC38" s="531">
        <f t="shared" si="43"/>
        <v>0</v>
      </c>
      <c r="ED38" s="646">
        <f t="shared" si="44"/>
        <v>8089.875</v>
      </c>
      <c r="EE38" s="647">
        <f t="shared" si="45"/>
        <v>2.6043863179074443E-2</v>
      </c>
      <c r="EG38" s="531">
        <f t="shared" si="46"/>
        <v>0</v>
      </c>
      <c r="EH38" s="646">
        <f t="shared" si="47"/>
        <v>0</v>
      </c>
      <c r="EI38" s="647">
        <f t="shared" si="48"/>
        <v>0</v>
      </c>
      <c r="EJ38" s="647"/>
      <c r="EK38" s="531">
        <f t="shared" si="49"/>
        <v>111825000</v>
      </c>
      <c r="EL38" s="531">
        <f t="shared" si="50"/>
        <v>0</v>
      </c>
      <c r="EM38" s="531">
        <f t="shared" si="51"/>
        <v>8089.875</v>
      </c>
      <c r="EN38" s="647">
        <f t="shared" si="52"/>
        <v>2.6043863179074443E-2</v>
      </c>
      <c r="EP38" s="646"/>
    </row>
    <row r="39" spans="1:146">
      <c r="A39" s="665">
        <f t="shared" si="53"/>
        <v>43674</v>
      </c>
      <c r="D39" s="646">
        <f t="shared" si="2"/>
        <v>0</v>
      </c>
      <c r="G39" s="646">
        <f t="shared" si="3"/>
        <v>0</v>
      </c>
      <c r="J39" s="646">
        <f t="shared" si="4"/>
        <v>0</v>
      </c>
      <c r="M39" s="646">
        <f t="shared" si="5"/>
        <v>0</v>
      </c>
      <c r="P39" s="646">
        <f t="shared" si="6"/>
        <v>0</v>
      </c>
      <c r="S39" s="646">
        <f t="shared" si="7"/>
        <v>0</v>
      </c>
      <c r="V39" s="646">
        <f t="shared" si="8"/>
        <v>0</v>
      </c>
      <c r="Y39" s="646">
        <f t="shared" si="9"/>
        <v>0</v>
      </c>
      <c r="AB39" s="646">
        <f t="shared" si="10"/>
        <v>0</v>
      </c>
      <c r="AE39" s="646">
        <v>0</v>
      </c>
      <c r="AH39" s="646">
        <v>0</v>
      </c>
      <c r="AI39" s="666">
        <f>31825000</f>
        <v>31825000</v>
      </c>
      <c r="AJ39" s="667">
        <v>2.5399999999999999E-2</v>
      </c>
      <c r="AK39" s="646">
        <f t="shared" si="11"/>
        <v>2245.4305555555557</v>
      </c>
      <c r="AL39" s="666"/>
      <c r="AM39" s="667"/>
      <c r="AN39" s="646">
        <f t="shared" si="12"/>
        <v>0</v>
      </c>
      <c r="AO39" s="666"/>
      <c r="AP39" s="667"/>
      <c r="AQ39" s="646">
        <f t="shared" si="13"/>
        <v>0</v>
      </c>
      <c r="AR39" s="666">
        <f t="shared" si="54"/>
        <v>80000000</v>
      </c>
      <c r="AS39" s="667">
        <v>2.63E-2</v>
      </c>
      <c r="AT39" s="646">
        <f t="shared" si="14"/>
        <v>5844.4444444444443</v>
      </c>
      <c r="AW39" s="646">
        <f t="shared" si="15"/>
        <v>0</v>
      </c>
      <c r="AZ39" s="646">
        <f t="shared" si="16"/>
        <v>0</v>
      </c>
      <c r="BC39" s="646">
        <f t="shared" si="17"/>
        <v>0</v>
      </c>
      <c r="BF39" s="646">
        <f t="shared" si="18"/>
        <v>0</v>
      </c>
      <c r="BI39" s="646">
        <f t="shared" si="19"/>
        <v>0</v>
      </c>
      <c r="BL39" s="646">
        <f t="shared" si="20"/>
        <v>0</v>
      </c>
      <c r="BO39" s="646">
        <f t="shared" si="21"/>
        <v>0</v>
      </c>
      <c r="BR39" s="646">
        <f t="shared" si="22"/>
        <v>0</v>
      </c>
      <c r="BU39" s="646">
        <f t="shared" si="23"/>
        <v>0</v>
      </c>
      <c r="BX39" s="646">
        <f t="shared" si="24"/>
        <v>0</v>
      </c>
      <c r="CA39" s="646">
        <f t="shared" si="25"/>
        <v>0</v>
      </c>
      <c r="CD39" s="646">
        <f t="shared" si="26"/>
        <v>0</v>
      </c>
      <c r="CG39" s="646">
        <f t="shared" si="27"/>
        <v>0</v>
      </c>
      <c r="CJ39" s="646">
        <f t="shared" si="28"/>
        <v>0</v>
      </c>
      <c r="CM39" s="646">
        <f t="shared" si="29"/>
        <v>0</v>
      </c>
      <c r="CP39" s="646">
        <f t="shared" si="30"/>
        <v>0</v>
      </c>
      <c r="CS39" s="646">
        <f t="shared" si="31"/>
        <v>0</v>
      </c>
      <c r="CV39" s="646">
        <f t="shared" si="32"/>
        <v>0</v>
      </c>
      <c r="CY39" s="646">
        <f t="shared" si="33"/>
        <v>0</v>
      </c>
      <c r="DB39" s="646">
        <f t="shared" si="34"/>
        <v>0</v>
      </c>
      <c r="DE39" s="646">
        <f t="shared" si="35"/>
        <v>0</v>
      </c>
      <c r="DH39" s="646">
        <f t="shared" si="36"/>
        <v>0</v>
      </c>
      <c r="DK39" s="646">
        <f t="shared" si="37"/>
        <v>0</v>
      </c>
      <c r="DN39" s="646">
        <f t="shared" si="38"/>
        <v>0</v>
      </c>
      <c r="DQ39" s="646">
        <f t="shared" si="39"/>
        <v>0</v>
      </c>
      <c r="DT39" s="646">
        <f t="shared" si="40"/>
        <v>0</v>
      </c>
      <c r="DW39" s="646">
        <f t="shared" si="41"/>
        <v>0</v>
      </c>
      <c r="DZ39" s="646"/>
      <c r="EA39" s="646"/>
      <c r="EB39" s="531">
        <f t="shared" si="42"/>
        <v>111825000</v>
      </c>
      <c r="EC39" s="531">
        <f t="shared" si="43"/>
        <v>0</v>
      </c>
      <c r="ED39" s="646">
        <f t="shared" si="44"/>
        <v>8089.875</v>
      </c>
      <c r="EE39" s="647">
        <f t="shared" si="45"/>
        <v>2.6043863179074443E-2</v>
      </c>
      <c r="EG39" s="531">
        <f t="shared" si="46"/>
        <v>0</v>
      </c>
      <c r="EH39" s="646">
        <f t="shared" si="47"/>
        <v>0</v>
      </c>
      <c r="EI39" s="647">
        <f t="shared" si="48"/>
        <v>0</v>
      </c>
      <c r="EJ39" s="647"/>
      <c r="EK39" s="531">
        <f t="shared" si="49"/>
        <v>111825000</v>
      </c>
      <c r="EL39" s="531">
        <f t="shared" si="50"/>
        <v>0</v>
      </c>
      <c r="EM39" s="531">
        <f t="shared" si="51"/>
        <v>8089.875</v>
      </c>
      <c r="EN39" s="647">
        <f t="shared" si="52"/>
        <v>2.6043863179074443E-2</v>
      </c>
      <c r="EP39" s="646"/>
    </row>
    <row r="40" spans="1:146">
      <c r="A40" s="665">
        <f t="shared" si="53"/>
        <v>43675</v>
      </c>
      <c r="D40" s="646">
        <f t="shared" si="2"/>
        <v>0</v>
      </c>
      <c r="G40" s="646">
        <f t="shared" si="3"/>
        <v>0</v>
      </c>
      <c r="J40" s="646">
        <f t="shared" si="4"/>
        <v>0</v>
      </c>
      <c r="M40" s="646">
        <f t="shared" si="5"/>
        <v>0</v>
      </c>
      <c r="P40" s="646">
        <f t="shared" si="6"/>
        <v>0</v>
      </c>
      <c r="S40" s="646">
        <f t="shared" si="7"/>
        <v>0</v>
      </c>
      <c r="V40" s="646">
        <f t="shared" si="8"/>
        <v>0</v>
      </c>
      <c r="Y40" s="646">
        <f t="shared" si="9"/>
        <v>0</v>
      </c>
      <c r="AB40" s="646">
        <f t="shared" si="10"/>
        <v>0</v>
      </c>
      <c r="AE40" s="646">
        <v>0</v>
      </c>
      <c r="AH40" s="646">
        <v>0</v>
      </c>
      <c r="AI40" s="666">
        <f>41450000</f>
        <v>41450000</v>
      </c>
      <c r="AJ40" s="667">
        <v>2.5399999999999999E-2</v>
      </c>
      <c r="AK40" s="646">
        <f t="shared" si="11"/>
        <v>2924.5277777777778</v>
      </c>
      <c r="AL40" s="666"/>
      <c r="AM40" s="667"/>
      <c r="AN40" s="646">
        <f t="shared" si="12"/>
        <v>0</v>
      </c>
      <c r="AO40" s="666"/>
      <c r="AP40" s="667"/>
      <c r="AQ40" s="646">
        <f t="shared" si="13"/>
        <v>0</v>
      </c>
      <c r="AR40" s="666">
        <f t="shared" si="54"/>
        <v>80000000</v>
      </c>
      <c r="AS40" s="667">
        <v>2.63E-2</v>
      </c>
      <c r="AT40" s="646">
        <f t="shared" si="14"/>
        <v>5844.4444444444443</v>
      </c>
      <c r="AW40" s="646">
        <f t="shared" si="15"/>
        <v>0</v>
      </c>
      <c r="AZ40" s="646">
        <f t="shared" si="16"/>
        <v>0</v>
      </c>
      <c r="BC40" s="646">
        <f t="shared" si="17"/>
        <v>0</v>
      </c>
      <c r="BF40" s="646">
        <f t="shared" si="18"/>
        <v>0</v>
      </c>
      <c r="BI40" s="646">
        <f t="shared" si="19"/>
        <v>0</v>
      </c>
      <c r="BL40" s="646">
        <f t="shared" si="20"/>
        <v>0</v>
      </c>
      <c r="BO40" s="646">
        <f t="shared" si="21"/>
        <v>0</v>
      </c>
      <c r="BR40" s="646">
        <f t="shared" si="22"/>
        <v>0</v>
      </c>
      <c r="BU40" s="646">
        <f t="shared" si="23"/>
        <v>0</v>
      </c>
      <c r="BX40" s="646">
        <f t="shared" si="24"/>
        <v>0</v>
      </c>
      <c r="CA40" s="646">
        <f t="shared" si="25"/>
        <v>0</v>
      </c>
      <c r="CD40" s="646">
        <f t="shared" si="26"/>
        <v>0</v>
      </c>
      <c r="CG40" s="646">
        <f t="shared" si="27"/>
        <v>0</v>
      </c>
      <c r="CJ40" s="646">
        <f t="shared" si="28"/>
        <v>0</v>
      </c>
      <c r="CM40" s="646">
        <f t="shared" si="29"/>
        <v>0</v>
      </c>
      <c r="CP40" s="646">
        <f t="shared" si="30"/>
        <v>0</v>
      </c>
      <c r="CS40" s="646">
        <f t="shared" si="31"/>
        <v>0</v>
      </c>
      <c r="CV40" s="646">
        <f t="shared" si="32"/>
        <v>0</v>
      </c>
      <c r="CY40" s="646">
        <f t="shared" si="33"/>
        <v>0</v>
      </c>
      <c r="DB40" s="646">
        <f t="shared" si="34"/>
        <v>0</v>
      </c>
      <c r="DE40" s="646">
        <f t="shared" si="35"/>
        <v>0</v>
      </c>
      <c r="DH40" s="646">
        <f t="shared" si="36"/>
        <v>0</v>
      </c>
      <c r="DK40" s="646">
        <f t="shared" si="37"/>
        <v>0</v>
      </c>
      <c r="DN40" s="646">
        <f t="shared" si="38"/>
        <v>0</v>
      </c>
      <c r="DQ40" s="646">
        <f t="shared" si="39"/>
        <v>0</v>
      </c>
      <c r="DT40" s="646">
        <f t="shared" si="40"/>
        <v>0</v>
      </c>
      <c r="DW40" s="646">
        <f t="shared" si="41"/>
        <v>0</v>
      </c>
      <c r="DZ40" s="646"/>
      <c r="EA40" s="646"/>
      <c r="EB40" s="531">
        <f t="shared" si="42"/>
        <v>121450000</v>
      </c>
      <c r="EC40" s="531">
        <f t="shared" si="43"/>
        <v>0</v>
      </c>
      <c r="ED40" s="646">
        <f t="shared" si="44"/>
        <v>8768.9722222222226</v>
      </c>
      <c r="EE40" s="647">
        <f t="shared" si="45"/>
        <v>2.5992836558254431E-2</v>
      </c>
      <c r="EG40" s="531">
        <f t="shared" si="46"/>
        <v>0</v>
      </c>
      <c r="EH40" s="646">
        <f t="shared" si="47"/>
        <v>0</v>
      </c>
      <c r="EI40" s="647">
        <f t="shared" si="48"/>
        <v>0</v>
      </c>
      <c r="EJ40" s="647"/>
      <c r="EK40" s="531">
        <f t="shared" si="49"/>
        <v>121450000</v>
      </c>
      <c r="EL40" s="531">
        <f t="shared" si="50"/>
        <v>0</v>
      </c>
      <c r="EM40" s="531">
        <f t="shared" si="51"/>
        <v>8768.9722222222226</v>
      </c>
      <c r="EN40" s="647">
        <f t="shared" si="52"/>
        <v>2.5992836558254431E-2</v>
      </c>
      <c r="EP40" s="646"/>
    </row>
    <row r="41" spans="1:146">
      <c r="A41" s="665">
        <f t="shared" si="53"/>
        <v>43676</v>
      </c>
      <c r="D41" s="646">
        <f t="shared" si="2"/>
        <v>0</v>
      </c>
      <c r="G41" s="646">
        <f t="shared" si="3"/>
        <v>0</v>
      </c>
      <c r="J41" s="646">
        <f t="shared" si="4"/>
        <v>0</v>
      </c>
      <c r="M41" s="646">
        <f t="shared" si="5"/>
        <v>0</v>
      </c>
      <c r="P41" s="646">
        <f t="shared" si="6"/>
        <v>0</v>
      </c>
      <c r="S41" s="646">
        <f t="shared" si="7"/>
        <v>0</v>
      </c>
      <c r="V41" s="646">
        <f t="shared" si="8"/>
        <v>0</v>
      </c>
      <c r="Y41" s="646">
        <f t="shared" si="9"/>
        <v>0</v>
      </c>
      <c r="AB41" s="646">
        <f t="shared" si="10"/>
        <v>0</v>
      </c>
      <c r="AE41" s="646">
        <v>0</v>
      </c>
      <c r="AH41" s="646">
        <v>0</v>
      </c>
      <c r="AI41" s="666">
        <f>35050000</f>
        <v>35050000</v>
      </c>
      <c r="AJ41" s="667">
        <v>2.5399999999999999E-2</v>
      </c>
      <c r="AK41" s="646">
        <f t="shared" si="11"/>
        <v>2472.9722222222222</v>
      </c>
      <c r="AL41" s="666"/>
      <c r="AM41" s="667"/>
      <c r="AN41" s="646">
        <f t="shared" si="12"/>
        <v>0</v>
      </c>
      <c r="AO41" s="666"/>
      <c r="AP41" s="667"/>
      <c r="AQ41" s="646">
        <f t="shared" si="13"/>
        <v>0</v>
      </c>
      <c r="AR41" s="666">
        <f t="shared" si="54"/>
        <v>80000000</v>
      </c>
      <c r="AS41" s="667">
        <v>2.63E-2</v>
      </c>
      <c r="AT41" s="646">
        <f t="shared" si="14"/>
        <v>5844.4444444444443</v>
      </c>
      <c r="AW41" s="646">
        <f t="shared" si="15"/>
        <v>0</v>
      </c>
      <c r="AZ41" s="646">
        <f t="shared" si="16"/>
        <v>0</v>
      </c>
      <c r="BC41" s="646">
        <f t="shared" si="17"/>
        <v>0</v>
      </c>
      <c r="BF41" s="646">
        <f t="shared" si="18"/>
        <v>0</v>
      </c>
      <c r="BI41" s="646">
        <f t="shared" si="19"/>
        <v>0</v>
      </c>
      <c r="BL41" s="646">
        <f t="shared" si="20"/>
        <v>0</v>
      </c>
      <c r="BO41" s="646">
        <f t="shared" si="21"/>
        <v>0</v>
      </c>
      <c r="BR41" s="646">
        <f t="shared" si="22"/>
        <v>0</v>
      </c>
      <c r="BU41" s="646">
        <f t="shared" si="23"/>
        <v>0</v>
      </c>
      <c r="BX41" s="646">
        <f t="shared" si="24"/>
        <v>0</v>
      </c>
      <c r="CA41" s="646">
        <f t="shared" si="25"/>
        <v>0</v>
      </c>
      <c r="CD41" s="646">
        <f t="shared" si="26"/>
        <v>0</v>
      </c>
      <c r="CG41" s="646">
        <f t="shared" si="27"/>
        <v>0</v>
      </c>
      <c r="CJ41" s="646">
        <f t="shared" si="28"/>
        <v>0</v>
      </c>
      <c r="CM41" s="646">
        <f t="shared" si="29"/>
        <v>0</v>
      </c>
      <c r="CP41" s="646">
        <f t="shared" si="30"/>
        <v>0</v>
      </c>
      <c r="CS41" s="646">
        <f t="shared" si="31"/>
        <v>0</v>
      </c>
      <c r="CV41" s="646">
        <f t="shared" si="32"/>
        <v>0</v>
      </c>
      <c r="CY41" s="646">
        <f t="shared" si="33"/>
        <v>0</v>
      </c>
      <c r="DB41" s="646">
        <f t="shared" si="34"/>
        <v>0</v>
      </c>
      <c r="DE41" s="646">
        <f t="shared" si="35"/>
        <v>0</v>
      </c>
      <c r="DH41" s="646">
        <f t="shared" si="36"/>
        <v>0</v>
      </c>
      <c r="DK41" s="646">
        <f t="shared" si="37"/>
        <v>0</v>
      </c>
      <c r="DN41" s="646">
        <f t="shared" si="38"/>
        <v>0</v>
      </c>
      <c r="DQ41" s="646">
        <f t="shared" si="39"/>
        <v>0</v>
      </c>
      <c r="DT41" s="646">
        <f t="shared" si="40"/>
        <v>0</v>
      </c>
      <c r="DW41" s="646">
        <f t="shared" si="41"/>
        <v>0</v>
      </c>
      <c r="DZ41" s="644"/>
      <c r="EA41" s="646"/>
      <c r="EB41" s="531">
        <f t="shared" si="42"/>
        <v>115050000</v>
      </c>
      <c r="EC41" s="531">
        <f t="shared" si="43"/>
        <v>0</v>
      </c>
      <c r="ED41" s="646">
        <f t="shared" si="44"/>
        <v>8317.4166666666661</v>
      </c>
      <c r="EE41" s="647">
        <f t="shared" si="45"/>
        <v>2.6025814863102997E-2</v>
      </c>
      <c r="EG41" s="531">
        <f t="shared" si="46"/>
        <v>0</v>
      </c>
      <c r="EH41" s="646">
        <f t="shared" si="47"/>
        <v>0</v>
      </c>
      <c r="EI41" s="647">
        <f t="shared" si="48"/>
        <v>0</v>
      </c>
      <c r="EJ41" s="647"/>
      <c r="EK41" s="531">
        <f t="shared" si="49"/>
        <v>115050000</v>
      </c>
      <c r="EL41" s="531">
        <f t="shared" si="50"/>
        <v>0</v>
      </c>
      <c r="EM41" s="531">
        <f t="shared" si="51"/>
        <v>8317.4166666666661</v>
      </c>
      <c r="EN41" s="647">
        <f t="shared" si="52"/>
        <v>2.6025814863102997E-2</v>
      </c>
      <c r="EP41" s="646"/>
    </row>
    <row r="42" spans="1:146">
      <c r="A42" s="665">
        <f t="shared" si="53"/>
        <v>43677</v>
      </c>
      <c r="D42" s="646">
        <f t="shared" si="2"/>
        <v>0</v>
      </c>
      <c r="G42" s="646">
        <f t="shared" si="3"/>
        <v>0</v>
      </c>
      <c r="J42" s="646">
        <f t="shared" si="4"/>
        <v>0</v>
      </c>
      <c r="M42" s="646">
        <f t="shared" si="5"/>
        <v>0</v>
      </c>
      <c r="P42" s="646">
        <f t="shared" si="6"/>
        <v>0</v>
      </c>
      <c r="S42" s="646">
        <f t="shared" si="7"/>
        <v>0</v>
      </c>
      <c r="V42" s="646">
        <f t="shared" si="8"/>
        <v>0</v>
      </c>
      <c r="Y42" s="646">
        <f t="shared" si="9"/>
        <v>0</v>
      </c>
      <c r="AB42" s="646">
        <f t="shared" si="10"/>
        <v>0</v>
      </c>
      <c r="AE42" s="646">
        <v>0</v>
      </c>
      <c r="AH42" s="646">
        <v>0</v>
      </c>
      <c r="AI42" s="666">
        <f>36775000</f>
        <v>36775000</v>
      </c>
      <c r="AJ42" s="667">
        <v>2.5399999999999999E-2</v>
      </c>
      <c r="AK42" s="646">
        <f t="shared" si="11"/>
        <v>2594.6805555555557</v>
      </c>
      <c r="AL42" s="666"/>
      <c r="AM42" s="667"/>
      <c r="AN42" s="646">
        <f t="shared" si="12"/>
        <v>0</v>
      </c>
      <c r="AO42" s="666"/>
      <c r="AP42" s="667"/>
      <c r="AQ42" s="646">
        <f t="shared" si="13"/>
        <v>0</v>
      </c>
      <c r="AR42" s="666">
        <f t="shared" si="54"/>
        <v>80000000</v>
      </c>
      <c r="AS42" s="667">
        <v>2.63E-2</v>
      </c>
      <c r="AT42" s="646">
        <f t="shared" si="14"/>
        <v>5844.4444444444443</v>
      </c>
      <c r="AW42" s="646">
        <f t="shared" si="15"/>
        <v>0</v>
      </c>
      <c r="AZ42" s="646">
        <f t="shared" si="16"/>
        <v>0</v>
      </c>
      <c r="BC42" s="646">
        <f t="shared" si="17"/>
        <v>0</v>
      </c>
      <c r="BF42" s="646">
        <f t="shared" si="18"/>
        <v>0</v>
      </c>
      <c r="BI42" s="646">
        <f t="shared" si="19"/>
        <v>0</v>
      </c>
      <c r="BL42" s="646">
        <f t="shared" si="20"/>
        <v>0</v>
      </c>
      <c r="BO42" s="646">
        <f t="shared" si="21"/>
        <v>0</v>
      </c>
      <c r="BR42" s="646">
        <f t="shared" si="22"/>
        <v>0</v>
      </c>
      <c r="BU42" s="646">
        <f t="shared" si="23"/>
        <v>0</v>
      </c>
      <c r="BX42" s="646">
        <f t="shared" si="24"/>
        <v>0</v>
      </c>
      <c r="CA42" s="646">
        <f t="shared" si="25"/>
        <v>0</v>
      </c>
      <c r="CD42" s="646">
        <f t="shared" si="26"/>
        <v>0</v>
      </c>
      <c r="CG42" s="646">
        <f t="shared" si="27"/>
        <v>0</v>
      </c>
      <c r="CJ42" s="646">
        <f t="shared" si="28"/>
        <v>0</v>
      </c>
      <c r="CM42" s="646">
        <f t="shared" si="29"/>
        <v>0</v>
      </c>
      <c r="CP42" s="646">
        <f t="shared" si="30"/>
        <v>0</v>
      </c>
      <c r="CS42" s="646">
        <f t="shared" si="31"/>
        <v>0</v>
      </c>
      <c r="CV42" s="646">
        <f t="shared" si="32"/>
        <v>0</v>
      </c>
      <c r="CY42" s="646">
        <f t="shared" si="33"/>
        <v>0</v>
      </c>
      <c r="DB42" s="646">
        <f t="shared" si="34"/>
        <v>0</v>
      </c>
      <c r="DE42" s="646">
        <f t="shared" si="35"/>
        <v>0</v>
      </c>
      <c r="DH42" s="646">
        <f t="shared" si="36"/>
        <v>0</v>
      </c>
      <c r="DK42" s="646">
        <f t="shared" si="37"/>
        <v>0</v>
      </c>
      <c r="DN42" s="646">
        <f t="shared" si="38"/>
        <v>0</v>
      </c>
      <c r="DQ42" s="646">
        <f t="shared" si="39"/>
        <v>0</v>
      </c>
      <c r="DT42" s="646">
        <f t="shared" si="40"/>
        <v>0</v>
      </c>
      <c r="DW42" s="646">
        <f t="shared" si="41"/>
        <v>0</v>
      </c>
      <c r="DZ42" s="644"/>
      <c r="EA42" s="646"/>
      <c r="EB42" s="531">
        <f t="shared" si="42"/>
        <v>116775000</v>
      </c>
      <c r="EC42" s="531">
        <f t="shared" si="43"/>
        <v>0</v>
      </c>
      <c r="ED42" s="646">
        <f t="shared" si="44"/>
        <v>8439.125</v>
      </c>
      <c r="EE42" s="647">
        <f t="shared" si="45"/>
        <v>2.6016570327552987E-2</v>
      </c>
      <c r="EG42" s="531">
        <f t="shared" si="46"/>
        <v>0</v>
      </c>
      <c r="EH42" s="646">
        <f t="shared" si="47"/>
        <v>0</v>
      </c>
      <c r="EI42" s="647">
        <f t="shared" si="48"/>
        <v>0</v>
      </c>
      <c r="EJ42" s="647"/>
      <c r="EK42" s="531">
        <f t="shared" si="49"/>
        <v>116775000</v>
      </c>
      <c r="EL42" s="531">
        <f t="shared" si="50"/>
        <v>0</v>
      </c>
      <c r="EM42" s="531">
        <f t="shared" si="51"/>
        <v>8439.125</v>
      </c>
      <c r="EN42" s="647">
        <f t="shared" si="52"/>
        <v>2.6016570327552987E-2</v>
      </c>
      <c r="EP42" s="646"/>
    </row>
    <row r="43" spans="1:146">
      <c r="A43" s="532" t="s">
        <v>13</v>
      </c>
      <c r="D43" s="668">
        <f>SUM(D12:D42)</f>
        <v>0</v>
      </c>
      <c r="G43" s="668">
        <f>SUM(G12:G42)</f>
        <v>0</v>
      </c>
      <c r="J43" s="668">
        <f>SUM(J12:J42)</f>
        <v>0</v>
      </c>
      <c r="M43" s="668">
        <f>SUM(M12:M42)</f>
        <v>0</v>
      </c>
      <c r="P43" s="668">
        <f>SUM(P12:P42)</f>
        <v>0</v>
      </c>
      <c r="S43" s="668">
        <f>SUM(S12:S42)</f>
        <v>0</v>
      </c>
      <c r="V43" s="668">
        <f>SUM(V12:V42)</f>
        <v>0</v>
      </c>
      <c r="Y43" s="668">
        <f>SUM(Y12:Y42)</f>
        <v>0</v>
      </c>
      <c r="AB43" s="668">
        <f>SUM(AB12:AB42)</f>
        <v>0</v>
      </c>
      <c r="AE43" s="668">
        <f>SUM(AE12:AE42)</f>
        <v>0</v>
      </c>
      <c r="AH43" s="668">
        <f>SUM(AH12:AH42)</f>
        <v>0</v>
      </c>
      <c r="AK43" s="668">
        <f>SUM(AK12:AK42)</f>
        <v>116977.97222222223</v>
      </c>
      <c r="AN43" s="668">
        <f>SUM(AN12:AN42)</f>
        <v>18375</v>
      </c>
      <c r="AQ43" s="668">
        <f>SUM(AQ12:AQ42)</f>
        <v>28469.236111111109</v>
      </c>
      <c r="AT43" s="668">
        <f>SUM(AT12:AT42)</f>
        <v>165836.11111111101</v>
      </c>
      <c r="AW43" s="668">
        <f>SUM(AW12:AW42)</f>
        <v>0</v>
      </c>
      <c r="AZ43" s="668">
        <f>SUM(AZ12:AZ42)</f>
        <v>0</v>
      </c>
      <c r="BC43" s="668">
        <f>SUM(BC12:BC42)</f>
        <v>0</v>
      </c>
      <c r="BF43" s="668">
        <f>SUM(BF12:BF42)</f>
        <v>0</v>
      </c>
      <c r="BI43" s="668">
        <f>SUM(BI12:BI42)</f>
        <v>0</v>
      </c>
      <c r="BL43" s="668">
        <f>SUM(BL12:BL42)</f>
        <v>0</v>
      </c>
      <c r="BO43" s="668">
        <f>SUM(BO12:BO42)</f>
        <v>0</v>
      </c>
      <c r="BR43" s="668">
        <f>SUM(BR12:BR42)</f>
        <v>0</v>
      </c>
      <c r="BU43" s="668">
        <f>SUM(BU12:BU42)</f>
        <v>0</v>
      </c>
      <c r="BX43" s="668">
        <f>SUM(BX12:BX42)</f>
        <v>0</v>
      </c>
      <c r="CA43" s="668">
        <f>SUM(CA12:CA42)</f>
        <v>0</v>
      </c>
      <c r="CD43" s="668">
        <f>SUM(CD12:CD42)</f>
        <v>0</v>
      </c>
      <c r="CG43" s="668">
        <f>SUM(CG12:CG42)</f>
        <v>0</v>
      </c>
      <c r="CJ43" s="668">
        <f>SUM(CJ12:CJ42)</f>
        <v>0</v>
      </c>
      <c r="CM43" s="668">
        <f>SUM(CM12:CM42)</f>
        <v>0</v>
      </c>
      <c r="CP43" s="668">
        <f>SUM(CP12:CP42)</f>
        <v>0</v>
      </c>
      <c r="CS43" s="668">
        <f>SUM(CS12:CS42)</f>
        <v>0</v>
      </c>
      <c r="CV43" s="668">
        <f>SUM(CV12:CV42)</f>
        <v>0</v>
      </c>
      <c r="CY43" s="668">
        <f>SUM(CY12:CY42)</f>
        <v>0</v>
      </c>
      <c r="DB43" s="668">
        <f>SUM(DB12:DB42)</f>
        <v>0</v>
      </c>
      <c r="DE43" s="668">
        <f>SUM(DE12:DE42)</f>
        <v>0</v>
      </c>
      <c r="DH43" s="668">
        <f>SUM(DH12:DH42)</f>
        <v>0</v>
      </c>
      <c r="DK43" s="668">
        <f>SUM(DK12:DK42)</f>
        <v>0</v>
      </c>
      <c r="DN43" s="668">
        <f>SUM(DN12:DN42)</f>
        <v>0</v>
      </c>
      <c r="DQ43" s="668">
        <f>SUM(DQ12:DQ42)</f>
        <v>0</v>
      </c>
      <c r="DT43" s="668">
        <f>SUM(DT12:DT42)</f>
        <v>0</v>
      </c>
      <c r="DW43" s="668">
        <f>SUM(DW12:DW42)</f>
        <v>0</v>
      </c>
      <c r="DZ43" s="644"/>
      <c r="EA43" s="644"/>
      <c r="EB43" s="646"/>
      <c r="EC43" s="646"/>
      <c r="ED43" s="668">
        <f>SUM(ED12:ED42)</f>
        <v>329658.31944444444</v>
      </c>
      <c r="EE43" s="647"/>
      <c r="EG43" s="646"/>
      <c r="EH43" s="668">
        <f>SUM(EH12:EH42)</f>
        <v>0</v>
      </c>
      <c r="EI43" s="647"/>
      <c r="EJ43" s="647"/>
      <c r="EK43" s="646"/>
      <c r="EL43" s="646"/>
      <c r="EM43" s="668">
        <f>SUM(EM12:EM42)</f>
        <v>329658.3194444445</v>
      </c>
      <c r="EN43" s="647"/>
    </row>
    <row r="45" spans="1:146">
      <c r="EM45" s="669"/>
    </row>
    <row r="47" spans="1:146">
      <c r="EM47" s="646"/>
    </row>
    <row r="49" spans="143:143">
      <c r="EM49" s="646"/>
    </row>
  </sheetData>
  <pageMargins left="0.7" right="0.7" top="0.75" bottom="0.75" header="0.3" footer="0.3"/>
  <pageSetup scale="79" orientation="landscape" r:id="rId1"/>
  <headerFooter>
    <oddFooter>&amp;CSchedule MA-TU&amp;RJuly 2019 &amp;P of &amp;N
Confidential
4 CSR 240-2.090(9(A).2(D).II)</oddFooter>
  </headerFooter>
  <colBreaks count="1" manualBreakCount="1">
    <brk id="4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9"/>
  <sheetViews>
    <sheetView zoomScale="80" zoomScaleNormal="80" workbookViewId="0">
      <selection activeCell="A23" sqref="A23"/>
    </sheetView>
  </sheetViews>
  <sheetFormatPr defaultRowHeight="12.75"/>
  <cols>
    <col min="1" max="1" width="14.5703125" style="648" bestFit="1" customWidth="1"/>
    <col min="2" max="2" width="15.5703125" style="646" hidden="1" customWidth="1"/>
    <col min="3" max="3" width="15.42578125" style="647" hidden="1" customWidth="1"/>
    <col min="4" max="4" width="15.42578125" style="648" hidden="1" customWidth="1"/>
    <col min="5" max="5" width="15.5703125" style="646" bestFit="1" customWidth="1"/>
    <col min="6" max="6" width="7" style="647" customWidth="1"/>
    <col min="7" max="7" width="17.5703125" style="648" bestFit="1" customWidth="1"/>
    <col min="8" max="8" width="15.42578125" style="646" hidden="1" customWidth="1"/>
    <col min="9" max="9" width="10.28515625" style="647" hidden="1" customWidth="1"/>
    <col min="10" max="10" width="13.42578125" style="648" hidden="1" customWidth="1"/>
    <col min="11" max="11" width="14.42578125" style="646" hidden="1" customWidth="1"/>
    <col min="12" max="12" width="10.28515625" style="647" hidden="1" customWidth="1"/>
    <col min="13" max="13" width="11.7109375" style="648" hidden="1" customWidth="1"/>
    <col min="14" max="14" width="14.42578125" style="646" hidden="1" customWidth="1"/>
    <col min="15" max="15" width="10.28515625" style="647" hidden="1" customWidth="1"/>
    <col min="16" max="16" width="11.7109375" style="648" hidden="1" customWidth="1"/>
    <col min="17" max="17" width="15.42578125" style="646" hidden="1" customWidth="1"/>
    <col min="18" max="18" width="10.28515625" style="647" hidden="1" customWidth="1"/>
    <col min="19" max="19" width="11.7109375" style="648" hidden="1" customWidth="1"/>
    <col min="20" max="20" width="15.42578125" style="646" hidden="1" customWidth="1"/>
    <col min="21" max="21" width="10.28515625" style="647" hidden="1" customWidth="1"/>
    <col min="22" max="22" width="11.7109375" style="648" hidden="1" customWidth="1"/>
    <col min="23" max="23" width="15.42578125" style="646" hidden="1" customWidth="1"/>
    <col min="24" max="24" width="10.28515625" style="647" hidden="1" customWidth="1"/>
    <col min="25" max="25" width="11.7109375" style="648" hidden="1" customWidth="1"/>
    <col min="26" max="26" width="15.42578125" style="646" hidden="1" customWidth="1"/>
    <col min="27" max="27" width="10.28515625" style="647" hidden="1" customWidth="1"/>
    <col min="28" max="28" width="11.7109375" style="648" hidden="1" customWidth="1"/>
    <col min="29" max="29" width="15.42578125" style="646" hidden="1" customWidth="1"/>
    <col min="30" max="30" width="10.28515625" style="647" hidden="1" customWidth="1"/>
    <col min="31" max="31" width="11.7109375" style="648" hidden="1" customWidth="1"/>
    <col min="32" max="32" width="14.42578125" style="646" hidden="1" customWidth="1"/>
    <col min="33" max="33" width="10.28515625" style="647" hidden="1" customWidth="1"/>
    <col min="34" max="34" width="10.7109375" style="648" hidden="1" customWidth="1"/>
    <col min="35" max="35" width="14.42578125" style="646" customWidth="1"/>
    <col min="36" max="36" width="12" style="647" bestFit="1" customWidth="1"/>
    <col min="37" max="37" width="13" style="648" bestFit="1" customWidth="1"/>
    <col min="38" max="38" width="14.42578125" style="646" customWidth="1"/>
    <col min="39" max="39" width="12" style="647" bestFit="1" customWidth="1"/>
    <col min="40" max="40" width="12" style="648" bestFit="1" customWidth="1"/>
    <col min="41" max="41" width="15.42578125" style="646" hidden="1" customWidth="1"/>
    <col min="42" max="42" width="12.28515625" style="647" hidden="1" customWidth="1"/>
    <col min="43" max="43" width="11.7109375" style="648" hidden="1" customWidth="1"/>
    <col min="44" max="44" width="15.42578125" style="646" hidden="1" customWidth="1"/>
    <col min="45" max="45" width="10.28515625" style="647" hidden="1" customWidth="1"/>
    <col min="46" max="46" width="11.7109375" style="648" hidden="1" customWidth="1"/>
    <col min="47" max="47" width="14.42578125" style="646" hidden="1" customWidth="1"/>
    <col min="48" max="48" width="10.28515625" style="647" hidden="1" customWidth="1"/>
    <col min="49" max="49" width="10.7109375" style="648" hidden="1" customWidth="1"/>
    <col min="50" max="50" width="14.42578125" style="646" hidden="1" customWidth="1"/>
    <col min="51" max="51" width="10.28515625" style="647" hidden="1" customWidth="1"/>
    <col min="52" max="52" width="10.7109375" style="648" hidden="1" customWidth="1"/>
    <col min="53" max="53" width="14.42578125" style="646" hidden="1" customWidth="1"/>
    <col min="54" max="54" width="10.28515625" style="647" hidden="1" customWidth="1"/>
    <col min="55" max="55" width="10.7109375" style="648" hidden="1" customWidth="1"/>
    <col min="56" max="56" width="14.42578125" style="646" hidden="1" customWidth="1"/>
    <col min="57" max="57" width="10.28515625" style="647" hidden="1" customWidth="1"/>
    <col min="58" max="58" width="10.7109375" style="648" hidden="1" customWidth="1"/>
    <col min="59" max="59" width="14.42578125" style="646" hidden="1" customWidth="1"/>
    <col min="60" max="60" width="10.28515625" style="647" hidden="1" customWidth="1"/>
    <col min="61" max="61" width="10.7109375" style="648" hidden="1" customWidth="1"/>
    <col min="62" max="62" width="14.42578125" style="646" hidden="1" customWidth="1"/>
    <col min="63" max="63" width="10.28515625" style="647" hidden="1" customWidth="1"/>
    <col min="64" max="64" width="10.7109375" style="648" hidden="1" customWidth="1"/>
    <col min="65" max="65" width="14.42578125" style="646" hidden="1" customWidth="1"/>
    <col min="66" max="66" width="10.28515625" style="647" hidden="1" customWidth="1"/>
    <col min="67" max="67" width="10.7109375" style="648" hidden="1" customWidth="1"/>
    <col min="68" max="68" width="14.42578125" style="646" hidden="1" customWidth="1"/>
    <col min="69" max="69" width="10.28515625" style="647" hidden="1" customWidth="1"/>
    <col min="70" max="70" width="10.7109375" style="648" hidden="1" customWidth="1"/>
    <col min="71" max="71" width="14.42578125" style="646" hidden="1" customWidth="1"/>
    <col min="72" max="72" width="10.28515625" style="647" hidden="1" customWidth="1"/>
    <col min="73" max="73" width="10.7109375" style="648" hidden="1" customWidth="1"/>
    <col min="74" max="74" width="14.42578125" style="646" hidden="1" customWidth="1"/>
    <col min="75" max="75" width="10.28515625" style="647" hidden="1" customWidth="1"/>
    <col min="76" max="76" width="10.7109375" style="648" hidden="1" customWidth="1"/>
    <col min="77" max="77" width="14.42578125" style="646" hidden="1" customWidth="1"/>
    <col min="78" max="78" width="10.28515625" style="647" hidden="1" customWidth="1"/>
    <col min="79" max="79" width="10.7109375" style="648" hidden="1" customWidth="1"/>
    <col min="80" max="80" width="14.42578125" style="646" hidden="1" customWidth="1"/>
    <col min="81" max="81" width="10.28515625" style="647" hidden="1" customWidth="1"/>
    <col min="82" max="82" width="10.7109375" style="648" hidden="1" customWidth="1"/>
    <col min="83" max="83" width="14.42578125" style="646" hidden="1" customWidth="1"/>
    <col min="84" max="84" width="10.28515625" style="647" hidden="1" customWidth="1"/>
    <col min="85" max="85" width="10.7109375" style="648" hidden="1" customWidth="1"/>
    <col min="86" max="86" width="14.42578125" style="646" hidden="1" customWidth="1"/>
    <col min="87" max="87" width="10.28515625" style="647" hidden="1" customWidth="1"/>
    <col min="88" max="88" width="10.7109375" style="648" hidden="1" customWidth="1"/>
    <col min="89" max="89" width="14.42578125" style="646" hidden="1" customWidth="1"/>
    <col min="90" max="90" width="10.28515625" style="647" hidden="1" customWidth="1"/>
    <col min="91" max="91" width="10.7109375" style="648" hidden="1" customWidth="1"/>
    <col min="92" max="92" width="14.42578125" style="646" hidden="1" customWidth="1"/>
    <col min="93" max="93" width="10.28515625" style="647" hidden="1" customWidth="1"/>
    <col min="94" max="94" width="10.7109375" style="648" hidden="1" customWidth="1"/>
    <col min="95" max="95" width="14.42578125" style="646" hidden="1" customWidth="1"/>
    <col min="96" max="96" width="10.28515625" style="647" hidden="1" customWidth="1"/>
    <col min="97" max="97" width="10.7109375" style="648" hidden="1" customWidth="1"/>
    <col min="98" max="98" width="14.42578125" style="646" hidden="1" customWidth="1"/>
    <col min="99" max="99" width="10.28515625" style="647" hidden="1" customWidth="1"/>
    <col min="100" max="100" width="10.7109375" style="648" hidden="1" customWidth="1"/>
    <col min="101" max="101" width="14.42578125" style="646" hidden="1" customWidth="1"/>
    <col min="102" max="102" width="10.28515625" style="647" hidden="1" customWidth="1"/>
    <col min="103" max="103" width="10.7109375" style="648" hidden="1" customWidth="1"/>
    <col min="104" max="104" width="14.42578125" style="646" hidden="1" customWidth="1"/>
    <col min="105" max="105" width="10.28515625" style="647" hidden="1" customWidth="1"/>
    <col min="106" max="106" width="10.7109375" style="648" hidden="1" customWidth="1"/>
    <col min="107" max="107" width="14.42578125" style="646" hidden="1" customWidth="1"/>
    <col min="108" max="108" width="10.28515625" style="647" hidden="1" customWidth="1"/>
    <col min="109" max="109" width="10.7109375" style="648" hidden="1" customWidth="1"/>
    <col min="110" max="110" width="14.42578125" style="646" hidden="1" customWidth="1"/>
    <col min="111" max="111" width="10.28515625" style="647" hidden="1" customWidth="1"/>
    <col min="112" max="112" width="10.7109375" style="648" hidden="1" customWidth="1"/>
    <col min="113" max="113" width="14.42578125" style="646" hidden="1" customWidth="1"/>
    <col min="114" max="114" width="10.28515625" style="647" hidden="1" customWidth="1"/>
    <col min="115" max="115" width="10.7109375" style="648" hidden="1" customWidth="1"/>
    <col min="116" max="116" width="14.42578125" style="646" hidden="1" customWidth="1"/>
    <col min="117" max="117" width="10.28515625" style="647" hidden="1" customWidth="1"/>
    <col min="118" max="118" width="10.7109375" style="648" hidden="1" customWidth="1"/>
    <col min="119" max="119" width="14.42578125" style="646" hidden="1" customWidth="1"/>
    <col min="120" max="120" width="10.28515625" style="647" hidden="1" customWidth="1"/>
    <col min="121" max="121" width="10.7109375" style="648" hidden="1" customWidth="1"/>
    <col min="122" max="122" width="14.42578125" style="646" hidden="1" customWidth="1"/>
    <col min="123" max="123" width="10.28515625" style="647" hidden="1" customWidth="1"/>
    <col min="124" max="124" width="10.7109375" style="648" hidden="1" customWidth="1"/>
    <col min="125" max="125" width="14.42578125" style="646" hidden="1" customWidth="1"/>
    <col min="126" max="126" width="10.28515625" style="647" hidden="1" customWidth="1"/>
    <col min="127" max="127" width="10.7109375" style="648" hidden="1" customWidth="1"/>
    <col min="128" max="128" width="14.42578125" style="646" hidden="1" customWidth="1"/>
    <col min="129" max="129" width="10.28515625" style="647" hidden="1" customWidth="1"/>
    <col min="130" max="130" width="10.7109375" style="648" hidden="1" customWidth="1"/>
    <col min="131" max="131" width="7.42578125" style="648" customWidth="1"/>
    <col min="132" max="132" width="25.140625" style="648" bestFit="1" customWidth="1"/>
    <col min="133" max="133" width="15.42578125" style="648" hidden="1" customWidth="1"/>
    <col min="134" max="134" width="14.42578125" style="648" bestFit="1" customWidth="1"/>
    <col min="135" max="135" width="17.7109375" style="648" bestFit="1" customWidth="1"/>
    <col min="136" max="136" width="2.7109375" style="648" customWidth="1"/>
    <col min="137" max="137" width="15.42578125" style="648" hidden="1" customWidth="1"/>
    <col min="138" max="138" width="14.42578125" style="648" hidden="1" customWidth="1"/>
    <col min="139" max="139" width="12.42578125" style="648" hidden="1" customWidth="1"/>
    <col min="140" max="140" width="2.7109375" style="648" hidden="1" customWidth="1"/>
    <col min="141" max="141" width="17.5703125" style="648" bestFit="1" customWidth="1"/>
    <col min="142" max="142" width="15.42578125" style="648" hidden="1" customWidth="1"/>
    <col min="143" max="143" width="14.42578125" style="648" bestFit="1" customWidth="1"/>
    <col min="144" max="144" width="17.5703125" style="648" customWidth="1"/>
    <col min="145" max="145" width="42.85546875" style="648" bestFit="1" customWidth="1"/>
    <col min="146" max="146" width="15.28515625" style="648" bestFit="1" customWidth="1"/>
    <col min="147" max="147" width="29.28515625" style="648" customWidth="1"/>
    <col min="148" max="16384" width="9.140625" style="648"/>
  </cols>
  <sheetData>
    <row r="1" spans="1:147" s="520" customFormat="1">
      <c r="A1" s="519" t="s">
        <v>0</v>
      </c>
      <c r="B1" s="531"/>
      <c r="C1" s="641"/>
      <c r="E1" s="531"/>
      <c r="F1" s="641"/>
      <c r="H1" s="531"/>
      <c r="I1" s="641"/>
      <c r="K1" s="531"/>
      <c r="L1" s="641"/>
      <c r="N1" s="531"/>
      <c r="O1" s="641"/>
      <c r="Q1" s="531"/>
      <c r="R1" s="641"/>
      <c r="T1" s="531"/>
      <c r="U1" s="641"/>
      <c r="W1" s="531"/>
      <c r="X1" s="641"/>
      <c r="Z1" s="531"/>
      <c r="AA1" s="641"/>
      <c r="AC1" s="531"/>
      <c r="AD1" s="641"/>
      <c r="AF1" s="531"/>
      <c r="AG1" s="641"/>
      <c r="AI1" s="531"/>
      <c r="AJ1" s="641"/>
      <c r="AL1" s="531"/>
      <c r="AM1" s="641"/>
      <c r="AO1" s="531"/>
      <c r="AP1" s="641"/>
      <c r="AR1" s="531"/>
      <c r="AS1" s="641"/>
      <c r="AU1" s="531"/>
      <c r="AV1" s="641"/>
      <c r="AX1" s="531"/>
      <c r="AY1" s="641"/>
      <c r="BA1" s="531"/>
      <c r="BB1" s="641"/>
      <c r="BD1" s="531"/>
      <c r="BE1" s="641"/>
      <c r="BG1" s="531"/>
      <c r="BH1" s="641"/>
      <c r="BJ1" s="531"/>
      <c r="BK1" s="641"/>
      <c r="BM1" s="531"/>
      <c r="BN1" s="641"/>
      <c r="BP1" s="531"/>
      <c r="BQ1" s="641"/>
      <c r="BS1" s="531"/>
      <c r="BT1" s="641"/>
      <c r="BV1" s="531"/>
      <c r="BW1" s="641"/>
      <c r="BY1" s="531"/>
      <c r="BZ1" s="641"/>
      <c r="CB1" s="531"/>
      <c r="CC1" s="641"/>
      <c r="CE1" s="531"/>
      <c r="CF1" s="641"/>
      <c r="CH1" s="531"/>
      <c r="CI1" s="641"/>
      <c r="CK1" s="531"/>
      <c r="CL1" s="641"/>
      <c r="CN1" s="531"/>
      <c r="CO1" s="641"/>
      <c r="CQ1" s="531"/>
      <c r="CR1" s="641"/>
      <c r="CT1" s="531"/>
      <c r="CU1" s="641"/>
      <c r="CW1" s="531"/>
      <c r="CX1" s="641"/>
      <c r="CZ1" s="531"/>
      <c r="DA1" s="641"/>
      <c r="DC1" s="531"/>
      <c r="DD1" s="641"/>
      <c r="DF1" s="531"/>
      <c r="DG1" s="641"/>
      <c r="DI1" s="531"/>
      <c r="DJ1" s="641"/>
      <c r="DL1" s="531"/>
      <c r="DM1" s="641"/>
      <c r="DO1" s="531"/>
      <c r="DP1" s="641"/>
      <c r="DR1" s="531"/>
      <c r="DS1" s="641"/>
      <c r="DU1" s="531"/>
      <c r="DV1" s="641"/>
      <c r="DX1" s="531"/>
      <c r="DY1" s="641"/>
      <c r="DZ1" s="517"/>
      <c r="ED1" s="521"/>
      <c r="EE1" s="642" t="s">
        <v>118</v>
      </c>
      <c r="EI1" s="521" t="s">
        <v>59</v>
      </c>
      <c r="EM1" s="521"/>
      <c r="EN1" s="521" t="s">
        <v>120</v>
      </c>
      <c r="EO1" s="519" t="s">
        <v>121</v>
      </c>
      <c r="EP1" s="519" t="s">
        <v>122</v>
      </c>
      <c r="EQ1" s="519" t="s">
        <v>123</v>
      </c>
    </row>
    <row r="2" spans="1:147" s="520" customFormat="1">
      <c r="A2" s="519" t="s">
        <v>49</v>
      </c>
      <c r="B2" s="531"/>
      <c r="C2" s="641"/>
      <c r="E2" s="523"/>
      <c r="F2" s="641"/>
      <c r="G2" s="521"/>
      <c r="H2" s="531"/>
      <c r="I2" s="641"/>
      <c r="K2" s="531"/>
      <c r="L2" s="641"/>
      <c r="N2" s="531"/>
      <c r="O2" s="641"/>
      <c r="Q2" s="531"/>
      <c r="R2" s="641"/>
      <c r="T2" s="531"/>
      <c r="U2" s="641"/>
      <c r="W2" s="531"/>
      <c r="X2" s="641"/>
      <c r="Z2" s="531"/>
      <c r="AA2" s="641"/>
      <c r="AC2" s="531"/>
      <c r="AD2" s="641"/>
      <c r="AF2" s="531"/>
      <c r="AG2" s="641"/>
      <c r="AI2" s="531"/>
      <c r="AJ2" s="641"/>
      <c r="AL2" s="531"/>
      <c r="AM2" s="641"/>
      <c r="AO2" s="531"/>
      <c r="AP2" s="641"/>
      <c r="AR2" s="531"/>
      <c r="AS2" s="641"/>
      <c r="AU2" s="531"/>
      <c r="AV2" s="641"/>
      <c r="AX2" s="531"/>
      <c r="AY2" s="641"/>
      <c r="BA2" s="531"/>
      <c r="BB2" s="641"/>
      <c r="BD2" s="531"/>
      <c r="BE2" s="641"/>
      <c r="BG2" s="531"/>
      <c r="BH2" s="641"/>
      <c r="BJ2" s="531"/>
      <c r="BK2" s="641"/>
      <c r="BM2" s="531"/>
      <c r="BN2" s="641"/>
      <c r="BP2" s="531"/>
      <c r="BQ2" s="641"/>
      <c r="BS2" s="531"/>
      <c r="BT2" s="641"/>
      <c r="BV2" s="531"/>
      <c r="BW2" s="641"/>
      <c r="BY2" s="531"/>
      <c r="BZ2" s="641"/>
      <c r="CB2" s="531"/>
      <c r="CC2" s="641"/>
      <c r="CE2" s="531"/>
      <c r="CF2" s="641"/>
      <c r="CH2" s="531"/>
      <c r="CI2" s="641"/>
      <c r="CK2" s="531"/>
      <c r="CL2" s="641"/>
      <c r="CN2" s="531"/>
      <c r="CO2" s="641"/>
      <c r="CQ2" s="531"/>
      <c r="CR2" s="641"/>
      <c r="CT2" s="531"/>
      <c r="CU2" s="641"/>
      <c r="CW2" s="531"/>
      <c r="CX2" s="641"/>
      <c r="CZ2" s="531"/>
      <c r="DA2" s="641"/>
      <c r="DC2" s="531"/>
      <c r="DD2" s="641"/>
      <c r="DF2" s="531"/>
      <c r="DG2" s="641"/>
      <c r="DI2" s="531"/>
      <c r="DJ2" s="641"/>
      <c r="DL2" s="531"/>
      <c r="DM2" s="641"/>
      <c r="DO2" s="531"/>
      <c r="DP2" s="641"/>
      <c r="DR2" s="531"/>
      <c r="DS2" s="641"/>
      <c r="DU2" s="531"/>
      <c r="DV2" s="641"/>
      <c r="DX2" s="531"/>
      <c r="DY2" s="641"/>
      <c r="EB2" s="643" t="s">
        <v>51</v>
      </c>
      <c r="EC2" s="643"/>
      <c r="ED2" s="644"/>
      <c r="EE2" s="644">
        <f>EB42</f>
        <v>0</v>
      </c>
      <c r="EI2" s="644">
        <f>EG41</f>
        <v>0</v>
      </c>
      <c r="EM2" s="644"/>
      <c r="EN2" s="644">
        <f>EK42</f>
        <v>0</v>
      </c>
      <c r="EO2" s="531">
        <v>0</v>
      </c>
      <c r="EP2" s="531">
        <f>EN2+EO2</f>
        <v>0</v>
      </c>
      <c r="EQ2" s="531">
        <f>EE2+EO2</f>
        <v>0</v>
      </c>
    </row>
    <row r="3" spans="1:147" s="520" customFormat="1" ht="13.5" thickBot="1">
      <c r="A3" s="645" t="s">
        <v>241</v>
      </c>
      <c r="B3" s="531"/>
      <c r="C3" s="641"/>
      <c r="E3" s="523"/>
      <c r="F3" s="641"/>
      <c r="G3" s="521"/>
      <c r="H3" s="531"/>
      <c r="I3" s="641"/>
      <c r="K3" s="531"/>
      <c r="L3" s="641"/>
      <c r="N3" s="531"/>
      <c r="O3" s="641"/>
      <c r="Q3" s="531"/>
      <c r="R3" s="641"/>
      <c r="T3" s="531"/>
      <c r="U3" s="641"/>
      <c r="W3" s="531"/>
      <c r="X3" s="641"/>
      <c r="Z3" s="531"/>
      <c r="AA3" s="641"/>
      <c r="AC3" s="531"/>
      <c r="AD3" s="641"/>
      <c r="AF3" s="531"/>
      <c r="AG3" s="641"/>
      <c r="AI3" s="531"/>
      <c r="AJ3" s="641"/>
      <c r="AL3" s="531"/>
      <c r="AM3" s="641"/>
      <c r="AO3" s="531"/>
      <c r="AP3" s="641"/>
      <c r="AR3" s="531"/>
      <c r="AS3" s="641"/>
      <c r="AU3" s="531"/>
      <c r="AV3" s="641"/>
      <c r="AX3" s="531"/>
      <c r="AY3" s="641"/>
      <c r="BA3" s="531"/>
      <c r="BB3" s="641"/>
      <c r="BD3" s="531"/>
      <c r="BE3" s="641"/>
      <c r="BG3" s="531"/>
      <c r="BH3" s="641"/>
      <c r="BJ3" s="531"/>
      <c r="BK3" s="641"/>
      <c r="BM3" s="531"/>
      <c r="BN3" s="641"/>
      <c r="BP3" s="531"/>
      <c r="BQ3" s="641"/>
      <c r="BS3" s="531"/>
      <c r="BT3" s="641"/>
      <c r="BV3" s="531"/>
      <c r="BW3" s="641"/>
      <c r="BY3" s="531"/>
      <c r="BZ3" s="641"/>
      <c r="CB3" s="531"/>
      <c r="CC3" s="641"/>
      <c r="CE3" s="531"/>
      <c r="CF3" s="641"/>
      <c r="CH3" s="531"/>
      <c r="CI3" s="641"/>
      <c r="CK3" s="531"/>
      <c r="CL3" s="641"/>
      <c r="CN3" s="531"/>
      <c r="CO3" s="641"/>
      <c r="CQ3" s="531"/>
      <c r="CR3" s="641"/>
      <c r="CT3" s="531"/>
      <c r="CU3" s="641"/>
      <c r="CW3" s="531"/>
      <c r="CX3" s="641"/>
      <c r="CZ3" s="531"/>
      <c r="DA3" s="641"/>
      <c r="DC3" s="531"/>
      <c r="DD3" s="641"/>
      <c r="DF3" s="531"/>
      <c r="DG3" s="641"/>
      <c r="DI3" s="531"/>
      <c r="DJ3" s="641"/>
      <c r="DL3" s="531"/>
      <c r="DM3" s="641"/>
      <c r="DO3" s="531"/>
      <c r="DP3" s="641"/>
      <c r="DR3" s="531"/>
      <c r="DS3" s="641"/>
      <c r="DU3" s="531"/>
      <c r="DV3" s="641"/>
      <c r="DX3" s="531"/>
      <c r="DY3" s="641"/>
      <c r="EB3" s="643"/>
      <c r="EC3" s="643"/>
      <c r="ED3" s="644"/>
      <c r="EE3" s="644"/>
      <c r="EI3" s="644"/>
      <c r="EM3" s="644"/>
      <c r="EN3" s="644"/>
      <c r="EO3" s="531"/>
      <c r="EP3" s="531"/>
      <c r="EQ3" s="531"/>
    </row>
    <row r="4" spans="1:147" ht="13.5" thickTop="1">
      <c r="A4" s="645"/>
      <c r="E4" s="518" t="s">
        <v>50</v>
      </c>
      <c r="F4" s="649"/>
      <c r="G4" s="650"/>
      <c r="EB4" s="643" t="s">
        <v>52</v>
      </c>
      <c r="EC4" s="643"/>
      <c r="ED4" s="644"/>
      <c r="EE4" s="644">
        <f>AVERAGE(EB12:EB42)</f>
        <v>34678225.806451611</v>
      </c>
      <c r="EI4" s="644">
        <f>AVERAGE(EG12:EG41)</f>
        <v>0</v>
      </c>
      <c r="EM4" s="644"/>
      <c r="EN4" s="644">
        <f>AVERAGE(EK12:EK42)</f>
        <v>34678225.806451611</v>
      </c>
    </row>
    <row r="5" spans="1:147">
      <c r="D5" s="643"/>
      <c r="E5" s="651" t="s">
        <v>51</v>
      </c>
      <c r="F5" s="644"/>
      <c r="G5" s="652">
        <f>EQ2</f>
        <v>0</v>
      </c>
      <c r="AI5" s="519" t="s">
        <v>198</v>
      </c>
      <c r="EB5" s="643" t="s">
        <v>53</v>
      </c>
      <c r="EC5" s="643"/>
      <c r="ED5" s="653"/>
      <c r="EE5" s="653">
        <f>IF(EE4=0,0,360*(AVERAGE(ED12:ED42)/EE4))</f>
        <v>2.3511902048789564E-2</v>
      </c>
      <c r="EI5" s="653">
        <f>IF(EI4=0,0,360*(AVERAGE(EH12:EH41)/EI4))</f>
        <v>0</v>
      </c>
      <c r="EM5" s="653"/>
      <c r="EN5" s="653">
        <f>IF(EN4=0,0,360*(AVERAGE(EM12:EM42)/EN4))</f>
        <v>2.3511902048789564E-2</v>
      </c>
      <c r="EO5" s="520" t="s">
        <v>199</v>
      </c>
      <c r="EQ5" s="521" t="s">
        <v>198</v>
      </c>
    </row>
    <row r="6" spans="1:147">
      <c r="D6" s="643"/>
      <c r="E6" s="651" t="s">
        <v>52</v>
      </c>
      <c r="F6" s="644"/>
      <c r="G6" s="652">
        <f>EE4</f>
        <v>34678225.806451611</v>
      </c>
      <c r="AI6" s="654" t="s">
        <v>120</v>
      </c>
      <c r="EB6" s="655" t="s">
        <v>57</v>
      </c>
      <c r="EC6" s="655"/>
      <c r="ED6" s="644"/>
      <c r="EE6" s="644">
        <f>MAX(EB12:EB42)</f>
        <v>116325000</v>
      </c>
      <c r="EI6" s="644">
        <f>MAX(EG12:EG41)</f>
        <v>0</v>
      </c>
      <c r="EM6" s="644"/>
      <c r="EN6" s="644">
        <f>MAX(EK12:EK42)</f>
        <v>116325000</v>
      </c>
    </row>
    <row r="7" spans="1:147">
      <c r="D7" s="643"/>
      <c r="E7" s="651" t="s">
        <v>53</v>
      </c>
      <c r="F7" s="644"/>
      <c r="G7" s="656">
        <f>EE5</f>
        <v>2.3511902048789564E-2</v>
      </c>
    </row>
    <row r="8" spans="1:147" ht="13.5" thickBot="1">
      <c r="D8" s="643"/>
      <c r="E8" s="657" t="s">
        <v>57</v>
      </c>
      <c r="F8" s="658"/>
      <c r="G8" s="659">
        <f>EE6</f>
        <v>116325000</v>
      </c>
      <c r="AI8" s="654" t="s">
        <v>120</v>
      </c>
      <c r="EB8" s="522" t="s">
        <v>54</v>
      </c>
      <c r="EC8" s="522"/>
      <c r="ED8" s="660"/>
      <c r="EE8" s="660"/>
      <c r="EG8" s="522" t="s">
        <v>55</v>
      </c>
      <c r="EH8" s="660"/>
      <c r="EI8" s="660"/>
      <c r="EJ8" s="661"/>
      <c r="EK8" s="522" t="s">
        <v>56</v>
      </c>
      <c r="EL8" s="522"/>
      <c r="EM8" s="660"/>
      <c r="EN8" s="660"/>
    </row>
    <row r="9" spans="1:147" ht="13.5" thickTop="1">
      <c r="AI9" s="523" t="s">
        <v>112</v>
      </c>
      <c r="AL9" s="523" t="s">
        <v>112</v>
      </c>
      <c r="AO9" s="523" t="s">
        <v>112</v>
      </c>
      <c r="AR9" s="523" t="s">
        <v>112</v>
      </c>
      <c r="AU9" s="523" t="s">
        <v>112</v>
      </c>
      <c r="AX9" s="523" t="s">
        <v>112</v>
      </c>
      <c r="BA9" s="523" t="s">
        <v>112</v>
      </c>
      <c r="BD9" s="523" t="s">
        <v>112</v>
      </c>
      <c r="BG9" s="523" t="s">
        <v>112</v>
      </c>
      <c r="BJ9" s="523" t="s">
        <v>112</v>
      </c>
      <c r="BM9" s="523" t="s">
        <v>112</v>
      </c>
      <c r="BP9" s="523" t="s">
        <v>112</v>
      </c>
      <c r="BS9" s="523" t="s">
        <v>112</v>
      </c>
      <c r="BV9" s="523" t="s">
        <v>112</v>
      </c>
      <c r="BY9" s="523" t="s">
        <v>112</v>
      </c>
      <c r="CB9" s="523" t="s">
        <v>112</v>
      </c>
      <c r="CE9" s="523" t="s">
        <v>112</v>
      </c>
      <c r="CH9" s="523" t="s">
        <v>112</v>
      </c>
      <c r="CK9" s="523" t="s">
        <v>112</v>
      </c>
      <c r="CN9" s="523" t="s">
        <v>112</v>
      </c>
      <c r="CQ9" s="523" t="s">
        <v>112</v>
      </c>
      <c r="CT9" s="523" t="s">
        <v>112</v>
      </c>
      <c r="CW9" s="523" t="s">
        <v>112</v>
      </c>
      <c r="CZ9" s="523" t="s">
        <v>112</v>
      </c>
      <c r="DC9" s="523" t="s">
        <v>112</v>
      </c>
      <c r="DF9" s="523" t="s">
        <v>112</v>
      </c>
      <c r="DI9" s="523" t="s">
        <v>112</v>
      </c>
      <c r="DL9" s="523" t="s">
        <v>112</v>
      </c>
      <c r="DO9" s="523" t="s">
        <v>112</v>
      </c>
      <c r="DR9" s="523" t="s">
        <v>112</v>
      </c>
      <c r="EB9" s="662"/>
      <c r="EC9" s="662"/>
      <c r="ED9" s="662"/>
      <c r="EE9" s="662" t="s">
        <v>58</v>
      </c>
      <c r="EG9" s="662"/>
      <c r="EH9" s="524" t="s">
        <v>59</v>
      </c>
      <c r="EI9" s="662" t="s">
        <v>58</v>
      </c>
      <c r="EJ9" s="662"/>
      <c r="EK9" s="521" t="s">
        <v>113</v>
      </c>
      <c r="EL9" s="521" t="s">
        <v>114</v>
      </c>
      <c r="EM9" s="524" t="s">
        <v>60</v>
      </c>
      <c r="EN9" s="662" t="s">
        <v>58</v>
      </c>
    </row>
    <row r="10" spans="1:147">
      <c r="B10" s="663" t="s">
        <v>61</v>
      </c>
      <c r="C10" s="664"/>
      <c r="D10" s="660"/>
      <c r="E10" s="663" t="s">
        <v>62</v>
      </c>
      <c r="F10" s="664"/>
      <c r="G10" s="660"/>
      <c r="H10" s="663" t="s">
        <v>63</v>
      </c>
      <c r="I10" s="664"/>
      <c r="J10" s="660"/>
      <c r="K10" s="663" t="s">
        <v>64</v>
      </c>
      <c r="L10" s="664"/>
      <c r="M10" s="660"/>
      <c r="N10" s="663" t="s">
        <v>65</v>
      </c>
      <c r="O10" s="664"/>
      <c r="P10" s="660"/>
      <c r="Q10" s="663" t="s">
        <v>66</v>
      </c>
      <c r="R10" s="664"/>
      <c r="S10" s="660"/>
      <c r="T10" s="663" t="s">
        <v>67</v>
      </c>
      <c r="U10" s="664"/>
      <c r="V10" s="660"/>
      <c r="W10" s="663" t="s">
        <v>68</v>
      </c>
      <c r="X10" s="664"/>
      <c r="Y10" s="660"/>
      <c r="Z10" s="663" t="s">
        <v>69</v>
      </c>
      <c r="AA10" s="664"/>
      <c r="AB10" s="660"/>
      <c r="AC10" s="525" t="s">
        <v>70</v>
      </c>
      <c r="AD10" s="664"/>
      <c r="AE10" s="660"/>
      <c r="AF10" s="525" t="s">
        <v>71</v>
      </c>
      <c r="AG10" s="664"/>
      <c r="AH10" s="660"/>
      <c r="AI10" s="663" t="s">
        <v>72</v>
      </c>
      <c r="AJ10" s="664"/>
      <c r="AK10" s="660"/>
      <c r="AL10" s="663" t="s">
        <v>73</v>
      </c>
      <c r="AM10" s="664"/>
      <c r="AN10" s="660"/>
      <c r="AO10" s="663" t="s">
        <v>74</v>
      </c>
      <c r="AP10" s="664"/>
      <c r="AQ10" s="660"/>
      <c r="AR10" s="663" t="s">
        <v>75</v>
      </c>
      <c r="AS10" s="664"/>
      <c r="AT10" s="660"/>
      <c r="AU10" s="663" t="s">
        <v>76</v>
      </c>
      <c r="AV10" s="664"/>
      <c r="AW10" s="660"/>
      <c r="AX10" s="663" t="s">
        <v>77</v>
      </c>
      <c r="AY10" s="664"/>
      <c r="AZ10" s="660"/>
      <c r="BA10" s="663" t="s">
        <v>78</v>
      </c>
      <c r="BB10" s="664"/>
      <c r="BC10" s="660"/>
      <c r="BD10" s="663" t="s">
        <v>79</v>
      </c>
      <c r="BE10" s="664"/>
      <c r="BF10" s="660"/>
      <c r="BG10" s="663" t="s">
        <v>80</v>
      </c>
      <c r="BH10" s="664"/>
      <c r="BI10" s="660"/>
      <c r="BJ10" s="663" t="s">
        <v>81</v>
      </c>
      <c r="BK10" s="664"/>
      <c r="BL10" s="660"/>
      <c r="BM10" s="663" t="s">
        <v>82</v>
      </c>
      <c r="BN10" s="664"/>
      <c r="BO10" s="660"/>
      <c r="BP10" s="663" t="s">
        <v>83</v>
      </c>
      <c r="BQ10" s="664"/>
      <c r="BR10" s="660"/>
      <c r="BS10" s="663" t="s">
        <v>84</v>
      </c>
      <c r="BT10" s="664"/>
      <c r="BU10" s="660"/>
      <c r="BV10" s="663" t="s">
        <v>85</v>
      </c>
      <c r="BW10" s="664"/>
      <c r="BX10" s="660"/>
      <c r="BY10" s="663" t="s">
        <v>86</v>
      </c>
      <c r="BZ10" s="664"/>
      <c r="CA10" s="660"/>
      <c r="CB10" s="663" t="s">
        <v>87</v>
      </c>
      <c r="CC10" s="664"/>
      <c r="CD10" s="660"/>
      <c r="CE10" s="663" t="s">
        <v>88</v>
      </c>
      <c r="CF10" s="664"/>
      <c r="CG10" s="660"/>
      <c r="CH10" s="663" t="s">
        <v>89</v>
      </c>
      <c r="CI10" s="664"/>
      <c r="CJ10" s="660"/>
      <c r="CK10" s="663" t="s">
        <v>90</v>
      </c>
      <c r="CL10" s="664"/>
      <c r="CM10" s="660"/>
      <c r="CN10" s="663" t="s">
        <v>91</v>
      </c>
      <c r="CO10" s="664"/>
      <c r="CP10" s="660"/>
      <c r="CQ10" s="663" t="s">
        <v>92</v>
      </c>
      <c r="CR10" s="664"/>
      <c r="CS10" s="660"/>
      <c r="CT10" s="663" t="s">
        <v>93</v>
      </c>
      <c r="CU10" s="664"/>
      <c r="CV10" s="660"/>
      <c r="CW10" s="663" t="s">
        <v>94</v>
      </c>
      <c r="CX10" s="664"/>
      <c r="CY10" s="660"/>
      <c r="CZ10" s="663" t="s">
        <v>95</v>
      </c>
      <c r="DA10" s="664"/>
      <c r="DB10" s="660"/>
      <c r="DC10" s="663" t="s">
        <v>96</v>
      </c>
      <c r="DD10" s="664"/>
      <c r="DE10" s="660"/>
      <c r="DF10" s="663" t="s">
        <v>97</v>
      </c>
      <c r="DG10" s="664"/>
      <c r="DH10" s="660"/>
      <c r="DI10" s="663" t="s">
        <v>98</v>
      </c>
      <c r="DJ10" s="664"/>
      <c r="DK10" s="660"/>
      <c r="DL10" s="663" t="s">
        <v>99</v>
      </c>
      <c r="DM10" s="664"/>
      <c r="DN10" s="660"/>
      <c r="DO10" s="663" t="s">
        <v>100</v>
      </c>
      <c r="DP10" s="664"/>
      <c r="DQ10" s="660"/>
      <c r="DR10" s="663" t="s">
        <v>101</v>
      </c>
      <c r="DS10" s="664"/>
      <c r="DT10" s="660"/>
      <c r="DU10" s="663" t="s">
        <v>102</v>
      </c>
      <c r="DV10" s="664"/>
      <c r="DW10" s="660"/>
      <c r="DX10" s="526" t="s">
        <v>115</v>
      </c>
      <c r="DY10" s="664"/>
      <c r="DZ10" s="660"/>
      <c r="EA10" s="661"/>
      <c r="EB10" s="521" t="s">
        <v>116</v>
      </c>
      <c r="EC10" s="521" t="s">
        <v>117</v>
      </c>
      <c r="ED10" s="662" t="s">
        <v>103</v>
      </c>
      <c r="EE10" s="662" t="s">
        <v>104</v>
      </c>
      <c r="EG10" s="524" t="s">
        <v>105</v>
      </c>
      <c r="EH10" s="662" t="s">
        <v>103</v>
      </c>
      <c r="EI10" s="662" t="s">
        <v>104</v>
      </c>
      <c r="EJ10" s="662"/>
      <c r="EK10" s="524" t="s">
        <v>60</v>
      </c>
      <c r="EL10" s="524" t="s">
        <v>60</v>
      </c>
      <c r="EM10" s="662" t="s">
        <v>103</v>
      </c>
      <c r="EN10" s="662" t="s">
        <v>104</v>
      </c>
    </row>
    <row r="11" spans="1:147">
      <c r="A11" s="662" t="s">
        <v>106</v>
      </c>
      <c r="B11" s="527" t="s">
        <v>107</v>
      </c>
      <c r="C11" s="528" t="s">
        <v>108</v>
      </c>
      <c r="D11" s="529" t="s">
        <v>109</v>
      </c>
      <c r="E11" s="527" t="s">
        <v>107</v>
      </c>
      <c r="F11" s="528" t="s">
        <v>108</v>
      </c>
      <c r="G11" s="529" t="s">
        <v>109</v>
      </c>
      <c r="H11" s="527" t="s">
        <v>107</v>
      </c>
      <c r="I11" s="528" t="s">
        <v>108</v>
      </c>
      <c r="J11" s="529" t="s">
        <v>109</v>
      </c>
      <c r="K11" s="527" t="s">
        <v>107</v>
      </c>
      <c r="L11" s="528" t="s">
        <v>108</v>
      </c>
      <c r="M11" s="529" t="s">
        <v>109</v>
      </c>
      <c r="N11" s="527" t="s">
        <v>107</v>
      </c>
      <c r="O11" s="528" t="s">
        <v>108</v>
      </c>
      <c r="P11" s="529" t="s">
        <v>109</v>
      </c>
      <c r="Q11" s="527" t="s">
        <v>107</v>
      </c>
      <c r="R11" s="528" t="s">
        <v>108</v>
      </c>
      <c r="S11" s="529" t="s">
        <v>109</v>
      </c>
      <c r="T11" s="527" t="s">
        <v>107</v>
      </c>
      <c r="U11" s="528" t="s">
        <v>108</v>
      </c>
      <c r="V11" s="529" t="s">
        <v>109</v>
      </c>
      <c r="W11" s="527" t="s">
        <v>107</v>
      </c>
      <c r="X11" s="528" t="s">
        <v>108</v>
      </c>
      <c r="Y11" s="529" t="s">
        <v>109</v>
      </c>
      <c r="Z11" s="527" t="s">
        <v>107</v>
      </c>
      <c r="AA11" s="528" t="s">
        <v>108</v>
      </c>
      <c r="AB11" s="529" t="s">
        <v>109</v>
      </c>
      <c r="AC11" s="527" t="s">
        <v>107</v>
      </c>
      <c r="AD11" s="528" t="s">
        <v>108</v>
      </c>
      <c r="AE11" s="529" t="s">
        <v>109</v>
      </c>
      <c r="AF11" s="527" t="s">
        <v>107</v>
      </c>
      <c r="AG11" s="528" t="s">
        <v>108</v>
      </c>
      <c r="AH11" s="529" t="s">
        <v>109</v>
      </c>
      <c r="AI11" s="527" t="s">
        <v>107</v>
      </c>
      <c r="AJ11" s="528" t="s">
        <v>108</v>
      </c>
      <c r="AK11" s="529" t="s">
        <v>109</v>
      </c>
      <c r="AL11" s="527" t="s">
        <v>107</v>
      </c>
      <c r="AM11" s="528" t="s">
        <v>108</v>
      </c>
      <c r="AN11" s="529" t="s">
        <v>109</v>
      </c>
      <c r="AO11" s="527" t="s">
        <v>107</v>
      </c>
      <c r="AP11" s="528" t="s">
        <v>108</v>
      </c>
      <c r="AQ11" s="529" t="s">
        <v>109</v>
      </c>
      <c r="AR11" s="527" t="s">
        <v>107</v>
      </c>
      <c r="AS11" s="528" t="s">
        <v>108</v>
      </c>
      <c r="AT11" s="529" t="s">
        <v>109</v>
      </c>
      <c r="AU11" s="527" t="s">
        <v>107</v>
      </c>
      <c r="AV11" s="528" t="s">
        <v>108</v>
      </c>
      <c r="AW11" s="529" t="s">
        <v>109</v>
      </c>
      <c r="AX11" s="527" t="s">
        <v>107</v>
      </c>
      <c r="AY11" s="528" t="s">
        <v>108</v>
      </c>
      <c r="AZ11" s="529" t="s">
        <v>109</v>
      </c>
      <c r="BA11" s="527" t="s">
        <v>107</v>
      </c>
      <c r="BB11" s="528" t="s">
        <v>108</v>
      </c>
      <c r="BC11" s="529" t="s">
        <v>109</v>
      </c>
      <c r="BD11" s="527" t="s">
        <v>107</v>
      </c>
      <c r="BE11" s="528" t="s">
        <v>108</v>
      </c>
      <c r="BF11" s="529" t="s">
        <v>109</v>
      </c>
      <c r="BG11" s="527" t="s">
        <v>107</v>
      </c>
      <c r="BH11" s="528" t="s">
        <v>108</v>
      </c>
      <c r="BI11" s="529" t="s">
        <v>109</v>
      </c>
      <c r="BJ11" s="527" t="s">
        <v>107</v>
      </c>
      <c r="BK11" s="528" t="s">
        <v>108</v>
      </c>
      <c r="BL11" s="529" t="s">
        <v>109</v>
      </c>
      <c r="BM11" s="527" t="s">
        <v>107</v>
      </c>
      <c r="BN11" s="528" t="s">
        <v>108</v>
      </c>
      <c r="BO11" s="529" t="s">
        <v>109</v>
      </c>
      <c r="BP11" s="527" t="s">
        <v>107</v>
      </c>
      <c r="BQ11" s="528" t="s">
        <v>108</v>
      </c>
      <c r="BR11" s="529" t="s">
        <v>109</v>
      </c>
      <c r="BS11" s="527" t="s">
        <v>107</v>
      </c>
      <c r="BT11" s="528" t="s">
        <v>108</v>
      </c>
      <c r="BU11" s="529" t="s">
        <v>109</v>
      </c>
      <c r="BV11" s="527" t="s">
        <v>107</v>
      </c>
      <c r="BW11" s="528" t="s">
        <v>108</v>
      </c>
      <c r="BX11" s="529" t="s">
        <v>109</v>
      </c>
      <c r="BY11" s="527" t="s">
        <v>107</v>
      </c>
      <c r="BZ11" s="528" t="s">
        <v>108</v>
      </c>
      <c r="CA11" s="529" t="s">
        <v>109</v>
      </c>
      <c r="CB11" s="527" t="s">
        <v>107</v>
      </c>
      <c r="CC11" s="528" t="s">
        <v>108</v>
      </c>
      <c r="CD11" s="529" t="s">
        <v>109</v>
      </c>
      <c r="CE11" s="527" t="s">
        <v>107</v>
      </c>
      <c r="CF11" s="528" t="s">
        <v>108</v>
      </c>
      <c r="CG11" s="529" t="s">
        <v>109</v>
      </c>
      <c r="CH11" s="527" t="s">
        <v>107</v>
      </c>
      <c r="CI11" s="528" t="s">
        <v>108</v>
      </c>
      <c r="CJ11" s="529" t="s">
        <v>109</v>
      </c>
      <c r="CK11" s="527" t="s">
        <v>107</v>
      </c>
      <c r="CL11" s="528" t="s">
        <v>108</v>
      </c>
      <c r="CM11" s="529" t="s">
        <v>109</v>
      </c>
      <c r="CN11" s="527" t="s">
        <v>107</v>
      </c>
      <c r="CO11" s="528" t="s">
        <v>108</v>
      </c>
      <c r="CP11" s="529" t="s">
        <v>109</v>
      </c>
      <c r="CQ11" s="527" t="s">
        <v>107</v>
      </c>
      <c r="CR11" s="528" t="s">
        <v>108</v>
      </c>
      <c r="CS11" s="529" t="s">
        <v>109</v>
      </c>
      <c r="CT11" s="527" t="s">
        <v>107</v>
      </c>
      <c r="CU11" s="528" t="s">
        <v>108</v>
      </c>
      <c r="CV11" s="529" t="s">
        <v>109</v>
      </c>
      <c r="CW11" s="527" t="s">
        <v>107</v>
      </c>
      <c r="CX11" s="528" t="s">
        <v>108</v>
      </c>
      <c r="CY11" s="529" t="s">
        <v>109</v>
      </c>
      <c r="CZ11" s="527" t="s">
        <v>107</v>
      </c>
      <c r="DA11" s="528" t="s">
        <v>108</v>
      </c>
      <c r="DB11" s="529" t="s">
        <v>109</v>
      </c>
      <c r="DC11" s="527" t="s">
        <v>107</v>
      </c>
      <c r="DD11" s="528" t="s">
        <v>108</v>
      </c>
      <c r="DE11" s="529" t="s">
        <v>109</v>
      </c>
      <c r="DF11" s="527" t="s">
        <v>107</v>
      </c>
      <c r="DG11" s="528" t="s">
        <v>108</v>
      </c>
      <c r="DH11" s="529" t="s">
        <v>109</v>
      </c>
      <c r="DI11" s="527" t="s">
        <v>107</v>
      </c>
      <c r="DJ11" s="528" t="s">
        <v>108</v>
      </c>
      <c r="DK11" s="529" t="s">
        <v>109</v>
      </c>
      <c r="DL11" s="527" t="s">
        <v>107</v>
      </c>
      <c r="DM11" s="528" t="s">
        <v>108</v>
      </c>
      <c r="DN11" s="529" t="s">
        <v>109</v>
      </c>
      <c r="DO11" s="527" t="s">
        <v>107</v>
      </c>
      <c r="DP11" s="528" t="s">
        <v>108</v>
      </c>
      <c r="DQ11" s="529" t="s">
        <v>109</v>
      </c>
      <c r="DR11" s="527" t="s">
        <v>107</v>
      </c>
      <c r="DS11" s="528" t="s">
        <v>108</v>
      </c>
      <c r="DT11" s="529" t="s">
        <v>109</v>
      </c>
      <c r="DU11" s="527" t="s">
        <v>107</v>
      </c>
      <c r="DV11" s="528" t="s">
        <v>108</v>
      </c>
      <c r="DW11" s="529" t="s">
        <v>109</v>
      </c>
      <c r="DX11" s="527" t="s">
        <v>107</v>
      </c>
      <c r="DY11" s="528"/>
      <c r="DZ11" s="529"/>
      <c r="EA11" s="529"/>
      <c r="EB11" s="529" t="s">
        <v>110</v>
      </c>
      <c r="EC11" s="529" t="s">
        <v>110</v>
      </c>
      <c r="ED11" s="529" t="s">
        <v>109</v>
      </c>
      <c r="EE11" s="530" t="s">
        <v>108</v>
      </c>
      <c r="EG11" s="529" t="s">
        <v>110</v>
      </c>
      <c r="EH11" s="529" t="s">
        <v>109</v>
      </c>
      <c r="EI11" s="530" t="s">
        <v>108</v>
      </c>
      <c r="EJ11" s="530"/>
      <c r="EK11" s="529" t="s">
        <v>110</v>
      </c>
      <c r="EL11" s="529" t="s">
        <v>110</v>
      </c>
      <c r="EM11" s="529" t="s">
        <v>109</v>
      </c>
      <c r="EN11" s="530" t="s">
        <v>108</v>
      </c>
    </row>
    <row r="12" spans="1:147">
      <c r="A12" s="665">
        <v>43678</v>
      </c>
      <c r="D12" s="646">
        <f>(B12*C12)/360</f>
        <v>0</v>
      </c>
      <c r="G12" s="646">
        <f>(E12*F12)/360</f>
        <v>0</v>
      </c>
      <c r="J12" s="646">
        <f>(H12*I12)/360</f>
        <v>0</v>
      </c>
      <c r="M12" s="646">
        <f>(K12*L12)/360</f>
        <v>0</v>
      </c>
      <c r="P12" s="646">
        <f>(N12*O12)/360</f>
        <v>0</v>
      </c>
      <c r="S12" s="646">
        <f>(Q12*R12)/360</f>
        <v>0</v>
      </c>
      <c r="V12" s="646">
        <f>(T12*U12)/360</f>
        <v>0</v>
      </c>
      <c r="Y12" s="646">
        <f>(W12*X12)/360</f>
        <v>0</v>
      </c>
      <c r="AB12" s="646">
        <f>(Z12*AA12)/360</f>
        <v>0</v>
      </c>
      <c r="AE12" s="646">
        <v>0</v>
      </c>
      <c r="AH12" s="646">
        <v>0</v>
      </c>
      <c r="AI12" s="666">
        <f>86325000</f>
        <v>86325000</v>
      </c>
      <c r="AJ12" s="667">
        <v>2.3E-2</v>
      </c>
      <c r="AK12" s="646">
        <f>(AI12*AJ12)/360</f>
        <v>5515.208333333333</v>
      </c>
      <c r="AL12" s="666">
        <f t="shared" ref="AL12:AL17" si="0">30000000</f>
        <v>30000000</v>
      </c>
      <c r="AM12" s="667">
        <v>2.63E-2</v>
      </c>
      <c r="AN12" s="646">
        <f>(AL12*AM12)/360</f>
        <v>2191.6666666666665</v>
      </c>
      <c r="AO12" s="666"/>
      <c r="AP12" s="667"/>
      <c r="AQ12" s="646">
        <f>(AO12*AP12)/360</f>
        <v>0</v>
      </c>
      <c r="AR12" s="666"/>
      <c r="AS12" s="667"/>
      <c r="AT12" s="646">
        <f>(AR12*AS12)/360</f>
        <v>0</v>
      </c>
      <c r="AW12" s="646">
        <f>(AU12*AV12)/360</f>
        <v>0</v>
      </c>
      <c r="AZ12" s="646">
        <f>(AX12*AY12)/360</f>
        <v>0</v>
      </c>
      <c r="BC12" s="646">
        <f>(BA12*BB12)/360</f>
        <v>0</v>
      </c>
      <c r="BF12" s="646">
        <f>(BD12*BE12)/360</f>
        <v>0</v>
      </c>
      <c r="BI12" s="646">
        <f>(BG12*BH12)/360</f>
        <v>0</v>
      </c>
      <c r="BL12" s="646">
        <f>(BJ12*BK12)/360</f>
        <v>0</v>
      </c>
      <c r="BO12" s="646">
        <f>(BM12*BN12)/360</f>
        <v>0</v>
      </c>
      <c r="BR12" s="646">
        <f>(BP12*BQ12)/360</f>
        <v>0</v>
      </c>
      <c r="BU12" s="646">
        <f>(BS12*BT12)/360</f>
        <v>0</v>
      </c>
      <c r="BX12" s="646">
        <f>(BV12*BW12)/360</f>
        <v>0</v>
      </c>
      <c r="CA12" s="646">
        <f>(BY12*BZ12)/360</f>
        <v>0</v>
      </c>
      <c r="CD12" s="646">
        <f>(CB12*CC12)/360</f>
        <v>0</v>
      </c>
      <c r="CG12" s="646">
        <f>(CE12*CF12)/360</f>
        <v>0</v>
      </c>
      <c r="CJ12" s="646">
        <f>(CH12*CI12)/360</f>
        <v>0</v>
      </c>
      <c r="CM12" s="646">
        <f>(CK12*CL12)/360</f>
        <v>0</v>
      </c>
      <c r="CP12" s="646">
        <f>(CN12*CO12)/360</f>
        <v>0</v>
      </c>
      <c r="CS12" s="646">
        <f>(CQ12*CR12)/360</f>
        <v>0</v>
      </c>
      <c r="CV12" s="646">
        <f>(CT12*CU12)/360</f>
        <v>0</v>
      </c>
      <c r="CY12" s="646">
        <f>(CW12*CX12)/360</f>
        <v>0</v>
      </c>
      <c r="DB12" s="646">
        <f>(CZ12*DA12)/360</f>
        <v>0</v>
      </c>
      <c r="DE12" s="646">
        <f>(DC12*DD12)/360</f>
        <v>0</v>
      </c>
      <c r="DH12" s="646">
        <f>(DF12*DG12)/360</f>
        <v>0</v>
      </c>
      <c r="DK12" s="646">
        <f>(DI12*DJ12)/360</f>
        <v>0</v>
      </c>
      <c r="DN12" s="646">
        <f>(DL12*DM12)/360</f>
        <v>0</v>
      </c>
      <c r="DQ12" s="646">
        <f>(DO12*DP12)/360</f>
        <v>0</v>
      </c>
      <c r="DT12" s="646">
        <f>(DR12*DS12)/360</f>
        <v>0</v>
      </c>
      <c r="DW12" s="646">
        <f>(DU12*DV12)/360</f>
        <v>0</v>
      </c>
      <c r="DZ12" s="646"/>
      <c r="EA12" s="646"/>
      <c r="EB12" s="531">
        <f>B12+E12+H12+K12+N12+Q12+T12+W12+Z12+AC12+AF12+AL12+AO12+AR12+AU12+AX12+BA12+BD12+BG12+DU12+AI12+DR12+DO12+DL12+DI12+DF12+DC12+CZ12+CW12+CT12+CQ12+CN12+CK12+CH12+CE12+CB12+BY12+BV12+BS12+BP12+BM12+BJ12</f>
        <v>116325000</v>
      </c>
      <c r="EC12" s="531">
        <f>EB12-EK12+EL12</f>
        <v>0</v>
      </c>
      <c r="ED12" s="646">
        <f>D12+G12+J12+M12+P12+S12+V12+Y12+AB12+AE12+AH12+AK12+AN12+AQ12+AT12+AW12+AZ12+BC12+BF12+BI12+DW12+DT12+DQ12+DN12+DK12+DH12+DE12+DB12+CY12+CV12+CS12+CP12+CM12+CJ12+CG12+CD12+CA12+BX12+BU12+BR12+BO12+BL12</f>
        <v>7706.875</v>
      </c>
      <c r="EE12" s="647">
        <f>IF(EB12&lt;&gt;0,((ED12/EB12)*360),0)</f>
        <v>2.3851063829787234E-2</v>
      </c>
      <c r="EG12" s="531">
        <f>Q12+T12+W12+Z12+AC12+AF12</f>
        <v>0</v>
      </c>
      <c r="EH12" s="646">
        <f>S12+V12+Y12+AB12+AE12+AH12</f>
        <v>0</v>
      </c>
      <c r="EI12" s="647">
        <f>IF(EG12&lt;&gt;0,((EH12/EG12)*360),0)</f>
        <v>0</v>
      </c>
      <c r="EJ12" s="647"/>
      <c r="EK12" s="531">
        <f>DR12+DL12+DI12+DF12+DC12+CZ12+CW12+CT12+CQ12+CN12+CK12+CH12+CE12+CB12+BY12+BV12+BS12+BP12+BM12+BJ12+BG12+BD12+BA12+AX12+AU12+AR12+AO12+AL12+AI12+DO12</f>
        <v>116325000</v>
      </c>
      <c r="EL12" s="531">
        <f>DX12</f>
        <v>0</v>
      </c>
      <c r="EM12" s="531">
        <f>DT12+DQ12+DN12+DK12+DH12+DE12+DB12+CY12+CV12+CS12+CP12+CM12+CJ12+CG12+CD12+CA12+BX12+BU12+BR12+BO12+BL12+BI12+BF12+BC12+AZ12+AW12+AT12+AQ12+AN12+AK12</f>
        <v>7706.875</v>
      </c>
      <c r="EN12" s="647">
        <f>IF(EK12&lt;&gt;0,((EM12/EK12)*360),0)</f>
        <v>2.3851063829787234E-2</v>
      </c>
      <c r="EP12" s="646"/>
    </row>
    <row r="13" spans="1:147">
      <c r="A13" s="665">
        <f>1+A12</f>
        <v>43679</v>
      </c>
      <c r="D13" s="646">
        <f t="shared" ref="D13:D42" si="1">(B13*C13)/360</f>
        <v>0</v>
      </c>
      <c r="G13" s="646">
        <f t="shared" ref="G13:G42" si="2">(E13*F13)/360</f>
        <v>0</v>
      </c>
      <c r="J13" s="646">
        <f t="shared" ref="J13:J42" si="3">(H13*I13)/360</f>
        <v>0</v>
      </c>
      <c r="M13" s="646">
        <f t="shared" ref="M13:M42" si="4">(K13*L13)/360</f>
        <v>0</v>
      </c>
      <c r="P13" s="646">
        <f t="shared" ref="P13:P42" si="5">(N13*O13)/360</f>
        <v>0</v>
      </c>
      <c r="S13" s="646">
        <f t="shared" ref="S13:S42" si="6">(Q13*R13)/360</f>
        <v>0</v>
      </c>
      <c r="V13" s="646">
        <f t="shared" ref="V13:V42" si="7">(T13*U13)/360</f>
        <v>0</v>
      </c>
      <c r="Y13" s="646">
        <f t="shared" ref="Y13:Y42" si="8">(W13*X13)/360</f>
        <v>0</v>
      </c>
      <c r="AB13" s="646">
        <f t="shared" ref="AB13:AB42" si="9">(Z13*AA13)/360</f>
        <v>0</v>
      </c>
      <c r="AE13" s="646">
        <v>0</v>
      </c>
      <c r="AH13" s="646">
        <v>0</v>
      </c>
      <c r="AI13" s="666">
        <f>81125000</f>
        <v>81125000</v>
      </c>
      <c r="AJ13" s="667">
        <v>2.3E-2</v>
      </c>
      <c r="AK13" s="646">
        <f t="shared" ref="AK13:AK42" si="10">(AI13*AJ13)/360</f>
        <v>5182.9861111111113</v>
      </c>
      <c r="AL13" s="666">
        <f t="shared" si="0"/>
        <v>30000000</v>
      </c>
      <c r="AM13" s="667">
        <v>2.63E-2</v>
      </c>
      <c r="AN13" s="646">
        <f t="shared" ref="AN13:AN42" si="11">(AL13*AM13)/360</f>
        <v>2191.6666666666665</v>
      </c>
      <c r="AO13" s="666"/>
      <c r="AP13" s="667"/>
      <c r="AQ13" s="646">
        <f t="shared" ref="AQ13:AQ42" si="12">(AO13*AP13)/360</f>
        <v>0</v>
      </c>
      <c r="AR13" s="666"/>
      <c r="AS13" s="667"/>
      <c r="AT13" s="646">
        <f t="shared" ref="AT13:AT42" si="13">(AR13*AS13)/360</f>
        <v>0</v>
      </c>
      <c r="AW13" s="646">
        <f t="shared" ref="AW13:AW42" si="14">(AU13*AV13)/360</f>
        <v>0</v>
      </c>
      <c r="AZ13" s="646">
        <f t="shared" ref="AZ13:AZ42" si="15">(AX13*AY13)/360</f>
        <v>0</v>
      </c>
      <c r="BC13" s="646">
        <f t="shared" ref="BC13:BC42" si="16">(BA13*BB13)/360</f>
        <v>0</v>
      </c>
      <c r="BF13" s="646">
        <f t="shared" ref="BF13:BF42" si="17">(BD13*BE13)/360</f>
        <v>0</v>
      </c>
      <c r="BI13" s="646">
        <f t="shared" ref="BI13:BI42" si="18">(BG13*BH13)/360</f>
        <v>0</v>
      </c>
      <c r="BL13" s="646">
        <f t="shared" ref="BL13:BL42" si="19">(BJ13*BK13)/360</f>
        <v>0</v>
      </c>
      <c r="BO13" s="646">
        <f t="shared" ref="BO13:BO42" si="20">(BM13*BN13)/360</f>
        <v>0</v>
      </c>
      <c r="BR13" s="646">
        <f t="shared" ref="BR13:BR42" si="21">(BP13*BQ13)/360</f>
        <v>0</v>
      </c>
      <c r="BU13" s="646">
        <f t="shared" ref="BU13:BU42" si="22">(BS13*BT13)/360</f>
        <v>0</v>
      </c>
      <c r="BX13" s="646">
        <f t="shared" ref="BX13:BX42" si="23">(BV13*BW13)/360</f>
        <v>0</v>
      </c>
      <c r="CA13" s="646">
        <f t="shared" ref="CA13:CA42" si="24">(BY13*BZ13)/360</f>
        <v>0</v>
      </c>
      <c r="CD13" s="646">
        <f t="shared" ref="CD13:CD42" si="25">(CB13*CC13)/360</f>
        <v>0</v>
      </c>
      <c r="CG13" s="646">
        <f t="shared" ref="CG13:CG42" si="26">(CE13*CF13)/360</f>
        <v>0</v>
      </c>
      <c r="CJ13" s="646">
        <f t="shared" ref="CJ13:CJ42" si="27">(CH13*CI13)/360</f>
        <v>0</v>
      </c>
      <c r="CM13" s="646">
        <f t="shared" ref="CM13:CM42" si="28">(CK13*CL13)/360</f>
        <v>0</v>
      </c>
      <c r="CP13" s="646">
        <f t="shared" ref="CP13:CP42" si="29">(CN13*CO13)/360</f>
        <v>0</v>
      </c>
      <c r="CS13" s="646">
        <f t="shared" ref="CS13:CS42" si="30">(CQ13*CR13)/360</f>
        <v>0</v>
      </c>
      <c r="CV13" s="646">
        <f t="shared" ref="CV13:CV42" si="31">(CT13*CU13)/360</f>
        <v>0</v>
      </c>
      <c r="CY13" s="646">
        <f t="shared" ref="CY13:CY42" si="32">(CW13*CX13)/360</f>
        <v>0</v>
      </c>
      <c r="DB13" s="646">
        <f t="shared" ref="DB13:DB42" si="33">(CZ13*DA13)/360</f>
        <v>0</v>
      </c>
      <c r="DE13" s="646">
        <f t="shared" ref="DE13:DE42" si="34">(DC13*DD13)/360</f>
        <v>0</v>
      </c>
      <c r="DH13" s="646">
        <f t="shared" ref="DH13:DH42" si="35">(DF13*DG13)/360</f>
        <v>0</v>
      </c>
      <c r="DK13" s="646">
        <f t="shared" ref="DK13:DK42" si="36">(DI13*DJ13)/360</f>
        <v>0</v>
      </c>
      <c r="DN13" s="646">
        <f t="shared" ref="DN13:DN42" si="37">(DL13*DM13)/360</f>
        <v>0</v>
      </c>
      <c r="DQ13" s="646">
        <f t="shared" ref="DQ13:DQ42" si="38">(DO13*DP13)/360</f>
        <v>0</v>
      </c>
      <c r="DT13" s="646">
        <f t="shared" ref="DT13:DT42" si="39">(DR13*DS13)/360</f>
        <v>0</v>
      </c>
      <c r="DW13" s="646">
        <f t="shared" ref="DW13:DW42" si="40">(DU13*DV13)/360</f>
        <v>0</v>
      </c>
      <c r="DZ13" s="646"/>
      <c r="EA13" s="646"/>
      <c r="EB13" s="531">
        <f t="shared" ref="EB13:EB42" si="41">B13+E13+H13+K13+N13+Q13+T13+W13+Z13+AC13+AF13+AL13+AO13+AR13+AU13+AX13+BA13+BD13+BG13+DU13+AI13+DR13+DO13+DL13+DI13+DF13+DC13+CZ13+CW13+CT13+CQ13+CN13+CK13+CH13+CE13+CB13+BY13+BV13+BS13+BP13+BM13+BJ13</f>
        <v>111125000</v>
      </c>
      <c r="EC13" s="531">
        <f t="shared" ref="EC13:EC42" si="42">EB13-EK13+EL13</f>
        <v>0</v>
      </c>
      <c r="ED13" s="646">
        <f t="shared" ref="ED13:ED42" si="43">D13+G13+J13+M13+P13+S13+V13+Y13+AB13+AE13+AH13+AK13+AN13+AQ13+AT13+AW13+AZ13+BC13+BF13+BI13+DW13+DT13+DQ13+DN13+DK13+DH13+DE13+DB13+CY13+CV13+CS13+CP13+CM13+CJ13+CG13+CD13+CA13+BX13+BU13+BR13+BO13+BL13</f>
        <v>7374.6527777777774</v>
      </c>
      <c r="EE13" s="647">
        <f t="shared" ref="EE13:EE42" si="44">IF(EB13&lt;&gt;0,((ED13/EB13)*360),0)</f>
        <v>2.3890888638920135E-2</v>
      </c>
      <c r="EG13" s="531">
        <f t="shared" ref="EG13:EG42" si="45">Q13+T13+W13+Z13+AC13+AF13</f>
        <v>0</v>
      </c>
      <c r="EH13" s="646">
        <f t="shared" ref="EH13:EH42" si="46">S13+V13+Y13+AB13+AE13+AH13</f>
        <v>0</v>
      </c>
      <c r="EI13" s="647">
        <f t="shared" ref="EI13:EI42" si="47">IF(EG13&lt;&gt;0,((EH13/EG13)*360),0)</f>
        <v>0</v>
      </c>
      <c r="EJ13" s="647"/>
      <c r="EK13" s="531">
        <f t="shared" ref="EK13:EK42" si="48">DR13+DL13+DI13+DF13+DC13+CZ13+CW13+CT13+CQ13+CN13+CK13+CH13+CE13+CB13+BY13+BV13+BS13+BP13+BM13+BJ13+BG13+BD13+BA13+AX13+AU13+AR13+AO13+AL13+AI13+DO13</f>
        <v>111125000</v>
      </c>
      <c r="EL13" s="531">
        <f t="shared" ref="EL13:EL42" si="49">DX13</f>
        <v>0</v>
      </c>
      <c r="EM13" s="531">
        <f t="shared" ref="EM13:EM42" si="50">DT13+DQ13+DN13+DK13+DH13+DE13+DB13+CY13+CV13+CS13+CP13+CM13+CJ13+CG13+CD13+CA13+BX13+BU13+BR13+BO13+BL13+BI13+BF13+BC13+AZ13+AW13+AT13+AQ13+AN13+AK13</f>
        <v>7374.6527777777774</v>
      </c>
      <c r="EN13" s="647">
        <f t="shared" ref="EN13:EN42" si="51">IF(EK13&lt;&gt;0,((EM13/EK13)*360),0)</f>
        <v>2.3890888638920135E-2</v>
      </c>
      <c r="EP13" s="646"/>
    </row>
    <row r="14" spans="1:147">
      <c r="A14" s="665">
        <f t="shared" ref="A14:A42" si="52">1+A13</f>
        <v>43680</v>
      </c>
      <c r="D14" s="646">
        <f t="shared" si="1"/>
        <v>0</v>
      </c>
      <c r="G14" s="646">
        <f t="shared" si="2"/>
        <v>0</v>
      </c>
      <c r="J14" s="646">
        <f t="shared" si="3"/>
        <v>0</v>
      </c>
      <c r="M14" s="646">
        <f t="shared" si="4"/>
        <v>0</v>
      </c>
      <c r="P14" s="646">
        <f t="shared" si="5"/>
        <v>0</v>
      </c>
      <c r="S14" s="646">
        <f t="shared" si="6"/>
        <v>0</v>
      </c>
      <c r="V14" s="646">
        <f t="shared" si="7"/>
        <v>0</v>
      </c>
      <c r="Y14" s="646">
        <f t="shared" si="8"/>
        <v>0</v>
      </c>
      <c r="AB14" s="646">
        <f t="shared" si="9"/>
        <v>0</v>
      </c>
      <c r="AE14" s="646">
        <v>0</v>
      </c>
      <c r="AH14" s="646">
        <v>0</v>
      </c>
      <c r="AI14" s="666">
        <f>81125000</f>
        <v>81125000</v>
      </c>
      <c r="AJ14" s="667">
        <v>2.3E-2</v>
      </c>
      <c r="AK14" s="646">
        <f t="shared" si="10"/>
        <v>5182.9861111111113</v>
      </c>
      <c r="AL14" s="666">
        <f t="shared" si="0"/>
        <v>30000000</v>
      </c>
      <c r="AM14" s="667">
        <v>2.63E-2</v>
      </c>
      <c r="AN14" s="646">
        <f t="shared" si="11"/>
        <v>2191.6666666666665</v>
      </c>
      <c r="AO14" s="666"/>
      <c r="AP14" s="667"/>
      <c r="AQ14" s="646">
        <f t="shared" si="12"/>
        <v>0</v>
      </c>
      <c r="AR14" s="666"/>
      <c r="AS14" s="667"/>
      <c r="AT14" s="646">
        <f t="shared" si="13"/>
        <v>0</v>
      </c>
      <c r="AW14" s="646">
        <f t="shared" si="14"/>
        <v>0</v>
      </c>
      <c r="AZ14" s="646">
        <f t="shared" si="15"/>
        <v>0</v>
      </c>
      <c r="BC14" s="646">
        <f t="shared" si="16"/>
        <v>0</v>
      </c>
      <c r="BF14" s="646">
        <f t="shared" si="17"/>
        <v>0</v>
      </c>
      <c r="BI14" s="646">
        <f t="shared" si="18"/>
        <v>0</v>
      </c>
      <c r="BL14" s="646">
        <f t="shared" si="19"/>
        <v>0</v>
      </c>
      <c r="BO14" s="646">
        <f t="shared" si="20"/>
        <v>0</v>
      </c>
      <c r="BR14" s="646">
        <f t="shared" si="21"/>
        <v>0</v>
      </c>
      <c r="BU14" s="646">
        <f t="shared" si="22"/>
        <v>0</v>
      </c>
      <c r="BX14" s="646">
        <f t="shared" si="23"/>
        <v>0</v>
      </c>
      <c r="CA14" s="646">
        <f t="shared" si="24"/>
        <v>0</v>
      </c>
      <c r="CD14" s="646">
        <f t="shared" si="25"/>
        <v>0</v>
      </c>
      <c r="CG14" s="646">
        <f t="shared" si="26"/>
        <v>0</v>
      </c>
      <c r="CJ14" s="646">
        <f t="shared" si="27"/>
        <v>0</v>
      </c>
      <c r="CM14" s="646">
        <f t="shared" si="28"/>
        <v>0</v>
      </c>
      <c r="CP14" s="646">
        <f t="shared" si="29"/>
        <v>0</v>
      </c>
      <c r="CS14" s="646">
        <f t="shared" si="30"/>
        <v>0</v>
      </c>
      <c r="CV14" s="646">
        <f t="shared" si="31"/>
        <v>0</v>
      </c>
      <c r="CY14" s="646">
        <f t="shared" si="32"/>
        <v>0</v>
      </c>
      <c r="DB14" s="646">
        <f t="shared" si="33"/>
        <v>0</v>
      </c>
      <c r="DE14" s="646">
        <f t="shared" si="34"/>
        <v>0</v>
      </c>
      <c r="DH14" s="646">
        <f t="shared" si="35"/>
        <v>0</v>
      </c>
      <c r="DK14" s="646">
        <f t="shared" si="36"/>
        <v>0</v>
      </c>
      <c r="DN14" s="646">
        <f t="shared" si="37"/>
        <v>0</v>
      </c>
      <c r="DQ14" s="646">
        <f t="shared" si="38"/>
        <v>0</v>
      </c>
      <c r="DT14" s="646">
        <f t="shared" si="39"/>
        <v>0</v>
      </c>
      <c r="DW14" s="646">
        <f t="shared" si="40"/>
        <v>0</v>
      </c>
      <c r="DZ14" s="646"/>
      <c r="EA14" s="646"/>
      <c r="EB14" s="531">
        <f t="shared" si="41"/>
        <v>111125000</v>
      </c>
      <c r="EC14" s="531">
        <f t="shared" si="42"/>
        <v>0</v>
      </c>
      <c r="ED14" s="646">
        <f t="shared" si="43"/>
        <v>7374.6527777777774</v>
      </c>
      <c r="EE14" s="647">
        <f t="shared" si="44"/>
        <v>2.3890888638920135E-2</v>
      </c>
      <c r="EG14" s="531">
        <f t="shared" si="45"/>
        <v>0</v>
      </c>
      <c r="EH14" s="646">
        <f t="shared" si="46"/>
        <v>0</v>
      </c>
      <c r="EI14" s="647">
        <f t="shared" si="47"/>
        <v>0</v>
      </c>
      <c r="EJ14" s="647"/>
      <c r="EK14" s="531">
        <f t="shared" si="48"/>
        <v>111125000</v>
      </c>
      <c r="EL14" s="531">
        <f t="shared" si="49"/>
        <v>0</v>
      </c>
      <c r="EM14" s="531">
        <f t="shared" si="50"/>
        <v>7374.6527777777774</v>
      </c>
      <c r="EN14" s="647">
        <f t="shared" si="51"/>
        <v>2.3890888638920135E-2</v>
      </c>
      <c r="EP14" s="646"/>
    </row>
    <row r="15" spans="1:147">
      <c r="A15" s="665">
        <f t="shared" si="52"/>
        <v>43681</v>
      </c>
      <c r="D15" s="646">
        <f t="shared" si="1"/>
        <v>0</v>
      </c>
      <c r="G15" s="646">
        <f t="shared" si="2"/>
        <v>0</v>
      </c>
      <c r="J15" s="646">
        <f t="shared" si="3"/>
        <v>0</v>
      </c>
      <c r="M15" s="646">
        <f t="shared" si="4"/>
        <v>0</v>
      </c>
      <c r="P15" s="646">
        <f t="shared" si="5"/>
        <v>0</v>
      </c>
      <c r="S15" s="646">
        <f t="shared" si="6"/>
        <v>0</v>
      </c>
      <c r="V15" s="646">
        <f t="shared" si="7"/>
        <v>0</v>
      </c>
      <c r="Y15" s="646">
        <f t="shared" si="8"/>
        <v>0</v>
      </c>
      <c r="AB15" s="646">
        <f t="shared" si="9"/>
        <v>0</v>
      </c>
      <c r="AE15" s="646">
        <v>0</v>
      </c>
      <c r="AH15" s="646">
        <v>0</v>
      </c>
      <c r="AI15" s="666">
        <f>81125000</f>
        <v>81125000</v>
      </c>
      <c r="AJ15" s="667">
        <v>2.3E-2</v>
      </c>
      <c r="AK15" s="646">
        <f t="shared" si="10"/>
        <v>5182.9861111111113</v>
      </c>
      <c r="AL15" s="666">
        <f t="shared" si="0"/>
        <v>30000000</v>
      </c>
      <c r="AM15" s="667">
        <v>2.63E-2</v>
      </c>
      <c r="AN15" s="646">
        <f t="shared" si="11"/>
        <v>2191.6666666666665</v>
      </c>
      <c r="AO15" s="666"/>
      <c r="AP15" s="667"/>
      <c r="AQ15" s="646">
        <f t="shared" si="12"/>
        <v>0</v>
      </c>
      <c r="AR15" s="666"/>
      <c r="AS15" s="667"/>
      <c r="AT15" s="646">
        <f t="shared" si="13"/>
        <v>0</v>
      </c>
      <c r="AW15" s="646">
        <f t="shared" si="14"/>
        <v>0</v>
      </c>
      <c r="AZ15" s="646">
        <f t="shared" si="15"/>
        <v>0</v>
      </c>
      <c r="BC15" s="646">
        <f t="shared" si="16"/>
        <v>0</v>
      </c>
      <c r="BF15" s="646">
        <f t="shared" si="17"/>
        <v>0</v>
      </c>
      <c r="BI15" s="646">
        <f t="shared" si="18"/>
        <v>0</v>
      </c>
      <c r="BL15" s="646">
        <f t="shared" si="19"/>
        <v>0</v>
      </c>
      <c r="BO15" s="646">
        <f t="shared" si="20"/>
        <v>0</v>
      </c>
      <c r="BR15" s="646">
        <f t="shared" si="21"/>
        <v>0</v>
      </c>
      <c r="BU15" s="646">
        <f t="shared" si="22"/>
        <v>0</v>
      </c>
      <c r="BX15" s="646">
        <f t="shared" si="23"/>
        <v>0</v>
      </c>
      <c r="CA15" s="646">
        <f t="shared" si="24"/>
        <v>0</v>
      </c>
      <c r="CD15" s="646">
        <f t="shared" si="25"/>
        <v>0</v>
      </c>
      <c r="CG15" s="646">
        <f t="shared" si="26"/>
        <v>0</v>
      </c>
      <c r="CJ15" s="646">
        <f t="shared" si="27"/>
        <v>0</v>
      </c>
      <c r="CM15" s="646">
        <f t="shared" si="28"/>
        <v>0</v>
      </c>
      <c r="CP15" s="646">
        <f t="shared" si="29"/>
        <v>0</v>
      </c>
      <c r="CS15" s="646">
        <f t="shared" si="30"/>
        <v>0</v>
      </c>
      <c r="CV15" s="646">
        <f t="shared" si="31"/>
        <v>0</v>
      </c>
      <c r="CY15" s="646">
        <f t="shared" si="32"/>
        <v>0</v>
      </c>
      <c r="DB15" s="646">
        <f t="shared" si="33"/>
        <v>0</v>
      </c>
      <c r="DE15" s="646">
        <f t="shared" si="34"/>
        <v>0</v>
      </c>
      <c r="DH15" s="646">
        <f t="shared" si="35"/>
        <v>0</v>
      </c>
      <c r="DK15" s="646">
        <f t="shared" si="36"/>
        <v>0</v>
      </c>
      <c r="DN15" s="646">
        <f t="shared" si="37"/>
        <v>0</v>
      </c>
      <c r="DQ15" s="646">
        <f t="shared" si="38"/>
        <v>0</v>
      </c>
      <c r="DT15" s="646">
        <f t="shared" si="39"/>
        <v>0</v>
      </c>
      <c r="DW15" s="646">
        <f t="shared" si="40"/>
        <v>0</v>
      </c>
      <c r="DZ15" s="646"/>
      <c r="EA15" s="646"/>
      <c r="EB15" s="531">
        <f t="shared" si="41"/>
        <v>111125000</v>
      </c>
      <c r="EC15" s="531">
        <f t="shared" si="42"/>
        <v>0</v>
      </c>
      <c r="ED15" s="646">
        <f t="shared" si="43"/>
        <v>7374.6527777777774</v>
      </c>
      <c r="EE15" s="647">
        <f t="shared" si="44"/>
        <v>2.3890888638920135E-2</v>
      </c>
      <c r="EG15" s="531">
        <f t="shared" si="45"/>
        <v>0</v>
      </c>
      <c r="EH15" s="646">
        <f t="shared" si="46"/>
        <v>0</v>
      </c>
      <c r="EI15" s="647">
        <f t="shared" si="47"/>
        <v>0</v>
      </c>
      <c r="EJ15" s="647"/>
      <c r="EK15" s="531">
        <f t="shared" si="48"/>
        <v>111125000</v>
      </c>
      <c r="EL15" s="531">
        <f t="shared" si="49"/>
        <v>0</v>
      </c>
      <c r="EM15" s="531">
        <f t="shared" si="50"/>
        <v>7374.6527777777774</v>
      </c>
      <c r="EN15" s="647">
        <f t="shared" si="51"/>
        <v>2.3890888638920135E-2</v>
      </c>
      <c r="EP15" s="646"/>
    </row>
    <row r="16" spans="1:147">
      <c r="A16" s="665">
        <f t="shared" si="52"/>
        <v>43682</v>
      </c>
      <c r="D16" s="646">
        <f t="shared" si="1"/>
        <v>0</v>
      </c>
      <c r="G16" s="646">
        <f t="shared" si="2"/>
        <v>0</v>
      </c>
      <c r="J16" s="646">
        <f t="shared" si="3"/>
        <v>0</v>
      </c>
      <c r="M16" s="646">
        <f t="shared" si="4"/>
        <v>0</v>
      </c>
      <c r="P16" s="646">
        <f t="shared" si="5"/>
        <v>0</v>
      </c>
      <c r="S16" s="646">
        <f t="shared" si="6"/>
        <v>0</v>
      </c>
      <c r="V16" s="646">
        <f t="shared" si="7"/>
        <v>0</v>
      </c>
      <c r="Y16" s="646">
        <f t="shared" si="8"/>
        <v>0</v>
      </c>
      <c r="AB16" s="646">
        <f t="shared" si="9"/>
        <v>0</v>
      </c>
      <c r="AE16" s="646">
        <v>0</v>
      </c>
      <c r="AH16" s="646">
        <v>0</v>
      </c>
      <c r="AI16" s="666">
        <f>73600000</f>
        <v>73600000</v>
      </c>
      <c r="AJ16" s="667">
        <v>2.3E-2</v>
      </c>
      <c r="AK16" s="646">
        <f t="shared" si="10"/>
        <v>4702.2222222222226</v>
      </c>
      <c r="AL16" s="666">
        <f t="shared" si="0"/>
        <v>30000000</v>
      </c>
      <c r="AM16" s="667">
        <v>2.63E-2</v>
      </c>
      <c r="AN16" s="646">
        <f t="shared" si="11"/>
        <v>2191.6666666666665</v>
      </c>
      <c r="AO16" s="666"/>
      <c r="AP16" s="667"/>
      <c r="AQ16" s="646">
        <f t="shared" si="12"/>
        <v>0</v>
      </c>
      <c r="AR16" s="666"/>
      <c r="AS16" s="667"/>
      <c r="AT16" s="646">
        <f t="shared" si="13"/>
        <v>0</v>
      </c>
      <c r="AW16" s="646">
        <f t="shared" si="14"/>
        <v>0</v>
      </c>
      <c r="AZ16" s="646">
        <f t="shared" si="15"/>
        <v>0</v>
      </c>
      <c r="BC16" s="646">
        <f t="shared" si="16"/>
        <v>0</v>
      </c>
      <c r="BF16" s="646">
        <f t="shared" si="17"/>
        <v>0</v>
      </c>
      <c r="BI16" s="646">
        <f t="shared" si="18"/>
        <v>0</v>
      </c>
      <c r="BL16" s="646">
        <f t="shared" si="19"/>
        <v>0</v>
      </c>
      <c r="BO16" s="646">
        <f t="shared" si="20"/>
        <v>0</v>
      </c>
      <c r="BR16" s="646">
        <f t="shared" si="21"/>
        <v>0</v>
      </c>
      <c r="BU16" s="646">
        <f t="shared" si="22"/>
        <v>0</v>
      </c>
      <c r="BX16" s="646">
        <f t="shared" si="23"/>
        <v>0</v>
      </c>
      <c r="CA16" s="646">
        <f t="shared" si="24"/>
        <v>0</v>
      </c>
      <c r="CD16" s="646">
        <f t="shared" si="25"/>
        <v>0</v>
      </c>
      <c r="CG16" s="646">
        <f t="shared" si="26"/>
        <v>0</v>
      </c>
      <c r="CJ16" s="646">
        <f t="shared" si="27"/>
        <v>0</v>
      </c>
      <c r="CM16" s="646">
        <f t="shared" si="28"/>
        <v>0</v>
      </c>
      <c r="CP16" s="646">
        <f t="shared" si="29"/>
        <v>0</v>
      </c>
      <c r="CS16" s="646">
        <f t="shared" si="30"/>
        <v>0</v>
      </c>
      <c r="CV16" s="646">
        <f t="shared" si="31"/>
        <v>0</v>
      </c>
      <c r="CY16" s="646">
        <f t="shared" si="32"/>
        <v>0</v>
      </c>
      <c r="DB16" s="646">
        <f t="shared" si="33"/>
        <v>0</v>
      </c>
      <c r="DE16" s="646">
        <f t="shared" si="34"/>
        <v>0</v>
      </c>
      <c r="DH16" s="646">
        <f t="shared" si="35"/>
        <v>0</v>
      </c>
      <c r="DK16" s="646">
        <f t="shared" si="36"/>
        <v>0</v>
      </c>
      <c r="DN16" s="646">
        <f t="shared" si="37"/>
        <v>0</v>
      </c>
      <c r="DQ16" s="646">
        <f t="shared" si="38"/>
        <v>0</v>
      </c>
      <c r="DT16" s="646">
        <f t="shared" si="39"/>
        <v>0</v>
      </c>
      <c r="DW16" s="646">
        <f t="shared" si="40"/>
        <v>0</v>
      </c>
      <c r="DZ16" s="646"/>
      <c r="EA16" s="646"/>
      <c r="EB16" s="531">
        <f t="shared" si="41"/>
        <v>103600000</v>
      </c>
      <c r="EC16" s="531">
        <f t="shared" si="42"/>
        <v>0</v>
      </c>
      <c r="ED16" s="646">
        <f t="shared" si="43"/>
        <v>6893.8888888888887</v>
      </c>
      <c r="EE16" s="647">
        <f t="shared" si="44"/>
        <v>2.3955598455598456E-2</v>
      </c>
      <c r="EG16" s="531">
        <f t="shared" si="45"/>
        <v>0</v>
      </c>
      <c r="EH16" s="646">
        <f t="shared" si="46"/>
        <v>0</v>
      </c>
      <c r="EI16" s="647">
        <f t="shared" si="47"/>
        <v>0</v>
      </c>
      <c r="EJ16" s="647"/>
      <c r="EK16" s="531">
        <f t="shared" si="48"/>
        <v>103600000</v>
      </c>
      <c r="EL16" s="531">
        <f t="shared" si="49"/>
        <v>0</v>
      </c>
      <c r="EM16" s="531">
        <f t="shared" si="50"/>
        <v>6893.8888888888887</v>
      </c>
      <c r="EN16" s="647">
        <f t="shared" si="51"/>
        <v>2.3955598455598456E-2</v>
      </c>
      <c r="EP16" s="646"/>
    </row>
    <row r="17" spans="1:146">
      <c r="A17" s="665">
        <f t="shared" si="52"/>
        <v>43683</v>
      </c>
      <c r="D17" s="646">
        <f t="shared" si="1"/>
        <v>0</v>
      </c>
      <c r="G17" s="646">
        <f t="shared" si="2"/>
        <v>0</v>
      </c>
      <c r="J17" s="646">
        <f t="shared" si="3"/>
        <v>0</v>
      </c>
      <c r="M17" s="646">
        <f t="shared" si="4"/>
        <v>0</v>
      </c>
      <c r="P17" s="646">
        <f t="shared" si="5"/>
        <v>0</v>
      </c>
      <c r="S17" s="646">
        <f t="shared" si="6"/>
        <v>0</v>
      </c>
      <c r="V17" s="646">
        <f t="shared" si="7"/>
        <v>0</v>
      </c>
      <c r="Y17" s="646">
        <f t="shared" si="8"/>
        <v>0</v>
      </c>
      <c r="AB17" s="646">
        <f t="shared" si="9"/>
        <v>0</v>
      </c>
      <c r="AE17" s="646">
        <v>0</v>
      </c>
      <c r="AH17" s="646">
        <v>0</v>
      </c>
      <c r="AI17" s="666">
        <f>54800000</f>
        <v>54800000</v>
      </c>
      <c r="AJ17" s="667">
        <v>2.3E-2</v>
      </c>
      <c r="AK17" s="646">
        <f t="shared" si="10"/>
        <v>3501.1111111111113</v>
      </c>
      <c r="AL17" s="666">
        <f t="shared" si="0"/>
        <v>30000000</v>
      </c>
      <c r="AM17" s="667">
        <v>2.63E-2</v>
      </c>
      <c r="AN17" s="646">
        <f t="shared" si="11"/>
        <v>2191.6666666666665</v>
      </c>
      <c r="AO17" s="666"/>
      <c r="AP17" s="667"/>
      <c r="AQ17" s="646">
        <f t="shared" si="12"/>
        <v>0</v>
      </c>
      <c r="AR17" s="666"/>
      <c r="AS17" s="667"/>
      <c r="AT17" s="646">
        <f t="shared" si="13"/>
        <v>0</v>
      </c>
      <c r="AW17" s="646">
        <f t="shared" si="14"/>
        <v>0</v>
      </c>
      <c r="AZ17" s="646">
        <f t="shared" si="15"/>
        <v>0</v>
      </c>
      <c r="BC17" s="646">
        <f t="shared" si="16"/>
        <v>0</v>
      </c>
      <c r="BF17" s="646">
        <f t="shared" si="17"/>
        <v>0</v>
      </c>
      <c r="BI17" s="646">
        <f t="shared" si="18"/>
        <v>0</v>
      </c>
      <c r="BL17" s="646">
        <f t="shared" si="19"/>
        <v>0</v>
      </c>
      <c r="BO17" s="646">
        <f t="shared" si="20"/>
        <v>0</v>
      </c>
      <c r="BR17" s="646">
        <f t="shared" si="21"/>
        <v>0</v>
      </c>
      <c r="BU17" s="646">
        <f t="shared" si="22"/>
        <v>0</v>
      </c>
      <c r="BX17" s="646">
        <f t="shared" si="23"/>
        <v>0</v>
      </c>
      <c r="CA17" s="646">
        <f t="shared" si="24"/>
        <v>0</v>
      </c>
      <c r="CD17" s="646">
        <f t="shared" si="25"/>
        <v>0</v>
      </c>
      <c r="CG17" s="646">
        <f t="shared" si="26"/>
        <v>0</v>
      </c>
      <c r="CJ17" s="646">
        <f t="shared" si="27"/>
        <v>0</v>
      </c>
      <c r="CM17" s="646">
        <f t="shared" si="28"/>
        <v>0</v>
      </c>
      <c r="CP17" s="646">
        <f t="shared" si="29"/>
        <v>0</v>
      </c>
      <c r="CS17" s="646">
        <f t="shared" si="30"/>
        <v>0</v>
      </c>
      <c r="CV17" s="646">
        <f t="shared" si="31"/>
        <v>0</v>
      </c>
      <c r="CY17" s="646">
        <f t="shared" si="32"/>
        <v>0</v>
      </c>
      <c r="DB17" s="646">
        <f t="shared" si="33"/>
        <v>0</v>
      </c>
      <c r="DE17" s="646">
        <f t="shared" si="34"/>
        <v>0</v>
      </c>
      <c r="DH17" s="646">
        <f t="shared" si="35"/>
        <v>0</v>
      </c>
      <c r="DK17" s="646">
        <f t="shared" si="36"/>
        <v>0</v>
      </c>
      <c r="DN17" s="646">
        <f t="shared" si="37"/>
        <v>0</v>
      </c>
      <c r="DQ17" s="646">
        <f t="shared" si="38"/>
        <v>0</v>
      </c>
      <c r="DT17" s="646">
        <f t="shared" si="39"/>
        <v>0</v>
      </c>
      <c r="DW17" s="646">
        <f t="shared" si="40"/>
        <v>0</v>
      </c>
      <c r="DZ17" s="646"/>
      <c r="EA17" s="646"/>
      <c r="EB17" s="531">
        <f t="shared" si="41"/>
        <v>84800000</v>
      </c>
      <c r="EC17" s="531">
        <f t="shared" si="42"/>
        <v>0</v>
      </c>
      <c r="ED17" s="646">
        <f t="shared" si="43"/>
        <v>5692.7777777777774</v>
      </c>
      <c r="EE17" s="647">
        <f t="shared" si="44"/>
        <v>2.4167452830188677E-2</v>
      </c>
      <c r="EG17" s="531">
        <f t="shared" si="45"/>
        <v>0</v>
      </c>
      <c r="EH17" s="646">
        <f t="shared" si="46"/>
        <v>0</v>
      </c>
      <c r="EI17" s="647">
        <f t="shared" si="47"/>
        <v>0</v>
      </c>
      <c r="EJ17" s="647"/>
      <c r="EK17" s="531">
        <f t="shared" si="48"/>
        <v>84800000</v>
      </c>
      <c r="EL17" s="531">
        <f t="shared" si="49"/>
        <v>0</v>
      </c>
      <c r="EM17" s="531">
        <f t="shared" si="50"/>
        <v>5692.7777777777774</v>
      </c>
      <c r="EN17" s="647">
        <f t="shared" si="51"/>
        <v>2.4167452830188677E-2</v>
      </c>
      <c r="EP17" s="646"/>
    </row>
    <row r="18" spans="1:146">
      <c r="A18" s="665">
        <f t="shared" si="52"/>
        <v>43684</v>
      </c>
      <c r="D18" s="646">
        <f t="shared" si="1"/>
        <v>0</v>
      </c>
      <c r="G18" s="646">
        <f t="shared" si="2"/>
        <v>0</v>
      </c>
      <c r="J18" s="646">
        <f t="shared" si="3"/>
        <v>0</v>
      </c>
      <c r="M18" s="646">
        <f t="shared" si="4"/>
        <v>0</v>
      </c>
      <c r="P18" s="646">
        <f t="shared" si="5"/>
        <v>0</v>
      </c>
      <c r="S18" s="646">
        <f t="shared" si="6"/>
        <v>0</v>
      </c>
      <c r="V18" s="646">
        <f t="shared" si="7"/>
        <v>0</v>
      </c>
      <c r="Y18" s="646">
        <f t="shared" si="8"/>
        <v>0</v>
      </c>
      <c r="AB18" s="646">
        <f t="shared" si="9"/>
        <v>0</v>
      </c>
      <c r="AE18" s="646">
        <v>0</v>
      </c>
      <c r="AH18" s="646">
        <v>0</v>
      </c>
      <c r="AI18" s="666">
        <f>71325000</f>
        <v>71325000</v>
      </c>
      <c r="AJ18" s="667">
        <v>2.29E-2</v>
      </c>
      <c r="AK18" s="646">
        <f t="shared" si="10"/>
        <v>4537.0625</v>
      </c>
      <c r="AL18" s="666"/>
      <c r="AM18" s="667"/>
      <c r="AN18" s="646">
        <f t="shared" si="11"/>
        <v>0</v>
      </c>
      <c r="AO18" s="666"/>
      <c r="AP18" s="667"/>
      <c r="AQ18" s="646">
        <f t="shared" si="12"/>
        <v>0</v>
      </c>
      <c r="AR18" s="666"/>
      <c r="AS18" s="667"/>
      <c r="AT18" s="646">
        <f t="shared" si="13"/>
        <v>0</v>
      </c>
      <c r="AW18" s="646">
        <f t="shared" si="14"/>
        <v>0</v>
      </c>
      <c r="AZ18" s="646">
        <f t="shared" si="15"/>
        <v>0</v>
      </c>
      <c r="BC18" s="646">
        <f t="shared" si="16"/>
        <v>0</v>
      </c>
      <c r="BF18" s="646">
        <f t="shared" si="17"/>
        <v>0</v>
      </c>
      <c r="BI18" s="646">
        <f t="shared" si="18"/>
        <v>0</v>
      </c>
      <c r="BL18" s="646">
        <f t="shared" si="19"/>
        <v>0</v>
      </c>
      <c r="BO18" s="646">
        <f t="shared" si="20"/>
        <v>0</v>
      </c>
      <c r="BR18" s="646">
        <f t="shared" si="21"/>
        <v>0</v>
      </c>
      <c r="BU18" s="646">
        <f t="shared" si="22"/>
        <v>0</v>
      </c>
      <c r="BX18" s="646">
        <f t="shared" si="23"/>
        <v>0</v>
      </c>
      <c r="CA18" s="646">
        <f t="shared" si="24"/>
        <v>0</v>
      </c>
      <c r="CD18" s="646">
        <f t="shared" si="25"/>
        <v>0</v>
      </c>
      <c r="CG18" s="646">
        <f t="shared" si="26"/>
        <v>0</v>
      </c>
      <c r="CJ18" s="646">
        <f t="shared" si="27"/>
        <v>0</v>
      </c>
      <c r="CM18" s="646">
        <f t="shared" si="28"/>
        <v>0</v>
      </c>
      <c r="CP18" s="646">
        <f t="shared" si="29"/>
        <v>0</v>
      </c>
      <c r="CS18" s="646">
        <f t="shared" si="30"/>
        <v>0</v>
      </c>
      <c r="CV18" s="646">
        <f t="shared" si="31"/>
        <v>0</v>
      </c>
      <c r="CY18" s="646">
        <f t="shared" si="32"/>
        <v>0</v>
      </c>
      <c r="DB18" s="646">
        <f t="shared" si="33"/>
        <v>0</v>
      </c>
      <c r="DE18" s="646">
        <f t="shared" si="34"/>
        <v>0</v>
      </c>
      <c r="DH18" s="646">
        <f t="shared" si="35"/>
        <v>0</v>
      </c>
      <c r="DK18" s="646">
        <f t="shared" si="36"/>
        <v>0</v>
      </c>
      <c r="DN18" s="646">
        <f t="shared" si="37"/>
        <v>0</v>
      </c>
      <c r="DQ18" s="646">
        <f t="shared" si="38"/>
        <v>0</v>
      </c>
      <c r="DT18" s="646">
        <f t="shared" si="39"/>
        <v>0</v>
      </c>
      <c r="DW18" s="646">
        <f t="shared" si="40"/>
        <v>0</v>
      </c>
      <c r="DZ18" s="646"/>
      <c r="EA18" s="646"/>
      <c r="EB18" s="531">
        <f t="shared" si="41"/>
        <v>71325000</v>
      </c>
      <c r="EC18" s="531">
        <f t="shared" si="42"/>
        <v>0</v>
      </c>
      <c r="ED18" s="646">
        <f t="shared" si="43"/>
        <v>4537.0625</v>
      </c>
      <c r="EE18" s="647">
        <f t="shared" si="44"/>
        <v>2.29E-2</v>
      </c>
      <c r="EG18" s="531">
        <f t="shared" si="45"/>
        <v>0</v>
      </c>
      <c r="EH18" s="646">
        <f t="shared" si="46"/>
        <v>0</v>
      </c>
      <c r="EI18" s="647">
        <f t="shared" si="47"/>
        <v>0</v>
      </c>
      <c r="EJ18" s="647"/>
      <c r="EK18" s="531">
        <f t="shared" si="48"/>
        <v>71325000</v>
      </c>
      <c r="EL18" s="531">
        <f t="shared" si="49"/>
        <v>0</v>
      </c>
      <c r="EM18" s="531">
        <f t="shared" si="50"/>
        <v>4537.0625</v>
      </c>
      <c r="EN18" s="647">
        <f t="shared" si="51"/>
        <v>2.29E-2</v>
      </c>
      <c r="EP18" s="646"/>
    </row>
    <row r="19" spans="1:146">
      <c r="A19" s="665">
        <f t="shared" si="52"/>
        <v>43685</v>
      </c>
      <c r="D19" s="646">
        <f t="shared" si="1"/>
        <v>0</v>
      </c>
      <c r="G19" s="646">
        <f t="shared" si="2"/>
        <v>0</v>
      </c>
      <c r="J19" s="646">
        <f t="shared" si="3"/>
        <v>0</v>
      </c>
      <c r="M19" s="646">
        <f t="shared" si="4"/>
        <v>0</v>
      </c>
      <c r="P19" s="646">
        <f t="shared" si="5"/>
        <v>0</v>
      </c>
      <c r="S19" s="646">
        <f t="shared" si="6"/>
        <v>0</v>
      </c>
      <c r="V19" s="646">
        <f t="shared" si="7"/>
        <v>0</v>
      </c>
      <c r="Y19" s="646">
        <f t="shared" si="8"/>
        <v>0</v>
      </c>
      <c r="AB19" s="646">
        <f t="shared" si="9"/>
        <v>0</v>
      </c>
      <c r="AE19" s="646">
        <v>0</v>
      </c>
      <c r="AH19" s="646">
        <v>0</v>
      </c>
      <c r="AI19" s="666">
        <f>57925000</f>
        <v>57925000</v>
      </c>
      <c r="AJ19" s="667">
        <v>2.29E-2</v>
      </c>
      <c r="AK19" s="646">
        <f t="shared" si="10"/>
        <v>3684.6736111111113</v>
      </c>
      <c r="AL19" s="666"/>
      <c r="AM19" s="667"/>
      <c r="AN19" s="646">
        <f t="shared" si="11"/>
        <v>0</v>
      </c>
      <c r="AO19" s="666"/>
      <c r="AP19" s="667"/>
      <c r="AQ19" s="646">
        <f t="shared" si="12"/>
        <v>0</v>
      </c>
      <c r="AR19" s="666"/>
      <c r="AS19" s="667"/>
      <c r="AT19" s="646">
        <f t="shared" si="13"/>
        <v>0</v>
      </c>
      <c r="AW19" s="646">
        <f t="shared" si="14"/>
        <v>0</v>
      </c>
      <c r="AZ19" s="646">
        <f t="shared" si="15"/>
        <v>0</v>
      </c>
      <c r="BC19" s="646">
        <f t="shared" si="16"/>
        <v>0</v>
      </c>
      <c r="BF19" s="646">
        <f t="shared" si="17"/>
        <v>0</v>
      </c>
      <c r="BI19" s="646">
        <f t="shared" si="18"/>
        <v>0</v>
      </c>
      <c r="BL19" s="646">
        <f t="shared" si="19"/>
        <v>0</v>
      </c>
      <c r="BO19" s="646">
        <f t="shared" si="20"/>
        <v>0</v>
      </c>
      <c r="BR19" s="646">
        <f t="shared" si="21"/>
        <v>0</v>
      </c>
      <c r="BU19" s="646">
        <f t="shared" si="22"/>
        <v>0</v>
      </c>
      <c r="BX19" s="646">
        <f t="shared" si="23"/>
        <v>0</v>
      </c>
      <c r="CA19" s="646">
        <f t="shared" si="24"/>
        <v>0</v>
      </c>
      <c r="CD19" s="646">
        <f t="shared" si="25"/>
        <v>0</v>
      </c>
      <c r="CG19" s="646">
        <f t="shared" si="26"/>
        <v>0</v>
      </c>
      <c r="CJ19" s="646">
        <f t="shared" si="27"/>
        <v>0</v>
      </c>
      <c r="CM19" s="646">
        <f t="shared" si="28"/>
        <v>0</v>
      </c>
      <c r="CP19" s="646">
        <f t="shared" si="29"/>
        <v>0</v>
      </c>
      <c r="CS19" s="646">
        <f t="shared" si="30"/>
        <v>0</v>
      </c>
      <c r="CV19" s="646">
        <f t="shared" si="31"/>
        <v>0</v>
      </c>
      <c r="CY19" s="646">
        <f t="shared" si="32"/>
        <v>0</v>
      </c>
      <c r="DB19" s="646">
        <f t="shared" si="33"/>
        <v>0</v>
      </c>
      <c r="DE19" s="646">
        <f t="shared" si="34"/>
        <v>0</v>
      </c>
      <c r="DH19" s="646">
        <f t="shared" si="35"/>
        <v>0</v>
      </c>
      <c r="DK19" s="646">
        <f t="shared" si="36"/>
        <v>0</v>
      </c>
      <c r="DN19" s="646">
        <f t="shared" si="37"/>
        <v>0</v>
      </c>
      <c r="DQ19" s="646">
        <f t="shared" si="38"/>
        <v>0</v>
      </c>
      <c r="DT19" s="646">
        <f t="shared" si="39"/>
        <v>0</v>
      </c>
      <c r="DW19" s="646">
        <f t="shared" si="40"/>
        <v>0</v>
      </c>
      <c r="DZ19" s="646"/>
      <c r="EA19" s="646"/>
      <c r="EB19" s="531">
        <f t="shared" si="41"/>
        <v>57925000</v>
      </c>
      <c r="EC19" s="531">
        <f t="shared" si="42"/>
        <v>0</v>
      </c>
      <c r="ED19" s="646">
        <f t="shared" si="43"/>
        <v>3684.6736111111113</v>
      </c>
      <c r="EE19" s="647">
        <f t="shared" si="44"/>
        <v>2.29E-2</v>
      </c>
      <c r="EG19" s="531">
        <f t="shared" si="45"/>
        <v>0</v>
      </c>
      <c r="EH19" s="646">
        <f t="shared" si="46"/>
        <v>0</v>
      </c>
      <c r="EI19" s="647">
        <f t="shared" si="47"/>
        <v>0</v>
      </c>
      <c r="EJ19" s="647"/>
      <c r="EK19" s="531">
        <f t="shared" si="48"/>
        <v>57925000</v>
      </c>
      <c r="EL19" s="531">
        <f t="shared" si="49"/>
        <v>0</v>
      </c>
      <c r="EM19" s="531">
        <f t="shared" si="50"/>
        <v>3684.6736111111113</v>
      </c>
      <c r="EN19" s="647">
        <f t="shared" si="51"/>
        <v>2.29E-2</v>
      </c>
      <c r="EP19" s="646"/>
    </row>
    <row r="20" spans="1:146">
      <c r="A20" s="665">
        <f t="shared" si="52"/>
        <v>43686</v>
      </c>
      <c r="D20" s="646">
        <f t="shared" si="1"/>
        <v>0</v>
      </c>
      <c r="G20" s="646">
        <f t="shared" si="2"/>
        <v>0</v>
      </c>
      <c r="J20" s="646">
        <f t="shared" si="3"/>
        <v>0</v>
      </c>
      <c r="M20" s="646">
        <f t="shared" si="4"/>
        <v>0</v>
      </c>
      <c r="P20" s="646">
        <f t="shared" si="5"/>
        <v>0</v>
      </c>
      <c r="S20" s="646">
        <f t="shared" si="6"/>
        <v>0</v>
      </c>
      <c r="V20" s="646">
        <f t="shared" si="7"/>
        <v>0</v>
      </c>
      <c r="Y20" s="646">
        <f t="shared" si="8"/>
        <v>0</v>
      </c>
      <c r="AB20" s="646">
        <f t="shared" si="9"/>
        <v>0</v>
      </c>
      <c r="AE20" s="646">
        <v>0</v>
      </c>
      <c r="AH20" s="646">
        <v>0</v>
      </c>
      <c r="AI20" s="666">
        <f>57000000</f>
        <v>57000000</v>
      </c>
      <c r="AJ20" s="667">
        <v>2.29E-2</v>
      </c>
      <c r="AK20" s="646">
        <f t="shared" si="10"/>
        <v>3625.8333333333335</v>
      </c>
      <c r="AL20" s="666"/>
      <c r="AM20" s="667"/>
      <c r="AN20" s="646">
        <f t="shared" si="11"/>
        <v>0</v>
      </c>
      <c r="AO20" s="666"/>
      <c r="AP20" s="667"/>
      <c r="AQ20" s="646">
        <f t="shared" si="12"/>
        <v>0</v>
      </c>
      <c r="AR20" s="666"/>
      <c r="AS20" s="667"/>
      <c r="AT20" s="646">
        <f t="shared" si="13"/>
        <v>0</v>
      </c>
      <c r="AW20" s="646">
        <f t="shared" si="14"/>
        <v>0</v>
      </c>
      <c r="AZ20" s="646">
        <f t="shared" si="15"/>
        <v>0</v>
      </c>
      <c r="BC20" s="646">
        <f t="shared" si="16"/>
        <v>0</v>
      </c>
      <c r="BF20" s="646">
        <f t="shared" si="17"/>
        <v>0</v>
      </c>
      <c r="BI20" s="646">
        <f t="shared" si="18"/>
        <v>0</v>
      </c>
      <c r="BL20" s="646">
        <f t="shared" si="19"/>
        <v>0</v>
      </c>
      <c r="BO20" s="646">
        <f t="shared" si="20"/>
        <v>0</v>
      </c>
      <c r="BR20" s="646">
        <f t="shared" si="21"/>
        <v>0</v>
      </c>
      <c r="BU20" s="646">
        <f t="shared" si="22"/>
        <v>0</v>
      </c>
      <c r="BX20" s="646">
        <f t="shared" si="23"/>
        <v>0</v>
      </c>
      <c r="CA20" s="646">
        <f t="shared" si="24"/>
        <v>0</v>
      </c>
      <c r="CD20" s="646">
        <f t="shared" si="25"/>
        <v>0</v>
      </c>
      <c r="CG20" s="646">
        <f t="shared" si="26"/>
        <v>0</v>
      </c>
      <c r="CJ20" s="646">
        <f t="shared" si="27"/>
        <v>0</v>
      </c>
      <c r="CM20" s="646">
        <f t="shared" si="28"/>
        <v>0</v>
      </c>
      <c r="CP20" s="646">
        <f t="shared" si="29"/>
        <v>0</v>
      </c>
      <c r="CS20" s="646">
        <f t="shared" si="30"/>
        <v>0</v>
      </c>
      <c r="CV20" s="646">
        <f t="shared" si="31"/>
        <v>0</v>
      </c>
      <c r="CY20" s="646">
        <f t="shared" si="32"/>
        <v>0</v>
      </c>
      <c r="DB20" s="646">
        <f t="shared" si="33"/>
        <v>0</v>
      </c>
      <c r="DE20" s="646">
        <f t="shared" si="34"/>
        <v>0</v>
      </c>
      <c r="DH20" s="646">
        <f t="shared" si="35"/>
        <v>0</v>
      </c>
      <c r="DK20" s="646">
        <f t="shared" si="36"/>
        <v>0</v>
      </c>
      <c r="DN20" s="646">
        <f t="shared" si="37"/>
        <v>0</v>
      </c>
      <c r="DQ20" s="646">
        <f t="shared" si="38"/>
        <v>0</v>
      </c>
      <c r="DT20" s="646">
        <f t="shared" si="39"/>
        <v>0</v>
      </c>
      <c r="DW20" s="646">
        <f t="shared" si="40"/>
        <v>0</v>
      </c>
      <c r="DZ20" s="646"/>
      <c r="EA20" s="646"/>
      <c r="EB20" s="531">
        <f t="shared" si="41"/>
        <v>57000000</v>
      </c>
      <c r="EC20" s="531">
        <f t="shared" si="42"/>
        <v>0</v>
      </c>
      <c r="ED20" s="646">
        <f t="shared" si="43"/>
        <v>3625.8333333333335</v>
      </c>
      <c r="EE20" s="647">
        <f t="shared" si="44"/>
        <v>2.29E-2</v>
      </c>
      <c r="EG20" s="531">
        <f t="shared" si="45"/>
        <v>0</v>
      </c>
      <c r="EH20" s="646">
        <f t="shared" si="46"/>
        <v>0</v>
      </c>
      <c r="EI20" s="647">
        <f t="shared" si="47"/>
        <v>0</v>
      </c>
      <c r="EJ20" s="647"/>
      <c r="EK20" s="531">
        <f t="shared" si="48"/>
        <v>57000000</v>
      </c>
      <c r="EL20" s="531">
        <f t="shared" si="49"/>
        <v>0</v>
      </c>
      <c r="EM20" s="531">
        <f t="shared" si="50"/>
        <v>3625.8333333333335</v>
      </c>
      <c r="EN20" s="647">
        <f t="shared" si="51"/>
        <v>2.29E-2</v>
      </c>
      <c r="EP20" s="646"/>
    </row>
    <row r="21" spans="1:146">
      <c r="A21" s="665">
        <f t="shared" si="52"/>
        <v>43687</v>
      </c>
      <c r="D21" s="646">
        <f t="shared" si="1"/>
        <v>0</v>
      </c>
      <c r="G21" s="646">
        <f t="shared" si="2"/>
        <v>0</v>
      </c>
      <c r="J21" s="646">
        <f t="shared" si="3"/>
        <v>0</v>
      </c>
      <c r="M21" s="646">
        <f t="shared" si="4"/>
        <v>0</v>
      </c>
      <c r="P21" s="646">
        <f t="shared" si="5"/>
        <v>0</v>
      </c>
      <c r="S21" s="646">
        <f t="shared" si="6"/>
        <v>0</v>
      </c>
      <c r="V21" s="646">
        <f t="shared" si="7"/>
        <v>0</v>
      </c>
      <c r="Y21" s="646">
        <f t="shared" si="8"/>
        <v>0</v>
      </c>
      <c r="AB21" s="646">
        <f t="shared" si="9"/>
        <v>0</v>
      </c>
      <c r="AE21" s="646">
        <v>0</v>
      </c>
      <c r="AH21" s="646">
        <v>0</v>
      </c>
      <c r="AI21" s="666">
        <f>57000000</f>
        <v>57000000</v>
      </c>
      <c r="AJ21" s="667">
        <v>2.29E-2</v>
      </c>
      <c r="AK21" s="646">
        <f t="shared" si="10"/>
        <v>3625.8333333333335</v>
      </c>
      <c r="AL21" s="666"/>
      <c r="AM21" s="667"/>
      <c r="AN21" s="646">
        <f t="shared" si="11"/>
        <v>0</v>
      </c>
      <c r="AO21" s="666"/>
      <c r="AP21" s="667"/>
      <c r="AQ21" s="646">
        <f t="shared" si="12"/>
        <v>0</v>
      </c>
      <c r="AR21" s="666"/>
      <c r="AS21" s="667"/>
      <c r="AT21" s="646">
        <f t="shared" si="13"/>
        <v>0</v>
      </c>
      <c r="AW21" s="646">
        <f t="shared" si="14"/>
        <v>0</v>
      </c>
      <c r="AZ21" s="646">
        <f t="shared" si="15"/>
        <v>0</v>
      </c>
      <c r="BC21" s="646">
        <f t="shared" si="16"/>
        <v>0</v>
      </c>
      <c r="BF21" s="646">
        <f t="shared" si="17"/>
        <v>0</v>
      </c>
      <c r="BI21" s="646">
        <f t="shared" si="18"/>
        <v>0</v>
      </c>
      <c r="BL21" s="646">
        <f t="shared" si="19"/>
        <v>0</v>
      </c>
      <c r="BO21" s="646">
        <f t="shared" si="20"/>
        <v>0</v>
      </c>
      <c r="BR21" s="646">
        <f t="shared" si="21"/>
        <v>0</v>
      </c>
      <c r="BU21" s="646">
        <f t="shared" si="22"/>
        <v>0</v>
      </c>
      <c r="BX21" s="646">
        <f t="shared" si="23"/>
        <v>0</v>
      </c>
      <c r="CA21" s="646">
        <f t="shared" si="24"/>
        <v>0</v>
      </c>
      <c r="CD21" s="646">
        <f t="shared" si="25"/>
        <v>0</v>
      </c>
      <c r="CG21" s="646">
        <f t="shared" si="26"/>
        <v>0</v>
      </c>
      <c r="CJ21" s="646">
        <f t="shared" si="27"/>
        <v>0</v>
      </c>
      <c r="CM21" s="646">
        <f t="shared" si="28"/>
        <v>0</v>
      </c>
      <c r="CP21" s="646">
        <f t="shared" si="29"/>
        <v>0</v>
      </c>
      <c r="CS21" s="646">
        <f t="shared" si="30"/>
        <v>0</v>
      </c>
      <c r="CV21" s="646">
        <f t="shared" si="31"/>
        <v>0</v>
      </c>
      <c r="CY21" s="646">
        <f t="shared" si="32"/>
        <v>0</v>
      </c>
      <c r="DB21" s="646">
        <f t="shared" si="33"/>
        <v>0</v>
      </c>
      <c r="DE21" s="646">
        <f t="shared" si="34"/>
        <v>0</v>
      </c>
      <c r="DH21" s="646">
        <f t="shared" si="35"/>
        <v>0</v>
      </c>
      <c r="DK21" s="646">
        <f t="shared" si="36"/>
        <v>0</v>
      </c>
      <c r="DN21" s="646">
        <f t="shared" si="37"/>
        <v>0</v>
      </c>
      <c r="DQ21" s="646">
        <f t="shared" si="38"/>
        <v>0</v>
      </c>
      <c r="DT21" s="646">
        <f t="shared" si="39"/>
        <v>0</v>
      </c>
      <c r="DW21" s="646">
        <f t="shared" si="40"/>
        <v>0</v>
      </c>
      <c r="DZ21" s="646"/>
      <c r="EA21" s="646"/>
      <c r="EB21" s="531">
        <f t="shared" si="41"/>
        <v>57000000</v>
      </c>
      <c r="EC21" s="531">
        <f t="shared" si="42"/>
        <v>0</v>
      </c>
      <c r="ED21" s="646">
        <f t="shared" si="43"/>
        <v>3625.8333333333335</v>
      </c>
      <c r="EE21" s="647">
        <f t="shared" si="44"/>
        <v>2.29E-2</v>
      </c>
      <c r="EG21" s="531">
        <f t="shared" si="45"/>
        <v>0</v>
      </c>
      <c r="EH21" s="646">
        <f t="shared" si="46"/>
        <v>0</v>
      </c>
      <c r="EI21" s="647">
        <f t="shared" si="47"/>
        <v>0</v>
      </c>
      <c r="EJ21" s="647"/>
      <c r="EK21" s="531">
        <f t="shared" si="48"/>
        <v>57000000</v>
      </c>
      <c r="EL21" s="531">
        <f t="shared" si="49"/>
        <v>0</v>
      </c>
      <c r="EM21" s="531">
        <f t="shared" si="50"/>
        <v>3625.8333333333335</v>
      </c>
      <c r="EN21" s="647">
        <f t="shared" si="51"/>
        <v>2.29E-2</v>
      </c>
      <c r="EP21" s="646"/>
    </row>
    <row r="22" spans="1:146">
      <c r="A22" s="665">
        <f t="shared" si="52"/>
        <v>43688</v>
      </c>
      <c r="D22" s="646">
        <f t="shared" si="1"/>
        <v>0</v>
      </c>
      <c r="G22" s="646">
        <f t="shared" si="2"/>
        <v>0</v>
      </c>
      <c r="J22" s="646">
        <f t="shared" si="3"/>
        <v>0</v>
      </c>
      <c r="M22" s="646">
        <f t="shared" si="4"/>
        <v>0</v>
      </c>
      <c r="P22" s="646">
        <f t="shared" si="5"/>
        <v>0</v>
      </c>
      <c r="S22" s="646">
        <f t="shared" si="6"/>
        <v>0</v>
      </c>
      <c r="V22" s="646">
        <f t="shared" si="7"/>
        <v>0</v>
      </c>
      <c r="Y22" s="646">
        <f t="shared" si="8"/>
        <v>0</v>
      </c>
      <c r="AB22" s="646">
        <f t="shared" si="9"/>
        <v>0</v>
      </c>
      <c r="AE22" s="646">
        <v>0</v>
      </c>
      <c r="AH22" s="646">
        <v>0</v>
      </c>
      <c r="AI22" s="666">
        <f>57000000</f>
        <v>57000000</v>
      </c>
      <c r="AJ22" s="667">
        <v>2.29E-2</v>
      </c>
      <c r="AK22" s="646">
        <f t="shared" si="10"/>
        <v>3625.8333333333335</v>
      </c>
      <c r="AL22" s="666"/>
      <c r="AM22" s="667"/>
      <c r="AN22" s="646">
        <f t="shared" si="11"/>
        <v>0</v>
      </c>
      <c r="AO22" s="666"/>
      <c r="AP22" s="667"/>
      <c r="AQ22" s="646">
        <f t="shared" si="12"/>
        <v>0</v>
      </c>
      <c r="AR22" s="666"/>
      <c r="AS22" s="667"/>
      <c r="AT22" s="646">
        <f t="shared" si="13"/>
        <v>0</v>
      </c>
      <c r="AW22" s="646">
        <f t="shared" si="14"/>
        <v>0</v>
      </c>
      <c r="AZ22" s="646">
        <f t="shared" si="15"/>
        <v>0</v>
      </c>
      <c r="BC22" s="646">
        <f t="shared" si="16"/>
        <v>0</v>
      </c>
      <c r="BF22" s="646">
        <f t="shared" si="17"/>
        <v>0</v>
      </c>
      <c r="BI22" s="646">
        <f t="shared" si="18"/>
        <v>0</v>
      </c>
      <c r="BL22" s="646">
        <f t="shared" si="19"/>
        <v>0</v>
      </c>
      <c r="BO22" s="646">
        <f t="shared" si="20"/>
        <v>0</v>
      </c>
      <c r="BR22" s="646">
        <f t="shared" si="21"/>
        <v>0</v>
      </c>
      <c r="BU22" s="646">
        <f t="shared" si="22"/>
        <v>0</v>
      </c>
      <c r="BX22" s="646">
        <f t="shared" si="23"/>
        <v>0</v>
      </c>
      <c r="CA22" s="646">
        <f t="shared" si="24"/>
        <v>0</v>
      </c>
      <c r="CD22" s="646">
        <f t="shared" si="25"/>
        <v>0</v>
      </c>
      <c r="CG22" s="646">
        <f t="shared" si="26"/>
        <v>0</v>
      </c>
      <c r="CJ22" s="646">
        <f t="shared" si="27"/>
        <v>0</v>
      </c>
      <c r="CM22" s="646">
        <f t="shared" si="28"/>
        <v>0</v>
      </c>
      <c r="CP22" s="646">
        <f t="shared" si="29"/>
        <v>0</v>
      </c>
      <c r="CS22" s="646">
        <f t="shared" si="30"/>
        <v>0</v>
      </c>
      <c r="CV22" s="646">
        <f t="shared" si="31"/>
        <v>0</v>
      </c>
      <c r="CY22" s="646">
        <f t="shared" si="32"/>
        <v>0</v>
      </c>
      <c r="DB22" s="646">
        <f t="shared" si="33"/>
        <v>0</v>
      </c>
      <c r="DE22" s="646">
        <f t="shared" si="34"/>
        <v>0</v>
      </c>
      <c r="DH22" s="646">
        <f t="shared" si="35"/>
        <v>0</v>
      </c>
      <c r="DK22" s="646">
        <f t="shared" si="36"/>
        <v>0</v>
      </c>
      <c r="DN22" s="646">
        <f t="shared" si="37"/>
        <v>0</v>
      </c>
      <c r="DQ22" s="646">
        <f t="shared" si="38"/>
        <v>0</v>
      </c>
      <c r="DT22" s="646">
        <f t="shared" si="39"/>
        <v>0</v>
      </c>
      <c r="DW22" s="646">
        <f t="shared" si="40"/>
        <v>0</v>
      </c>
      <c r="DZ22" s="646"/>
      <c r="EA22" s="646"/>
      <c r="EB22" s="531">
        <f t="shared" si="41"/>
        <v>57000000</v>
      </c>
      <c r="EC22" s="531">
        <f t="shared" si="42"/>
        <v>0</v>
      </c>
      <c r="ED22" s="646">
        <f t="shared" si="43"/>
        <v>3625.8333333333335</v>
      </c>
      <c r="EE22" s="647">
        <f t="shared" si="44"/>
        <v>2.29E-2</v>
      </c>
      <c r="EG22" s="531">
        <f t="shared" si="45"/>
        <v>0</v>
      </c>
      <c r="EH22" s="646">
        <f t="shared" si="46"/>
        <v>0</v>
      </c>
      <c r="EI22" s="647">
        <f t="shared" si="47"/>
        <v>0</v>
      </c>
      <c r="EJ22" s="647"/>
      <c r="EK22" s="531">
        <f t="shared" si="48"/>
        <v>57000000</v>
      </c>
      <c r="EL22" s="531">
        <f t="shared" si="49"/>
        <v>0</v>
      </c>
      <c r="EM22" s="531">
        <f t="shared" si="50"/>
        <v>3625.8333333333335</v>
      </c>
      <c r="EN22" s="647">
        <f t="shared" si="51"/>
        <v>2.29E-2</v>
      </c>
      <c r="EP22" s="646"/>
    </row>
    <row r="23" spans="1:146">
      <c r="A23" s="665">
        <f t="shared" si="52"/>
        <v>43689</v>
      </c>
      <c r="D23" s="646">
        <f t="shared" si="1"/>
        <v>0</v>
      </c>
      <c r="G23" s="646">
        <f t="shared" si="2"/>
        <v>0</v>
      </c>
      <c r="J23" s="646">
        <f t="shared" si="3"/>
        <v>0</v>
      </c>
      <c r="M23" s="646">
        <f t="shared" si="4"/>
        <v>0</v>
      </c>
      <c r="P23" s="646">
        <f t="shared" si="5"/>
        <v>0</v>
      </c>
      <c r="S23" s="646">
        <f t="shared" si="6"/>
        <v>0</v>
      </c>
      <c r="V23" s="646">
        <f t="shared" si="7"/>
        <v>0</v>
      </c>
      <c r="Y23" s="646">
        <f t="shared" si="8"/>
        <v>0</v>
      </c>
      <c r="AB23" s="646">
        <f t="shared" si="9"/>
        <v>0</v>
      </c>
      <c r="AE23" s="646">
        <v>0</v>
      </c>
      <c r="AH23" s="646">
        <v>0</v>
      </c>
      <c r="AI23" s="666">
        <f>58575000</f>
        <v>58575000</v>
      </c>
      <c r="AJ23" s="667">
        <v>2.29E-2</v>
      </c>
      <c r="AK23" s="646">
        <f t="shared" si="10"/>
        <v>3726.0208333333335</v>
      </c>
      <c r="AL23" s="666"/>
      <c r="AM23" s="667"/>
      <c r="AN23" s="646">
        <f t="shared" si="11"/>
        <v>0</v>
      </c>
      <c r="AO23" s="666"/>
      <c r="AP23" s="667"/>
      <c r="AQ23" s="646">
        <f t="shared" si="12"/>
        <v>0</v>
      </c>
      <c r="AR23" s="666"/>
      <c r="AS23" s="667"/>
      <c r="AT23" s="646">
        <f t="shared" si="13"/>
        <v>0</v>
      </c>
      <c r="AW23" s="646">
        <f t="shared" si="14"/>
        <v>0</v>
      </c>
      <c r="AZ23" s="646">
        <f t="shared" si="15"/>
        <v>0</v>
      </c>
      <c r="BC23" s="646">
        <f t="shared" si="16"/>
        <v>0</v>
      </c>
      <c r="BF23" s="646">
        <f t="shared" si="17"/>
        <v>0</v>
      </c>
      <c r="BI23" s="646">
        <f t="shared" si="18"/>
        <v>0</v>
      </c>
      <c r="BL23" s="646">
        <f t="shared" si="19"/>
        <v>0</v>
      </c>
      <c r="BO23" s="646">
        <f t="shared" si="20"/>
        <v>0</v>
      </c>
      <c r="BR23" s="646">
        <f t="shared" si="21"/>
        <v>0</v>
      </c>
      <c r="BU23" s="646">
        <f t="shared" si="22"/>
        <v>0</v>
      </c>
      <c r="BX23" s="646">
        <f t="shared" si="23"/>
        <v>0</v>
      </c>
      <c r="CA23" s="646">
        <f t="shared" si="24"/>
        <v>0</v>
      </c>
      <c r="CD23" s="646">
        <f t="shared" si="25"/>
        <v>0</v>
      </c>
      <c r="CG23" s="646">
        <f t="shared" si="26"/>
        <v>0</v>
      </c>
      <c r="CJ23" s="646">
        <f t="shared" si="27"/>
        <v>0</v>
      </c>
      <c r="CM23" s="646">
        <f t="shared" si="28"/>
        <v>0</v>
      </c>
      <c r="CP23" s="646">
        <f t="shared" si="29"/>
        <v>0</v>
      </c>
      <c r="CS23" s="646">
        <f t="shared" si="30"/>
        <v>0</v>
      </c>
      <c r="CV23" s="646">
        <f t="shared" si="31"/>
        <v>0</v>
      </c>
      <c r="CY23" s="646">
        <f t="shared" si="32"/>
        <v>0</v>
      </c>
      <c r="DB23" s="646">
        <f t="shared" si="33"/>
        <v>0</v>
      </c>
      <c r="DE23" s="646">
        <f t="shared" si="34"/>
        <v>0</v>
      </c>
      <c r="DH23" s="646">
        <f t="shared" si="35"/>
        <v>0</v>
      </c>
      <c r="DK23" s="646">
        <f t="shared" si="36"/>
        <v>0</v>
      </c>
      <c r="DN23" s="646">
        <f t="shared" si="37"/>
        <v>0</v>
      </c>
      <c r="DQ23" s="646">
        <f t="shared" si="38"/>
        <v>0</v>
      </c>
      <c r="DT23" s="646">
        <f t="shared" si="39"/>
        <v>0</v>
      </c>
      <c r="DW23" s="646">
        <f t="shared" si="40"/>
        <v>0</v>
      </c>
      <c r="DZ23" s="646"/>
      <c r="EA23" s="646"/>
      <c r="EB23" s="531">
        <f t="shared" si="41"/>
        <v>58575000</v>
      </c>
      <c r="EC23" s="531">
        <f t="shared" si="42"/>
        <v>0</v>
      </c>
      <c r="ED23" s="646">
        <f t="shared" si="43"/>
        <v>3726.0208333333335</v>
      </c>
      <c r="EE23" s="647">
        <f t="shared" si="44"/>
        <v>2.29E-2</v>
      </c>
      <c r="EG23" s="531">
        <f t="shared" si="45"/>
        <v>0</v>
      </c>
      <c r="EH23" s="646">
        <f t="shared" si="46"/>
        <v>0</v>
      </c>
      <c r="EI23" s="647">
        <f t="shared" si="47"/>
        <v>0</v>
      </c>
      <c r="EJ23" s="647"/>
      <c r="EK23" s="531">
        <f t="shared" si="48"/>
        <v>58575000</v>
      </c>
      <c r="EL23" s="531">
        <f t="shared" si="49"/>
        <v>0</v>
      </c>
      <c r="EM23" s="531">
        <f t="shared" si="50"/>
        <v>3726.0208333333335</v>
      </c>
      <c r="EN23" s="647">
        <f t="shared" si="51"/>
        <v>2.29E-2</v>
      </c>
      <c r="EP23" s="646"/>
    </row>
    <row r="24" spans="1:146">
      <c r="A24" s="665">
        <f t="shared" si="52"/>
        <v>43690</v>
      </c>
      <c r="D24" s="646">
        <f t="shared" si="1"/>
        <v>0</v>
      </c>
      <c r="G24" s="646">
        <f t="shared" si="2"/>
        <v>0</v>
      </c>
      <c r="J24" s="646">
        <f t="shared" si="3"/>
        <v>0</v>
      </c>
      <c r="M24" s="646">
        <f t="shared" si="4"/>
        <v>0</v>
      </c>
      <c r="P24" s="646">
        <f t="shared" si="5"/>
        <v>0</v>
      </c>
      <c r="S24" s="646">
        <f t="shared" si="6"/>
        <v>0</v>
      </c>
      <c r="V24" s="646">
        <f t="shared" si="7"/>
        <v>0</v>
      </c>
      <c r="Y24" s="646">
        <f t="shared" si="8"/>
        <v>0</v>
      </c>
      <c r="AB24" s="646">
        <f t="shared" si="9"/>
        <v>0</v>
      </c>
      <c r="AE24" s="646">
        <v>0</v>
      </c>
      <c r="AH24" s="646">
        <v>0</v>
      </c>
      <c r="AI24" s="666">
        <f>47875000</f>
        <v>47875000</v>
      </c>
      <c r="AJ24" s="667">
        <v>2.29E-2</v>
      </c>
      <c r="AK24" s="646">
        <f t="shared" si="10"/>
        <v>3045.3819444444443</v>
      </c>
      <c r="AL24" s="666"/>
      <c r="AM24" s="667"/>
      <c r="AN24" s="646">
        <f t="shared" si="11"/>
        <v>0</v>
      </c>
      <c r="AO24" s="666"/>
      <c r="AP24" s="667"/>
      <c r="AQ24" s="646">
        <f t="shared" si="12"/>
        <v>0</v>
      </c>
      <c r="AR24" s="666"/>
      <c r="AS24" s="667"/>
      <c r="AT24" s="646">
        <f t="shared" si="13"/>
        <v>0</v>
      </c>
      <c r="AW24" s="646">
        <f t="shared" si="14"/>
        <v>0</v>
      </c>
      <c r="AZ24" s="646">
        <f t="shared" si="15"/>
        <v>0</v>
      </c>
      <c r="BC24" s="646">
        <f t="shared" si="16"/>
        <v>0</v>
      </c>
      <c r="BF24" s="646">
        <f t="shared" si="17"/>
        <v>0</v>
      </c>
      <c r="BI24" s="646">
        <f t="shared" si="18"/>
        <v>0</v>
      </c>
      <c r="BL24" s="646">
        <f t="shared" si="19"/>
        <v>0</v>
      </c>
      <c r="BO24" s="646">
        <f t="shared" si="20"/>
        <v>0</v>
      </c>
      <c r="BR24" s="646">
        <f t="shared" si="21"/>
        <v>0</v>
      </c>
      <c r="BU24" s="646">
        <f t="shared" si="22"/>
        <v>0</v>
      </c>
      <c r="BX24" s="646">
        <f t="shared" si="23"/>
        <v>0</v>
      </c>
      <c r="CA24" s="646">
        <f t="shared" si="24"/>
        <v>0</v>
      </c>
      <c r="CD24" s="646">
        <f t="shared" si="25"/>
        <v>0</v>
      </c>
      <c r="CG24" s="646">
        <f t="shared" si="26"/>
        <v>0</v>
      </c>
      <c r="CJ24" s="646">
        <f t="shared" si="27"/>
        <v>0</v>
      </c>
      <c r="CM24" s="646">
        <f t="shared" si="28"/>
        <v>0</v>
      </c>
      <c r="CP24" s="646">
        <f t="shared" si="29"/>
        <v>0</v>
      </c>
      <c r="CS24" s="646">
        <f t="shared" si="30"/>
        <v>0</v>
      </c>
      <c r="CV24" s="646">
        <f t="shared" si="31"/>
        <v>0</v>
      </c>
      <c r="CY24" s="646">
        <f t="shared" si="32"/>
        <v>0</v>
      </c>
      <c r="DB24" s="646">
        <f t="shared" si="33"/>
        <v>0</v>
      </c>
      <c r="DE24" s="646">
        <f t="shared" si="34"/>
        <v>0</v>
      </c>
      <c r="DH24" s="646">
        <f t="shared" si="35"/>
        <v>0</v>
      </c>
      <c r="DK24" s="646">
        <f t="shared" si="36"/>
        <v>0</v>
      </c>
      <c r="DN24" s="646">
        <f t="shared" si="37"/>
        <v>0</v>
      </c>
      <c r="DQ24" s="646">
        <f t="shared" si="38"/>
        <v>0</v>
      </c>
      <c r="DT24" s="646">
        <f t="shared" si="39"/>
        <v>0</v>
      </c>
      <c r="DW24" s="646">
        <f t="shared" si="40"/>
        <v>0</v>
      </c>
      <c r="DZ24" s="646"/>
      <c r="EA24" s="646"/>
      <c r="EB24" s="531">
        <f t="shared" si="41"/>
        <v>47875000</v>
      </c>
      <c r="EC24" s="531">
        <f t="shared" si="42"/>
        <v>0</v>
      </c>
      <c r="ED24" s="646">
        <f t="shared" si="43"/>
        <v>3045.3819444444443</v>
      </c>
      <c r="EE24" s="647">
        <f t="shared" si="44"/>
        <v>2.29E-2</v>
      </c>
      <c r="EG24" s="531">
        <f t="shared" si="45"/>
        <v>0</v>
      </c>
      <c r="EH24" s="646">
        <f t="shared" si="46"/>
        <v>0</v>
      </c>
      <c r="EI24" s="647">
        <f t="shared" si="47"/>
        <v>0</v>
      </c>
      <c r="EJ24" s="647"/>
      <c r="EK24" s="531">
        <f t="shared" si="48"/>
        <v>47875000</v>
      </c>
      <c r="EL24" s="531">
        <f t="shared" si="49"/>
        <v>0</v>
      </c>
      <c r="EM24" s="531">
        <f t="shared" si="50"/>
        <v>3045.3819444444443</v>
      </c>
      <c r="EN24" s="647">
        <f t="shared" si="51"/>
        <v>2.29E-2</v>
      </c>
      <c r="EP24" s="646"/>
    </row>
    <row r="25" spans="1:146">
      <c r="A25" s="665">
        <f t="shared" si="52"/>
        <v>43691</v>
      </c>
      <c r="D25" s="646">
        <f t="shared" si="1"/>
        <v>0</v>
      </c>
      <c r="G25" s="646">
        <f t="shared" si="2"/>
        <v>0</v>
      </c>
      <c r="J25" s="646">
        <f t="shared" si="3"/>
        <v>0</v>
      </c>
      <c r="M25" s="646">
        <f t="shared" si="4"/>
        <v>0</v>
      </c>
      <c r="P25" s="646">
        <f t="shared" si="5"/>
        <v>0</v>
      </c>
      <c r="S25" s="646">
        <f t="shared" si="6"/>
        <v>0</v>
      </c>
      <c r="V25" s="646">
        <f t="shared" si="7"/>
        <v>0</v>
      </c>
      <c r="Y25" s="646">
        <f t="shared" si="8"/>
        <v>0</v>
      </c>
      <c r="AB25" s="646">
        <f t="shared" si="9"/>
        <v>0</v>
      </c>
      <c r="AE25" s="646">
        <v>0</v>
      </c>
      <c r="AH25" s="646">
        <v>0</v>
      </c>
      <c r="AI25" s="666">
        <v>19875000</v>
      </c>
      <c r="AJ25" s="667">
        <v>2.29E-2</v>
      </c>
      <c r="AK25" s="646">
        <f t="shared" si="10"/>
        <v>1264.2708333333333</v>
      </c>
      <c r="AL25" s="666"/>
      <c r="AM25" s="667"/>
      <c r="AN25" s="646">
        <f t="shared" si="11"/>
        <v>0</v>
      </c>
      <c r="AO25" s="666"/>
      <c r="AP25" s="667"/>
      <c r="AQ25" s="646">
        <f t="shared" si="12"/>
        <v>0</v>
      </c>
      <c r="AR25" s="666"/>
      <c r="AS25" s="667"/>
      <c r="AT25" s="646">
        <f t="shared" si="13"/>
        <v>0</v>
      </c>
      <c r="AW25" s="646">
        <f t="shared" si="14"/>
        <v>0</v>
      </c>
      <c r="AZ25" s="646">
        <f t="shared" si="15"/>
        <v>0</v>
      </c>
      <c r="BC25" s="646">
        <f t="shared" si="16"/>
        <v>0</v>
      </c>
      <c r="BF25" s="646">
        <f t="shared" si="17"/>
        <v>0</v>
      </c>
      <c r="BI25" s="646">
        <f t="shared" si="18"/>
        <v>0</v>
      </c>
      <c r="BL25" s="646">
        <f t="shared" si="19"/>
        <v>0</v>
      </c>
      <c r="BO25" s="646">
        <f t="shared" si="20"/>
        <v>0</v>
      </c>
      <c r="BR25" s="646">
        <f t="shared" si="21"/>
        <v>0</v>
      </c>
      <c r="BU25" s="646">
        <f t="shared" si="22"/>
        <v>0</v>
      </c>
      <c r="BX25" s="646">
        <f t="shared" si="23"/>
        <v>0</v>
      </c>
      <c r="CA25" s="646">
        <f t="shared" si="24"/>
        <v>0</v>
      </c>
      <c r="CD25" s="646">
        <f t="shared" si="25"/>
        <v>0</v>
      </c>
      <c r="CG25" s="646">
        <f t="shared" si="26"/>
        <v>0</v>
      </c>
      <c r="CJ25" s="646">
        <f t="shared" si="27"/>
        <v>0</v>
      </c>
      <c r="CM25" s="646">
        <f t="shared" si="28"/>
        <v>0</v>
      </c>
      <c r="CP25" s="646">
        <f t="shared" si="29"/>
        <v>0</v>
      </c>
      <c r="CS25" s="646">
        <f t="shared" si="30"/>
        <v>0</v>
      </c>
      <c r="CV25" s="646">
        <f t="shared" si="31"/>
        <v>0</v>
      </c>
      <c r="CY25" s="646">
        <f t="shared" si="32"/>
        <v>0</v>
      </c>
      <c r="DB25" s="646">
        <f t="shared" si="33"/>
        <v>0</v>
      </c>
      <c r="DE25" s="646">
        <f t="shared" si="34"/>
        <v>0</v>
      </c>
      <c r="DH25" s="646">
        <f t="shared" si="35"/>
        <v>0</v>
      </c>
      <c r="DK25" s="646">
        <f t="shared" si="36"/>
        <v>0</v>
      </c>
      <c r="DN25" s="646">
        <f t="shared" si="37"/>
        <v>0</v>
      </c>
      <c r="DQ25" s="646">
        <f t="shared" si="38"/>
        <v>0</v>
      </c>
      <c r="DT25" s="646">
        <f t="shared" si="39"/>
        <v>0</v>
      </c>
      <c r="DW25" s="646">
        <f t="shared" si="40"/>
        <v>0</v>
      </c>
      <c r="DZ25" s="646"/>
      <c r="EA25" s="646"/>
      <c r="EB25" s="531">
        <f t="shared" si="41"/>
        <v>19875000</v>
      </c>
      <c r="EC25" s="531">
        <f t="shared" si="42"/>
        <v>0</v>
      </c>
      <c r="ED25" s="646">
        <f t="shared" si="43"/>
        <v>1264.2708333333333</v>
      </c>
      <c r="EE25" s="647">
        <f t="shared" si="44"/>
        <v>2.29E-2</v>
      </c>
      <c r="EG25" s="531">
        <f t="shared" si="45"/>
        <v>0</v>
      </c>
      <c r="EH25" s="646">
        <f t="shared" si="46"/>
        <v>0</v>
      </c>
      <c r="EI25" s="647">
        <f t="shared" si="47"/>
        <v>0</v>
      </c>
      <c r="EJ25" s="647"/>
      <c r="EK25" s="531">
        <f t="shared" si="48"/>
        <v>19875000</v>
      </c>
      <c r="EL25" s="531">
        <f t="shared" si="49"/>
        <v>0</v>
      </c>
      <c r="EM25" s="531">
        <f t="shared" si="50"/>
        <v>1264.2708333333333</v>
      </c>
      <c r="EN25" s="647">
        <f t="shared" si="51"/>
        <v>2.29E-2</v>
      </c>
      <c r="EP25" s="646"/>
    </row>
    <row r="26" spans="1:146">
      <c r="A26" s="665">
        <f t="shared" si="52"/>
        <v>43692</v>
      </c>
      <c r="D26" s="646">
        <f t="shared" si="1"/>
        <v>0</v>
      </c>
      <c r="G26" s="646">
        <f t="shared" si="2"/>
        <v>0</v>
      </c>
      <c r="J26" s="646">
        <f t="shared" si="3"/>
        <v>0</v>
      </c>
      <c r="M26" s="646">
        <f t="shared" si="4"/>
        <v>0</v>
      </c>
      <c r="P26" s="646">
        <f t="shared" si="5"/>
        <v>0</v>
      </c>
      <c r="S26" s="646">
        <f t="shared" si="6"/>
        <v>0</v>
      </c>
      <c r="V26" s="646">
        <f t="shared" si="7"/>
        <v>0</v>
      </c>
      <c r="Y26" s="646">
        <f t="shared" si="8"/>
        <v>0</v>
      </c>
      <c r="AB26" s="646">
        <f t="shared" si="9"/>
        <v>0</v>
      </c>
      <c r="AE26" s="646">
        <v>0</v>
      </c>
      <c r="AH26" s="646">
        <v>0</v>
      </c>
      <c r="AI26" s="666">
        <f>10225000+125000</f>
        <v>10350000</v>
      </c>
      <c r="AJ26" s="667">
        <v>2.29E-2</v>
      </c>
      <c r="AK26" s="646">
        <f t="shared" si="10"/>
        <v>658.375</v>
      </c>
      <c r="AL26" s="666"/>
      <c r="AM26" s="667"/>
      <c r="AN26" s="646">
        <f t="shared" si="11"/>
        <v>0</v>
      </c>
      <c r="AO26" s="666"/>
      <c r="AP26" s="667"/>
      <c r="AQ26" s="646">
        <f t="shared" si="12"/>
        <v>0</v>
      </c>
      <c r="AR26" s="666"/>
      <c r="AS26" s="667"/>
      <c r="AT26" s="646">
        <f t="shared" si="13"/>
        <v>0</v>
      </c>
      <c r="AW26" s="646">
        <f t="shared" si="14"/>
        <v>0</v>
      </c>
      <c r="AZ26" s="646">
        <f t="shared" si="15"/>
        <v>0</v>
      </c>
      <c r="BC26" s="646">
        <f t="shared" si="16"/>
        <v>0</v>
      </c>
      <c r="BF26" s="646">
        <f t="shared" si="17"/>
        <v>0</v>
      </c>
      <c r="BI26" s="646">
        <f t="shared" si="18"/>
        <v>0</v>
      </c>
      <c r="BL26" s="646">
        <f t="shared" si="19"/>
        <v>0</v>
      </c>
      <c r="BO26" s="646">
        <f t="shared" si="20"/>
        <v>0</v>
      </c>
      <c r="BR26" s="646">
        <f t="shared" si="21"/>
        <v>0</v>
      </c>
      <c r="BU26" s="646">
        <f t="shared" si="22"/>
        <v>0</v>
      </c>
      <c r="BX26" s="646">
        <f t="shared" si="23"/>
        <v>0</v>
      </c>
      <c r="CA26" s="646">
        <f t="shared" si="24"/>
        <v>0</v>
      </c>
      <c r="CD26" s="646">
        <f t="shared" si="25"/>
        <v>0</v>
      </c>
      <c r="CG26" s="646">
        <f t="shared" si="26"/>
        <v>0</v>
      </c>
      <c r="CJ26" s="646">
        <f t="shared" si="27"/>
        <v>0</v>
      </c>
      <c r="CM26" s="646">
        <f t="shared" si="28"/>
        <v>0</v>
      </c>
      <c r="CP26" s="646">
        <f t="shared" si="29"/>
        <v>0</v>
      </c>
      <c r="CS26" s="646">
        <f t="shared" si="30"/>
        <v>0</v>
      </c>
      <c r="CV26" s="646">
        <f t="shared" si="31"/>
        <v>0</v>
      </c>
      <c r="CY26" s="646">
        <f t="shared" si="32"/>
        <v>0</v>
      </c>
      <c r="DB26" s="646">
        <f t="shared" si="33"/>
        <v>0</v>
      </c>
      <c r="DE26" s="646">
        <f t="shared" si="34"/>
        <v>0</v>
      </c>
      <c r="DH26" s="646">
        <f t="shared" si="35"/>
        <v>0</v>
      </c>
      <c r="DK26" s="646">
        <f t="shared" si="36"/>
        <v>0</v>
      </c>
      <c r="DN26" s="646">
        <f t="shared" si="37"/>
        <v>0</v>
      </c>
      <c r="DQ26" s="646">
        <f t="shared" si="38"/>
        <v>0</v>
      </c>
      <c r="DT26" s="646">
        <f t="shared" si="39"/>
        <v>0</v>
      </c>
      <c r="DW26" s="646">
        <f t="shared" si="40"/>
        <v>0</v>
      </c>
      <c r="DZ26" s="646"/>
      <c r="EA26" s="646"/>
      <c r="EB26" s="531">
        <f t="shared" si="41"/>
        <v>10350000</v>
      </c>
      <c r="EC26" s="531">
        <f t="shared" si="42"/>
        <v>0</v>
      </c>
      <c r="ED26" s="646">
        <f t="shared" si="43"/>
        <v>658.375</v>
      </c>
      <c r="EE26" s="647">
        <f t="shared" si="44"/>
        <v>2.29E-2</v>
      </c>
      <c r="EG26" s="531">
        <f t="shared" si="45"/>
        <v>0</v>
      </c>
      <c r="EH26" s="646">
        <f t="shared" si="46"/>
        <v>0</v>
      </c>
      <c r="EI26" s="647">
        <f t="shared" si="47"/>
        <v>0</v>
      </c>
      <c r="EJ26" s="647"/>
      <c r="EK26" s="531">
        <f t="shared" si="48"/>
        <v>10350000</v>
      </c>
      <c r="EL26" s="531">
        <f t="shared" si="49"/>
        <v>0</v>
      </c>
      <c r="EM26" s="531">
        <f t="shared" si="50"/>
        <v>658.375</v>
      </c>
      <c r="EN26" s="647">
        <f t="shared" si="51"/>
        <v>2.29E-2</v>
      </c>
      <c r="EP26" s="646"/>
    </row>
    <row r="27" spans="1:146">
      <c r="A27" s="665">
        <f t="shared" si="52"/>
        <v>43693</v>
      </c>
      <c r="D27" s="646">
        <f t="shared" si="1"/>
        <v>0</v>
      </c>
      <c r="G27" s="646">
        <f t="shared" si="2"/>
        <v>0</v>
      </c>
      <c r="J27" s="646">
        <f t="shared" si="3"/>
        <v>0</v>
      </c>
      <c r="M27" s="646">
        <f t="shared" si="4"/>
        <v>0</v>
      </c>
      <c r="P27" s="646">
        <f t="shared" si="5"/>
        <v>0</v>
      </c>
      <c r="S27" s="646">
        <f t="shared" si="6"/>
        <v>0</v>
      </c>
      <c r="V27" s="646">
        <f t="shared" si="7"/>
        <v>0</v>
      </c>
      <c r="Y27" s="646">
        <f t="shared" si="8"/>
        <v>0</v>
      </c>
      <c r="AB27" s="646">
        <f t="shared" si="9"/>
        <v>0</v>
      </c>
      <c r="AE27" s="646">
        <v>0</v>
      </c>
      <c r="AH27" s="646">
        <v>0</v>
      </c>
      <c r="AI27" s="666"/>
      <c r="AJ27" s="667"/>
      <c r="AK27" s="646">
        <f t="shared" si="10"/>
        <v>0</v>
      </c>
      <c r="AL27" s="666"/>
      <c r="AM27" s="667"/>
      <c r="AN27" s="646">
        <f t="shared" si="11"/>
        <v>0</v>
      </c>
      <c r="AO27" s="666"/>
      <c r="AP27" s="667"/>
      <c r="AQ27" s="646">
        <f t="shared" si="12"/>
        <v>0</v>
      </c>
      <c r="AR27" s="666"/>
      <c r="AS27" s="667"/>
      <c r="AT27" s="646">
        <f t="shared" si="13"/>
        <v>0</v>
      </c>
      <c r="AW27" s="646">
        <f t="shared" si="14"/>
        <v>0</v>
      </c>
      <c r="AZ27" s="646">
        <f t="shared" si="15"/>
        <v>0</v>
      </c>
      <c r="BC27" s="646">
        <f t="shared" si="16"/>
        <v>0</v>
      </c>
      <c r="BF27" s="646">
        <f t="shared" si="17"/>
        <v>0</v>
      </c>
      <c r="BI27" s="646">
        <f t="shared" si="18"/>
        <v>0</v>
      </c>
      <c r="BL27" s="646">
        <f t="shared" si="19"/>
        <v>0</v>
      </c>
      <c r="BO27" s="646">
        <f t="shared" si="20"/>
        <v>0</v>
      </c>
      <c r="BR27" s="646">
        <f t="shared" si="21"/>
        <v>0</v>
      </c>
      <c r="BU27" s="646">
        <f t="shared" si="22"/>
        <v>0</v>
      </c>
      <c r="BX27" s="646">
        <f t="shared" si="23"/>
        <v>0</v>
      </c>
      <c r="CA27" s="646">
        <f t="shared" si="24"/>
        <v>0</v>
      </c>
      <c r="CD27" s="646">
        <f t="shared" si="25"/>
        <v>0</v>
      </c>
      <c r="CG27" s="646">
        <f t="shared" si="26"/>
        <v>0</v>
      </c>
      <c r="CJ27" s="646">
        <f t="shared" si="27"/>
        <v>0</v>
      </c>
      <c r="CM27" s="646">
        <f t="shared" si="28"/>
        <v>0</v>
      </c>
      <c r="CP27" s="646">
        <f t="shared" si="29"/>
        <v>0</v>
      </c>
      <c r="CS27" s="646">
        <f t="shared" si="30"/>
        <v>0</v>
      </c>
      <c r="CV27" s="646">
        <f t="shared" si="31"/>
        <v>0</v>
      </c>
      <c r="CY27" s="646">
        <f t="shared" si="32"/>
        <v>0</v>
      </c>
      <c r="DB27" s="646">
        <f t="shared" si="33"/>
        <v>0</v>
      </c>
      <c r="DE27" s="646">
        <f t="shared" si="34"/>
        <v>0</v>
      </c>
      <c r="DH27" s="646">
        <f t="shared" si="35"/>
        <v>0</v>
      </c>
      <c r="DK27" s="646">
        <f t="shared" si="36"/>
        <v>0</v>
      </c>
      <c r="DN27" s="646">
        <f t="shared" si="37"/>
        <v>0</v>
      </c>
      <c r="DQ27" s="646">
        <f t="shared" si="38"/>
        <v>0</v>
      </c>
      <c r="DT27" s="646">
        <f t="shared" si="39"/>
        <v>0</v>
      </c>
      <c r="DW27" s="646">
        <f t="shared" si="40"/>
        <v>0</v>
      </c>
      <c r="DZ27" s="646"/>
      <c r="EA27" s="646"/>
      <c r="EB27" s="531">
        <f t="shared" si="41"/>
        <v>0</v>
      </c>
      <c r="EC27" s="531">
        <f t="shared" si="42"/>
        <v>0</v>
      </c>
      <c r="ED27" s="646">
        <f t="shared" si="43"/>
        <v>0</v>
      </c>
      <c r="EE27" s="647">
        <f t="shared" si="44"/>
        <v>0</v>
      </c>
      <c r="EG27" s="531">
        <f t="shared" si="45"/>
        <v>0</v>
      </c>
      <c r="EH27" s="646">
        <f t="shared" si="46"/>
        <v>0</v>
      </c>
      <c r="EI27" s="647">
        <f t="shared" si="47"/>
        <v>0</v>
      </c>
      <c r="EJ27" s="647"/>
      <c r="EK27" s="531">
        <f t="shared" si="48"/>
        <v>0</v>
      </c>
      <c r="EL27" s="531">
        <f t="shared" si="49"/>
        <v>0</v>
      </c>
      <c r="EM27" s="531">
        <f t="shared" si="50"/>
        <v>0</v>
      </c>
      <c r="EN27" s="647">
        <f t="shared" si="51"/>
        <v>0</v>
      </c>
      <c r="EP27" s="646"/>
    </row>
    <row r="28" spans="1:146">
      <c r="A28" s="665">
        <f t="shared" si="52"/>
        <v>43694</v>
      </c>
      <c r="D28" s="646">
        <f t="shared" si="1"/>
        <v>0</v>
      </c>
      <c r="G28" s="646">
        <f t="shared" si="2"/>
        <v>0</v>
      </c>
      <c r="J28" s="646">
        <f t="shared" si="3"/>
        <v>0</v>
      </c>
      <c r="M28" s="646">
        <f t="shared" si="4"/>
        <v>0</v>
      </c>
      <c r="P28" s="646">
        <f t="shared" si="5"/>
        <v>0</v>
      </c>
      <c r="S28" s="646">
        <f t="shared" si="6"/>
        <v>0</v>
      </c>
      <c r="V28" s="646">
        <f t="shared" si="7"/>
        <v>0</v>
      </c>
      <c r="Y28" s="646">
        <f t="shared" si="8"/>
        <v>0</v>
      </c>
      <c r="AB28" s="646">
        <f t="shared" si="9"/>
        <v>0</v>
      </c>
      <c r="AE28" s="646">
        <v>0</v>
      </c>
      <c r="AH28" s="646">
        <v>0</v>
      </c>
      <c r="AI28" s="666"/>
      <c r="AJ28" s="667"/>
      <c r="AK28" s="646">
        <f t="shared" si="10"/>
        <v>0</v>
      </c>
      <c r="AL28" s="666"/>
      <c r="AM28" s="667"/>
      <c r="AN28" s="646">
        <f t="shared" si="11"/>
        <v>0</v>
      </c>
      <c r="AO28" s="666"/>
      <c r="AP28" s="667"/>
      <c r="AQ28" s="646">
        <f t="shared" si="12"/>
        <v>0</v>
      </c>
      <c r="AR28" s="666"/>
      <c r="AS28" s="667"/>
      <c r="AT28" s="646">
        <f t="shared" si="13"/>
        <v>0</v>
      </c>
      <c r="AW28" s="646">
        <f t="shared" si="14"/>
        <v>0</v>
      </c>
      <c r="AZ28" s="646">
        <f t="shared" si="15"/>
        <v>0</v>
      </c>
      <c r="BC28" s="646">
        <f t="shared" si="16"/>
        <v>0</v>
      </c>
      <c r="BF28" s="646">
        <f t="shared" si="17"/>
        <v>0</v>
      </c>
      <c r="BI28" s="646">
        <f t="shared" si="18"/>
        <v>0</v>
      </c>
      <c r="BL28" s="646">
        <f t="shared" si="19"/>
        <v>0</v>
      </c>
      <c r="BO28" s="646">
        <f t="shared" si="20"/>
        <v>0</v>
      </c>
      <c r="BR28" s="646">
        <f t="shared" si="21"/>
        <v>0</v>
      </c>
      <c r="BU28" s="646">
        <f t="shared" si="22"/>
        <v>0</v>
      </c>
      <c r="BX28" s="646">
        <f t="shared" si="23"/>
        <v>0</v>
      </c>
      <c r="CA28" s="646">
        <f t="shared" si="24"/>
        <v>0</v>
      </c>
      <c r="CD28" s="646">
        <f t="shared" si="25"/>
        <v>0</v>
      </c>
      <c r="CG28" s="646">
        <f t="shared" si="26"/>
        <v>0</v>
      </c>
      <c r="CJ28" s="646">
        <f t="shared" si="27"/>
        <v>0</v>
      </c>
      <c r="CM28" s="646">
        <f t="shared" si="28"/>
        <v>0</v>
      </c>
      <c r="CP28" s="646">
        <f t="shared" si="29"/>
        <v>0</v>
      </c>
      <c r="CS28" s="646">
        <f t="shared" si="30"/>
        <v>0</v>
      </c>
      <c r="CV28" s="646">
        <f t="shared" si="31"/>
        <v>0</v>
      </c>
      <c r="CY28" s="646">
        <f t="shared" si="32"/>
        <v>0</v>
      </c>
      <c r="DB28" s="646">
        <f t="shared" si="33"/>
        <v>0</v>
      </c>
      <c r="DE28" s="646">
        <f t="shared" si="34"/>
        <v>0</v>
      </c>
      <c r="DH28" s="646">
        <f t="shared" si="35"/>
        <v>0</v>
      </c>
      <c r="DK28" s="646">
        <f t="shared" si="36"/>
        <v>0</v>
      </c>
      <c r="DN28" s="646">
        <f t="shared" si="37"/>
        <v>0</v>
      </c>
      <c r="DQ28" s="646">
        <f t="shared" si="38"/>
        <v>0</v>
      </c>
      <c r="DT28" s="646">
        <f t="shared" si="39"/>
        <v>0</v>
      </c>
      <c r="DW28" s="646">
        <f t="shared" si="40"/>
        <v>0</v>
      </c>
      <c r="DZ28" s="646"/>
      <c r="EA28" s="646"/>
      <c r="EB28" s="531">
        <f t="shared" si="41"/>
        <v>0</v>
      </c>
      <c r="EC28" s="531">
        <f t="shared" si="42"/>
        <v>0</v>
      </c>
      <c r="ED28" s="646">
        <f t="shared" si="43"/>
        <v>0</v>
      </c>
      <c r="EE28" s="647">
        <f t="shared" si="44"/>
        <v>0</v>
      </c>
      <c r="EG28" s="531">
        <f t="shared" si="45"/>
        <v>0</v>
      </c>
      <c r="EH28" s="646">
        <f t="shared" si="46"/>
        <v>0</v>
      </c>
      <c r="EI28" s="647">
        <f t="shared" si="47"/>
        <v>0</v>
      </c>
      <c r="EJ28" s="647"/>
      <c r="EK28" s="531">
        <f t="shared" si="48"/>
        <v>0</v>
      </c>
      <c r="EL28" s="531">
        <f t="shared" si="49"/>
        <v>0</v>
      </c>
      <c r="EM28" s="531">
        <f t="shared" si="50"/>
        <v>0</v>
      </c>
      <c r="EN28" s="647">
        <f t="shared" si="51"/>
        <v>0</v>
      </c>
      <c r="EP28" s="646"/>
    </row>
    <row r="29" spans="1:146">
      <c r="A29" s="665">
        <f t="shared" si="52"/>
        <v>43695</v>
      </c>
      <c r="D29" s="646">
        <f t="shared" si="1"/>
        <v>0</v>
      </c>
      <c r="G29" s="646">
        <f t="shared" si="2"/>
        <v>0</v>
      </c>
      <c r="J29" s="646">
        <f t="shared" si="3"/>
        <v>0</v>
      </c>
      <c r="M29" s="646">
        <f t="shared" si="4"/>
        <v>0</v>
      </c>
      <c r="P29" s="646">
        <f t="shared" si="5"/>
        <v>0</v>
      </c>
      <c r="S29" s="646">
        <f t="shared" si="6"/>
        <v>0</v>
      </c>
      <c r="V29" s="646">
        <f t="shared" si="7"/>
        <v>0</v>
      </c>
      <c r="Y29" s="646">
        <f t="shared" si="8"/>
        <v>0</v>
      </c>
      <c r="AB29" s="646">
        <f t="shared" si="9"/>
        <v>0</v>
      </c>
      <c r="AE29" s="646">
        <v>0</v>
      </c>
      <c r="AH29" s="646">
        <v>0</v>
      </c>
      <c r="AI29" s="666"/>
      <c r="AJ29" s="667"/>
      <c r="AK29" s="646">
        <f t="shared" si="10"/>
        <v>0</v>
      </c>
      <c r="AL29" s="666"/>
      <c r="AM29" s="667"/>
      <c r="AN29" s="646">
        <f t="shared" si="11"/>
        <v>0</v>
      </c>
      <c r="AO29" s="666"/>
      <c r="AP29" s="667"/>
      <c r="AQ29" s="646">
        <f t="shared" si="12"/>
        <v>0</v>
      </c>
      <c r="AR29" s="666"/>
      <c r="AS29" s="667"/>
      <c r="AT29" s="646">
        <f t="shared" si="13"/>
        <v>0</v>
      </c>
      <c r="AW29" s="646">
        <f t="shared" si="14"/>
        <v>0</v>
      </c>
      <c r="AZ29" s="646">
        <f t="shared" si="15"/>
        <v>0</v>
      </c>
      <c r="BC29" s="646">
        <f t="shared" si="16"/>
        <v>0</v>
      </c>
      <c r="BF29" s="646">
        <f t="shared" si="17"/>
        <v>0</v>
      </c>
      <c r="BI29" s="646">
        <f t="shared" si="18"/>
        <v>0</v>
      </c>
      <c r="BL29" s="646">
        <f t="shared" si="19"/>
        <v>0</v>
      </c>
      <c r="BO29" s="646">
        <f t="shared" si="20"/>
        <v>0</v>
      </c>
      <c r="BR29" s="646">
        <f t="shared" si="21"/>
        <v>0</v>
      </c>
      <c r="BU29" s="646">
        <f t="shared" si="22"/>
        <v>0</v>
      </c>
      <c r="BX29" s="646">
        <f t="shared" si="23"/>
        <v>0</v>
      </c>
      <c r="CA29" s="646">
        <f t="shared" si="24"/>
        <v>0</v>
      </c>
      <c r="CD29" s="646">
        <f t="shared" si="25"/>
        <v>0</v>
      </c>
      <c r="CG29" s="646">
        <f t="shared" si="26"/>
        <v>0</v>
      </c>
      <c r="CJ29" s="646">
        <f t="shared" si="27"/>
        <v>0</v>
      </c>
      <c r="CM29" s="646">
        <f t="shared" si="28"/>
        <v>0</v>
      </c>
      <c r="CP29" s="646">
        <f t="shared" si="29"/>
        <v>0</v>
      </c>
      <c r="CS29" s="646">
        <f t="shared" si="30"/>
        <v>0</v>
      </c>
      <c r="CV29" s="646">
        <f t="shared" si="31"/>
        <v>0</v>
      </c>
      <c r="CY29" s="646">
        <f t="shared" si="32"/>
        <v>0</v>
      </c>
      <c r="DB29" s="646">
        <f t="shared" si="33"/>
        <v>0</v>
      </c>
      <c r="DE29" s="646">
        <f t="shared" si="34"/>
        <v>0</v>
      </c>
      <c r="DH29" s="646">
        <f t="shared" si="35"/>
        <v>0</v>
      </c>
      <c r="DK29" s="646">
        <f t="shared" si="36"/>
        <v>0</v>
      </c>
      <c r="DN29" s="646">
        <f t="shared" si="37"/>
        <v>0</v>
      </c>
      <c r="DQ29" s="646">
        <f t="shared" si="38"/>
        <v>0</v>
      </c>
      <c r="DT29" s="646">
        <f t="shared" si="39"/>
        <v>0</v>
      </c>
      <c r="DW29" s="646">
        <f t="shared" si="40"/>
        <v>0</v>
      </c>
      <c r="DZ29" s="646"/>
      <c r="EA29" s="646"/>
      <c r="EB29" s="531">
        <f t="shared" si="41"/>
        <v>0</v>
      </c>
      <c r="EC29" s="531">
        <f t="shared" si="42"/>
        <v>0</v>
      </c>
      <c r="ED29" s="646">
        <f t="shared" si="43"/>
        <v>0</v>
      </c>
      <c r="EE29" s="647">
        <f t="shared" si="44"/>
        <v>0</v>
      </c>
      <c r="EG29" s="531">
        <f t="shared" si="45"/>
        <v>0</v>
      </c>
      <c r="EH29" s="646">
        <f t="shared" si="46"/>
        <v>0</v>
      </c>
      <c r="EI29" s="647">
        <f t="shared" si="47"/>
        <v>0</v>
      </c>
      <c r="EJ29" s="647"/>
      <c r="EK29" s="531">
        <f t="shared" si="48"/>
        <v>0</v>
      </c>
      <c r="EL29" s="531">
        <f t="shared" si="49"/>
        <v>0</v>
      </c>
      <c r="EM29" s="531">
        <f t="shared" si="50"/>
        <v>0</v>
      </c>
      <c r="EN29" s="647">
        <f t="shared" si="51"/>
        <v>0</v>
      </c>
      <c r="EP29" s="646"/>
    </row>
    <row r="30" spans="1:146">
      <c r="A30" s="665">
        <f t="shared" si="52"/>
        <v>43696</v>
      </c>
      <c r="D30" s="646">
        <f t="shared" si="1"/>
        <v>0</v>
      </c>
      <c r="G30" s="646">
        <f t="shared" si="2"/>
        <v>0</v>
      </c>
      <c r="J30" s="646">
        <f t="shared" si="3"/>
        <v>0</v>
      </c>
      <c r="M30" s="646">
        <f t="shared" si="4"/>
        <v>0</v>
      </c>
      <c r="P30" s="646">
        <f t="shared" si="5"/>
        <v>0</v>
      </c>
      <c r="S30" s="646">
        <f t="shared" si="6"/>
        <v>0</v>
      </c>
      <c r="V30" s="646">
        <f t="shared" si="7"/>
        <v>0</v>
      </c>
      <c r="Y30" s="646">
        <f t="shared" si="8"/>
        <v>0</v>
      </c>
      <c r="AB30" s="646">
        <f t="shared" si="9"/>
        <v>0</v>
      </c>
      <c r="AE30" s="646">
        <v>0</v>
      </c>
      <c r="AH30" s="646">
        <v>0</v>
      </c>
      <c r="AI30" s="666"/>
      <c r="AJ30" s="667"/>
      <c r="AK30" s="646">
        <f t="shared" si="10"/>
        <v>0</v>
      </c>
      <c r="AL30" s="666"/>
      <c r="AM30" s="667"/>
      <c r="AN30" s="646">
        <f t="shared" si="11"/>
        <v>0</v>
      </c>
      <c r="AO30" s="666"/>
      <c r="AP30" s="667"/>
      <c r="AQ30" s="646">
        <f t="shared" si="12"/>
        <v>0</v>
      </c>
      <c r="AR30" s="666"/>
      <c r="AS30" s="667"/>
      <c r="AT30" s="646">
        <f t="shared" si="13"/>
        <v>0</v>
      </c>
      <c r="AW30" s="646">
        <f t="shared" si="14"/>
        <v>0</v>
      </c>
      <c r="AZ30" s="646">
        <f t="shared" si="15"/>
        <v>0</v>
      </c>
      <c r="BC30" s="646">
        <f t="shared" si="16"/>
        <v>0</v>
      </c>
      <c r="BF30" s="646">
        <f t="shared" si="17"/>
        <v>0</v>
      </c>
      <c r="BI30" s="646">
        <f t="shared" si="18"/>
        <v>0</v>
      </c>
      <c r="BL30" s="646">
        <f t="shared" si="19"/>
        <v>0</v>
      </c>
      <c r="BO30" s="646">
        <f t="shared" si="20"/>
        <v>0</v>
      </c>
      <c r="BR30" s="646">
        <f t="shared" si="21"/>
        <v>0</v>
      </c>
      <c r="BU30" s="646">
        <f t="shared" si="22"/>
        <v>0</v>
      </c>
      <c r="BX30" s="646">
        <f t="shared" si="23"/>
        <v>0</v>
      </c>
      <c r="CA30" s="646">
        <f t="shared" si="24"/>
        <v>0</v>
      </c>
      <c r="CD30" s="646">
        <f t="shared" si="25"/>
        <v>0</v>
      </c>
      <c r="CG30" s="646">
        <f t="shared" si="26"/>
        <v>0</v>
      </c>
      <c r="CJ30" s="646">
        <f t="shared" si="27"/>
        <v>0</v>
      </c>
      <c r="CM30" s="646">
        <f t="shared" si="28"/>
        <v>0</v>
      </c>
      <c r="CP30" s="646">
        <f t="shared" si="29"/>
        <v>0</v>
      </c>
      <c r="CS30" s="646">
        <f t="shared" si="30"/>
        <v>0</v>
      </c>
      <c r="CV30" s="646">
        <f t="shared" si="31"/>
        <v>0</v>
      </c>
      <c r="CY30" s="646">
        <f t="shared" si="32"/>
        <v>0</v>
      </c>
      <c r="DB30" s="646">
        <f t="shared" si="33"/>
        <v>0</v>
      </c>
      <c r="DE30" s="646">
        <f t="shared" si="34"/>
        <v>0</v>
      </c>
      <c r="DH30" s="646">
        <f t="shared" si="35"/>
        <v>0</v>
      </c>
      <c r="DK30" s="646">
        <f t="shared" si="36"/>
        <v>0</v>
      </c>
      <c r="DN30" s="646">
        <f t="shared" si="37"/>
        <v>0</v>
      </c>
      <c r="DQ30" s="646">
        <f t="shared" si="38"/>
        <v>0</v>
      </c>
      <c r="DT30" s="646">
        <f t="shared" si="39"/>
        <v>0</v>
      </c>
      <c r="DW30" s="646">
        <f t="shared" si="40"/>
        <v>0</v>
      </c>
      <c r="DZ30" s="646"/>
      <c r="EA30" s="646"/>
      <c r="EB30" s="531">
        <f t="shared" si="41"/>
        <v>0</v>
      </c>
      <c r="EC30" s="531">
        <f t="shared" si="42"/>
        <v>0</v>
      </c>
      <c r="ED30" s="646">
        <f t="shared" si="43"/>
        <v>0</v>
      </c>
      <c r="EE30" s="647">
        <f t="shared" si="44"/>
        <v>0</v>
      </c>
      <c r="EG30" s="531">
        <f t="shared" si="45"/>
        <v>0</v>
      </c>
      <c r="EH30" s="646">
        <f t="shared" si="46"/>
        <v>0</v>
      </c>
      <c r="EI30" s="647">
        <f t="shared" si="47"/>
        <v>0</v>
      </c>
      <c r="EJ30" s="647"/>
      <c r="EK30" s="531">
        <f t="shared" si="48"/>
        <v>0</v>
      </c>
      <c r="EL30" s="531">
        <f t="shared" si="49"/>
        <v>0</v>
      </c>
      <c r="EM30" s="531">
        <f t="shared" si="50"/>
        <v>0</v>
      </c>
      <c r="EN30" s="647">
        <f t="shared" si="51"/>
        <v>0</v>
      </c>
      <c r="EP30" s="646"/>
    </row>
    <row r="31" spans="1:146">
      <c r="A31" s="665">
        <f t="shared" si="52"/>
        <v>43697</v>
      </c>
      <c r="D31" s="646">
        <f t="shared" si="1"/>
        <v>0</v>
      </c>
      <c r="G31" s="646">
        <f t="shared" si="2"/>
        <v>0</v>
      </c>
      <c r="J31" s="646">
        <f t="shared" si="3"/>
        <v>0</v>
      </c>
      <c r="M31" s="646">
        <f t="shared" si="4"/>
        <v>0</v>
      </c>
      <c r="P31" s="646">
        <f t="shared" si="5"/>
        <v>0</v>
      </c>
      <c r="S31" s="646">
        <f t="shared" si="6"/>
        <v>0</v>
      </c>
      <c r="V31" s="646">
        <f t="shared" si="7"/>
        <v>0</v>
      </c>
      <c r="Y31" s="646">
        <f t="shared" si="8"/>
        <v>0</v>
      </c>
      <c r="AB31" s="646">
        <f t="shared" si="9"/>
        <v>0</v>
      </c>
      <c r="AE31" s="646">
        <v>0</v>
      </c>
      <c r="AH31" s="646">
        <v>0</v>
      </c>
      <c r="AI31" s="666"/>
      <c r="AJ31" s="667"/>
      <c r="AK31" s="646">
        <f t="shared" si="10"/>
        <v>0</v>
      </c>
      <c r="AL31" s="666"/>
      <c r="AM31" s="667"/>
      <c r="AN31" s="646">
        <f t="shared" si="11"/>
        <v>0</v>
      </c>
      <c r="AO31" s="666"/>
      <c r="AP31" s="667"/>
      <c r="AQ31" s="646">
        <f t="shared" si="12"/>
        <v>0</v>
      </c>
      <c r="AR31" s="666"/>
      <c r="AS31" s="667"/>
      <c r="AT31" s="646">
        <f t="shared" si="13"/>
        <v>0</v>
      </c>
      <c r="AW31" s="646">
        <f t="shared" si="14"/>
        <v>0</v>
      </c>
      <c r="AZ31" s="646">
        <f t="shared" si="15"/>
        <v>0</v>
      </c>
      <c r="BC31" s="646">
        <f t="shared" si="16"/>
        <v>0</v>
      </c>
      <c r="BF31" s="646">
        <f t="shared" si="17"/>
        <v>0</v>
      </c>
      <c r="BI31" s="646">
        <f t="shared" si="18"/>
        <v>0</v>
      </c>
      <c r="BL31" s="646">
        <f t="shared" si="19"/>
        <v>0</v>
      </c>
      <c r="BO31" s="646">
        <f t="shared" si="20"/>
        <v>0</v>
      </c>
      <c r="BR31" s="646">
        <f t="shared" si="21"/>
        <v>0</v>
      </c>
      <c r="BU31" s="646">
        <f t="shared" si="22"/>
        <v>0</v>
      </c>
      <c r="BX31" s="646">
        <f t="shared" si="23"/>
        <v>0</v>
      </c>
      <c r="CA31" s="646">
        <f t="shared" si="24"/>
        <v>0</v>
      </c>
      <c r="CD31" s="646">
        <f t="shared" si="25"/>
        <v>0</v>
      </c>
      <c r="CG31" s="646">
        <f t="shared" si="26"/>
        <v>0</v>
      </c>
      <c r="CJ31" s="646">
        <f t="shared" si="27"/>
        <v>0</v>
      </c>
      <c r="CM31" s="646">
        <f t="shared" si="28"/>
        <v>0</v>
      </c>
      <c r="CP31" s="646">
        <f t="shared" si="29"/>
        <v>0</v>
      </c>
      <c r="CS31" s="646">
        <f t="shared" si="30"/>
        <v>0</v>
      </c>
      <c r="CV31" s="646">
        <f t="shared" si="31"/>
        <v>0</v>
      </c>
      <c r="CY31" s="646">
        <f t="shared" si="32"/>
        <v>0</v>
      </c>
      <c r="DB31" s="646">
        <f t="shared" si="33"/>
        <v>0</v>
      </c>
      <c r="DE31" s="646">
        <f t="shared" si="34"/>
        <v>0</v>
      </c>
      <c r="DH31" s="646">
        <f t="shared" si="35"/>
        <v>0</v>
      </c>
      <c r="DK31" s="646">
        <f t="shared" si="36"/>
        <v>0</v>
      </c>
      <c r="DN31" s="646">
        <f t="shared" si="37"/>
        <v>0</v>
      </c>
      <c r="DQ31" s="646">
        <f t="shared" si="38"/>
        <v>0</v>
      </c>
      <c r="DT31" s="646">
        <f t="shared" si="39"/>
        <v>0</v>
      </c>
      <c r="DW31" s="646">
        <f t="shared" si="40"/>
        <v>0</v>
      </c>
      <c r="DZ31" s="646"/>
      <c r="EA31" s="646"/>
      <c r="EB31" s="531">
        <f t="shared" si="41"/>
        <v>0</v>
      </c>
      <c r="EC31" s="531">
        <f t="shared" si="42"/>
        <v>0</v>
      </c>
      <c r="ED31" s="646">
        <f t="shared" si="43"/>
        <v>0</v>
      </c>
      <c r="EE31" s="647">
        <f t="shared" si="44"/>
        <v>0</v>
      </c>
      <c r="EG31" s="531">
        <f t="shared" si="45"/>
        <v>0</v>
      </c>
      <c r="EH31" s="646">
        <f t="shared" si="46"/>
        <v>0</v>
      </c>
      <c r="EI31" s="647">
        <f t="shared" si="47"/>
        <v>0</v>
      </c>
      <c r="EJ31" s="647"/>
      <c r="EK31" s="531">
        <f t="shared" si="48"/>
        <v>0</v>
      </c>
      <c r="EL31" s="531">
        <f t="shared" si="49"/>
        <v>0</v>
      </c>
      <c r="EM31" s="531">
        <f t="shared" si="50"/>
        <v>0</v>
      </c>
      <c r="EN31" s="647">
        <f t="shared" si="51"/>
        <v>0</v>
      </c>
      <c r="EP31" s="646"/>
    </row>
    <row r="32" spans="1:146">
      <c r="A32" s="665">
        <f t="shared" si="52"/>
        <v>43698</v>
      </c>
      <c r="D32" s="646">
        <f t="shared" si="1"/>
        <v>0</v>
      </c>
      <c r="G32" s="646">
        <f t="shared" si="2"/>
        <v>0</v>
      </c>
      <c r="J32" s="646">
        <f t="shared" si="3"/>
        <v>0</v>
      </c>
      <c r="M32" s="646">
        <f t="shared" si="4"/>
        <v>0</v>
      </c>
      <c r="P32" s="646">
        <f t="shared" si="5"/>
        <v>0</v>
      </c>
      <c r="S32" s="646">
        <f t="shared" si="6"/>
        <v>0</v>
      </c>
      <c r="V32" s="646">
        <f t="shared" si="7"/>
        <v>0</v>
      </c>
      <c r="Y32" s="646">
        <f t="shared" si="8"/>
        <v>0</v>
      </c>
      <c r="AB32" s="646">
        <f t="shared" si="9"/>
        <v>0</v>
      </c>
      <c r="AE32" s="646">
        <v>0</v>
      </c>
      <c r="AH32" s="646">
        <v>0</v>
      </c>
      <c r="AI32" s="666"/>
      <c r="AJ32" s="667"/>
      <c r="AK32" s="646">
        <f t="shared" si="10"/>
        <v>0</v>
      </c>
      <c r="AL32" s="666"/>
      <c r="AM32" s="667"/>
      <c r="AN32" s="646">
        <f t="shared" si="11"/>
        <v>0</v>
      </c>
      <c r="AO32" s="666"/>
      <c r="AP32" s="667"/>
      <c r="AQ32" s="646">
        <f t="shared" si="12"/>
        <v>0</v>
      </c>
      <c r="AR32" s="666"/>
      <c r="AS32" s="667"/>
      <c r="AT32" s="646">
        <f t="shared" si="13"/>
        <v>0</v>
      </c>
      <c r="AW32" s="646">
        <f t="shared" si="14"/>
        <v>0</v>
      </c>
      <c r="AZ32" s="646">
        <f t="shared" si="15"/>
        <v>0</v>
      </c>
      <c r="BC32" s="646">
        <f t="shared" si="16"/>
        <v>0</v>
      </c>
      <c r="BF32" s="646">
        <f t="shared" si="17"/>
        <v>0</v>
      </c>
      <c r="BI32" s="646">
        <f t="shared" si="18"/>
        <v>0</v>
      </c>
      <c r="BL32" s="646">
        <f t="shared" si="19"/>
        <v>0</v>
      </c>
      <c r="BO32" s="646">
        <f t="shared" si="20"/>
        <v>0</v>
      </c>
      <c r="BR32" s="646">
        <f t="shared" si="21"/>
        <v>0</v>
      </c>
      <c r="BU32" s="646">
        <f t="shared" si="22"/>
        <v>0</v>
      </c>
      <c r="BX32" s="646">
        <f t="shared" si="23"/>
        <v>0</v>
      </c>
      <c r="CA32" s="646">
        <f t="shared" si="24"/>
        <v>0</v>
      </c>
      <c r="CD32" s="646">
        <f t="shared" si="25"/>
        <v>0</v>
      </c>
      <c r="CG32" s="646">
        <f t="shared" si="26"/>
        <v>0</v>
      </c>
      <c r="CJ32" s="646">
        <f t="shared" si="27"/>
        <v>0</v>
      </c>
      <c r="CM32" s="646">
        <f t="shared" si="28"/>
        <v>0</v>
      </c>
      <c r="CP32" s="646">
        <f t="shared" si="29"/>
        <v>0</v>
      </c>
      <c r="CS32" s="646">
        <f t="shared" si="30"/>
        <v>0</v>
      </c>
      <c r="CV32" s="646">
        <f t="shared" si="31"/>
        <v>0</v>
      </c>
      <c r="CY32" s="646">
        <f t="shared" si="32"/>
        <v>0</v>
      </c>
      <c r="DB32" s="646">
        <f t="shared" si="33"/>
        <v>0</v>
      </c>
      <c r="DE32" s="646">
        <f t="shared" si="34"/>
        <v>0</v>
      </c>
      <c r="DH32" s="646">
        <f t="shared" si="35"/>
        <v>0</v>
      </c>
      <c r="DK32" s="646">
        <f t="shared" si="36"/>
        <v>0</v>
      </c>
      <c r="DN32" s="646">
        <f t="shared" si="37"/>
        <v>0</v>
      </c>
      <c r="DQ32" s="646">
        <f t="shared" si="38"/>
        <v>0</v>
      </c>
      <c r="DT32" s="646">
        <f t="shared" si="39"/>
        <v>0</v>
      </c>
      <c r="DW32" s="646">
        <f t="shared" si="40"/>
        <v>0</v>
      </c>
      <c r="DZ32" s="646"/>
      <c r="EA32" s="646"/>
      <c r="EB32" s="531">
        <f t="shared" si="41"/>
        <v>0</v>
      </c>
      <c r="EC32" s="531">
        <f t="shared" si="42"/>
        <v>0</v>
      </c>
      <c r="ED32" s="646">
        <f t="shared" si="43"/>
        <v>0</v>
      </c>
      <c r="EE32" s="647">
        <f t="shared" si="44"/>
        <v>0</v>
      </c>
      <c r="EG32" s="531">
        <f t="shared" si="45"/>
        <v>0</v>
      </c>
      <c r="EH32" s="646">
        <f t="shared" si="46"/>
        <v>0</v>
      </c>
      <c r="EI32" s="647">
        <f t="shared" si="47"/>
        <v>0</v>
      </c>
      <c r="EJ32" s="647"/>
      <c r="EK32" s="531">
        <f t="shared" si="48"/>
        <v>0</v>
      </c>
      <c r="EL32" s="531">
        <f t="shared" si="49"/>
        <v>0</v>
      </c>
      <c r="EM32" s="531">
        <f t="shared" si="50"/>
        <v>0</v>
      </c>
      <c r="EN32" s="647">
        <f t="shared" si="51"/>
        <v>0</v>
      </c>
      <c r="EP32" s="646"/>
    </row>
    <row r="33" spans="1:146">
      <c r="A33" s="665">
        <f t="shared" si="52"/>
        <v>43699</v>
      </c>
      <c r="D33" s="646">
        <f t="shared" si="1"/>
        <v>0</v>
      </c>
      <c r="G33" s="646">
        <f t="shared" si="2"/>
        <v>0</v>
      </c>
      <c r="J33" s="646">
        <f t="shared" si="3"/>
        <v>0</v>
      </c>
      <c r="M33" s="646">
        <f t="shared" si="4"/>
        <v>0</v>
      </c>
      <c r="P33" s="646">
        <f t="shared" si="5"/>
        <v>0</v>
      </c>
      <c r="S33" s="646">
        <f t="shared" si="6"/>
        <v>0</v>
      </c>
      <c r="V33" s="646">
        <f t="shared" si="7"/>
        <v>0</v>
      </c>
      <c r="Y33" s="646">
        <f t="shared" si="8"/>
        <v>0</v>
      </c>
      <c r="AB33" s="646">
        <f t="shared" si="9"/>
        <v>0</v>
      </c>
      <c r="AE33" s="646">
        <v>0</v>
      </c>
      <c r="AH33" s="646">
        <v>0</v>
      </c>
      <c r="AI33" s="666"/>
      <c r="AJ33" s="667"/>
      <c r="AK33" s="646">
        <f t="shared" si="10"/>
        <v>0</v>
      </c>
      <c r="AL33" s="666"/>
      <c r="AM33" s="667"/>
      <c r="AN33" s="646">
        <f t="shared" si="11"/>
        <v>0</v>
      </c>
      <c r="AO33" s="666"/>
      <c r="AP33" s="667"/>
      <c r="AQ33" s="646">
        <f t="shared" si="12"/>
        <v>0</v>
      </c>
      <c r="AR33" s="666"/>
      <c r="AS33" s="667"/>
      <c r="AT33" s="646">
        <f t="shared" si="13"/>
        <v>0</v>
      </c>
      <c r="AW33" s="646">
        <f t="shared" si="14"/>
        <v>0</v>
      </c>
      <c r="AZ33" s="646">
        <f t="shared" si="15"/>
        <v>0</v>
      </c>
      <c r="BC33" s="646">
        <f t="shared" si="16"/>
        <v>0</v>
      </c>
      <c r="BF33" s="646">
        <f t="shared" si="17"/>
        <v>0</v>
      </c>
      <c r="BI33" s="646">
        <f t="shared" si="18"/>
        <v>0</v>
      </c>
      <c r="BL33" s="646">
        <f t="shared" si="19"/>
        <v>0</v>
      </c>
      <c r="BO33" s="646">
        <f t="shared" si="20"/>
        <v>0</v>
      </c>
      <c r="BR33" s="646">
        <f t="shared" si="21"/>
        <v>0</v>
      </c>
      <c r="BU33" s="646">
        <f t="shared" si="22"/>
        <v>0</v>
      </c>
      <c r="BX33" s="646">
        <f t="shared" si="23"/>
        <v>0</v>
      </c>
      <c r="CA33" s="646">
        <f t="shared" si="24"/>
        <v>0</v>
      </c>
      <c r="CD33" s="646">
        <f t="shared" si="25"/>
        <v>0</v>
      </c>
      <c r="CG33" s="646">
        <f t="shared" si="26"/>
        <v>0</v>
      </c>
      <c r="CJ33" s="646">
        <f t="shared" si="27"/>
        <v>0</v>
      </c>
      <c r="CM33" s="646">
        <f t="shared" si="28"/>
        <v>0</v>
      </c>
      <c r="CP33" s="646">
        <f t="shared" si="29"/>
        <v>0</v>
      </c>
      <c r="CS33" s="646">
        <f t="shared" si="30"/>
        <v>0</v>
      </c>
      <c r="CV33" s="646">
        <f t="shared" si="31"/>
        <v>0</v>
      </c>
      <c r="CY33" s="646">
        <f t="shared" si="32"/>
        <v>0</v>
      </c>
      <c r="DB33" s="646">
        <f t="shared" si="33"/>
        <v>0</v>
      </c>
      <c r="DE33" s="646">
        <f t="shared" si="34"/>
        <v>0</v>
      </c>
      <c r="DH33" s="646">
        <f t="shared" si="35"/>
        <v>0</v>
      </c>
      <c r="DK33" s="646">
        <f t="shared" si="36"/>
        <v>0</v>
      </c>
      <c r="DN33" s="646">
        <f t="shared" si="37"/>
        <v>0</v>
      </c>
      <c r="DQ33" s="646">
        <f t="shared" si="38"/>
        <v>0</v>
      </c>
      <c r="DT33" s="646">
        <f t="shared" si="39"/>
        <v>0</v>
      </c>
      <c r="DW33" s="646">
        <f t="shared" si="40"/>
        <v>0</v>
      </c>
      <c r="DZ33" s="646"/>
      <c r="EA33" s="646"/>
      <c r="EB33" s="531">
        <f t="shared" si="41"/>
        <v>0</v>
      </c>
      <c r="EC33" s="531">
        <f t="shared" si="42"/>
        <v>0</v>
      </c>
      <c r="ED33" s="646">
        <f t="shared" si="43"/>
        <v>0</v>
      </c>
      <c r="EE33" s="647">
        <f t="shared" si="44"/>
        <v>0</v>
      </c>
      <c r="EG33" s="531">
        <f t="shared" si="45"/>
        <v>0</v>
      </c>
      <c r="EH33" s="646">
        <f t="shared" si="46"/>
        <v>0</v>
      </c>
      <c r="EI33" s="647">
        <f t="shared" si="47"/>
        <v>0</v>
      </c>
      <c r="EJ33" s="647"/>
      <c r="EK33" s="531">
        <f t="shared" si="48"/>
        <v>0</v>
      </c>
      <c r="EL33" s="531">
        <f t="shared" si="49"/>
        <v>0</v>
      </c>
      <c r="EM33" s="531">
        <f t="shared" si="50"/>
        <v>0</v>
      </c>
      <c r="EN33" s="647">
        <f t="shared" si="51"/>
        <v>0</v>
      </c>
      <c r="EP33" s="646"/>
    </row>
    <row r="34" spans="1:146">
      <c r="A34" s="665">
        <f t="shared" si="52"/>
        <v>43700</v>
      </c>
      <c r="D34" s="646">
        <f t="shared" si="1"/>
        <v>0</v>
      </c>
      <c r="G34" s="646">
        <f t="shared" si="2"/>
        <v>0</v>
      </c>
      <c r="J34" s="646">
        <f t="shared" si="3"/>
        <v>0</v>
      </c>
      <c r="M34" s="646">
        <f t="shared" si="4"/>
        <v>0</v>
      </c>
      <c r="P34" s="646">
        <f t="shared" si="5"/>
        <v>0</v>
      </c>
      <c r="S34" s="646">
        <f t="shared" si="6"/>
        <v>0</v>
      </c>
      <c r="V34" s="646">
        <f t="shared" si="7"/>
        <v>0</v>
      </c>
      <c r="Y34" s="646">
        <f t="shared" si="8"/>
        <v>0</v>
      </c>
      <c r="AB34" s="646">
        <f t="shared" si="9"/>
        <v>0</v>
      </c>
      <c r="AE34" s="646">
        <v>0</v>
      </c>
      <c r="AH34" s="646">
        <v>0</v>
      </c>
      <c r="AI34" s="666"/>
      <c r="AJ34" s="667"/>
      <c r="AK34" s="646">
        <f t="shared" si="10"/>
        <v>0</v>
      </c>
      <c r="AL34" s="666"/>
      <c r="AM34" s="667"/>
      <c r="AN34" s="646">
        <f t="shared" si="11"/>
        <v>0</v>
      </c>
      <c r="AO34" s="666"/>
      <c r="AP34" s="667"/>
      <c r="AQ34" s="646">
        <f t="shared" si="12"/>
        <v>0</v>
      </c>
      <c r="AR34" s="666"/>
      <c r="AS34" s="667"/>
      <c r="AT34" s="646">
        <f t="shared" si="13"/>
        <v>0</v>
      </c>
      <c r="AW34" s="646">
        <f t="shared" si="14"/>
        <v>0</v>
      </c>
      <c r="AZ34" s="646">
        <f t="shared" si="15"/>
        <v>0</v>
      </c>
      <c r="BC34" s="646">
        <f t="shared" si="16"/>
        <v>0</v>
      </c>
      <c r="BF34" s="646">
        <f t="shared" si="17"/>
        <v>0</v>
      </c>
      <c r="BI34" s="646">
        <f t="shared" si="18"/>
        <v>0</v>
      </c>
      <c r="BL34" s="646">
        <f t="shared" si="19"/>
        <v>0</v>
      </c>
      <c r="BO34" s="646">
        <f t="shared" si="20"/>
        <v>0</v>
      </c>
      <c r="BR34" s="646">
        <f t="shared" si="21"/>
        <v>0</v>
      </c>
      <c r="BU34" s="646">
        <f t="shared" si="22"/>
        <v>0</v>
      </c>
      <c r="BX34" s="646">
        <f t="shared" si="23"/>
        <v>0</v>
      </c>
      <c r="CA34" s="646">
        <f t="shared" si="24"/>
        <v>0</v>
      </c>
      <c r="CD34" s="646">
        <f t="shared" si="25"/>
        <v>0</v>
      </c>
      <c r="CG34" s="646">
        <f t="shared" si="26"/>
        <v>0</v>
      </c>
      <c r="CJ34" s="646">
        <f t="shared" si="27"/>
        <v>0</v>
      </c>
      <c r="CM34" s="646">
        <f t="shared" si="28"/>
        <v>0</v>
      </c>
      <c r="CP34" s="646">
        <f t="shared" si="29"/>
        <v>0</v>
      </c>
      <c r="CS34" s="646">
        <f t="shared" si="30"/>
        <v>0</v>
      </c>
      <c r="CV34" s="646">
        <f t="shared" si="31"/>
        <v>0</v>
      </c>
      <c r="CY34" s="646">
        <f t="shared" si="32"/>
        <v>0</v>
      </c>
      <c r="DB34" s="646">
        <f t="shared" si="33"/>
        <v>0</v>
      </c>
      <c r="DE34" s="646">
        <f t="shared" si="34"/>
        <v>0</v>
      </c>
      <c r="DH34" s="646">
        <f t="shared" si="35"/>
        <v>0</v>
      </c>
      <c r="DK34" s="646">
        <f t="shared" si="36"/>
        <v>0</v>
      </c>
      <c r="DN34" s="646">
        <f t="shared" si="37"/>
        <v>0</v>
      </c>
      <c r="DQ34" s="646">
        <f t="shared" si="38"/>
        <v>0</v>
      </c>
      <c r="DT34" s="646">
        <f t="shared" si="39"/>
        <v>0</v>
      </c>
      <c r="DW34" s="646">
        <f t="shared" si="40"/>
        <v>0</v>
      </c>
      <c r="DZ34" s="646"/>
      <c r="EA34" s="646"/>
      <c r="EB34" s="531">
        <f t="shared" si="41"/>
        <v>0</v>
      </c>
      <c r="EC34" s="531">
        <f t="shared" si="42"/>
        <v>0</v>
      </c>
      <c r="ED34" s="646">
        <f t="shared" si="43"/>
        <v>0</v>
      </c>
      <c r="EE34" s="647">
        <f t="shared" si="44"/>
        <v>0</v>
      </c>
      <c r="EG34" s="531">
        <f t="shared" si="45"/>
        <v>0</v>
      </c>
      <c r="EH34" s="646">
        <f t="shared" si="46"/>
        <v>0</v>
      </c>
      <c r="EI34" s="647">
        <f t="shared" si="47"/>
        <v>0</v>
      </c>
      <c r="EJ34" s="647"/>
      <c r="EK34" s="531">
        <f t="shared" si="48"/>
        <v>0</v>
      </c>
      <c r="EL34" s="531">
        <f t="shared" si="49"/>
        <v>0</v>
      </c>
      <c r="EM34" s="531">
        <f t="shared" si="50"/>
        <v>0</v>
      </c>
      <c r="EN34" s="647">
        <f t="shared" si="51"/>
        <v>0</v>
      </c>
      <c r="EP34" s="646"/>
    </row>
    <row r="35" spans="1:146">
      <c r="A35" s="665">
        <f t="shared" si="52"/>
        <v>43701</v>
      </c>
      <c r="D35" s="646">
        <f t="shared" si="1"/>
        <v>0</v>
      </c>
      <c r="G35" s="646">
        <f t="shared" si="2"/>
        <v>0</v>
      </c>
      <c r="J35" s="646">
        <f t="shared" si="3"/>
        <v>0</v>
      </c>
      <c r="M35" s="646">
        <f t="shared" si="4"/>
        <v>0</v>
      </c>
      <c r="P35" s="646">
        <f t="shared" si="5"/>
        <v>0</v>
      </c>
      <c r="S35" s="646">
        <f t="shared" si="6"/>
        <v>0</v>
      </c>
      <c r="V35" s="646">
        <f t="shared" si="7"/>
        <v>0</v>
      </c>
      <c r="Y35" s="646">
        <f t="shared" si="8"/>
        <v>0</v>
      </c>
      <c r="AB35" s="646">
        <f t="shared" si="9"/>
        <v>0</v>
      </c>
      <c r="AE35" s="646">
        <v>0</v>
      </c>
      <c r="AH35" s="646">
        <v>0</v>
      </c>
      <c r="AI35" s="666"/>
      <c r="AJ35" s="667"/>
      <c r="AK35" s="646">
        <f t="shared" si="10"/>
        <v>0</v>
      </c>
      <c r="AL35" s="666"/>
      <c r="AM35" s="667"/>
      <c r="AN35" s="646">
        <f t="shared" si="11"/>
        <v>0</v>
      </c>
      <c r="AO35" s="666"/>
      <c r="AP35" s="667"/>
      <c r="AQ35" s="646">
        <f t="shared" si="12"/>
        <v>0</v>
      </c>
      <c r="AR35" s="666"/>
      <c r="AS35" s="667"/>
      <c r="AT35" s="646">
        <f t="shared" si="13"/>
        <v>0</v>
      </c>
      <c r="AW35" s="646">
        <f t="shared" si="14"/>
        <v>0</v>
      </c>
      <c r="AZ35" s="646">
        <f t="shared" si="15"/>
        <v>0</v>
      </c>
      <c r="BC35" s="646">
        <f t="shared" si="16"/>
        <v>0</v>
      </c>
      <c r="BF35" s="646">
        <f t="shared" si="17"/>
        <v>0</v>
      </c>
      <c r="BI35" s="646">
        <f t="shared" si="18"/>
        <v>0</v>
      </c>
      <c r="BL35" s="646">
        <f t="shared" si="19"/>
        <v>0</v>
      </c>
      <c r="BO35" s="646">
        <f t="shared" si="20"/>
        <v>0</v>
      </c>
      <c r="BR35" s="646">
        <f t="shared" si="21"/>
        <v>0</v>
      </c>
      <c r="BU35" s="646">
        <f t="shared" si="22"/>
        <v>0</v>
      </c>
      <c r="BX35" s="646">
        <f t="shared" si="23"/>
        <v>0</v>
      </c>
      <c r="CA35" s="646">
        <f t="shared" si="24"/>
        <v>0</v>
      </c>
      <c r="CD35" s="646">
        <f t="shared" si="25"/>
        <v>0</v>
      </c>
      <c r="CG35" s="646">
        <f t="shared" si="26"/>
        <v>0</v>
      </c>
      <c r="CJ35" s="646">
        <f t="shared" si="27"/>
        <v>0</v>
      </c>
      <c r="CM35" s="646">
        <f t="shared" si="28"/>
        <v>0</v>
      </c>
      <c r="CP35" s="646">
        <f t="shared" si="29"/>
        <v>0</v>
      </c>
      <c r="CS35" s="646">
        <f t="shared" si="30"/>
        <v>0</v>
      </c>
      <c r="CV35" s="646">
        <f t="shared" si="31"/>
        <v>0</v>
      </c>
      <c r="CY35" s="646">
        <f t="shared" si="32"/>
        <v>0</v>
      </c>
      <c r="DB35" s="646">
        <f t="shared" si="33"/>
        <v>0</v>
      </c>
      <c r="DE35" s="646">
        <f t="shared" si="34"/>
        <v>0</v>
      </c>
      <c r="DH35" s="646">
        <f t="shared" si="35"/>
        <v>0</v>
      </c>
      <c r="DK35" s="646">
        <f t="shared" si="36"/>
        <v>0</v>
      </c>
      <c r="DN35" s="646">
        <f t="shared" si="37"/>
        <v>0</v>
      </c>
      <c r="DQ35" s="646">
        <f t="shared" si="38"/>
        <v>0</v>
      </c>
      <c r="DT35" s="646">
        <f t="shared" si="39"/>
        <v>0</v>
      </c>
      <c r="DW35" s="646">
        <f t="shared" si="40"/>
        <v>0</v>
      </c>
      <c r="DZ35" s="646"/>
      <c r="EA35" s="646"/>
      <c r="EB35" s="531">
        <f t="shared" si="41"/>
        <v>0</v>
      </c>
      <c r="EC35" s="531">
        <f t="shared" si="42"/>
        <v>0</v>
      </c>
      <c r="ED35" s="646">
        <f t="shared" si="43"/>
        <v>0</v>
      </c>
      <c r="EE35" s="647">
        <f t="shared" si="44"/>
        <v>0</v>
      </c>
      <c r="EG35" s="531">
        <f t="shared" si="45"/>
        <v>0</v>
      </c>
      <c r="EH35" s="646">
        <f t="shared" si="46"/>
        <v>0</v>
      </c>
      <c r="EI35" s="647">
        <f t="shared" si="47"/>
        <v>0</v>
      </c>
      <c r="EJ35" s="647"/>
      <c r="EK35" s="531">
        <f t="shared" si="48"/>
        <v>0</v>
      </c>
      <c r="EL35" s="531">
        <f t="shared" si="49"/>
        <v>0</v>
      </c>
      <c r="EM35" s="531">
        <f t="shared" si="50"/>
        <v>0</v>
      </c>
      <c r="EN35" s="647">
        <f t="shared" si="51"/>
        <v>0</v>
      </c>
      <c r="EP35" s="646"/>
    </row>
    <row r="36" spans="1:146">
      <c r="A36" s="665">
        <f t="shared" si="52"/>
        <v>43702</v>
      </c>
      <c r="D36" s="646">
        <f t="shared" si="1"/>
        <v>0</v>
      </c>
      <c r="G36" s="646">
        <f t="shared" si="2"/>
        <v>0</v>
      </c>
      <c r="J36" s="646">
        <f t="shared" si="3"/>
        <v>0</v>
      </c>
      <c r="M36" s="646">
        <f t="shared" si="4"/>
        <v>0</v>
      </c>
      <c r="P36" s="646">
        <f t="shared" si="5"/>
        <v>0</v>
      </c>
      <c r="S36" s="646">
        <f t="shared" si="6"/>
        <v>0</v>
      </c>
      <c r="V36" s="646">
        <f t="shared" si="7"/>
        <v>0</v>
      </c>
      <c r="Y36" s="646">
        <f t="shared" si="8"/>
        <v>0</v>
      </c>
      <c r="AB36" s="646">
        <f t="shared" si="9"/>
        <v>0</v>
      </c>
      <c r="AE36" s="646">
        <v>0</v>
      </c>
      <c r="AH36" s="646">
        <v>0</v>
      </c>
      <c r="AI36" s="666"/>
      <c r="AJ36" s="667"/>
      <c r="AK36" s="646">
        <f t="shared" si="10"/>
        <v>0</v>
      </c>
      <c r="AL36" s="666"/>
      <c r="AM36" s="667"/>
      <c r="AN36" s="646">
        <f t="shared" si="11"/>
        <v>0</v>
      </c>
      <c r="AO36" s="666"/>
      <c r="AP36" s="667"/>
      <c r="AQ36" s="646">
        <f t="shared" si="12"/>
        <v>0</v>
      </c>
      <c r="AR36" s="666"/>
      <c r="AS36" s="667"/>
      <c r="AT36" s="646">
        <f t="shared" si="13"/>
        <v>0</v>
      </c>
      <c r="AW36" s="646">
        <f t="shared" si="14"/>
        <v>0</v>
      </c>
      <c r="AZ36" s="646">
        <f t="shared" si="15"/>
        <v>0</v>
      </c>
      <c r="BC36" s="646">
        <f t="shared" si="16"/>
        <v>0</v>
      </c>
      <c r="BF36" s="646">
        <f t="shared" si="17"/>
        <v>0</v>
      </c>
      <c r="BI36" s="646">
        <f t="shared" si="18"/>
        <v>0</v>
      </c>
      <c r="BL36" s="646">
        <f t="shared" si="19"/>
        <v>0</v>
      </c>
      <c r="BO36" s="646">
        <f t="shared" si="20"/>
        <v>0</v>
      </c>
      <c r="BR36" s="646">
        <f t="shared" si="21"/>
        <v>0</v>
      </c>
      <c r="BU36" s="646">
        <f t="shared" si="22"/>
        <v>0</v>
      </c>
      <c r="BX36" s="646">
        <f t="shared" si="23"/>
        <v>0</v>
      </c>
      <c r="CA36" s="646">
        <f t="shared" si="24"/>
        <v>0</v>
      </c>
      <c r="CD36" s="646">
        <f t="shared" si="25"/>
        <v>0</v>
      </c>
      <c r="CG36" s="646">
        <f t="shared" si="26"/>
        <v>0</v>
      </c>
      <c r="CJ36" s="646">
        <f t="shared" si="27"/>
        <v>0</v>
      </c>
      <c r="CM36" s="646">
        <f t="shared" si="28"/>
        <v>0</v>
      </c>
      <c r="CP36" s="646">
        <f t="shared" si="29"/>
        <v>0</v>
      </c>
      <c r="CS36" s="646">
        <f t="shared" si="30"/>
        <v>0</v>
      </c>
      <c r="CV36" s="646">
        <f t="shared" si="31"/>
        <v>0</v>
      </c>
      <c r="CY36" s="646">
        <f t="shared" si="32"/>
        <v>0</v>
      </c>
      <c r="DB36" s="646">
        <f t="shared" si="33"/>
        <v>0</v>
      </c>
      <c r="DE36" s="646">
        <f t="shared" si="34"/>
        <v>0</v>
      </c>
      <c r="DH36" s="646">
        <f t="shared" si="35"/>
        <v>0</v>
      </c>
      <c r="DK36" s="646">
        <f t="shared" si="36"/>
        <v>0</v>
      </c>
      <c r="DN36" s="646">
        <f t="shared" si="37"/>
        <v>0</v>
      </c>
      <c r="DQ36" s="646">
        <f t="shared" si="38"/>
        <v>0</v>
      </c>
      <c r="DT36" s="646">
        <f t="shared" si="39"/>
        <v>0</v>
      </c>
      <c r="DW36" s="646">
        <f t="shared" si="40"/>
        <v>0</v>
      </c>
      <c r="DZ36" s="646"/>
      <c r="EA36" s="646"/>
      <c r="EB36" s="531">
        <f t="shared" si="41"/>
        <v>0</v>
      </c>
      <c r="EC36" s="531">
        <f t="shared" si="42"/>
        <v>0</v>
      </c>
      <c r="ED36" s="646">
        <f t="shared" si="43"/>
        <v>0</v>
      </c>
      <c r="EE36" s="647">
        <f t="shared" si="44"/>
        <v>0</v>
      </c>
      <c r="EG36" s="531">
        <f t="shared" si="45"/>
        <v>0</v>
      </c>
      <c r="EH36" s="646">
        <f t="shared" si="46"/>
        <v>0</v>
      </c>
      <c r="EI36" s="647">
        <f t="shared" si="47"/>
        <v>0</v>
      </c>
      <c r="EJ36" s="647"/>
      <c r="EK36" s="531">
        <f t="shared" si="48"/>
        <v>0</v>
      </c>
      <c r="EL36" s="531">
        <f t="shared" si="49"/>
        <v>0</v>
      </c>
      <c r="EM36" s="531">
        <f t="shared" si="50"/>
        <v>0</v>
      </c>
      <c r="EN36" s="647">
        <f t="shared" si="51"/>
        <v>0</v>
      </c>
      <c r="EP36" s="646"/>
    </row>
    <row r="37" spans="1:146">
      <c r="A37" s="665">
        <f t="shared" si="52"/>
        <v>43703</v>
      </c>
      <c r="D37" s="646">
        <f t="shared" si="1"/>
        <v>0</v>
      </c>
      <c r="G37" s="646">
        <f t="shared" si="2"/>
        <v>0</v>
      </c>
      <c r="J37" s="646">
        <f t="shared" si="3"/>
        <v>0</v>
      </c>
      <c r="M37" s="646">
        <f t="shared" si="4"/>
        <v>0</v>
      </c>
      <c r="P37" s="646">
        <f t="shared" si="5"/>
        <v>0</v>
      </c>
      <c r="S37" s="646">
        <f t="shared" si="6"/>
        <v>0</v>
      </c>
      <c r="V37" s="646">
        <f t="shared" si="7"/>
        <v>0</v>
      </c>
      <c r="Y37" s="646">
        <f t="shared" si="8"/>
        <v>0</v>
      </c>
      <c r="AB37" s="646">
        <f t="shared" si="9"/>
        <v>0</v>
      </c>
      <c r="AE37" s="646">
        <v>0</v>
      </c>
      <c r="AH37" s="646">
        <v>0</v>
      </c>
      <c r="AI37" s="666"/>
      <c r="AJ37" s="667"/>
      <c r="AK37" s="646">
        <f t="shared" si="10"/>
        <v>0</v>
      </c>
      <c r="AL37" s="666"/>
      <c r="AM37" s="667"/>
      <c r="AN37" s="646">
        <f t="shared" si="11"/>
        <v>0</v>
      </c>
      <c r="AO37" s="666"/>
      <c r="AP37" s="667"/>
      <c r="AQ37" s="646">
        <f t="shared" si="12"/>
        <v>0</v>
      </c>
      <c r="AR37" s="666"/>
      <c r="AS37" s="667"/>
      <c r="AT37" s="646">
        <f t="shared" si="13"/>
        <v>0</v>
      </c>
      <c r="AW37" s="646">
        <f t="shared" si="14"/>
        <v>0</v>
      </c>
      <c r="AZ37" s="646">
        <f t="shared" si="15"/>
        <v>0</v>
      </c>
      <c r="BC37" s="646">
        <f t="shared" si="16"/>
        <v>0</v>
      </c>
      <c r="BF37" s="646">
        <f t="shared" si="17"/>
        <v>0</v>
      </c>
      <c r="BI37" s="646">
        <f t="shared" si="18"/>
        <v>0</v>
      </c>
      <c r="BL37" s="646">
        <f t="shared" si="19"/>
        <v>0</v>
      </c>
      <c r="BO37" s="646">
        <f t="shared" si="20"/>
        <v>0</v>
      </c>
      <c r="BR37" s="646">
        <f t="shared" si="21"/>
        <v>0</v>
      </c>
      <c r="BU37" s="646">
        <f t="shared" si="22"/>
        <v>0</v>
      </c>
      <c r="BX37" s="646">
        <f t="shared" si="23"/>
        <v>0</v>
      </c>
      <c r="CA37" s="646">
        <f t="shared" si="24"/>
        <v>0</v>
      </c>
      <c r="CD37" s="646">
        <f t="shared" si="25"/>
        <v>0</v>
      </c>
      <c r="CG37" s="646">
        <f t="shared" si="26"/>
        <v>0</v>
      </c>
      <c r="CJ37" s="646">
        <f t="shared" si="27"/>
        <v>0</v>
      </c>
      <c r="CM37" s="646">
        <f t="shared" si="28"/>
        <v>0</v>
      </c>
      <c r="CP37" s="646">
        <f t="shared" si="29"/>
        <v>0</v>
      </c>
      <c r="CS37" s="646">
        <f t="shared" si="30"/>
        <v>0</v>
      </c>
      <c r="CV37" s="646">
        <f t="shared" si="31"/>
        <v>0</v>
      </c>
      <c r="CY37" s="646">
        <f t="shared" si="32"/>
        <v>0</v>
      </c>
      <c r="DB37" s="646">
        <f t="shared" si="33"/>
        <v>0</v>
      </c>
      <c r="DE37" s="646">
        <f t="shared" si="34"/>
        <v>0</v>
      </c>
      <c r="DH37" s="646">
        <f t="shared" si="35"/>
        <v>0</v>
      </c>
      <c r="DK37" s="646">
        <f t="shared" si="36"/>
        <v>0</v>
      </c>
      <c r="DN37" s="646">
        <f t="shared" si="37"/>
        <v>0</v>
      </c>
      <c r="DQ37" s="646">
        <f t="shared" si="38"/>
        <v>0</v>
      </c>
      <c r="DT37" s="646">
        <f t="shared" si="39"/>
        <v>0</v>
      </c>
      <c r="DW37" s="646">
        <f t="shared" si="40"/>
        <v>0</v>
      </c>
      <c r="DZ37" s="646"/>
      <c r="EA37" s="646"/>
      <c r="EB37" s="531">
        <f t="shared" si="41"/>
        <v>0</v>
      </c>
      <c r="EC37" s="531">
        <f t="shared" si="42"/>
        <v>0</v>
      </c>
      <c r="ED37" s="646">
        <f t="shared" si="43"/>
        <v>0</v>
      </c>
      <c r="EE37" s="647">
        <f t="shared" si="44"/>
        <v>0</v>
      </c>
      <c r="EG37" s="531">
        <f t="shared" si="45"/>
        <v>0</v>
      </c>
      <c r="EH37" s="646">
        <f t="shared" si="46"/>
        <v>0</v>
      </c>
      <c r="EI37" s="647">
        <f t="shared" si="47"/>
        <v>0</v>
      </c>
      <c r="EJ37" s="647"/>
      <c r="EK37" s="531">
        <f t="shared" si="48"/>
        <v>0</v>
      </c>
      <c r="EL37" s="531">
        <f t="shared" si="49"/>
        <v>0</v>
      </c>
      <c r="EM37" s="531">
        <f t="shared" si="50"/>
        <v>0</v>
      </c>
      <c r="EN37" s="647">
        <f t="shared" si="51"/>
        <v>0</v>
      </c>
      <c r="EP37" s="646"/>
    </row>
    <row r="38" spans="1:146">
      <c r="A38" s="665">
        <f t="shared" si="52"/>
        <v>43704</v>
      </c>
      <c r="D38" s="646">
        <f t="shared" si="1"/>
        <v>0</v>
      </c>
      <c r="G38" s="646">
        <f t="shared" si="2"/>
        <v>0</v>
      </c>
      <c r="J38" s="646">
        <f t="shared" si="3"/>
        <v>0</v>
      </c>
      <c r="M38" s="646">
        <f t="shared" si="4"/>
        <v>0</v>
      </c>
      <c r="P38" s="646">
        <f t="shared" si="5"/>
        <v>0</v>
      </c>
      <c r="S38" s="646">
        <f t="shared" si="6"/>
        <v>0</v>
      </c>
      <c r="V38" s="646">
        <f t="shared" si="7"/>
        <v>0</v>
      </c>
      <c r="Y38" s="646">
        <f t="shared" si="8"/>
        <v>0</v>
      </c>
      <c r="AB38" s="646">
        <f t="shared" si="9"/>
        <v>0</v>
      </c>
      <c r="AE38" s="646">
        <v>0</v>
      </c>
      <c r="AH38" s="646">
        <v>0</v>
      </c>
      <c r="AI38" s="666"/>
      <c r="AJ38" s="667"/>
      <c r="AK38" s="646">
        <f t="shared" si="10"/>
        <v>0</v>
      </c>
      <c r="AL38" s="666"/>
      <c r="AM38" s="667"/>
      <c r="AN38" s="646">
        <f t="shared" si="11"/>
        <v>0</v>
      </c>
      <c r="AO38" s="666"/>
      <c r="AP38" s="667"/>
      <c r="AQ38" s="646">
        <f t="shared" si="12"/>
        <v>0</v>
      </c>
      <c r="AR38" s="666"/>
      <c r="AS38" s="667"/>
      <c r="AT38" s="646">
        <f t="shared" si="13"/>
        <v>0</v>
      </c>
      <c r="AW38" s="646">
        <f t="shared" si="14"/>
        <v>0</v>
      </c>
      <c r="AZ38" s="646">
        <f t="shared" si="15"/>
        <v>0</v>
      </c>
      <c r="BC38" s="646">
        <f t="shared" si="16"/>
        <v>0</v>
      </c>
      <c r="BF38" s="646">
        <f t="shared" si="17"/>
        <v>0</v>
      </c>
      <c r="BI38" s="646">
        <f t="shared" si="18"/>
        <v>0</v>
      </c>
      <c r="BL38" s="646">
        <f t="shared" si="19"/>
        <v>0</v>
      </c>
      <c r="BO38" s="646">
        <f t="shared" si="20"/>
        <v>0</v>
      </c>
      <c r="BR38" s="646">
        <f t="shared" si="21"/>
        <v>0</v>
      </c>
      <c r="BU38" s="646">
        <f t="shared" si="22"/>
        <v>0</v>
      </c>
      <c r="BX38" s="646">
        <f t="shared" si="23"/>
        <v>0</v>
      </c>
      <c r="CA38" s="646">
        <f t="shared" si="24"/>
        <v>0</v>
      </c>
      <c r="CD38" s="646">
        <f t="shared" si="25"/>
        <v>0</v>
      </c>
      <c r="CG38" s="646">
        <f t="shared" si="26"/>
        <v>0</v>
      </c>
      <c r="CJ38" s="646">
        <f t="shared" si="27"/>
        <v>0</v>
      </c>
      <c r="CM38" s="646">
        <f t="shared" si="28"/>
        <v>0</v>
      </c>
      <c r="CP38" s="646">
        <f t="shared" si="29"/>
        <v>0</v>
      </c>
      <c r="CS38" s="646">
        <f t="shared" si="30"/>
        <v>0</v>
      </c>
      <c r="CV38" s="646">
        <f t="shared" si="31"/>
        <v>0</v>
      </c>
      <c r="CY38" s="646">
        <f t="shared" si="32"/>
        <v>0</v>
      </c>
      <c r="DB38" s="646">
        <f t="shared" si="33"/>
        <v>0</v>
      </c>
      <c r="DE38" s="646">
        <f t="shared" si="34"/>
        <v>0</v>
      </c>
      <c r="DH38" s="646">
        <f t="shared" si="35"/>
        <v>0</v>
      </c>
      <c r="DK38" s="646">
        <f t="shared" si="36"/>
        <v>0</v>
      </c>
      <c r="DN38" s="646">
        <f t="shared" si="37"/>
        <v>0</v>
      </c>
      <c r="DQ38" s="646">
        <f t="shared" si="38"/>
        <v>0</v>
      </c>
      <c r="DT38" s="646">
        <f t="shared" si="39"/>
        <v>0</v>
      </c>
      <c r="DW38" s="646">
        <f t="shared" si="40"/>
        <v>0</v>
      </c>
      <c r="DZ38" s="646"/>
      <c r="EA38" s="646"/>
      <c r="EB38" s="531">
        <f t="shared" si="41"/>
        <v>0</v>
      </c>
      <c r="EC38" s="531">
        <f t="shared" si="42"/>
        <v>0</v>
      </c>
      <c r="ED38" s="646">
        <f t="shared" si="43"/>
        <v>0</v>
      </c>
      <c r="EE38" s="647">
        <f t="shared" si="44"/>
        <v>0</v>
      </c>
      <c r="EG38" s="531">
        <f t="shared" si="45"/>
        <v>0</v>
      </c>
      <c r="EH38" s="646">
        <f t="shared" si="46"/>
        <v>0</v>
      </c>
      <c r="EI38" s="647">
        <f t="shared" si="47"/>
        <v>0</v>
      </c>
      <c r="EJ38" s="647"/>
      <c r="EK38" s="531">
        <f t="shared" si="48"/>
        <v>0</v>
      </c>
      <c r="EL38" s="531">
        <f t="shared" si="49"/>
        <v>0</v>
      </c>
      <c r="EM38" s="531">
        <f t="shared" si="50"/>
        <v>0</v>
      </c>
      <c r="EN38" s="647">
        <f t="shared" si="51"/>
        <v>0</v>
      </c>
      <c r="EP38" s="646"/>
    </row>
    <row r="39" spans="1:146">
      <c r="A39" s="665">
        <f t="shared" si="52"/>
        <v>43705</v>
      </c>
      <c r="D39" s="646">
        <f t="shared" si="1"/>
        <v>0</v>
      </c>
      <c r="G39" s="646">
        <f t="shared" si="2"/>
        <v>0</v>
      </c>
      <c r="J39" s="646">
        <f t="shared" si="3"/>
        <v>0</v>
      </c>
      <c r="M39" s="646">
        <f t="shared" si="4"/>
        <v>0</v>
      </c>
      <c r="P39" s="646">
        <f t="shared" si="5"/>
        <v>0</v>
      </c>
      <c r="S39" s="646">
        <f t="shared" si="6"/>
        <v>0</v>
      </c>
      <c r="V39" s="646">
        <f t="shared" si="7"/>
        <v>0</v>
      </c>
      <c r="Y39" s="646">
        <f t="shared" si="8"/>
        <v>0</v>
      </c>
      <c r="AB39" s="646">
        <f t="shared" si="9"/>
        <v>0</v>
      </c>
      <c r="AE39" s="646">
        <v>0</v>
      </c>
      <c r="AH39" s="646">
        <v>0</v>
      </c>
      <c r="AI39" s="666"/>
      <c r="AJ39" s="667"/>
      <c r="AK39" s="646">
        <f t="shared" si="10"/>
        <v>0</v>
      </c>
      <c r="AL39" s="666"/>
      <c r="AM39" s="667"/>
      <c r="AN39" s="646">
        <f t="shared" si="11"/>
        <v>0</v>
      </c>
      <c r="AO39" s="666"/>
      <c r="AP39" s="667"/>
      <c r="AQ39" s="646">
        <f t="shared" si="12"/>
        <v>0</v>
      </c>
      <c r="AR39" s="666"/>
      <c r="AS39" s="667"/>
      <c r="AT39" s="646">
        <f t="shared" si="13"/>
        <v>0</v>
      </c>
      <c r="AW39" s="646">
        <f t="shared" si="14"/>
        <v>0</v>
      </c>
      <c r="AZ39" s="646">
        <f t="shared" si="15"/>
        <v>0</v>
      </c>
      <c r="BC39" s="646">
        <f t="shared" si="16"/>
        <v>0</v>
      </c>
      <c r="BF39" s="646">
        <f t="shared" si="17"/>
        <v>0</v>
      </c>
      <c r="BI39" s="646">
        <f t="shared" si="18"/>
        <v>0</v>
      </c>
      <c r="BL39" s="646">
        <f t="shared" si="19"/>
        <v>0</v>
      </c>
      <c r="BO39" s="646">
        <f t="shared" si="20"/>
        <v>0</v>
      </c>
      <c r="BR39" s="646">
        <f t="shared" si="21"/>
        <v>0</v>
      </c>
      <c r="BU39" s="646">
        <f t="shared" si="22"/>
        <v>0</v>
      </c>
      <c r="BX39" s="646">
        <f t="shared" si="23"/>
        <v>0</v>
      </c>
      <c r="CA39" s="646">
        <f t="shared" si="24"/>
        <v>0</v>
      </c>
      <c r="CD39" s="646">
        <f t="shared" si="25"/>
        <v>0</v>
      </c>
      <c r="CG39" s="646">
        <f t="shared" si="26"/>
        <v>0</v>
      </c>
      <c r="CJ39" s="646">
        <f t="shared" si="27"/>
        <v>0</v>
      </c>
      <c r="CM39" s="646">
        <f t="shared" si="28"/>
        <v>0</v>
      </c>
      <c r="CP39" s="646">
        <f t="shared" si="29"/>
        <v>0</v>
      </c>
      <c r="CS39" s="646">
        <f t="shared" si="30"/>
        <v>0</v>
      </c>
      <c r="CV39" s="646">
        <f t="shared" si="31"/>
        <v>0</v>
      </c>
      <c r="CY39" s="646">
        <f t="shared" si="32"/>
        <v>0</v>
      </c>
      <c r="DB39" s="646">
        <f t="shared" si="33"/>
        <v>0</v>
      </c>
      <c r="DE39" s="646">
        <f t="shared" si="34"/>
        <v>0</v>
      </c>
      <c r="DH39" s="646">
        <f t="shared" si="35"/>
        <v>0</v>
      </c>
      <c r="DK39" s="646">
        <f t="shared" si="36"/>
        <v>0</v>
      </c>
      <c r="DN39" s="646">
        <f t="shared" si="37"/>
        <v>0</v>
      </c>
      <c r="DQ39" s="646">
        <f t="shared" si="38"/>
        <v>0</v>
      </c>
      <c r="DT39" s="646">
        <f t="shared" si="39"/>
        <v>0</v>
      </c>
      <c r="DW39" s="646">
        <f t="shared" si="40"/>
        <v>0</v>
      </c>
      <c r="DZ39" s="646"/>
      <c r="EA39" s="646"/>
      <c r="EB39" s="531">
        <f t="shared" si="41"/>
        <v>0</v>
      </c>
      <c r="EC39" s="531">
        <f t="shared" si="42"/>
        <v>0</v>
      </c>
      <c r="ED39" s="646">
        <f t="shared" si="43"/>
        <v>0</v>
      </c>
      <c r="EE39" s="647">
        <f t="shared" si="44"/>
        <v>0</v>
      </c>
      <c r="EG39" s="531">
        <f t="shared" si="45"/>
        <v>0</v>
      </c>
      <c r="EH39" s="646">
        <f t="shared" si="46"/>
        <v>0</v>
      </c>
      <c r="EI39" s="647">
        <f t="shared" si="47"/>
        <v>0</v>
      </c>
      <c r="EJ39" s="647"/>
      <c r="EK39" s="531">
        <f t="shared" si="48"/>
        <v>0</v>
      </c>
      <c r="EL39" s="531">
        <f t="shared" si="49"/>
        <v>0</v>
      </c>
      <c r="EM39" s="531">
        <f t="shared" si="50"/>
        <v>0</v>
      </c>
      <c r="EN39" s="647">
        <f t="shared" si="51"/>
        <v>0</v>
      </c>
      <c r="EP39" s="646"/>
    </row>
    <row r="40" spans="1:146">
      <c r="A40" s="665">
        <f t="shared" si="52"/>
        <v>43706</v>
      </c>
      <c r="D40" s="646">
        <f t="shared" si="1"/>
        <v>0</v>
      </c>
      <c r="G40" s="646">
        <f t="shared" si="2"/>
        <v>0</v>
      </c>
      <c r="J40" s="646">
        <f t="shared" si="3"/>
        <v>0</v>
      </c>
      <c r="M40" s="646">
        <f t="shared" si="4"/>
        <v>0</v>
      </c>
      <c r="P40" s="646">
        <f t="shared" si="5"/>
        <v>0</v>
      </c>
      <c r="S40" s="646">
        <f t="shared" si="6"/>
        <v>0</v>
      </c>
      <c r="V40" s="646">
        <f t="shared" si="7"/>
        <v>0</v>
      </c>
      <c r="Y40" s="646">
        <f t="shared" si="8"/>
        <v>0</v>
      </c>
      <c r="AB40" s="646">
        <f t="shared" si="9"/>
        <v>0</v>
      </c>
      <c r="AE40" s="646">
        <v>0</v>
      </c>
      <c r="AH40" s="646">
        <v>0</v>
      </c>
      <c r="AI40" s="666"/>
      <c r="AJ40" s="667"/>
      <c r="AK40" s="646">
        <f t="shared" si="10"/>
        <v>0</v>
      </c>
      <c r="AL40" s="666"/>
      <c r="AM40" s="667"/>
      <c r="AN40" s="646">
        <f t="shared" si="11"/>
        <v>0</v>
      </c>
      <c r="AO40" s="666"/>
      <c r="AP40" s="667"/>
      <c r="AQ40" s="646">
        <f t="shared" si="12"/>
        <v>0</v>
      </c>
      <c r="AR40" s="666"/>
      <c r="AS40" s="667"/>
      <c r="AT40" s="646">
        <f t="shared" si="13"/>
        <v>0</v>
      </c>
      <c r="AW40" s="646">
        <f t="shared" si="14"/>
        <v>0</v>
      </c>
      <c r="AZ40" s="646">
        <f t="shared" si="15"/>
        <v>0</v>
      </c>
      <c r="BC40" s="646">
        <f t="shared" si="16"/>
        <v>0</v>
      </c>
      <c r="BF40" s="646">
        <f t="shared" si="17"/>
        <v>0</v>
      </c>
      <c r="BI40" s="646">
        <f t="shared" si="18"/>
        <v>0</v>
      </c>
      <c r="BL40" s="646">
        <f t="shared" si="19"/>
        <v>0</v>
      </c>
      <c r="BO40" s="646">
        <f t="shared" si="20"/>
        <v>0</v>
      </c>
      <c r="BR40" s="646">
        <f t="shared" si="21"/>
        <v>0</v>
      </c>
      <c r="BU40" s="646">
        <f t="shared" si="22"/>
        <v>0</v>
      </c>
      <c r="BX40" s="646">
        <f t="shared" si="23"/>
        <v>0</v>
      </c>
      <c r="CA40" s="646">
        <f t="shared" si="24"/>
        <v>0</v>
      </c>
      <c r="CD40" s="646">
        <f t="shared" si="25"/>
        <v>0</v>
      </c>
      <c r="CG40" s="646">
        <f t="shared" si="26"/>
        <v>0</v>
      </c>
      <c r="CJ40" s="646">
        <f t="shared" si="27"/>
        <v>0</v>
      </c>
      <c r="CM40" s="646">
        <f t="shared" si="28"/>
        <v>0</v>
      </c>
      <c r="CP40" s="646">
        <f t="shared" si="29"/>
        <v>0</v>
      </c>
      <c r="CS40" s="646">
        <f t="shared" si="30"/>
        <v>0</v>
      </c>
      <c r="CV40" s="646">
        <f t="shared" si="31"/>
        <v>0</v>
      </c>
      <c r="CY40" s="646">
        <f t="shared" si="32"/>
        <v>0</v>
      </c>
      <c r="DB40" s="646">
        <f t="shared" si="33"/>
        <v>0</v>
      </c>
      <c r="DE40" s="646">
        <f t="shared" si="34"/>
        <v>0</v>
      </c>
      <c r="DH40" s="646">
        <f t="shared" si="35"/>
        <v>0</v>
      </c>
      <c r="DK40" s="646">
        <f t="shared" si="36"/>
        <v>0</v>
      </c>
      <c r="DN40" s="646">
        <f t="shared" si="37"/>
        <v>0</v>
      </c>
      <c r="DQ40" s="646">
        <f t="shared" si="38"/>
        <v>0</v>
      </c>
      <c r="DT40" s="646">
        <f t="shared" si="39"/>
        <v>0</v>
      </c>
      <c r="DW40" s="646">
        <f t="shared" si="40"/>
        <v>0</v>
      </c>
      <c r="DZ40" s="646"/>
      <c r="EA40" s="646"/>
      <c r="EB40" s="531">
        <f t="shared" si="41"/>
        <v>0</v>
      </c>
      <c r="EC40" s="531">
        <f t="shared" si="42"/>
        <v>0</v>
      </c>
      <c r="ED40" s="646">
        <f t="shared" si="43"/>
        <v>0</v>
      </c>
      <c r="EE40" s="647">
        <f t="shared" si="44"/>
        <v>0</v>
      </c>
      <c r="EG40" s="531">
        <f t="shared" si="45"/>
        <v>0</v>
      </c>
      <c r="EH40" s="646">
        <f t="shared" si="46"/>
        <v>0</v>
      </c>
      <c r="EI40" s="647">
        <f t="shared" si="47"/>
        <v>0</v>
      </c>
      <c r="EJ40" s="647"/>
      <c r="EK40" s="531">
        <f t="shared" si="48"/>
        <v>0</v>
      </c>
      <c r="EL40" s="531">
        <f t="shared" si="49"/>
        <v>0</v>
      </c>
      <c r="EM40" s="531">
        <f t="shared" si="50"/>
        <v>0</v>
      </c>
      <c r="EN40" s="647">
        <f t="shared" si="51"/>
        <v>0</v>
      </c>
      <c r="EP40" s="646"/>
    </row>
    <row r="41" spans="1:146">
      <c r="A41" s="665">
        <f t="shared" si="52"/>
        <v>43707</v>
      </c>
      <c r="D41" s="646">
        <f t="shared" si="1"/>
        <v>0</v>
      </c>
      <c r="G41" s="646">
        <f t="shared" si="2"/>
        <v>0</v>
      </c>
      <c r="J41" s="646">
        <f t="shared" si="3"/>
        <v>0</v>
      </c>
      <c r="M41" s="646">
        <f t="shared" si="4"/>
        <v>0</v>
      </c>
      <c r="P41" s="646">
        <f t="shared" si="5"/>
        <v>0</v>
      </c>
      <c r="S41" s="646">
        <f t="shared" si="6"/>
        <v>0</v>
      </c>
      <c r="V41" s="646">
        <f t="shared" si="7"/>
        <v>0</v>
      </c>
      <c r="Y41" s="646">
        <f t="shared" si="8"/>
        <v>0</v>
      </c>
      <c r="AB41" s="646">
        <f t="shared" si="9"/>
        <v>0</v>
      </c>
      <c r="AE41" s="646">
        <v>0</v>
      </c>
      <c r="AH41" s="646">
        <v>0</v>
      </c>
      <c r="AI41" s="666"/>
      <c r="AJ41" s="667"/>
      <c r="AK41" s="646">
        <f t="shared" si="10"/>
        <v>0</v>
      </c>
      <c r="AL41" s="666"/>
      <c r="AM41" s="667"/>
      <c r="AN41" s="646">
        <f t="shared" si="11"/>
        <v>0</v>
      </c>
      <c r="AO41" s="666"/>
      <c r="AP41" s="667"/>
      <c r="AQ41" s="646">
        <f t="shared" si="12"/>
        <v>0</v>
      </c>
      <c r="AR41" s="666"/>
      <c r="AS41" s="667"/>
      <c r="AT41" s="646">
        <f t="shared" si="13"/>
        <v>0</v>
      </c>
      <c r="AW41" s="646">
        <f t="shared" si="14"/>
        <v>0</v>
      </c>
      <c r="AZ41" s="646">
        <f t="shared" si="15"/>
        <v>0</v>
      </c>
      <c r="BC41" s="646">
        <f t="shared" si="16"/>
        <v>0</v>
      </c>
      <c r="BF41" s="646">
        <f t="shared" si="17"/>
        <v>0</v>
      </c>
      <c r="BI41" s="646">
        <f t="shared" si="18"/>
        <v>0</v>
      </c>
      <c r="BL41" s="646">
        <f t="shared" si="19"/>
        <v>0</v>
      </c>
      <c r="BO41" s="646">
        <f t="shared" si="20"/>
        <v>0</v>
      </c>
      <c r="BR41" s="646">
        <f t="shared" si="21"/>
        <v>0</v>
      </c>
      <c r="BU41" s="646">
        <f t="shared" si="22"/>
        <v>0</v>
      </c>
      <c r="BX41" s="646">
        <f t="shared" si="23"/>
        <v>0</v>
      </c>
      <c r="CA41" s="646">
        <f t="shared" si="24"/>
        <v>0</v>
      </c>
      <c r="CD41" s="646">
        <f t="shared" si="25"/>
        <v>0</v>
      </c>
      <c r="CG41" s="646">
        <f t="shared" si="26"/>
        <v>0</v>
      </c>
      <c r="CJ41" s="646">
        <f t="shared" si="27"/>
        <v>0</v>
      </c>
      <c r="CM41" s="646">
        <f t="shared" si="28"/>
        <v>0</v>
      </c>
      <c r="CP41" s="646">
        <f t="shared" si="29"/>
        <v>0</v>
      </c>
      <c r="CS41" s="646">
        <f t="shared" si="30"/>
        <v>0</v>
      </c>
      <c r="CV41" s="646">
        <f t="shared" si="31"/>
        <v>0</v>
      </c>
      <c r="CY41" s="646">
        <f t="shared" si="32"/>
        <v>0</v>
      </c>
      <c r="DB41" s="646">
        <f t="shared" si="33"/>
        <v>0</v>
      </c>
      <c r="DE41" s="646">
        <f t="shared" si="34"/>
        <v>0</v>
      </c>
      <c r="DH41" s="646">
        <f t="shared" si="35"/>
        <v>0</v>
      </c>
      <c r="DK41" s="646">
        <f t="shared" si="36"/>
        <v>0</v>
      </c>
      <c r="DN41" s="646">
        <f t="shared" si="37"/>
        <v>0</v>
      </c>
      <c r="DQ41" s="646">
        <f t="shared" si="38"/>
        <v>0</v>
      </c>
      <c r="DT41" s="646">
        <f t="shared" si="39"/>
        <v>0</v>
      </c>
      <c r="DW41" s="646">
        <f t="shared" si="40"/>
        <v>0</v>
      </c>
      <c r="DZ41" s="644"/>
      <c r="EA41" s="646"/>
      <c r="EB41" s="531">
        <f t="shared" si="41"/>
        <v>0</v>
      </c>
      <c r="EC41" s="531">
        <f t="shared" si="42"/>
        <v>0</v>
      </c>
      <c r="ED41" s="646">
        <f t="shared" si="43"/>
        <v>0</v>
      </c>
      <c r="EE41" s="647">
        <f t="shared" si="44"/>
        <v>0</v>
      </c>
      <c r="EG41" s="531">
        <f t="shared" si="45"/>
        <v>0</v>
      </c>
      <c r="EH41" s="646">
        <f t="shared" si="46"/>
        <v>0</v>
      </c>
      <c r="EI41" s="647">
        <f t="shared" si="47"/>
        <v>0</v>
      </c>
      <c r="EJ41" s="647"/>
      <c r="EK41" s="531">
        <f t="shared" si="48"/>
        <v>0</v>
      </c>
      <c r="EL41" s="531">
        <f t="shared" si="49"/>
        <v>0</v>
      </c>
      <c r="EM41" s="531">
        <f t="shared" si="50"/>
        <v>0</v>
      </c>
      <c r="EN41" s="647">
        <f t="shared" si="51"/>
        <v>0</v>
      </c>
      <c r="EP41" s="646"/>
    </row>
    <row r="42" spans="1:146">
      <c r="A42" s="665">
        <f t="shared" si="52"/>
        <v>43708</v>
      </c>
      <c r="D42" s="646">
        <f t="shared" si="1"/>
        <v>0</v>
      </c>
      <c r="G42" s="646">
        <f t="shared" si="2"/>
        <v>0</v>
      </c>
      <c r="J42" s="646">
        <f t="shared" si="3"/>
        <v>0</v>
      </c>
      <c r="M42" s="646">
        <f t="shared" si="4"/>
        <v>0</v>
      </c>
      <c r="P42" s="646">
        <f t="shared" si="5"/>
        <v>0</v>
      </c>
      <c r="S42" s="646">
        <f t="shared" si="6"/>
        <v>0</v>
      </c>
      <c r="V42" s="646">
        <f t="shared" si="7"/>
        <v>0</v>
      </c>
      <c r="Y42" s="646">
        <f t="shared" si="8"/>
        <v>0</v>
      </c>
      <c r="AB42" s="646">
        <f t="shared" si="9"/>
        <v>0</v>
      </c>
      <c r="AE42" s="646">
        <v>0</v>
      </c>
      <c r="AH42" s="646">
        <v>0</v>
      </c>
      <c r="AI42" s="666"/>
      <c r="AJ42" s="667"/>
      <c r="AK42" s="646">
        <f t="shared" si="10"/>
        <v>0</v>
      </c>
      <c r="AL42" s="666"/>
      <c r="AM42" s="667"/>
      <c r="AN42" s="646">
        <f t="shared" si="11"/>
        <v>0</v>
      </c>
      <c r="AO42" s="666"/>
      <c r="AP42" s="667"/>
      <c r="AQ42" s="646">
        <f t="shared" si="12"/>
        <v>0</v>
      </c>
      <c r="AR42" s="666"/>
      <c r="AS42" s="667"/>
      <c r="AT42" s="646">
        <f t="shared" si="13"/>
        <v>0</v>
      </c>
      <c r="AW42" s="646">
        <f t="shared" si="14"/>
        <v>0</v>
      </c>
      <c r="AZ42" s="646">
        <f t="shared" si="15"/>
        <v>0</v>
      </c>
      <c r="BC42" s="646">
        <f t="shared" si="16"/>
        <v>0</v>
      </c>
      <c r="BF42" s="646">
        <f t="shared" si="17"/>
        <v>0</v>
      </c>
      <c r="BI42" s="646">
        <f t="shared" si="18"/>
        <v>0</v>
      </c>
      <c r="BL42" s="646">
        <f t="shared" si="19"/>
        <v>0</v>
      </c>
      <c r="BO42" s="646">
        <f t="shared" si="20"/>
        <v>0</v>
      </c>
      <c r="BR42" s="646">
        <f t="shared" si="21"/>
        <v>0</v>
      </c>
      <c r="BU42" s="646">
        <f t="shared" si="22"/>
        <v>0</v>
      </c>
      <c r="BX42" s="646">
        <f t="shared" si="23"/>
        <v>0</v>
      </c>
      <c r="CA42" s="646">
        <f t="shared" si="24"/>
        <v>0</v>
      </c>
      <c r="CD42" s="646">
        <f t="shared" si="25"/>
        <v>0</v>
      </c>
      <c r="CG42" s="646">
        <f t="shared" si="26"/>
        <v>0</v>
      </c>
      <c r="CJ42" s="646">
        <f t="shared" si="27"/>
        <v>0</v>
      </c>
      <c r="CM42" s="646">
        <f t="shared" si="28"/>
        <v>0</v>
      </c>
      <c r="CP42" s="646">
        <f t="shared" si="29"/>
        <v>0</v>
      </c>
      <c r="CS42" s="646">
        <f t="shared" si="30"/>
        <v>0</v>
      </c>
      <c r="CV42" s="646">
        <f t="shared" si="31"/>
        <v>0</v>
      </c>
      <c r="CY42" s="646">
        <f t="shared" si="32"/>
        <v>0</v>
      </c>
      <c r="DB42" s="646">
        <f t="shared" si="33"/>
        <v>0</v>
      </c>
      <c r="DE42" s="646">
        <f t="shared" si="34"/>
        <v>0</v>
      </c>
      <c r="DH42" s="646">
        <f t="shared" si="35"/>
        <v>0</v>
      </c>
      <c r="DK42" s="646">
        <f t="shared" si="36"/>
        <v>0</v>
      </c>
      <c r="DN42" s="646">
        <f t="shared" si="37"/>
        <v>0</v>
      </c>
      <c r="DQ42" s="646">
        <f t="shared" si="38"/>
        <v>0</v>
      </c>
      <c r="DT42" s="646">
        <f t="shared" si="39"/>
        <v>0</v>
      </c>
      <c r="DW42" s="646">
        <f t="shared" si="40"/>
        <v>0</v>
      </c>
      <c r="DZ42" s="644"/>
      <c r="EA42" s="646"/>
      <c r="EB42" s="531">
        <f t="shared" si="41"/>
        <v>0</v>
      </c>
      <c r="EC42" s="531">
        <f t="shared" si="42"/>
        <v>0</v>
      </c>
      <c r="ED42" s="646">
        <f t="shared" si="43"/>
        <v>0</v>
      </c>
      <c r="EE42" s="647">
        <f t="shared" si="44"/>
        <v>0</v>
      </c>
      <c r="EG42" s="531">
        <f t="shared" si="45"/>
        <v>0</v>
      </c>
      <c r="EH42" s="646">
        <f t="shared" si="46"/>
        <v>0</v>
      </c>
      <c r="EI42" s="647">
        <f t="shared" si="47"/>
        <v>0</v>
      </c>
      <c r="EJ42" s="647"/>
      <c r="EK42" s="531">
        <f t="shared" si="48"/>
        <v>0</v>
      </c>
      <c r="EL42" s="531">
        <f t="shared" si="49"/>
        <v>0</v>
      </c>
      <c r="EM42" s="531">
        <f t="shared" si="50"/>
        <v>0</v>
      </c>
      <c r="EN42" s="647">
        <f t="shared" si="51"/>
        <v>0</v>
      </c>
      <c r="EP42" s="646"/>
    </row>
    <row r="43" spans="1:146">
      <c r="A43" s="532" t="s">
        <v>13</v>
      </c>
      <c r="D43" s="668">
        <f>SUM(D12:D42)</f>
        <v>0</v>
      </c>
      <c r="G43" s="668">
        <f>SUM(G12:G42)</f>
        <v>0</v>
      </c>
      <c r="J43" s="668">
        <f>SUM(J12:J42)</f>
        <v>0</v>
      </c>
      <c r="M43" s="668">
        <f>SUM(M12:M42)</f>
        <v>0</v>
      </c>
      <c r="P43" s="668">
        <f>SUM(P12:P42)</f>
        <v>0</v>
      </c>
      <c r="S43" s="668">
        <f>SUM(S12:S42)</f>
        <v>0</v>
      </c>
      <c r="V43" s="668">
        <f>SUM(V12:V42)</f>
        <v>0</v>
      </c>
      <c r="Y43" s="668">
        <f>SUM(Y12:Y42)</f>
        <v>0</v>
      </c>
      <c r="AB43" s="668">
        <f>SUM(AB12:AB42)</f>
        <v>0</v>
      </c>
      <c r="AE43" s="668">
        <f>SUM(AE12:AE42)</f>
        <v>0</v>
      </c>
      <c r="AH43" s="668">
        <f>SUM(AH12:AH42)</f>
        <v>0</v>
      </c>
      <c r="AK43" s="668">
        <f>SUM(AK12:AK42)</f>
        <v>57060.784722222234</v>
      </c>
      <c r="AN43" s="668">
        <f>SUM(AN12:AN42)</f>
        <v>13149.999999999998</v>
      </c>
      <c r="AQ43" s="668">
        <f>SUM(AQ12:AQ42)</f>
        <v>0</v>
      </c>
      <c r="AT43" s="668">
        <f>SUM(AT12:AT42)</f>
        <v>0</v>
      </c>
      <c r="AW43" s="668">
        <f>SUM(AW12:AW42)</f>
        <v>0</v>
      </c>
      <c r="AZ43" s="668">
        <f>SUM(AZ12:AZ42)</f>
        <v>0</v>
      </c>
      <c r="BC43" s="668">
        <f>SUM(BC12:BC42)</f>
        <v>0</v>
      </c>
      <c r="BF43" s="668">
        <f>SUM(BF12:BF42)</f>
        <v>0</v>
      </c>
      <c r="BI43" s="668">
        <f>SUM(BI12:BI42)</f>
        <v>0</v>
      </c>
      <c r="BL43" s="668">
        <f>SUM(BL12:BL42)</f>
        <v>0</v>
      </c>
      <c r="BO43" s="668">
        <f>SUM(BO12:BO42)</f>
        <v>0</v>
      </c>
      <c r="BR43" s="668">
        <f>SUM(BR12:BR42)</f>
        <v>0</v>
      </c>
      <c r="BU43" s="668">
        <f>SUM(BU12:BU42)</f>
        <v>0</v>
      </c>
      <c r="BX43" s="668">
        <f>SUM(BX12:BX42)</f>
        <v>0</v>
      </c>
      <c r="CA43" s="668">
        <f>SUM(CA12:CA42)</f>
        <v>0</v>
      </c>
      <c r="CD43" s="668">
        <f>SUM(CD12:CD42)</f>
        <v>0</v>
      </c>
      <c r="CG43" s="668">
        <f>SUM(CG12:CG42)</f>
        <v>0</v>
      </c>
      <c r="CJ43" s="668">
        <f>SUM(CJ12:CJ42)</f>
        <v>0</v>
      </c>
      <c r="CM43" s="668">
        <f>SUM(CM12:CM42)</f>
        <v>0</v>
      </c>
      <c r="CP43" s="668">
        <f>SUM(CP12:CP42)</f>
        <v>0</v>
      </c>
      <c r="CS43" s="668">
        <f>SUM(CS12:CS42)</f>
        <v>0</v>
      </c>
      <c r="CV43" s="668">
        <f>SUM(CV12:CV42)</f>
        <v>0</v>
      </c>
      <c r="CY43" s="668">
        <f>SUM(CY12:CY42)</f>
        <v>0</v>
      </c>
      <c r="DB43" s="668">
        <f>SUM(DB12:DB42)</f>
        <v>0</v>
      </c>
      <c r="DE43" s="668">
        <f>SUM(DE12:DE42)</f>
        <v>0</v>
      </c>
      <c r="DH43" s="668">
        <f>SUM(DH12:DH42)</f>
        <v>0</v>
      </c>
      <c r="DK43" s="668">
        <f>SUM(DK12:DK42)</f>
        <v>0</v>
      </c>
      <c r="DN43" s="668">
        <f>SUM(DN12:DN42)</f>
        <v>0</v>
      </c>
      <c r="DQ43" s="668">
        <f>SUM(DQ12:DQ42)</f>
        <v>0</v>
      </c>
      <c r="DT43" s="668">
        <f>SUM(DT12:DT42)</f>
        <v>0</v>
      </c>
      <c r="DW43" s="668">
        <f>SUM(DW12:DW42)</f>
        <v>0</v>
      </c>
      <c r="DZ43" s="644"/>
      <c r="EA43" s="644"/>
      <c r="EB43" s="646"/>
      <c r="EC43" s="646"/>
      <c r="ED43" s="668">
        <f>SUM(ED12:ED42)</f>
        <v>70210.784722222219</v>
      </c>
      <c r="EE43" s="647"/>
      <c r="EG43" s="646"/>
      <c r="EH43" s="668">
        <f>SUM(EH12:EH42)</f>
        <v>0</v>
      </c>
      <c r="EI43" s="647"/>
      <c r="EJ43" s="647"/>
      <c r="EK43" s="646"/>
      <c r="EL43" s="646"/>
      <c r="EM43" s="668">
        <f>SUM(EM12:EM42)</f>
        <v>70210.784722222219</v>
      </c>
      <c r="EN43" s="647"/>
    </row>
    <row r="45" spans="1:146">
      <c r="EM45" s="669"/>
    </row>
    <row r="47" spans="1:146">
      <c r="EM47" s="646"/>
    </row>
    <row r="49" spans="143:143">
      <c r="EM49" s="646"/>
    </row>
  </sheetData>
  <pageMargins left="0.7" right="0.7" top="0.75" bottom="0.75" header="0.3" footer="0.3"/>
  <pageSetup scale="63" orientation="landscape" r:id="rId1"/>
  <headerFooter>
    <oddFooter>&amp;CSchedule MA-TU&amp;RAugust 2019 &amp;P of &amp;N
Confidential
4 CSR 240-2.090(9(A).2(D).II)</oddFooter>
  </headerFooter>
  <colBreaks count="1" manualBreakCount="1">
    <brk id="131" max="42"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zoomScale="80" zoomScaleNormal="80" workbookViewId="0">
      <selection activeCell="E12" sqref="E12"/>
    </sheetView>
  </sheetViews>
  <sheetFormatPr defaultRowHeight="12.75"/>
  <cols>
    <col min="1" max="1" width="14.5703125" style="648" bestFit="1" customWidth="1"/>
    <col min="2" max="2" width="15.5703125" style="646" hidden="1" customWidth="1"/>
    <col min="3" max="3" width="15.42578125" style="647" hidden="1" customWidth="1"/>
    <col min="4" max="4" width="15.42578125" style="648" hidden="1" customWidth="1"/>
    <col min="5" max="5" width="15.5703125" style="646" bestFit="1" customWidth="1"/>
    <col min="6" max="6" width="9.85546875" style="647" customWidth="1"/>
    <col min="7" max="7" width="18.5703125" style="648" customWidth="1"/>
    <col min="8" max="8" width="15.42578125" style="646" hidden="1" customWidth="1"/>
    <col min="9" max="9" width="10.28515625" style="647" hidden="1" customWidth="1"/>
    <col min="10" max="10" width="13.42578125" style="648" hidden="1" customWidth="1"/>
    <col min="11" max="11" width="14.42578125" style="646" hidden="1" customWidth="1"/>
    <col min="12" max="12" width="10.28515625" style="647" hidden="1" customWidth="1"/>
    <col min="13" max="13" width="11.7109375" style="648" hidden="1" customWidth="1"/>
    <col min="14" max="14" width="14.42578125" style="646" hidden="1" customWidth="1"/>
    <col min="15" max="15" width="10.28515625" style="647" hidden="1" customWidth="1"/>
    <col min="16" max="16" width="11.7109375" style="648" hidden="1" customWidth="1"/>
    <col min="17" max="17" width="15.42578125" style="646" hidden="1" customWidth="1"/>
    <col min="18" max="18" width="10.28515625" style="647" hidden="1" customWidth="1"/>
    <col min="19" max="19" width="11.7109375" style="648" hidden="1" customWidth="1"/>
    <col min="20" max="20" width="15.42578125" style="646" hidden="1" customWidth="1"/>
    <col min="21" max="21" width="10.28515625" style="647" hidden="1" customWidth="1"/>
    <col min="22" max="22" width="11.7109375" style="648" hidden="1" customWidth="1"/>
    <col min="23" max="23" width="15.42578125" style="646" hidden="1" customWidth="1"/>
    <col min="24" max="24" width="10.28515625" style="647" hidden="1" customWidth="1"/>
    <col min="25" max="25" width="11.7109375" style="648" hidden="1" customWidth="1"/>
    <col min="26" max="26" width="15.42578125" style="646" hidden="1" customWidth="1"/>
    <col min="27" max="27" width="10.28515625" style="647" hidden="1" customWidth="1"/>
    <col min="28" max="28" width="11.7109375" style="648" hidden="1" customWidth="1"/>
    <col min="29" max="29" width="15.42578125" style="646" hidden="1" customWidth="1"/>
    <col min="30" max="30" width="10.28515625" style="647" hidden="1" customWidth="1"/>
    <col min="31" max="31" width="11.7109375" style="648" hidden="1" customWidth="1"/>
    <col min="32" max="32" width="14.42578125" style="646" hidden="1" customWidth="1"/>
    <col min="33" max="33" width="10.28515625" style="647" hidden="1" customWidth="1"/>
    <col min="34" max="34" width="10.7109375" style="648" hidden="1" customWidth="1"/>
    <col min="35" max="35" width="14.42578125" style="646" customWidth="1"/>
    <col min="36" max="36" width="15.28515625" style="647" customWidth="1"/>
    <col min="37" max="37" width="15.7109375" style="648" customWidth="1"/>
    <col min="38" max="38" width="14.42578125" style="646" hidden="1" customWidth="1"/>
    <col min="39" max="39" width="10.28515625" style="647" hidden="1" customWidth="1"/>
    <col min="40" max="40" width="10.7109375" style="648" hidden="1" customWidth="1"/>
    <col min="41" max="41" width="15.42578125" style="646" hidden="1" customWidth="1"/>
    <col min="42" max="42" width="12.28515625" style="647" hidden="1" customWidth="1"/>
    <col min="43" max="43" width="11.7109375" style="648" hidden="1" customWidth="1"/>
    <col min="44" max="44" width="15.42578125" style="646" hidden="1" customWidth="1"/>
    <col min="45" max="45" width="10.28515625" style="647" hidden="1" customWidth="1"/>
    <col min="46" max="46" width="11.7109375" style="648" hidden="1" customWidth="1"/>
    <col min="47" max="47" width="14.42578125" style="646" hidden="1" customWidth="1"/>
    <col min="48" max="48" width="10.28515625" style="647" hidden="1" customWidth="1"/>
    <col min="49" max="49" width="10.7109375" style="648" hidden="1" customWidth="1"/>
    <col min="50" max="50" width="14.42578125" style="646" hidden="1" customWidth="1"/>
    <col min="51" max="51" width="10.28515625" style="647" hidden="1" customWidth="1"/>
    <col min="52" max="52" width="10.7109375" style="648" hidden="1" customWidth="1"/>
    <col min="53" max="53" width="14.42578125" style="646" hidden="1" customWidth="1"/>
    <col min="54" max="54" width="10.28515625" style="647" hidden="1" customWidth="1"/>
    <col min="55" max="55" width="10.7109375" style="648" hidden="1" customWidth="1"/>
    <col min="56" max="56" width="14.42578125" style="646" hidden="1" customWidth="1"/>
    <col min="57" max="57" width="10.28515625" style="647" hidden="1" customWidth="1"/>
    <col min="58" max="58" width="10.7109375" style="648" hidden="1" customWidth="1"/>
    <col min="59" max="59" width="14.42578125" style="646" hidden="1" customWidth="1"/>
    <col min="60" max="60" width="10.28515625" style="647" hidden="1" customWidth="1"/>
    <col min="61" max="61" width="10.7109375" style="648" hidden="1" customWidth="1"/>
    <col min="62" max="62" width="14.42578125" style="646" hidden="1" customWidth="1"/>
    <col min="63" max="63" width="10.28515625" style="647" hidden="1" customWidth="1"/>
    <col min="64" max="64" width="10.7109375" style="648" hidden="1" customWidth="1"/>
    <col min="65" max="65" width="14.42578125" style="646" hidden="1" customWidth="1"/>
    <col min="66" max="66" width="10.28515625" style="647" hidden="1" customWidth="1"/>
    <col min="67" max="67" width="10.7109375" style="648" hidden="1" customWidth="1"/>
    <col min="68" max="68" width="14.42578125" style="646" hidden="1" customWidth="1"/>
    <col min="69" max="69" width="10.28515625" style="647" hidden="1" customWidth="1"/>
    <col min="70" max="70" width="10.7109375" style="648" hidden="1" customWidth="1"/>
    <col min="71" max="71" width="14.42578125" style="646" hidden="1" customWidth="1"/>
    <col min="72" max="72" width="10.28515625" style="647" hidden="1" customWidth="1"/>
    <col min="73" max="73" width="10.7109375" style="648" hidden="1" customWidth="1"/>
    <col min="74" max="74" width="14.42578125" style="646" hidden="1" customWidth="1"/>
    <col min="75" max="75" width="10.28515625" style="647" hidden="1" customWidth="1"/>
    <col min="76" max="76" width="10.7109375" style="648" hidden="1" customWidth="1"/>
    <col min="77" max="77" width="14.42578125" style="646" hidden="1" customWidth="1"/>
    <col min="78" max="78" width="10.28515625" style="647" hidden="1" customWidth="1"/>
    <col min="79" max="79" width="10.7109375" style="648" hidden="1" customWidth="1"/>
    <col min="80" max="80" width="14.42578125" style="646" hidden="1" customWidth="1"/>
    <col min="81" max="81" width="10.28515625" style="647" hidden="1" customWidth="1"/>
    <col min="82" max="82" width="10.7109375" style="648" hidden="1" customWidth="1"/>
    <col min="83" max="83" width="14.42578125" style="646" hidden="1" customWidth="1"/>
    <col min="84" max="84" width="10.28515625" style="647" hidden="1" customWidth="1"/>
    <col min="85" max="85" width="10.7109375" style="648" hidden="1" customWidth="1"/>
    <col min="86" max="86" width="14.42578125" style="646" hidden="1" customWidth="1"/>
    <col min="87" max="87" width="10.28515625" style="647" hidden="1" customWidth="1"/>
    <col min="88" max="88" width="10.7109375" style="648" hidden="1" customWidth="1"/>
    <col min="89" max="89" width="14.42578125" style="646" hidden="1" customWidth="1"/>
    <col min="90" max="90" width="10.28515625" style="647" hidden="1" customWidth="1"/>
    <col min="91" max="91" width="10.7109375" style="648" hidden="1" customWidth="1"/>
    <col min="92" max="92" width="14.42578125" style="646" hidden="1" customWidth="1"/>
    <col min="93" max="93" width="10.28515625" style="647" hidden="1" customWidth="1"/>
    <col min="94" max="94" width="10.7109375" style="648" hidden="1" customWidth="1"/>
    <col min="95" max="95" width="14.42578125" style="646" hidden="1" customWidth="1"/>
    <col min="96" max="96" width="10.28515625" style="647" hidden="1" customWidth="1"/>
    <col min="97" max="97" width="10.7109375" style="648" hidden="1" customWidth="1"/>
    <col min="98" max="98" width="14.42578125" style="646" hidden="1" customWidth="1"/>
    <col min="99" max="99" width="10.28515625" style="647" hidden="1" customWidth="1"/>
    <col min="100" max="100" width="10.7109375" style="648" hidden="1" customWidth="1"/>
    <col min="101" max="101" width="14.42578125" style="646" hidden="1" customWidth="1"/>
    <col min="102" max="102" width="10.28515625" style="647" hidden="1" customWidth="1"/>
    <col min="103" max="103" width="10.7109375" style="648" hidden="1" customWidth="1"/>
    <col min="104" max="104" width="14.42578125" style="646" hidden="1" customWidth="1"/>
    <col min="105" max="105" width="10.28515625" style="647" hidden="1" customWidth="1"/>
    <col min="106" max="106" width="10.7109375" style="648" hidden="1" customWidth="1"/>
    <col min="107" max="107" width="14.42578125" style="646" hidden="1" customWidth="1"/>
    <col min="108" max="108" width="10.28515625" style="647" hidden="1" customWidth="1"/>
    <col min="109" max="109" width="10.7109375" style="648" hidden="1" customWidth="1"/>
    <col min="110" max="110" width="14.42578125" style="646" hidden="1" customWidth="1"/>
    <col min="111" max="111" width="10.28515625" style="647" hidden="1" customWidth="1"/>
    <col min="112" max="112" width="10.7109375" style="648" hidden="1" customWidth="1"/>
    <col min="113" max="113" width="14.42578125" style="646" hidden="1" customWidth="1"/>
    <col min="114" max="114" width="10.28515625" style="647" hidden="1" customWidth="1"/>
    <col min="115" max="115" width="10.7109375" style="648" hidden="1" customWidth="1"/>
    <col min="116" max="116" width="14.42578125" style="646" hidden="1" customWidth="1"/>
    <col min="117" max="117" width="10.28515625" style="647" hidden="1" customWidth="1"/>
    <col min="118" max="118" width="10.7109375" style="648" hidden="1" customWidth="1"/>
    <col min="119" max="119" width="14.42578125" style="646" hidden="1" customWidth="1"/>
    <col min="120" max="120" width="10.28515625" style="647" hidden="1" customWidth="1"/>
    <col min="121" max="121" width="10.7109375" style="648" hidden="1" customWidth="1"/>
    <col min="122" max="122" width="14.42578125" style="646" hidden="1" customWidth="1"/>
    <col min="123" max="123" width="10.28515625" style="647" hidden="1" customWidth="1"/>
    <col min="124" max="124" width="10.7109375" style="648" hidden="1" customWidth="1"/>
    <col min="125" max="125" width="14.42578125" style="646" hidden="1" customWidth="1"/>
    <col min="126" max="126" width="10.28515625" style="647" hidden="1" customWidth="1"/>
    <col min="127" max="127" width="10.7109375" style="648" hidden="1" customWidth="1"/>
    <col min="128" max="128" width="14.42578125" style="646" hidden="1" customWidth="1"/>
    <col min="129" max="129" width="10.28515625" style="647" hidden="1" customWidth="1"/>
    <col min="130" max="130" width="10.7109375" style="648" hidden="1" customWidth="1"/>
    <col min="131" max="131" width="2.7109375" style="648" hidden="1" customWidth="1"/>
    <col min="132" max="132" width="21.140625" style="648" customWidth="1"/>
    <col min="133" max="133" width="15.42578125" style="648" hidden="1" customWidth="1"/>
    <col min="134" max="134" width="14.42578125" style="648" bestFit="1" customWidth="1"/>
    <col min="135" max="135" width="17.7109375" style="648" bestFit="1" customWidth="1"/>
    <col min="136" max="136" width="2.7109375" style="648" customWidth="1"/>
    <col min="137" max="137" width="15.42578125" style="648" hidden="1" customWidth="1"/>
    <col min="138" max="138" width="14.42578125" style="648" hidden="1" customWidth="1"/>
    <col min="139" max="139" width="12.42578125" style="648" hidden="1" customWidth="1"/>
    <col min="140" max="140" width="2.7109375" style="648" hidden="1" customWidth="1"/>
    <col min="141" max="141" width="18.7109375" style="648" customWidth="1"/>
    <col min="142" max="142" width="15.42578125" style="648" hidden="1" customWidth="1"/>
    <col min="143" max="143" width="14.42578125" style="648" bestFit="1" customWidth="1"/>
    <col min="144" max="144" width="20.85546875" style="648" customWidth="1"/>
    <col min="145" max="145" width="42.85546875" style="648" bestFit="1" customWidth="1"/>
    <col min="146" max="146" width="15.28515625" style="648" bestFit="1" customWidth="1"/>
    <col min="147" max="147" width="23.140625" style="648" bestFit="1" customWidth="1"/>
    <col min="148" max="16384" width="9.140625" style="648"/>
  </cols>
  <sheetData>
    <row r="1" spans="1:147" s="520" customFormat="1">
      <c r="A1" s="519" t="s">
        <v>0</v>
      </c>
      <c r="B1" s="531"/>
      <c r="C1" s="641"/>
      <c r="E1" s="531"/>
      <c r="F1" s="641"/>
      <c r="H1" s="531"/>
      <c r="I1" s="641"/>
      <c r="K1" s="531"/>
      <c r="L1" s="641"/>
      <c r="N1" s="531"/>
      <c r="O1" s="641"/>
      <c r="Q1" s="531"/>
      <c r="R1" s="641"/>
      <c r="T1" s="531"/>
      <c r="U1" s="641"/>
      <c r="W1" s="531"/>
      <c r="X1" s="641"/>
      <c r="Z1" s="531"/>
      <c r="AA1" s="641"/>
      <c r="AC1" s="531"/>
      <c r="AD1" s="641"/>
      <c r="AF1" s="531"/>
      <c r="AG1" s="641"/>
      <c r="AI1" s="531"/>
      <c r="AJ1" s="641"/>
      <c r="AL1" s="531"/>
      <c r="AM1" s="641"/>
      <c r="AO1" s="531"/>
      <c r="AP1" s="641"/>
      <c r="AR1" s="531"/>
      <c r="AS1" s="641"/>
      <c r="AU1" s="531"/>
      <c r="AV1" s="641"/>
      <c r="AX1" s="531"/>
      <c r="AY1" s="641"/>
      <c r="BA1" s="531"/>
      <c r="BB1" s="641"/>
      <c r="BD1" s="531"/>
      <c r="BE1" s="641"/>
      <c r="BG1" s="531"/>
      <c r="BH1" s="641"/>
      <c r="BJ1" s="531"/>
      <c r="BK1" s="641"/>
      <c r="BM1" s="531"/>
      <c r="BN1" s="641"/>
      <c r="BP1" s="531"/>
      <c r="BQ1" s="641"/>
      <c r="BS1" s="531"/>
      <c r="BT1" s="641"/>
      <c r="BV1" s="531"/>
      <c r="BW1" s="641"/>
      <c r="BY1" s="531"/>
      <c r="BZ1" s="641"/>
      <c r="CB1" s="531"/>
      <c r="CC1" s="641"/>
      <c r="CE1" s="531"/>
      <c r="CF1" s="641"/>
      <c r="CH1" s="531"/>
      <c r="CI1" s="641"/>
      <c r="CK1" s="531"/>
      <c r="CL1" s="641"/>
      <c r="CN1" s="531"/>
      <c r="CO1" s="641"/>
      <c r="CQ1" s="531"/>
      <c r="CR1" s="641"/>
      <c r="CT1" s="531"/>
      <c r="CU1" s="641"/>
      <c r="CW1" s="531"/>
      <c r="CX1" s="641"/>
      <c r="CZ1" s="531"/>
      <c r="DA1" s="641"/>
      <c r="DC1" s="531"/>
      <c r="DD1" s="641"/>
      <c r="DF1" s="531"/>
      <c r="DG1" s="641"/>
      <c r="DI1" s="531"/>
      <c r="DJ1" s="641"/>
      <c r="DL1" s="531"/>
      <c r="DM1" s="641"/>
      <c r="DO1" s="531"/>
      <c r="DP1" s="641"/>
      <c r="DR1" s="531"/>
      <c r="DS1" s="641"/>
      <c r="DU1" s="531"/>
      <c r="DV1" s="641"/>
      <c r="DX1" s="531"/>
      <c r="DY1" s="641"/>
      <c r="DZ1" s="517"/>
      <c r="ED1" s="521"/>
      <c r="EE1" s="642" t="s">
        <v>118</v>
      </c>
      <c r="EI1" s="521" t="s">
        <v>59</v>
      </c>
      <c r="EM1" s="521"/>
      <c r="EN1" s="521" t="s">
        <v>120</v>
      </c>
      <c r="EO1" s="519" t="s">
        <v>121</v>
      </c>
      <c r="EP1" s="519" t="s">
        <v>122</v>
      </c>
      <c r="EQ1" s="519" t="s">
        <v>123</v>
      </c>
    </row>
    <row r="2" spans="1:147" s="520" customFormat="1">
      <c r="A2" s="519" t="s">
        <v>49</v>
      </c>
      <c r="B2" s="531"/>
      <c r="C2" s="641"/>
      <c r="E2" s="523"/>
      <c r="F2" s="641"/>
      <c r="G2" s="521"/>
      <c r="H2" s="531"/>
      <c r="I2" s="641"/>
      <c r="K2" s="531"/>
      <c r="L2" s="641"/>
      <c r="N2" s="531"/>
      <c r="O2" s="641"/>
      <c r="Q2" s="531"/>
      <c r="R2" s="641"/>
      <c r="T2" s="531"/>
      <c r="U2" s="641"/>
      <c r="W2" s="531"/>
      <c r="X2" s="641"/>
      <c r="Z2" s="531"/>
      <c r="AA2" s="641"/>
      <c r="AC2" s="531"/>
      <c r="AD2" s="641"/>
      <c r="AF2" s="531"/>
      <c r="AG2" s="641"/>
      <c r="AI2" s="531"/>
      <c r="AJ2" s="641"/>
      <c r="AL2" s="531"/>
      <c r="AM2" s="641"/>
      <c r="AO2" s="531"/>
      <c r="AP2" s="641"/>
      <c r="AR2" s="531"/>
      <c r="AS2" s="641"/>
      <c r="AU2" s="531"/>
      <c r="AV2" s="641"/>
      <c r="AX2" s="531"/>
      <c r="AY2" s="641"/>
      <c r="BA2" s="531"/>
      <c r="BB2" s="641"/>
      <c r="BD2" s="531"/>
      <c r="BE2" s="641"/>
      <c r="BG2" s="531"/>
      <c r="BH2" s="641"/>
      <c r="BJ2" s="531"/>
      <c r="BK2" s="641"/>
      <c r="BM2" s="531"/>
      <c r="BN2" s="641"/>
      <c r="BP2" s="531"/>
      <c r="BQ2" s="641"/>
      <c r="BS2" s="531"/>
      <c r="BT2" s="641"/>
      <c r="BV2" s="531"/>
      <c r="BW2" s="641"/>
      <c r="BY2" s="531"/>
      <c r="BZ2" s="641"/>
      <c r="CB2" s="531"/>
      <c r="CC2" s="641"/>
      <c r="CE2" s="531"/>
      <c r="CF2" s="641"/>
      <c r="CH2" s="531"/>
      <c r="CI2" s="641"/>
      <c r="CK2" s="531"/>
      <c r="CL2" s="641"/>
      <c r="CN2" s="531"/>
      <c r="CO2" s="641"/>
      <c r="CQ2" s="531"/>
      <c r="CR2" s="641"/>
      <c r="CT2" s="531"/>
      <c r="CU2" s="641"/>
      <c r="CW2" s="531"/>
      <c r="CX2" s="641"/>
      <c r="CZ2" s="531"/>
      <c r="DA2" s="641"/>
      <c r="DC2" s="531"/>
      <c r="DD2" s="641"/>
      <c r="DF2" s="531"/>
      <c r="DG2" s="641"/>
      <c r="DI2" s="531"/>
      <c r="DJ2" s="641"/>
      <c r="DL2" s="531"/>
      <c r="DM2" s="641"/>
      <c r="DO2" s="531"/>
      <c r="DP2" s="641"/>
      <c r="DR2" s="531"/>
      <c r="DS2" s="641"/>
      <c r="DU2" s="531"/>
      <c r="DV2" s="641"/>
      <c r="DX2" s="531"/>
      <c r="DY2" s="641"/>
      <c r="EB2" s="643" t="s">
        <v>51</v>
      </c>
      <c r="EC2" s="643"/>
      <c r="ED2" s="644"/>
      <c r="EE2" s="644">
        <f>EB41</f>
        <v>143825000</v>
      </c>
      <c r="EI2" s="644">
        <f>EG41</f>
        <v>0</v>
      </c>
      <c r="EM2" s="644"/>
      <c r="EN2" s="644">
        <f>EK41</f>
        <v>143825000</v>
      </c>
      <c r="EO2" s="531">
        <v>0</v>
      </c>
      <c r="EP2" s="531">
        <v>0</v>
      </c>
      <c r="EQ2" s="531">
        <f>EE2+EO2</f>
        <v>143825000</v>
      </c>
    </row>
    <row r="3" spans="1:147" s="520" customFormat="1" ht="13.5" thickBot="1">
      <c r="A3" s="645" t="s">
        <v>242</v>
      </c>
      <c r="B3" s="531"/>
      <c r="C3" s="641"/>
      <c r="E3" s="523"/>
      <c r="F3" s="641"/>
      <c r="G3" s="521"/>
      <c r="H3" s="531"/>
      <c r="I3" s="641"/>
      <c r="K3" s="531"/>
      <c r="L3" s="641"/>
      <c r="N3" s="531"/>
      <c r="O3" s="641"/>
      <c r="Q3" s="531"/>
      <c r="R3" s="641"/>
      <c r="T3" s="531"/>
      <c r="U3" s="641"/>
      <c r="W3" s="531"/>
      <c r="X3" s="641"/>
      <c r="Z3" s="531"/>
      <c r="AA3" s="641"/>
      <c r="AC3" s="531"/>
      <c r="AD3" s="641"/>
      <c r="AF3" s="531"/>
      <c r="AG3" s="641"/>
      <c r="AI3" s="531"/>
      <c r="AJ3" s="641"/>
      <c r="AL3" s="531"/>
      <c r="AM3" s="641"/>
      <c r="AO3" s="531"/>
      <c r="AP3" s="641"/>
      <c r="AR3" s="531"/>
      <c r="AS3" s="641"/>
      <c r="AU3" s="531"/>
      <c r="AV3" s="641"/>
      <c r="AX3" s="531"/>
      <c r="AY3" s="641"/>
      <c r="BA3" s="531"/>
      <c r="BB3" s="641"/>
      <c r="BD3" s="531"/>
      <c r="BE3" s="641"/>
      <c r="BG3" s="531"/>
      <c r="BH3" s="641"/>
      <c r="BJ3" s="531"/>
      <c r="BK3" s="641"/>
      <c r="BM3" s="531"/>
      <c r="BN3" s="641"/>
      <c r="BP3" s="531"/>
      <c r="BQ3" s="641"/>
      <c r="BS3" s="531"/>
      <c r="BT3" s="641"/>
      <c r="BV3" s="531"/>
      <c r="BW3" s="641"/>
      <c r="BY3" s="531"/>
      <c r="BZ3" s="641"/>
      <c r="CB3" s="531"/>
      <c r="CC3" s="641"/>
      <c r="CE3" s="531"/>
      <c r="CF3" s="641"/>
      <c r="CH3" s="531"/>
      <c r="CI3" s="641"/>
      <c r="CK3" s="531"/>
      <c r="CL3" s="641"/>
      <c r="CN3" s="531"/>
      <c r="CO3" s="641"/>
      <c r="CQ3" s="531"/>
      <c r="CR3" s="641"/>
      <c r="CT3" s="531"/>
      <c r="CU3" s="641"/>
      <c r="CW3" s="531"/>
      <c r="CX3" s="641"/>
      <c r="CZ3" s="531"/>
      <c r="DA3" s="641"/>
      <c r="DC3" s="531"/>
      <c r="DD3" s="641"/>
      <c r="DF3" s="531"/>
      <c r="DG3" s="641"/>
      <c r="DI3" s="531"/>
      <c r="DJ3" s="641"/>
      <c r="DL3" s="531"/>
      <c r="DM3" s="641"/>
      <c r="DO3" s="531"/>
      <c r="DP3" s="641"/>
      <c r="DR3" s="531"/>
      <c r="DS3" s="641"/>
      <c r="DU3" s="531"/>
      <c r="DV3" s="641"/>
      <c r="DX3" s="531"/>
      <c r="DY3" s="641"/>
      <c r="EB3" s="643"/>
      <c r="EC3" s="643"/>
      <c r="ED3" s="644"/>
      <c r="EE3" s="644"/>
      <c r="EI3" s="644"/>
      <c r="EM3" s="644"/>
      <c r="EN3" s="644"/>
      <c r="EO3" s="531"/>
      <c r="EP3" s="531"/>
      <c r="EQ3" s="531"/>
    </row>
    <row r="4" spans="1:147" ht="13.5" thickTop="1">
      <c r="A4" s="645"/>
      <c r="E4" s="518" t="s">
        <v>50</v>
      </c>
      <c r="F4" s="649"/>
      <c r="G4" s="650"/>
      <c r="EB4" s="643" t="s">
        <v>52</v>
      </c>
      <c r="EC4" s="643"/>
      <c r="ED4" s="644"/>
      <c r="EE4" s="644">
        <f>AVERAGE(EB12:EB41)</f>
        <v>49035000</v>
      </c>
      <c r="EI4" s="644">
        <f>AVERAGE(EG12:EG41)</f>
        <v>0</v>
      </c>
      <c r="EM4" s="644"/>
      <c r="EN4" s="644">
        <f>AVERAGE(EK12:EK41)</f>
        <v>49035000</v>
      </c>
    </row>
    <row r="5" spans="1:147">
      <c r="D5" s="643"/>
      <c r="E5" s="651" t="s">
        <v>51</v>
      </c>
      <c r="F5" s="644"/>
      <c r="G5" s="652">
        <f>EQ2</f>
        <v>143825000</v>
      </c>
      <c r="AI5" s="519" t="s">
        <v>198</v>
      </c>
      <c r="EB5" s="643" t="s">
        <v>53</v>
      </c>
      <c r="EC5" s="643"/>
      <c r="ED5" s="653"/>
      <c r="EE5" s="653">
        <f>IF(EE4=0,0,360*(AVERAGE(ED12:ED41)/EE4))</f>
        <v>2.2168699228442262E-2</v>
      </c>
      <c r="EI5" s="653">
        <f>IF(EI4=0,0,360*(AVERAGE(EH12:EH41)/EI4))</f>
        <v>0</v>
      </c>
      <c r="EM5" s="653"/>
      <c r="EN5" s="653">
        <f>IF(EN4=0,0,360*(AVERAGE(EM12:EM41)/EN4))</f>
        <v>2.2168699228442262E-2</v>
      </c>
      <c r="EO5" s="520" t="s">
        <v>199</v>
      </c>
      <c r="EQ5" s="521" t="s">
        <v>198</v>
      </c>
    </row>
    <row r="6" spans="1:147">
      <c r="D6" s="643"/>
      <c r="E6" s="651" t="s">
        <v>52</v>
      </c>
      <c r="F6" s="644"/>
      <c r="G6" s="652">
        <f>EE4</f>
        <v>49035000</v>
      </c>
      <c r="AI6" s="654" t="s">
        <v>120</v>
      </c>
      <c r="EB6" s="655" t="s">
        <v>57</v>
      </c>
      <c r="EC6" s="655"/>
      <c r="ED6" s="644"/>
      <c r="EE6" s="644">
        <f>MAX(EB12:EB41)</f>
        <v>146200000</v>
      </c>
      <c r="EI6" s="644">
        <f>MAX(EG12:EG41)</f>
        <v>0</v>
      </c>
      <c r="EM6" s="644"/>
      <c r="EN6" s="644">
        <f>MAX(EK12:EK41)</f>
        <v>146200000</v>
      </c>
    </row>
    <row r="7" spans="1:147">
      <c r="D7" s="643"/>
      <c r="E7" s="651" t="s">
        <v>53</v>
      </c>
      <c r="F7" s="644"/>
      <c r="G7" s="656">
        <f>EE5</f>
        <v>2.2168699228442262E-2</v>
      </c>
    </row>
    <row r="8" spans="1:147" ht="13.5" thickBot="1">
      <c r="D8" s="643"/>
      <c r="E8" s="657" t="s">
        <v>57</v>
      </c>
      <c r="F8" s="658"/>
      <c r="G8" s="659">
        <f>EE6</f>
        <v>146200000</v>
      </c>
      <c r="AI8" s="654" t="s">
        <v>120</v>
      </c>
      <c r="EB8" s="522" t="s">
        <v>54</v>
      </c>
      <c r="EC8" s="522"/>
      <c r="ED8" s="660"/>
      <c r="EE8" s="660"/>
      <c r="EG8" s="522" t="s">
        <v>55</v>
      </c>
      <c r="EH8" s="660"/>
      <c r="EI8" s="660"/>
      <c r="EJ8" s="661"/>
      <c r="EK8" s="522" t="s">
        <v>56</v>
      </c>
      <c r="EL8" s="522"/>
      <c r="EM8" s="660"/>
      <c r="EN8" s="660"/>
    </row>
    <row r="9" spans="1:147" ht="13.5" thickTop="1">
      <c r="AI9" s="523" t="s">
        <v>112</v>
      </c>
      <c r="AL9" s="523" t="s">
        <v>112</v>
      </c>
      <c r="AO9" s="523" t="s">
        <v>112</v>
      </c>
      <c r="AR9" s="523" t="s">
        <v>112</v>
      </c>
      <c r="AU9" s="523" t="s">
        <v>112</v>
      </c>
      <c r="AX9" s="523" t="s">
        <v>112</v>
      </c>
      <c r="BA9" s="523" t="s">
        <v>112</v>
      </c>
      <c r="BD9" s="523" t="s">
        <v>112</v>
      </c>
      <c r="BG9" s="523" t="s">
        <v>112</v>
      </c>
      <c r="BJ9" s="523" t="s">
        <v>112</v>
      </c>
      <c r="BM9" s="523" t="s">
        <v>112</v>
      </c>
      <c r="BP9" s="523" t="s">
        <v>112</v>
      </c>
      <c r="BS9" s="523" t="s">
        <v>112</v>
      </c>
      <c r="BV9" s="523" t="s">
        <v>112</v>
      </c>
      <c r="BY9" s="523" t="s">
        <v>112</v>
      </c>
      <c r="CB9" s="523" t="s">
        <v>112</v>
      </c>
      <c r="CE9" s="523" t="s">
        <v>112</v>
      </c>
      <c r="CH9" s="523" t="s">
        <v>112</v>
      </c>
      <c r="CK9" s="523" t="s">
        <v>112</v>
      </c>
      <c r="CN9" s="523" t="s">
        <v>112</v>
      </c>
      <c r="CQ9" s="523" t="s">
        <v>112</v>
      </c>
      <c r="CT9" s="523" t="s">
        <v>112</v>
      </c>
      <c r="CW9" s="523" t="s">
        <v>112</v>
      </c>
      <c r="CZ9" s="523" t="s">
        <v>112</v>
      </c>
      <c r="DC9" s="523" t="s">
        <v>112</v>
      </c>
      <c r="DF9" s="523" t="s">
        <v>112</v>
      </c>
      <c r="DI9" s="523" t="s">
        <v>112</v>
      </c>
      <c r="DL9" s="523" t="s">
        <v>112</v>
      </c>
      <c r="DO9" s="523" t="s">
        <v>112</v>
      </c>
      <c r="DR9" s="523" t="s">
        <v>112</v>
      </c>
      <c r="EB9" s="662"/>
      <c r="EC9" s="662"/>
      <c r="ED9" s="662"/>
      <c r="EE9" s="662" t="s">
        <v>58</v>
      </c>
      <c r="EG9" s="662"/>
      <c r="EH9" s="524" t="s">
        <v>59</v>
      </c>
      <c r="EI9" s="662" t="s">
        <v>58</v>
      </c>
      <c r="EJ9" s="662"/>
      <c r="EK9" s="521" t="s">
        <v>113</v>
      </c>
      <c r="EL9" s="521" t="s">
        <v>114</v>
      </c>
      <c r="EM9" s="524" t="s">
        <v>60</v>
      </c>
      <c r="EN9" s="662" t="s">
        <v>58</v>
      </c>
    </row>
    <row r="10" spans="1:147">
      <c r="B10" s="663" t="s">
        <v>61</v>
      </c>
      <c r="C10" s="664"/>
      <c r="D10" s="660"/>
      <c r="E10" s="663" t="s">
        <v>62</v>
      </c>
      <c r="F10" s="664"/>
      <c r="G10" s="660"/>
      <c r="H10" s="663" t="s">
        <v>63</v>
      </c>
      <c r="I10" s="664"/>
      <c r="J10" s="660"/>
      <c r="K10" s="663" t="s">
        <v>64</v>
      </c>
      <c r="L10" s="664"/>
      <c r="M10" s="660"/>
      <c r="N10" s="663" t="s">
        <v>65</v>
      </c>
      <c r="O10" s="664"/>
      <c r="P10" s="660"/>
      <c r="Q10" s="663" t="s">
        <v>66</v>
      </c>
      <c r="R10" s="664"/>
      <c r="S10" s="660"/>
      <c r="T10" s="663" t="s">
        <v>67</v>
      </c>
      <c r="U10" s="664"/>
      <c r="V10" s="660"/>
      <c r="W10" s="663" t="s">
        <v>68</v>
      </c>
      <c r="X10" s="664"/>
      <c r="Y10" s="660"/>
      <c r="Z10" s="663" t="s">
        <v>69</v>
      </c>
      <c r="AA10" s="664"/>
      <c r="AB10" s="660"/>
      <c r="AC10" s="525" t="s">
        <v>70</v>
      </c>
      <c r="AD10" s="664"/>
      <c r="AE10" s="660"/>
      <c r="AF10" s="525" t="s">
        <v>71</v>
      </c>
      <c r="AG10" s="664"/>
      <c r="AH10" s="660"/>
      <c r="AI10" s="663" t="s">
        <v>72</v>
      </c>
      <c r="AJ10" s="664"/>
      <c r="AK10" s="660"/>
      <c r="AL10" s="663" t="s">
        <v>73</v>
      </c>
      <c r="AM10" s="664"/>
      <c r="AN10" s="660"/>
      <c r="AO10" s="663" t="s">
        <v>74</v>
      </c>
      <c r="AP10" s="664"/>
      <c r="AQ10" s="660"/>
      <c r="AR10" s="663" t="s">
        <v>75</v>
      </c>
      <c r="AS10" s="664"/>
      <c r="AT10" s="660"/>
      <c r="AU10" s="663" t="s">
        <v>76</v>
      </c>
      <c r="AV10" s="664"/>
      <c r="AW10" s="660"/>
      <c r="AX10" s="663" t="s">
        <v>77</v>
      </c>
      <c r="AY10" s="664"/>
      <c r="AZ10" s="660"/>
      <c r="BA10" s="663" t="s">
        <v>78</v>
      </c>
      <c r="BB10" s="664"/>
      <c r="BC10" s="660"/>
      <c r="BD10" s="663" t="s">
        <v>79</v>
      </c>
      <c r="BE10" s="664"/>
      <c r="BF10" s="660"/>
      <c r="BG10" s="663" t="s">
        <v>80</v>
      </c>
      <c r="BH10" s="664"/>
      <c r="BI10" s="660"/>
      <c r="BJ10" s="663" t="s">
        <v>81</v>
      </c>
      <c r="BK10" s="664"/>
      <c r="BL10" s="660"/>
      <c r="BM10" s="663" t="s">
        <v>82</v>
      </c>
      <c r="BN10" s="664"/>
      <c r="BO10" s="660"/>
      <c r="BP10" s="663" t="s">
        <v>83</v>
      </c>
      <c r="BQ10" s="664"/>
      <c r="BR10" s="660"/>
      <c r="BS10" s="663" t="s">
        <v>84</v>
      </c>
      <c r="BT10" s="664"/>
      <c r="BU10" s="660"/>
      <c r="BV10" s="663" t="s">
        <v>85</v>
      </c>
      <c r="BW10" s="664"/>
      <c r="BX10" s="660"/>
      <c r="BY10" s="663" t="s">
        <v>86</v>
      </c>
      <c r="BZ10" s="664"/>
      <c r="CA10" s="660"/>
      <c r="CB10" s="663" t="s">
        <v>87</v>
      </c>
      <c r="CC10" s="664"/>
      <c r="CD10" s="660"/>
      <c r="CE10" s="663" t="s">
        <v>88</v>
      </c>
      <c r="CF10" s="664"/>
      <c r="CG10" s="660"/>
      <c r="CH10" s="663" t="s">
        <v>89</v>
      </c>
      <c r="CI10" s="664"/>
      <c r="CJ10" s="660"/>
      <c r="CK10" s="663" t="s">
        <v>90</v>
      </c>
      <c r="CL10" s="664"/>
      <c r="CM10" s="660"/>
      <c r="CN10" s="663" t="s">
        <v>91</v>
      </c>
      <c r="CO10" s="664"/>
      <c r="CP10" s="660"/>
      <c r="CQ10" s="663" t="s">
        <v>92</v>
      </c>
      <c r="CR10" s="664"/>
      <c r="CS10" s="660"/>
      <c r="CT10" s="663" t="s">
        <v>93</v>
      </c>
      <c r="CU10" s="664"/>
      <c r="CV10" s="660"/>
      <c r="CW10" s="663" t="s">
        <v>94</v>
      </c>
      <c r="CX10" s="664"/>
      <c r="CY10" s="660"/>
      <c r="CZ10" s="663" t="s">
        <v>95</v>
      </c>
      <c r="DA10" s="664"/>
      <c r="DB10" s="660"/>
      <c r="DC10" s="663" t="s">
        <v>96</v>
      </c>
      <c r="DD10" s="664"/>
      <c r="DE10" s="660"/>
      <c r="DF10" s="663" t="s">
        <v>97</v>
      </c>
      <c r="DG10" s="664"/>
      <c r="DH10" s="660"/>
      <c r="DI10" s="663" t="s">
        <v>98</v>
      </c>
      <c r="DJ10" s="664"/>
      <c r="DK10" s="660"/>
      <c r="DL10" s="663" t="s">
        <v>99</v>
      </c>
      <c r="DM10" s="664"/>
      <c r="DN10" s="660"/>
      <c r="DO10" s="663" t="s">
        <v>100</v>
      </c>
      <c r="DP10" s="664"/>
      <c r="DQ10" s="660"/>
      <c r="DR10" s="663" t="s">
        <v>101</v>
      </c>
      <c r="DS10" s="664"/>
      <c r="DT10" s="660"/>
      <c r="DU10" s="663" t="s">
        <v>102</v>
      </c>
      <c r="DV10" s="664"/>
      <c r="DW10" s="660"/>
      <c r="DX10" s="526" t="s">
        <v>115</v>
      </c>
      <c r="DY10" s="664"/>
      <c r="DZ10" s="660"/>
      <c r="EA10" s="661"/>
      <c r="EB10" s="521" t="s">
        <v>116</v>
      </c>
      <c r="EC10" s="521" t="s">
        <v>117</v>
      </c>
      <c r="ED10" s="662" t="s">
        <v>103</v>
      </c>
      <c r="EE10" s="662" t="s">
        <v>104</v>
      </c>
      <c r="EG10" s="524" t="s">
        <v>105</v>
      </c>
      <c r="EH10" s="662" t="s">
        <v>103</v>
      </c>
      <c r="EI10" s="662" t="s">
        <v>104</v>
      </c>
      <c r="EJ10" s="662"/>
      <c r="EK10" s="524" t="s">
        <v>60</v>
      </c>
      <c r="EL10" s="524" t="s">
        <v>60</v>
      </c>
      <c r="EM10" s="662" t="s">
        <v>103</v>
      </c>
      <c r="EN10" s="662" t="s">
        <v>104</v>
      </c>
    </row>
    <row r="11" spans="1:147">
      <c r="A11" s="662" t="s">
        <v>106</v>
      </c>
      <c r="B11" s="527" t="s">
        <v>107</v>
      </c>
      <c r="C11" s="528" t="s">
        <v>108</v>
      </c>
      <c r="D11" s="529" t="s">
        <v>109</v>
      </c>
      <c r="E11" s="527" t="s">
        <v>107</v>
      </c>
      <c r="F11" s="528" t="s">
        <v>108</v>
      </c>
      <c r="G11" s="529" t="s">
        <v>109</v>
      </c>
      <c r="H11" s="527" t="s">
        <v>107</v>
      </c>
      <c r="I11" s="528" t="s">
        <v>108</v>
      </c>
      <c r="J11" s="529" t="s">
        <v>109</v>
      </c>
      <c r="K11" s="527" t="s">
        <v>107</v>
      </c>
      <c r="L11" s="528" t="s">
        <v>108</v>
      </c>
      <c r="M11" s="529" t="s">
        <v>109</v>
      </c>
      <c r="N11" s="527" t="s">
        <v>107</v>
      </c>
      <c r="O11" s="528" t="s">
        <v>108</v>
      </c>
      <c r="P11" s="529" t="s">
        <v>109</v>
      </c>
      <c r="Q11" s="527" t="s">
        <v>107</v>
      </c>
      <c r="R11" s="528" t="s">
        <v>108</v>
      </c>
      <c r="S11" s="529" t="s">
        <v>109</v>
      </c>
      <c r="T11" s="527" t="s">
        <v>107</v>
      </c>
      <c r="U11" s="528" t="s">
        <v>108</v>
      </c>
      <c r="V11" s="529" t="s">
        <v>109</v>
      </c>
      <c r="W11" s="527" t="s">
        <v>107</v>
      </c>
      <c r="X11" s="528" t="s">
        <v>108</v>
      </c>
      <c r="Y11" s="529" t="s">
        <v>109</v>
      </c>
      <c r="Z11" s="527" t="s">
        <v>107</v>
      </c>
      <c r="AA11" s="528" t="s">
        <v>108</v>
      </c>
      <c r="AB11" s="529" t="s">
        <v>109</v>
      </c>
      <c r="AC11" s="527" t="s">
        <v>107</v>
      </c>
      <c r="AD11" s="528" t="s">
        <v>108</v>
      </c>
      <c r="AE11" s="529" t="s">
        <v>109</v>
      </c>
      <c r="AF11" s="527" t="s">
        <v>107</v>
      </c>
      <c r="AG11" s="528" t="s">
        <v>108</v>
      </c>
      <c r="AH11" s="529" t="s">
        <v>109</v>
      </c>
      <c r="AI11" s="527" t="s">
        <v>107</v>
      </c>
      <c r="AJ11" s="528" t="s">
        <v>108</v>
      </c>
      <c r="AK11" s="529" t="s">
        <v>109</v>
      </c>
      <c r="AL11" s="527" t="s">
        <v>107</v>
      </c>
      <c r="AM11" s="528" t="s">
        <v>108</v>
      </c>
      <c r="AN11" s="529" t="s">
        <v>109</v>
      </c>
      <c r="AO11" s="527" t="s">
        <v>107</v>
      </c>
      <c r="AP11" s="528" t="s">
        <v>108</v>
      </c>
      <c r="AQ11" s="529" t="s">
        <v>109</v>
      </c>
      <c r="AR11" s="527" t="s">
        <v>107</v>
      </c>
      <c r="AS11" s="528" t="s">
        <v>108</v>
      </c>
      <c r="AT11" s="529" t="s">
        <v>109</v>
      </c>
      <c r="AU11" s="527" t="s">
        <v>107</v>
      </c>
      <c r="AV11" s="528" t="s">
        <v>108</v>
      </c>
      <c r="AW11" s="529" t="s">
        <v>109</v>
      </c>
      <c r="AX11" s="527" t="s">
        <v>107</v>
      </c>
      <c r="AY11" s="528" t="s">
        <v>108</v>
      </c>
      <c r="AZ11" s="529" t="s">
        <v>109</v>
      </c>
      <c r="BA11" s="527" t="s">
        <v>107</v>
      </c>
      <c r="BB11" s="528" t="s">
        <v>108</v>
      </c>
      <c r="BC11" s="529" t="s">
        <v>109</v>
      </c>
      <c r="BD11" s="527" t="s">
        <v>107</v>
      </c>
      <c r="BE11" s="528" t="s">
        <v>108</v>
      </c>
      <c r="BF11" s="529" t="s">
        <v>109</v>
      </c>
      <c r="BG11" s="527" t="s">
        <v>107</v>
      </c>
      <c r="BH11" s="528" t="s">
        <v>108</v>
      </c>
      <c r="BI11" s="529" t="s">
        <v>109</v>
      </c>
      <c r="BJ11" s="527" t="s">
        <v>107</v>
      </c>
      <c r="BK11" s="528" t="s">
        <v>108</v>
      </c>
      <c r="BL11" s="529" t="s">
        <v>109</v>
      </c>
      <c r="BM11" s="527" t="s">
        <v>107</v>
      </c>
      <c r="BN11" s="528" t="s">
        <v>108</v>
      </c>
      <c r="BO11" s="529" t="s">
        <v>109</v>
      </c>
      <c r="BP11" s="527" t="s">
        <v>107</v>
      </c>
      <c r="BQ11" s="528" t="s">
        <v>108</v>
      </c>
      <c r="BR11" s="529" t="s">
        <v>109</v>
      </c>
      <c r="BS11" s="527" t="s">
        <v>107</v>
      </c>
      <c r="BT11" s="528" t="s">
        <v>108</v>
      </c>
      <c r="BU11" s="529" t="s">
        <v>109</v>
      </c>
      <c r="BV11" s="527" t="s">
        <v>107</v>
      </c>
      <c r="BW11" s="528" t="s">
        <v>108</v>
      </c>
      <c r="BX11" s="529" t="s">
        <v>109</v>
      </c>
      <c r="BY11" s="527" t="s">
        <v>107</v>
      </c>
      <c r="BZ11" s="528" t="s">
        <v>108</v>
      </c>
      <c r="CA11" s="529" t="s">
        <v>109</v>
      </c>
      <c r="CB11" s="527" t="s">
        <v>107</v>
      </c>
      <c r="CC11" s="528" t="s">
        <v>108</v>
      </c>
      <c r="CD11" s="529" t="s">
        <v>109</v>
      </c>
      <c r="CE11" s="527" t="s">
        <v>107</v>
      </c>
      <c r="CF11" s="528" t="s">
        <v>108</v>
      </c>
      <c r="CG11" s="529" t="s">
        <v>109</v>
      </c>
      <c r="CH11" s="527" t="s">
        <v>107</v>
      </c>
      <c r="CI11" s="528" t="s">
        <v>108</v>
      </c>
      <c r="CJ11" s="529" t="s">
        <v>109</v>
      </c>
      <c r="CK11" s="527" t="s">
        <v>107</v>
      </c>
      <c r="CL11" s="528" t="s">
        <v>108</v>
      </c>
      <c r="CM11" s="529" t="s">
        <v>109</v>
      </c>
      <c r="CN11" s="527" t="s">
        <v>107</v>
      </c>
      <c r="CO11" s="528" t="s">
        <v>108</v>
      </c>
      <c r="CP11" s="529" t="s">
        <v>109</v>
      </c>
      <c r="CQ11" s="527" t="s">
        <v>107</v>
      </c>
      <c r="CR11" s="528" t="s">
        <v>108</v>
      </c>
      <c r="CS11" s="529" t="s">
        <v>109</v>
      </c>
      <c r="CT11" s="527" t="s">
        <v>107</v>
      </c>
      <c r="CU11" s="528" t="s">
        <v>108</v>
      </c>
      <c r="CV11" s="529" t="s">
        <v>109</v>
      </c>
      <c r="CW11" s="527" t="s">
        <v>107</v>
      </c>
      <c r="CX11" s="528" t="s">
        <v>108</v>
      </c>
      <c r="CY11" s="529" t="s">
        <v>109</v>
      </c>
      <c r="CZ11" s="527" t="s">
        <v>107</v>
      </c>
      <c r="DA11" s="528" t="s">
        <v>108</v>
      </c>
      <c r="DB11" s="529" t="s">
        <v>109</v>
      </c>
      <c r="DC11" s="527" t="s">
        <v>107</v>
      </c>
      <c r="DD11" s="528" t="s">
        <v>108</v>
      </c>
      <c r="DE11" s="529" t="s">
        <v>109</v>
      </c>
      <c r="DF11" s="527" t="s">
        <v>107</v>
      </c>
      <c r="DG11" s="528" t="s">
        <v>108</v>
      </c>
      <c r="DH11" s="529" t="s">
        <v>109</v>
      </c>
      <c r="DI11" s="527" t="s">
        <v>107</v>
      </c>
      <c r="DJ11" s="528" t="s">
        <v>108</v>
      </c>
      <c r="DK11" s="529" t="s">
        <v>109</v>
      </c>
      <c r="DL11" s="527" t="s">
        <v>107</v>
      </c>
      <c r="DM11" s="528" t="s">
        <v>108</v>
      </c>
      <c r="DN11" s="529" t="s">
        <v>109</v>
      </c>
      <c r="DO11" s="527" t="s">
        <v>107</v>
      </c>
      <c r="DP11" s="528" t="s">
        <v>108</v>
      </c>
      <c r="DQ11" s="529" t="s">
        <v>109</v>
      </c>
      <c r="DR11" s="527" t="s">
        <v>107</v>
      </c>
      <c r="DS11" s="528" t="s">
        <v>108</v>
      </c>
      <c r="DT11" s="529" t="s">
        <v>109</v>
      </c>
      <c r="DU11" s="527" t="s">
        <v>107</v>
      </c>
      <c r="DV11" s="528" t="s">
        <v>108</v>
      </c>
      <c r="DW11" s="529" t="s">
        <v>109</v>
      </c>
      <c r="DX11" s="527" t="s">
        <v>107</v>
      </c>
      <c r="DY11" s="528"/>
      <c r="DZ11" s="529"/>
      <c r="EA11" s="529"/>
      <c r="EB11" s="529" t="s">
        <v>110</v>
      </c>
      <c r="EC11" s="529" t="s">
        <v>110</v>
      </c>
      <c r="ED11" s="529" t="s">
        <v>109</v>
      </c>
      <c r="EE11" s="530" t="s">
        <v>108</v>
      </c>
      <c r="EG11" s="529" t="s">
        <v>110</v>
      </c>
      <c r="EH11" s="529" t="s">
        <v>109</v>
      </c>
      <c r="EI11" s="530" t="s">
        <v>108</v>
      </c>
      <c r="EJ11" s="530"/>
      <c r="EK11" s="529" t="s">
        <v>110</v>
      </c>
      <c r="EL11" s="529" t="s">
        <v>110</v>
      </c>
      <c r="EM11" s="529" t="s">
        <v>109</v>
      </c>
      <c r="EN11" s="530" t="s">
        <v>108</v>
      </c>
    </row>
    <row r="12" spans="1:147">
      <c r="A12" s="665">
        <v>43709</v>
      </c>
      <c r="D12" s="646">
        <f>(B12*C12)/360</f>
        <v>0</v>
      </c>
      <c r="G12" s="646">
        <f>(E12*F12)/360</f>
        <v>0</v>
      </c>
      <c r="J12" s="646">
        <f>(H12*I12)/360</f>
        <v>0</v>
      </c>
      <c r="M12" s="646">
        <f>(K12*L12)/360</f>
        <v>0</v>
      </c>
      <c r="P12" s="646">
        <f>(N12*O12)/360</f>
        <v>0</v>
      </c>
      <c r="S12" s="646">
        <f>(Q12*R12)/360</f>
        <v>0</v>
      </c>
      <c r="V12" s="646">
        <f>(T12*U12)/360</f>
        <v>0</v>
      </c>
      <c r="Y12" s="646">
        <f>(W12*X12)/360</f>
        <v>0</v>
      </c>
      <c r="AB12" s="646">
        <f>(Z12*AA12)/360</f>
        <v>0</v>
      </c>
      <c r="AE12" s="646">
        <v>0</v>
      </c>
      <c r="AH12" s="646">
        <v>0</v>
      </c>
      <c r="AI12" s="666"/>
      <c r="AJ12" s="667"/>
      <c r="AK12" s="646">
        <f>(AI12*AJ12)/360</f>
        <v>0</v>
      </c>
      <c r="AN12" s="646">
        <f>(AL12*AM12)/360</f>
        <v>0</v>
      </c>
      <c r="AQ12" s="646">
        <f>(AO12*AP12)/360</f>
        <v>0</v>
      </c>
      <c r="AT12" s="646">
        <f>(AR12*AS12)/360</f>
        <v>0</v>
      </c>
      <c r="AW12" s="646">
        <f>(AU12*AV12)/360</f>
        <v>0</v>
      </c>
      <c r="AZ12" s="646">
        <f>(AX12*AY12)/360</f>
        <v>0</v>
      </c>
      <c r="BC12" s="646">
        <f>(BA12*BB12)/360</f>
        <v>0</v>
      </c>
      <c r="BF12" s="646">
        <f>(BD12*BE12)/360</f>
        <v>0</v>
      </c>
      <c r="BI12" s="646">
        <f>(BG12*BH12)/360</f>
        <v>0</v>
      </c>
      <c r="BL12" s="646">
        <f>(BJ12*BK12)/360</f>
        <v>0</v>
      </c>
      <c r="BO12" s="646">
        <f>(BM12*BN12)/360</f>
        <v>0</v>
      </c>
      <c r="BR12" s="646">
        <f>(BP12*BQ12)/360</f>
        <v>0</v>
      </c>
      <c r="BU12" s="646">
        <f>(BS12*BT12)/360</f>
        <v>0</v>
      </c>
      <c r="BX12" s="646">
        <f>(BV12*BW12)/360</f>
        <v>0</v>
      </c>
      <c r="CA12" s="646">
        <f>(BY12*BZ12)/360</f>
        <v>0</v>
      </c>
      <c r="CD12" s="646">
        <f>(CB12*CC12)/360</f>
        <v>0</v>
      </c>
      <c r="CG12" s="646">
        <f>(CE12*CF12)/360</f>
        <v>0</v>
      </c>
      <c r="CJ12" s="646">
        <f>(CH12*CI12)/360</f>
        <v>0</v>
      </c>
      <c r="CM12" s="646">
        <f>(CK12*CL12)/360</f>
        <v>0</v>
      </c>
      <c r="CP12" s="646">
        <f>(CN12*CO12)/360</f>
        <v>0</v>
      </c>
      <c r="CS12" s="646">
        <f>(CQ12*CR12)/360</f>
        <v>0</v>
      </c>
      <c r="CV12" s="646">
        <f>(CT12*CU12)/360</f>
        <v>0</v>
      </c>
      <c r="CY12" s="646">
        <f>(CW12*CX12)/360</f>
        <v>0</v>
      </c>
      <c r="DB12" s="646">
        <f>(CZ12*DA12)/360</f>
        <v>0</v>
      </c>
      <c r="DE12" s="646">
        <f>(DC12*DD12)/360</f>
        <v>0</v>
      </c>
      <c r="DH12" s="646">
        <f>(DF12*DG12)/360</f>
        <v>0</v>
      </c>
      <c r="DK12" s="646">
        <f>(DI12*DJ12)/360</f>
        <v>0</v>
      </c>
      <c r="DN12" s="646">
        <f>(DL12*DM12)/360</f>
        <v>0</v>
      </c>
      <c r="DQ12" s="646">
        <f>(DO12*DP12)/360</f>
        <v>0</v>
      </c>
      <c r="DT12" s="646">
        <f>(DR12*DS12)/360</f>
        <v>0</v>
      </c>
      <c r="DW12" s="646">
        <f>(DU12*DV12)/360</f>
        <v>0</v>
      </c>
      <c r="DZ12" s="646"/>
      <c r="EA12" s="646"/>
      <c r="EB12" s="531">
        <f>B12+E12+H12+K12+N12+Q12+T12+W12+Z12+AC12+AF12+AL12+AO12+AR12+AU12+AX12+BA12+BD12+BG12+DU12+AI12+DR12+DO12+DL12+DI12+DF12+DC12+CZ12+CW12+CT12+CQ12+CN12+CK12+CH12+CE12+CB12+BY12+BV12+BS12+BP12+BM12+BJ12</f>
        <v>0</v>
      </c>
      <c r="EC12" s="531">
        <f>EB12-EK12+EL12</f>
        <v>0</v>
      </c>
      <c r="ED12" s="646">
        <f>D12+G12+J12+M12+P12+S12+V12+Y12+AB12+AE12+AH12+AK12+AN12+AQ12+AT12+AW12+AZ12+BC12+BF12+BI12+DW12+DT12+DQ12+DN12+DK12+DH12+DE12+DB12+CY12+CV12+CS12+CP12+CM12+CJ12+CG12+CD12+CA12+BX12+BU12+BR12+BO12+BL12</f>
        <v>0</v>
      </c>
      <c r="EE12" s="647">
        <f>IF(EB12&lt;&gt;0,((ED12/EB12)*360),0)</f>
        <v>0</v>
      </c>
      <c r="EG12" s="531">
        <f>Q12+T12+W12+Z12+AC12+AF12</f>
        <v>0</v>
      </c>
      <c r="EH12" s="646">
        <f>S12+V12+Y12+AB12+AE12+AH12</f>
        <v>0</v>
      </c>
      <c r="EI12" s="647">
        <f>IF(EG12&lt;&gt;0,((EH12/EG12)*360),0)</f>
        <v>0</v>
      </c>
      <c r="EJ12" s="647"/>
      <c r="EK12" s="531">
        <f>DR12+DL12+DI12+DF12+DC12+CZ12+CW12+CT12+CQ12+CN12+CK12+CH12+CE12+CB12+BY12+BV12+BS12+BP12+BM12+BJ12+BG12+BD12+BA12+AX12+AU12+AR12+AO12+AL12+AI12+DO12</f>
        <v>0</v>
      </c>
      <c r="EL12" s="531">
        <f>DX12</f>
        <v>0</v>
      </c>
      <c r="EM12" s="531">
        <f>DT12+DQ12+DN12+DK12+DH12+DE12+DB12+CY12+CV12+CS12+CP12+CM12+CJ12+CG12+CD12+CA12+BX12+BU12+BR12+BO12+BL12+BI12+BF12+BC12+AZ12+AW12+AT12+AQ12+AN12+AK12</f>
        <v>0</v>
      </c>
      <c r="EN12" s="647">
        <f>IF(EK12&lt;&gt;0,((EM12/EK12)*360),0)</f>
        <v>0</v>
      </c>
    </row>
    <row r="13" spans="1:147">
      <c r="A13" s="665">
        <f>1+A12</f>
        <v>43710</v>
      </c>
      <c r="D13" s="646">
        <f t="shared" ref="D13:D41" si="0">(B13*C13)/360</f>
        <v>0</v>
      </c>
      <c r="G13" s="646">
        <f t="shared" ref="G13:G41" si="1">(E13*F13)/360</f>
        <v>0</v>
      </c>
      <c r="J13" s="646">
        <f t="shared" ref="J13:J41" si="2">(H13*I13)/360</f>
        <v>0</v>
      </c>
      <c r="M13" s="646">
        <f t="shared" ref="M13:M41" si="3">(K13*L13)/360</f>
        <v>0</v>
      </c>
      <c r="P13" s="646">
        <f t="shared" ref="P13:P41" si="4">(N13*O13)/360</f>
        <v>0</v>
      </c>
      <c r="S13" s="646">
        <f t="shared" ref="S13:S41" si="5">(Q13*R13)/360</f>
        <v>0</v>
      </c>
      <c r="V13" s="646">
        <f t="shared" ref="V13:V41" si="6">(T13*U13)/360</f>
        <v>0</v>
      </c>
      <c r="Y13" s="646">
        <f t="shared" ref="Y13:Y41" si="7">(W13*X13)/360</f>
        <v>0</v>
      </c>
      <c r="AB13" s="646">
        <f t="shared" ref="AB13:AB41" si="8">(Z13*AA13)/360</f>
        <v>0</v>
      </c>
      <c r="AE13" s="646">
        <v>0</v>
      </c>
      <c r="AH13" s="646">
        <v>0</v>
      </c>
      <c r="AI13" s="666"/>
      <c r="AJ13" s="667"/>
      <c r="AK13" s="646">
        <f t="shared" ref="AK13:AK41" si="9">(AI13*AJ13)/360</f>
        <v>0</v>
      </c>
      <c r="AN13" s="646">
        <f t="shared" ref="AN13:AN41" si="10">(AL13*AM13)/360</f>
        <v>0</v>
      </c>
      <c r="AQ13" s="646">
        <f t="shared" ref="AQ13:AQ41" si="11">(AO13*AP13)/360</f>
        <v>0</v>
      </c>
      <c r="AT13" s="646">
        <f t="shared" ref="AT13:AT41" si="12">(AR13*AS13)/360</f>
        <v>0</v>
      </c>
      <c r="AW13" s="646">
        <f t="shared" ref="AW13:AW41" si="13">(AU13*AV13)/360</f>
        <v>0</v>
      </c>
      <c r="AZ13" s="646">
        <f t="shared" ref="AZ13:AZ41" si="14">(AX13*AY13)/360</f>
        <v>0</v>
      </c>
      <c r="BC13" s="646">
        <f t="shared" ref="BC13:BC41" si="15">(BA13*BB13)/360</f>
        <v>0</v>
      </c>
      <c r="BF13" s="646">
        <f t="shared" ref="BF13:BF41" si="16">(BD13*BE13)/360</f>
        <v>0</v>
      </c>
      <c r="BI13" s="646">
        <f t="shared" ref="BI13:BI41" si="17">(BG13*BH13)/360</f>
        <v>0</v>
      </c>
      <c r="BL13" s="646">
        <f t="shared" ref="BL13:BL41" si="18">(BJ13*BK13)/360</f>
        <v>0</v>
      </c>
      <c r="BO13" s="646">
        <f t="shared" ref="BO13:BO41" si="19">(BM13*BN13)/360</f>
        <v>0</v>
      </c>
      <c r="BR13" s="646">
        <f t="shared" ref="BR13:BR41" si="20">(BP13*BQ13)/360</f>
        <v>0</v>
      </c>
      <c r="BU13" s="646">
        <f t="shared" ref="BU13:BU41" si="21">(BS13*BT13)/360</f>
        <v>0</v>
      </c>
      <c r="BX13" s="646">
        <f t="shared" ref="BX13:BX41" si="22">(BV13*BW13)/360</f>
        <v>0</v>
      </c>
      <c r="CA13" s="646">
        <f t="shared" ref="CA13:CA41" si="23">(BY13*BZ13)/360</f>
        <v>0</v>
      </c>
      <c r="CD13" s="646">
        <f t="shared" ref="CD13:CD41" si="24">(CB13*CC13)/360</f>
        <v>0</v>
      </c>
      <c r="CG13" s="646">
        <f t="shared" ref="CG13:CG41" si="25">(CE13*CF13)/360</f>
        <v>0</v>
      </c>
      <c r="CJ13" s="646">
        <f t="shared" ref="CJ13:CJ41" si="26">(CH13*CI13)/360</f>
        <v>0</v>
      </c>
      <c r="CM13" s="646">
        <f t="shared" ref="CM13:CM41" si="27">(CK13*CL13)/360</f>
        <v>0</v>
      </c>
      <c r="CP13" s="646">
        <f t="shared" ref="CP13:CP41" si="28">(CN13*CO13)/360</f>
        <v>0</v>
      </c>
      <c r="CS13" s="646">
        <f t="shared" ref="CS13:CS41" si="29">(CQ13*CR13)/360</f>
        <v>0</v>
      </c>
      <c r="CV13" s="646">
        <f t="shared" ref="CV13:CV41" si="30">(CT13*CU13)/360</f>
        <v>0</v>
      </c>
      <c r="CY13" s="646">
        <f t="shared" ref="CY13:CY41" si="31">(CW13*CX13)/360</f>
        <v>0</v>
      </c>
      <c r="DB13" s="646">
        <f t="shared" ref="DB13:DB41" si="32">(CZ13*DA13)/360</f>
        <v>0</v>
      </c>
      <c r="DE13" s="646">
        <f t="shared" ref="DE13:DE41" si="33">(DC13*DD13)/360</f>
        <v>0</v>
      </c>
      <c r="DH13" s="646">
        <f t="shared" ref="DH13:DH41" si="34">(DF13*DG13)/360</f>
        <v>0</v>
      </c>
      <c r="DK13" s="646">
        <f t="shared" ref="DK13:DK41" si="35">(DI13*DJ13)/360</f>
        <v>0</v>
      </c>
      <c r="DN13" s="646">
        <f t="shared" ref="DN13:DN41" si="36">(DL13*DM13)/360</f>
        <v>0</v>
      </c>
      <c r="DQ13" s="646">
        <f t="shared" ref="DQ13:DQ41" si="37">(DO13*DP13)/360</f>
        <v>0</v>
      </c>
      <c r="DT13" s="646">
        <f t="shared" ref="DT13:DT41" si="38">(DR13*DS13)/360</f>
        <v>0</v>
      </c>
      <c r="DW13" s="646">
        <f t="shared" ref="DW13:DW41" si="39">(DU13*DV13)/360</f>
        <v>0</v>
      </c>
      <c r="DZ13" s="646"/>
      <c r="EA13" s="646"/>
      <c r="EB13" s="531">
        <f t="shared" ref="EB13:EB41" si="40">B13+E13+H13+K13+N13+Q13+T13+W13+Z13+AC13+AF13+AL13+AO13+AR13+AU13+AX13+BA13+BD13+BG13+DU13+AI13+DR13+DO13+DL13+DI13+DF13+DC13+CZ13+CW13+CT13+CQ13+CN13+CK13+CH13+CE13+CB13+BY13+BV13+BS13+BP13+BM13+BJ13</f>
        <v>0</v>
      </c>
      <c r="EC13" s="531">
        <f t="shared" ref="EC13:EC41" si="41">EB13-EK13+EL13</f>
        <v>0</v>
      </c>
      <c r="ED13" s="646">
        <f t="shared" ref="ED13:ED41" si="42">D13+G13+J13+M13+P13+S13+V13+Y13+AB13+AE13+AH13+AK13+AN13+AQ13+AT13+AW13+AZ13+BC13+BF13+BI13+DW13+DT13+DQ13+DN13+DK13+DH13+DE13+DB13+CY13+CV13+CS13+CP13+CM13+CJ13+CG13+CD13+CA13+BX13+BU13+BR13+BO13+BL13</f>
        <v>0</v>
      </c>
      <c r="EE13" s="647">
        <f t="shared" ref="EE13:EE41" si="43">IF(EB13&lt;&gt;0,((ED13/EB13)*360),0)</f>
        <v>0</v>
      </c>
      <c r="EG13" s="531">
        <f t="shared" ref="EG13:EG41" si="44">Q13+T13+W13+Z13+AC13+AF13</f>
        <v>0</v>
      </c>
      <c r="EH13" s="646">
        <f t="shared" ref="EH13:EH41" si="45">S13+V13+Y13+AB13+AE13+AH13</f>
        <v>0</v>
      </c>
      <c r="EI13" s="647">
        <f t="shared" ref="EI13:EI41" si="46">IF(EG13&lt;&gt;0,((EH13/EG13)*360),0)</f>
        <v>0</v>
      </c>
      <c r="EJ13" s="647"/>
      <c r="EK13" s="531">
        <f t="shared" ref="EK13:EK41" si="47">DR13+DL13+DI13+DF13+DC13+CZ13+CW13+CT13+CQ13+CN13+CK13+CH13+CE13+CB13+BY13+BV13+BS13+BP13+BM13+BJ13+BG13+BD13+BA13+AX13+AU13+AR13+AO13+AL13+AI13+DO13</f>
        <v>0</v>
      </c>
      <c r="EL13" s="531">
        <f t="shared" ref="EL13:EL41" si="48">DX13</f>
        <v>0</v>
      </c>
      <c r="EM13" s="531">
        <f t="shared" ref="EM13:EM41" si="49">DT13+DQ13+DN13+DK13+DH13+DE13+DB13+CY13+CV13+CS13+CP13+CM13+CJ13+CG13+CD13+CA13+BX13+BU13+BR13+BO13+BL13+BI13+BF13+BC13+AZ13+AW13+AT13+AQ13+AN13+AK13</f>
        <v>0</v>
      </c>
      <c r="EN13" s="647">
        <f t="shared" ref="EN13:EN41" si="50">IF(EK13&lt;&gt;0,((EM13/EK13)*360),0)</f>
        <v>0</v>
      </c>
    </row>
    <row r="14" spans="1:147">
      <c r="A14" s="665">
        <f t="shared" ref="A14:A41" si="51">1+A13</f>
        <v>43711</v>
      </c>
      <c r="D14" s="646">
        <f t="shared" si="0"/>
        <v>0</v>
      </c>
      <c r="G14" s="646">
        <f t="shared" si="1"/>
        <v>0</v>
      </c>
      <c r="J14" s="646">
        <f t="shared" si="2"/>
        <v>0</v>
      </c>
      <c r="M14" s="646">
        <f t="shared" si="3"/>
        <v>0</v>
      </c>
      <c r="P14" s="646">
        <f t="shared" si="4"/>
        <v>0</v>
      </c>
      <c r="S14" s="646">
        <f t="shared" si="5"/>
        <v>0</v>
      </c>
      <c r="V14" s="646">
        <f t="shared" si="6"/>
        <v>0</v>
      </c>
      <c r="Y14" s="646">
        <f t="shared" si="7"/>
        <v>0</v>
      </c>
      <c r="AB14" s="646">
        <f t="shared" si="8"/>
        <v>0</v>
      </c>
      <c r="AE14" s="646">
        <v>0</v>
      </c>
      <c r="AH14" s="646">
        <v>0</v>
      </c>
      <c r="AI14" s="666"/>
      <c r="AJ14" s="667"/>
      <c r="AK14" s="646">
        <f t="shared" si="9"/>
        <v>0</v>
      </c>
      <c r="AN14" s="646">
        <f t="shared" si="10"/>
        <v>0</v>
      </c>
      <c r="AQ14" s="646">
        <f t="shared" si="11"/>
        <v>0</v>
      </c>
      <c r="AT14" s="646">
        <f t="shared" si="12"/>
        <v>0</v>
      </c>
      <c r="AW14" s="646">
        <f t="shared" si="13"/>
        <v>0</v>
      </c>
      <c r="AZ14" s="646">
        <f t="shared" si="14"/>
        <v>0</v>
      </c>
      <c r="BC14" s="646">
        <f t="shared" si="15"/>
        <v>0</v>
      </c>
      <c r="BF14" s="646">
        <f t="shared" si="16"/>
        <v>0</v>
      </c>
      <c r="BI14" s="646">
        <f t="shared" si="17"/>
        <v>0</v>
      </c>
      <c r="BL14" s="646">
        <f t="shared" si="18"/>
        <v>0</v>
      </c>
      <c r="BO14" s="646">
        <f t="shared" si="19"/>
        <v>0</v>
      </c>
      <c r="BR14" s="646">
        <f t="shared" si="20"/>
        <v>0</v>
      </c>
      <c r="BU14" s="646">
        <f t="shared" si="21"/>
        <v>0</v>
      </c>
      <c r="BX14" s="646">
        <f t="shared" si="22"/>
        <v>0</v>
      </c>
      <c r="CA14" s="646">
        <f t="shared" si="23"/>
        <v>0</v>
      </c>
      <c r="CD14" s="646">
        <f t="shared" si="24"/>
        <v>0</v>
      </c>
      <c r="CG14" s="646">
        <f t="shared" si="25"/>
        <v>0</v>
      </c>
      <c r="CJ14" s="646">
        <f t="shared" si="26"/>
        <v>0</v>
      </c>
      <c r="CM14" s="646">
        <f t="shared" si="27"/>
        <v>0</v>
      </c>
      <c r="CP14" s="646">
        <f t="shared" si="28"/>
        <v>0</v>
      </c>
      <c r="CS14" s="646">
        <f t="shared" si="29"/>
        <v>0</v>
      </c>
      <c r="CV14" s="646">
        <f t="shared" si="30"/>
        <v>0</v>
      </c>
      <c r="CY14" s="646">
        <f t="shared" si="31"/>
        <v>0</v>
      </c>
      <c r="DB14" s="646">
        <f t="shared" si="32"/>
        <v>0</v>
      </c>
      <c r="DE14" s="646">
        <f t="shared" si="33"/>
        <v>0</v>
      </c>
      <c r="DH14" s="646">
        <f t="shared" si="34"/>
        <v>0</v>
      </c>
      <c r="DK14" s="646">
        <f t="shared" si="35"/>
        <v>0</v>
      </c>
      <c r="DN14" s="646">
        <f t="shared" si="36"/>
        <v>0</v>
      </c>
      <c r="DQ14" s="646">
        <f t="shared" si="37"/>
        <v>0</v>
      </c>
      <c r="DT14" s="646">
        <f t="shared" si="38"/>
        <v>0</v>
      </c>
      <c r="DW14" s="646">
        <f t="shared" si="39"/>
        <v>0</v>
      </c>
      <c r="DZ14" s="646"/>
      <c r="EA14" s="646"/>
      <c r="EB14" s="531">
        <f t="shared" si="40"/>
        <v>0</v>
      </c>
      <c r="EC14" s="531">
        <f t="shared" si="41"/>
        <v>0</v>
      </c>
      <c r="ED14" s="646">
        <f t="shared" si="42"/>
        <v>0</v>
      </c>
      <c r="EE14" s="647">
        <f t="shared" si="43"/>
        <v>0</v>
      </c>
      <c r="EG14" s="531">
        <f t="shared" si="44"/>
        <v>0</v>
      </c>
      <c r="EH14" s="646">
        <f t="shared" si="45"/>
        <v>0</v>
      </c>
      <c r="EI14" s="647">
        <f t="shared" si="46"/>
        <v>0</v>
      </c>
      <c r="EJ14" s="647"/>
      <c r="EK14" s="531">
        <f t="shared" si="47"/>
        <v>0</v>
      </c>
      <c r="EL14" s="531">
        <f t="shared" si="48"/>
        <v>0</v>
      </c>
      <c r="EM14" s="531">
        <f t="shared" si="49"/>
        <v>0</v>
      </c>
      <c r="EN14" s="647">
        <f t="shared" si="50"/>
        <v>0</v>
      </c>
    </row>
    <row r="15" spans="1:147">
      <c r="A15" s="665">
        <f t="shared" si="51"/>
        <v>43712</v>
      </c>
      <c r="D15" s="646">
        <f t="shared" si="0"/>
        <v>0</v>
      </c>
      <c r="G15" s="646">
        <f t="shared" si="1"/>
        <v>0</v>
      </c>
      <c r="J15" s="646">
        <f t="shared" si="2"/>
        <v>0</v>
      </c>
      <c r="M15" s="646">
        <f t="shared" si="3"/>
        <v>0</v>
      </c>
      <c r="P15" s="646">
        <f t="shared" si="4"/>
        <v>0</v>
      </c>
      <c r="S15" s="646">
        <f t="shared" si="5"/>
        <v>0</v>
      </c>
      <c r="V15" s="646">
        <f t="shared" si="6"/>
        <v>0</v>
      </c>
      <c r="Y15" s="646">
        <f t="shared" si="7"/>
        <v>0</v>
      </c>
      <c r="AB15" s="646">
        <f t="shared" si="8"/>
        <v>0</v>
      </c>
      <c r="AE15" s="646">
        <v>0</v>
      </c>
      <c r="AH15" s="646">
        <v>0</v>
      </c>
      <c r="AI15" s="666"/>
      <c r="AJ15" s="667"/>
      <c r="AK15" s="646">
        <f t="shared" si="9"/>
        <v>0</v>
      </c>
      <c r="AN15" s="646">
        <f t="shared" si="10"/>
        <v>0</v>
      </c>
      <c r="AQ15" s="646">
        <f t="shared" si="11"/>
        <v>0</v>
      </c>
      <c r="AT15" s="646">
        <f t="shared" si="12"/>
        <v>0</v>
      </c>
      <c r="AW15" s="646">
        <f t="shared" si="13"/>
        <v>0</v>
      </c>
      <c r="AZ15" s="646">
        <f t="shared" si="14"/>
        <v>0</v>
      </c>
      <c r="BC15" s="646">
        <f t="shared" si="15"/>
        <v>0</v>
      </c>
      <c r="BF15" s="646">
        <f t="shared" si="16"/>
        <v>0</v>
      </c>
      <c r="BI15" s="646">
        <f t="shared" si="17"/>
        <v>0</v>
      </c>
      <c r="BL15" s="646">
        <f t="shared" si="18"/>
        <v>0</v>
      </c>
      <c r="BO15" s="646">
        <f t="shared" si="19"/>
        <v>0</v>
      </c>
      <c r="BR15" s="646">
        <f t="shared" si="20"/>
        <v>0</v>
      </c>
      <c r="BU15" s="646">
        <f t="shared" si="21"/>
        <v>0</v>
      </c>
      <c r="BX15" s="646">
        <f t="shared" si="22"/>
        <v>0</v>
      </c>
      <c r="CA15" s="646">
        <f t="shared" si="23"/>
        <v>0</v>
      </c>
      <c r="CD15" s="646">
        <f t="shared" si="24"/>
        <v>0</v>
      </c>
      <c r="CG15" s="646">
        <f t="shared" si="25"/>
        <v>0</v>
      </c>
      <c r="CJ15" s="646">
        <f t="shared" si="26"/>
        <v>0</v>
      </c>
      <c r="CM15" s="646">
        <f t="shared" si="27"/>
        <v>0</v>
      </c>
      <c r="CP15" s="646">
        <f t="shared" si="28"/>
        <v>0</v>
      </c>
      <c r="CS15" s="646">
        <f t="shared" si="29"/>
        <v>0</v>
      </c>
      <c r="CV15" s="646">
        <f t="shared" si="30"/>
        <v>0</v>
      </c>
      <c r="CY15" s="646">
        <f t="shared" si="31"/>
        <v>0</v>
      </c>
      <c r="DB15" s="646">
        <f t="shared" si="32"/>
        <v>0</v>
      </c>
      <c r="DE15" s="646">
        <f t="shared" si="33"/>
        <v>0</v>
      </c>
      <c r="DH15" s="646">
        <f t="shared" si="34"/>
        <v>0</v>
      </c>
      <c r="DK15" s="646">
        <f t="shared" si="35"/>
        <v>0</v>
      </c>
      <c r="DN15" s="646">
        <f t="shared" si="36"/>
        <v>0</v>
      </c>
      <c r="DQ15" s="646">
        <f t="shared" si="37"/>
        <v>0</v>
      </c>
      <c r="DT15" s="646">
        <f t="shared" si="38"/>
        <v>0</v>
      </c>
      <c r="DW15" s="646">
        <f t="shared" si="39"/>
        <v>0</v>
      </c>
      <c r="DZ15" s="646"/>
      <c r="EA15" s="646"/>
      <c r="EB15" s="531">
        <f t="shared" si="40"/>
        <v>0</v>
      </c>
      <c r="EC15" s="531">
        <f t="shared" si="41"/>
        <v>0</v>
      </c>
      <c r="ED15" s="646">
        <f t="shared" si="42"/>
        <v>0</v>
      </c>
      <c r="EE15" s="647">
        <f t="shared" si="43"/>
        <v>0</v>
      </c>
      <c r="EG15" s="531">
        <f t="shared" si="44"/>
        <v>0</v>
      </c>
      <c r="EH15" s="646">
        <f t="shared" si="45"/>
        <v>0</v>
      </c>
      <c r="EI15" s="647">
        <f t="shared" si="46"/>
        <v>0</v>
      </c>
      <c r="EJ15" s="647"/>
      <c r="EK15" s="531">
        <f t="shared" si="47"/>
        <v>0</v>
      </c>
      <c r="EL15" s="531">
        <f t="shared" si="48"/>
        <v>0</v>
      </c>
      <c r="EM15" s="531">
        <f t="shared" si="49"/>
        <v>0</v>
      </c>
      <c r="EN15" s="647">
        <f t="shared" si="50"/>
        <v>0</v>
      </c>
    </row>
    <row r="16" spans="1:147">
      <c r="A16" s="665">
        <f t="shared" si="51"/>
        <v>43713</v>
      </c>
      <c r="D16" s="646">
        <f t="shared" si="0"/>
        <v>0</v>
      </c>
      <c r="G16" s="646">
        <f t="shared" si="1"/>
        <v>0</v>
      </c>
      <c r="J16" s="646">
        <f t="shared" si="2"/>
        <v>0</v>
      </c>
      <c r="M16" s="646">
        <f t="shared" si="3"/>
        <v>0</v>
      </c>
      <c r="P16" s="646">
        <f t="shared" si="4"/>
        <v>0</v>
      </c>
      <c r="S16" s="646">
        <f t="shared" si="5"/>
        <v>0</v>
      </c>
      <c r="V16" s="646">
        <f t="shared" si="6"/>
        <v>0</v>
      </c>
      <c r="Y16" s="646">
        <f t="shared" si="7"/>
        <v>0</v>
      </c>
      <c r="AB16" s="646">
        <f t="shared" si="8"/>
        <v>0</v>
      </c>
      <c r="AE16" s="646">
        <v>0</v>
      </c>
      <c r="AH16" s="646">
        <v>0</v>
      </c>
      <c r="AI16" s="666"/>
      <c r="AJ16" s="667"/>
      <c r="AK16" s="646">
        <f t="shared" si="9"/>
        <v>0</v>
      </c>
      <c r="AN16" s="646">
        <f t="shared" si="10"/>
        <v>0</v>
      </c>
      <c r="AQ16" s="646">
        <f t="shared" si="11"/>
        <v>0</v>
      </c>
      <c r="AT16" s="646">
        <f t="shared" si="12"/>
        <v>0</v>
      </c>
      <c r="AW16" s="646">
        <f t="shared" si="13"/>
        <v>0</v>
      </c>
      <c r="AZ16" s="646">
        <f t="shared" si="14"/>
        <v>0</v>
      </c>
      <c r="BC16" s="646">
        <f t="shared" si="15"/>
        <v>0</v>
      </c>
      <c r="BF16" s="646">
        <f t="shared" si="16"/>
        <v>0</v>
      </c>
      <c r="BI16" s="646">
        <f t="shared" si="17"/>
        <v>0</v>
      </c>
      <c r="BL16" s="646">
        <f t="shared" si="18"/>
        <v>0</v>
      </c>
      <c r="BO16" s="646">
        <f t="shared" si="19"/>
        <v>0</v>
      </c>
      <c r="BR16" s="646">
        <f t="shared" si="20"/>
        <v>0</v>
      </c>
      <c r="BU16" s="646">
        <f t="shared" si="21"/>
        <v>0</v>
      </c>
      <c r="BX16" s="646">
        <f t="shared" si="22"/>
        <v>0</v>
      </c>
      <c r="CA16" s="646">
        <f t="shared" si="23"/>
        <v>0</v>
      </c>
      <c r="CD16" s="646">
        <f t="shared" si="24"/>
        <v>0</v>
      </c>
      <c r="CG16" s="646">
        <f t="shared" si="25"/>
        <v>0</v>
      </c>
      <c r="CJ16" s="646">
        <f t="shared" si="26"/>
        <v>0</v>
      </c>
      <c r="CM16" s="646">
        <f t="shared" si="27"/>
        <v>0</v>
      </c>
      <c r="CP16" s="646">
        <f t="shared" si="28"/>
        <v>0</v>
      </c>
      <c r="CS16" s="646">
        <f t="shared" si="29"/>
        <v>0</v>
      </c>
      <c r="CV16" s="646">
        <f t="shared" si="30"/>
        <v>0</v>
      </c>
      <c r="CY16" s="646">
        <f t="shared" si="31"/>
        <v>0</v>
      </c>
      <c r="DB16" s="646">
        <f t="shared" si="32"/>
        <v>0</v>
      </c>
      <c r="DE16" s="646">
        <f t="shared" si="33"/>
        <v>0</v>
      </c>
      <c r="DH16" s="646">
        <f t="shared" si="34"/>
        <v>0</v>
      </c>
      <c r="DK16" s="646">
        <f t="shared" si="35"/>
        <v>0</v>
      </c>
      <c r="DN16" s="646">
        <f t="shared" si="36"/>
        <v>0</v>
      </c>
      <c r="DQ16" s="646">
        <f t="shared" si="37"/>
        <v>0</v>
      </c>
      <c r="DT16" s="646">
        <f t="shared" si="38"/>
        <v>0</v>
      </c>
      <c r="DW16" s="646">
        <f t="shared" si="39"/>
        <v>0</v>
      </c>
      <c r="DZ16" s="646"/>
      <c r="EA16" s="646"/>
      <c r="EB16" s="531">
        <f t="shared" si="40"/>
        <v>0</v>
      </c>
      <c r="EC16" s="531">
        <f t="shared" si="41"/>
        <v>0</v>
      </c>
      <c r="ED16" s="646">
        <f t="shared" si="42"/>
        <v>0</v>
      </c>
      <c r="EE16" s="647">
        <f t="shared" si="43"/>
        <v>0</v>
      </c>
      <c r="EG16" s="531">
        <f t="shared" si="44"/>
        <v>0</v>
      </c>
      <c r="EH16" s="646">
        <f t="shared" si="45"/>
        <v>0</v>
      </c>
      <c r="EI16" s="647">
        <f t="shared" si="46"/>
        <v>0</v>
      </c>
      <c r="EJ16" s="647"/>
      <c r="EK16" s="531">
        <f t="shared" si="47"/>
        <v>0</v>
      </c>
      <c r="EL16" s="531">
        <f t="shared" si="48"/>
        <v>0</v>
      </c>
      <c r="EM16" s="531">
        <f t="shared" si="49"/>
        <v>0</v>
      </c>
      <c r="EN16" s="647">
        <f t="shared" si="50"/>
        <v>0</v>
      </c>
    </row>
    <row r="17" spans="1:144">
      <c r="A17" s="665">
        <f t="shared" si="51"/>
        <v>43714</v>
      </c>
      <c r="D17" s="646">
        <f t="shared" si="0"/>
        <v>0</v>
      </c>
      <c r="G17" s="646">
        <f t="shared" si="1"/>
        <v>0</v>
      </c>
      <c r="J17" s="646">
        <f t="shared" si="2"/>
        <v>0</v>
      </c>
      <c r="M17" s="646">
        <f t="shared" si="3"/>
        <v>0</v>
      </c>
      <c r="P17" s="646">
        <f t="shared" si="4"/>
        <v>0</v>
      </c>
      <c r="S17" s="646">
        <f t="shared" si="5"/>
        <v>0</v>
      </c>
      <c r="V17" s="646">
        <f t="shared" si="6"/>
        <v>0</v>
      </c>
      <c r="Y17" s="646">
        <f t="shared" si="7"/>
        <v>0</v>
      </c>
      <c r="AB17" s="646">
        <f t="shared" si="8"/>
        <v>0</v>
      </c>
      <c r="AE17" s="646">
        <v>0</v>
      </c>
      <c r="AH17" s="646">
        <v>0</v>
      </c>
      <c r="AI17" s="666"/>
      <c r="AJ17" s="667"/>
      <c r="AK17" s="646">
        <f t="shared" si="9"/>
        <v>0</v>
      </c>
      <c r="AN17" s="646">
        <f t="shared" si="10"/>
        <v>0</v>
      </c>
      <c r="AQ17" s="646">
        <f t="shared" si="11"/>
        <v>0</v>
      </c>
      <c r="AT17" s="646">
        <f t="shared" si="12"/>
        <v>0</v>
      </c>
      <c r="AW17" s="646">
        <f t="shared" si="13"/>
        <v>0</v>
      </c>
      <c r="AZ17" s="646">
        <f t="shared" si="14"/>
        <v>0</v>
      </c>
      <c r="BC17" s="646">
        <f t="shared" si="15"/>
        <v>0</v>
      </c>
      <c r="BF17" s="646">
        <f t="shared" si="16"/>
        <v>0</v>
      </c>
      <c r="BI17" s="646">
        <f t="shared" si="17"/>
        <v>0</v>
      </c>
      <c r="BL17" s="646">
        <f t="shared" si="18"/>
        <v>0</v>
      </c>
      <c r="BO17" s="646">
        <f t="shared" si="19"/>
        <v>0</v>
      </c>
      <c r="BR17" s="646">
        <f t="shared" si="20"/>
        <v>0</v>
      </c>
      <c r="BU17" s="646">
        <f t="shared" si="21"/>
        <v>0</v>
      </c>
      <c r="BX17" s="646">
        <f t="shared" si="22"/>
        <v>0</v>
      </c>
      <c r="CA17" s="646">
        <f t="shared" si="23"/>
        <v>0</v>
      </c>
      <c r="CD17" s="646">
        <f t="shared" si="24"/>
        <v>0</v>
      </c>
      <c r="CG17" s="646">
        <f t="shared" si="25"/>
        <v>0</v>
      </c>
      <c r="CJ17" s="646">
        <f t="shared" si="26"/>
        <v>0</v>
      </c>
      <c r="CM17" s="646">
        <f t="shared" si="27"/>
        <v>0</v>
      </c>
      <c r="CP17" s="646">
        <f t="shared" si="28"/>
        <v>0</v>
      </c>
      <c r="CS17" s="646">
        <f t="shared" si="29"/>
        <v>0</v>
      </c>
      <c r="CV17" s="646">
        <f t="shared" si="30"/>
        <v>0</v>
      </c>
      <c r="CY17" s="646">
        <f t="shared" si="31"/>
        <v>0</v>
      </c>
      <c r="DB17" s="646">
        <f t="shared" si="32"/>
        <v>0</v>
      </c>
      <c r="DE17" s="646">
        <f t="shared" si="33"/>
        <v>0</v>
      </c>
      <c r="DH17" s="646">
        <f t="shared" si="34"/>
        <v>0</v>
      </c>
      <c r="DK17" s="646">
        <f t="shared" si="35"/>
        <v>0</v>
      </c>
      <c r="DN17" s="646">
        <f t="shared" si="36"/>
        <v>0</v>
      </c>
      <c r="DQ17" s="646">
        <f t="shared" si="37"/>
        <v>0</v>
      </c>
      <c r="DT17" s="646">
        <f t="shared" si="38"/>
        <v>0</v>
      </c>
      <c r="DW17" s="646">
        <f t="shared" si="39"/>
        <v>0</v>
      </c>
      <c r="DZ17" s="646"/>
      <c r="EA17" s="646"/>
      <c r="EB17" s="531">
        <f t="shared" si="40"/>
        <v>0</v>
      </c>
      <c r="EC17" s="531">
        <f t="shared" si="41"/>
        <v>0</v>
      </c>
      <c r="ED17" s="646">
        <f t="shared" si="42"/>
        <v>0</v>
      </c>
      <c r="EE17" s="647">
        <f t="shared" si="43"/>
        <v>0</v>
      </c>
      <c r="EG17" s="531">
        <f t="shared" si="44"/>
        <v>0</v>
      </c>
      <c r="EH17" s="646">
        <f t="shared" si="45"/>
        <v>0</v>
      </c>
      <c r="EI17" s="647">
        <f t="shared" si="46"/>
        <v>0</v>
      </c>
      <c r="EJ17" s="647"/>
      <c r="EK17" s="531">
        <f t="shared" si="47"/>
        <v>0</v>
      </c>
      <c r="EL17" s="531">
        <f t="shared" si="48"/>
        <v>0</v>
      </c>
      <c r="EM17" s="531">
        <f t="shared" si="49"/>
        <v>0</v>
      </c>
      <c r="EN17" s="647">
        <f t="shared" si="50"/>
        <v>0</v>
      </c>
    </row>
    <row r="18" spans="1:144">
      <c r="A18" s="665">
        <f t="shared" si="51"/>
        <v>43715</v>
      </c>
      <c r="D18" s="646">
        <f t="shared" si="0"/>
        <v>0</v>
      </c>
      <c r="G18" s="646">
        <f t="shared" si="1"/>
        <v>0</v>
      </c>
      <c r="J18" s="646">
        <f t="shared" si="2"/>
        <v>0</v>
      </c>
      <c r="M18" s="646">
        <f t="shared" si="3"/>
        <v>0</v>
      </c>
      <c r="P18" s="646">
        <f t="shared" si="4"/>
        <v>0</v>
      </c>
      <c r="S18" s="646">
        <f t="shared" si="5"/>
        <v>0</v>
      </c>
      <c r="V18" s="646">
        <f t="shared" si="6"/>
        <v>0</v>
      </c>
      <c r="Y18" s="646">
        <f t="shared" si="7"/>
        <v>0</v>
      </c>
      <c r="AB18" s="646">
        <f t="shared" si="8"/>
        <v>0</v>
      </c>
      <c r="AE18" s="646">
        <v>0</v>
      </c>
      <c r="AH18" s="646">
        <v>0</v>
      </c>
      <c r="AI18" s="666"/>
      <c r="AJ18" s="667"/>
      <c r="AK18" s="646">
        <f t="shared" si="9"/>
        <v>0</v>
      </c>
      <c r="AN18" s="646">
        <f t="shared" si="10"/>
        <v>0</v>
      </c>
      <c r="AQ18" s="646">
        <f t="shared" si="11"/>
        <v>0</v>
      </c>
      <c r="AT18" s="646">
        <f t="shared" si="12"/>
        <v>0</v>
      </c>
      <c r="AW18" s="646">
        <f t="shared" si="13"/>
        <v>0</v>
      </c>
      <c r="AZ18" s="646">
        <f t="shared" si="14"/>
        <v>0</v>
      </c>
      <c r="BC18" s="646">
        <f t="shared" si="15"/>
        <v>0</v>
      </c>
      <c r="BF18" s="646">
        <f t="shared" si="16"/>
        <v>0</v>
      </c>
      <c r="BI18" s="646">
        <f t="shared" si="17"/>
        <v>0</v>
      </c>
      <c r="BL18" s="646">
        <f t="shared" si="18"/>
        <v>0</v>
      </c>
      <c r="BO18" s="646">
        <f t="shared" si="19"/>
        <v>0</v>
      </c>
      <c r="BR18" s="646">
        <f t="shared" si="20"/>
        <v>0</v>
      </c>
      <c r="BU18" s="646">
        <f t="shared" si="21"/>
        <v>0</v>
      </c>
      <c r="BX18" s="646">
        <f t="shared" si="22"/>
        <v>0</v>
      </c>
      <c r="CA18" s="646">
        <f t="shared" si="23"/>
        <v>0</v>
      </c>
      <c r="CD18" s="646">
        <f t="shared" si="24"/>
        <v>0</v>
      </c>
      <c r="CG18" s="646">
        <f t="shared" si="25"/>
        <v>0</v>
      </c>
      <c r="CJ18" s="646">
        <f t="shared" si="26"/>
        <v>0</v>
      </c>
      <c r="CM18" s="646">
        <f t="shared" si="27"/>
        <v>0</v>
      </c>
      <c r="CP18" s="646">
        <f t="shared" si="28"/>
        <v>0</v>
      </c>
      <c r="CS18" s="646">
        <f t="shared" si="29"/>
        <v>0</v>
      </c>
      <c r="CV18" s="646">
        <f t="shared" si="30"/>
        <v>0</v>
      </c>
      <c r="CY18" s="646">
        <f t="shared" si="31"/>
        <v>0</v>
      </c>
      <c r="DB18" s="646">
        <f t="shared" si="32"/>
        <v>0</v>
      </c>
      <c r="DE18" s="646">
        <f t="shared" si="33"/>
        <v>0</v>
      </c>
      <c r="DH18" s="646">
        <f t="shared" si="34"/>
        <v>0</v>
      </c>
      <c r="DK18" s="646">
        <f t="shared" si="35"/>
        <v>0</v>
      </c>
      <c r="DN18" s="646">
        <f t="shared" si="36"/>
        <v>0</v>
      </c>
      <c r="DQ18" s="646">
        <f t="shared" si="37"/>
        <v>0</v>
      </c>
      <c r="DT18" s="646">
        <f t="shared" si="38"/>
        <v>0</v>
      </c>
      <c r="DW18" s="646">
        <f t="shared" si="39"/>
        <v>0</v>
      </c>
      <c r="DZ18" s="646"/>
      <c r="EA18" s="646"/>
      <c r="EB18" s="531">
        <f t="shared" si="40"/>
        <v>0</v>
      </c>
      <c r="EC18" s="531">
        <f t="shared" si="41"/>
        <v>0</v>
      </c>
      <c r="ED18" s="646">
        <f t="shared" si="42"/>
        <v>0</v>
      </c>
      <c r="EE18" s="647">
        <f t="shared" si="43"/>
        <v>0</v>
      </c>
      <c r="EG18" s="531">
        <f t="shared" si="44"/>
        <v>0</v>
      </c>
      <c r="EH18" s="646">
        <f t="shared" si="45"/>
        <v>0</v>
      </c>
      <c r="EI18" s="647">
        <f t="shared" si="46"/>
        <v>0</v>
      </c>
      <c r="EJ18" s="647"/>
      <c r="EK18" s="531">
        <f t="shared" si="47"/>
        <v>0</v>
      </c>
      <c r="EL18" s="531">
        <f t="shared" si="48"/>
        <v>0</v>
      </c>
      <c r="EM18" s="531">
        <f t="shared" si="49"/>
        <v>0</v>
      </c>
      <c r="EN18" s="647">
        <f t="shared" si="50"/>
        <v>0</v>
      </c>
    </row>
    <row r="19" spans="1:144">
      <c r="A19" s="665">
        <f t="shared" si="51"/>
        <v>43716</v>
      </c>
      <c r="D19" s="646">
        <f t="shared" si="0"/>
        <v>0</v>
      </c>
      <c r="G19" s="646">
        <f t="shared" si="1"/>
        <v>0</v>
      </c>
      <c r="J19" s="646">
        <f t="shared" si="2"/>
        <v>0</v>
      </c>
      <c r="M19" s="646">
        <f t="shared" si="3"/>
        <v>0</v>
      </c>
      <c r="P19" s="646">
        <f t="shared" si="4"/>
        <v>0</v>
      </c>
      <c r="S19" s="646">
        <f t="shared" si="5"/>
        <v>0</v>
      </c>
      <c r="V19" s="646">
        <f t="shared" si="6"/>
        <v>0</v>
      </c>
      <c r="Y19" s="646">
        <f t="shared" si="7"/>
        <v>0</v>
      </c>
      <c r="AB19" s="646">
        <f t="shared" si="8"/>
        <v>0</v>
      </c>
      <c r="AE19" s="646">
        <v>0</v>
      </c>
      <c r="AH19" s="646">
        <v>0</v>
      </c>
      <c r="AI19" s="666"/>
      <c r="AJ19" s="667"/>
      <c r="AK19" s="646">
        <f t="shared" si="9"/>
        <v>0</v>
      </c>
      <c r="AN19" s="646">
        <f t="shared" si="10"/>
        <v>0</v>
      </c>
      <c r="AQ19" s="646">
        <f t="shared" si="11"/>
        <v>0</v>
      </c>
      <c r="AT19" s="646">
        <f t="shared" si="12"/>
        <v>0</v>
      </c>
      <c r="AW19" s="646">
        <f t="shared" si="13"/>
        <v>0</v>
      </c>
      <c r="AZ19" s="646">
        <f t="shared" si="14"/>
        <v>0</v>
      </c>
      <c r="BC19" s="646">
        <f t="shared" si="15"/>
        <v>0</v>
      </c>
      <c r="BF19" s="646">
        <f t="shared" si="16"/>
        <v>0</v>
      </c>
      <c r="BI19" s="646">
        <f t="shared" si="17"/>
        <v>0</v>
      </c>
      <c r="BL19" s="646">
        <f t="shared" si="18"/>
        <v>0</v>
      </c>
      <c r="BO19" s="646">
        <f t="shared" si="19"/>
        <v>0</v>
      </c>
      <c r="BR19" s="646">
        <f t="shared" si="20"/>
        <v>0</v>
      </c>
      <c r="BU19" s="646">
        <f t="shared" si="21"/>
        <v>0</v>
      </c>
      <c r="BX19" s="646">
        <f t="shared" si="22"/>
        <v>0</v>
      </c>
      <c r="CA19" s="646">
        <f t="shared" si="23"/>
        <v>0</v>
      </c>
      <c r="CD19" s="646">
        <f t="shared" si="24"/>
        <v>0</v>
      </c>
      <c r="CG19" s="646">
        <f t="shared" si="25"/>
        <v>0</v>
      </c>
      <c r="CJ19" s="646">
        <f t="shared" si="26"/>
        <v>0</v>
      </c>
      <c r="CM19" s="646">
        <f t="shared" si="27"/>
        <v>0</v>
      </c>
      <c r="CP19" s="646">
        <f t="shared" si="28"/>
        <v>0</v>
      </c>
      <c r="CS19" s="646">
        <f t="shared" si="29"/>
        <v>0</v>
      </c>
      <c r="CV19" s="646">
        <f t="shared" si="30"/>
        <v>0</v>
      </c>
      <c r="CY19" s="646">
        <f t="shared" si="31"/>
        <v>0</v>
      </c>
      <c r="DB19" s="646">
        <f t="shared" si="32"/>
        <v>0</v>
      </c>
      <c r="DE19" s="646">
        <f t="shared" si="33"/>
        <v>0</v>
      </c>
      <c r="DH19" s="646">
        <f t="shared" si="34"/>
        <v>0</v>
      </c>
      <c r="DK19" s="646">
        <f t="shared" si="35"/>
        <v>0</v>
      </c>
      <c r="DN19" s="646">
        <f t="shared" si="36"/>
        <v>0</v>
      </c>
      <c r="DQ19" s="646">
        <f t="shared" si="37"/>
        <v>0</v>
      </c>
      <c r="DT19" s="646">
        <f t="shared" si="38"/>
        <v>0</v>
      </c>
      <c r="DW19" s="646">
        <f t="shared" si="39"/>
        <v>0</v>
      </c>
      <c r="DZ19" s="646"/>
      <c r="EA19" s="646"/>
      <c r="EB19" s="531">
        <f t="shared" si="40"/>
        <v>0</v>
      </c>
      <c r="EC19" s="531">
        <f t="shared" si="41"/>
        <v>0</v>
      </c>
      <c r="ED19" s="646">
        <f t="shared" si="42"/>
        <v>0</v>
      </c>
      <c r="EE19" s="647">
        <f t="shared" si="43"/>
        <v>0</v>
      </c>
      <c r="EG19" s="531">
        <f t="shared" si="44"/>
        <v>0</v>
      </c>
      <c r="EH19" s="646">
        <f t="shared" si="45"/>
        <v>0</v>
      </c>
      <c r="EI19" s="647">
        <f t="shared" si="46"/>
        <v>0</v>
      </c>
      <c r="EJ19" s="647"/>
      <c r="EK19" s="531">
        <f t="shared" si="47"/>
        <v>0</v>
      </c>
      <c r="EL19" s="531">
        <f t="shared" si="48"/>
        <v>0</v>
      </c>
      <c r="EM19" s="531">
        <f t="shared" si="49"/>
        <v>0</v>
      </c>
      <c r="EN19" s="647">
        <f t="shared" si="50"/>
        <v>0</v>
      </c>
    </row>
    <row r="20" spans="1:144">
      <c r="A20" s="665">
        <f t="shared" si="51"/>
        <v>43717</v>
      </c>
      <c r="D20" s="646">
        <f t="shared" si="0"/>
        <v>0</v>
      </c>
      <c r="G20" s="646">
        <f t="shared" si="1"/>
        <v>0</v>
      </c>
      <c r="J20" s="646">
        <f t="shared" si="2"/>
        <v>0</v>
      </c>
      <c r="M20" s="646">
        <f t="shared" si="3"/>
        <v>0</v>
      </c>
      <c r="P20" s="646">
        <f t="shared" si="4"/>
        <v>0</v>
      </c>
      <c r="S20" s="646">
        <f t="shared" si="5"/>
        <v>0</v>
      </c>
      <c r="V20" s="646">
        <f t="shared" si="6"/>
        <v>0</v>
      </c>
      <c r="Y20" s="646">
        <f t="shared" si="7"/>
        <v>0</v>
      </c>
      <c r="AB20" s="646">
        <f t="shared" si="8"/>
        <v>0</v>
      </c>
      <c r="AE20" s="646">
        <v>0</v>
      </c>
      <c r="AH20" s="646">
        <v>0</v>
      </c>
      <c r="AI20" s="666"/>
      <c r="AJ20" s="667"/>
      <c r="AK20" s="646">
        <f t="shared" si="9"/>
        <v>0</v>
      </c>
      <c r="AN20" s="646">
        <f t="shared" si="10"/>
        <v>0</v>
      </c>
      <c r="AQ20" s="646">
        <f t="shared" si="11"/>
        <v>0</v>
      </c>
      <c r="AT20" s="646">
        <f t="shared" si="12"/>
        <v>0</v>
      </c>
      <c r="AW20" s="646">
        <f t="shared" si="13"/>
        <v>0</v>
      </c>
      <c r="AZ20" s="646">
        <f t="shared" si="14"/>
        <v>0</v>
      </c>
      <c r="BC20" s="646">
        <f t="shared" si="15"/>
        <v>0</v>
      </c>
      <c r="BF20" s="646">
        <f t="shared" si="16"/>
        <v>0</v>
      </c>
      <c r="BI20" s="646">
        <f t="shared" si="17"/>
        <v>0</v>
      </c>
      <c r="BL20" s="646">
        <f t="shared" si="18"/>
        <v>0</v>
      </c>
      <c r="BO20" s="646">
        <f t="shared" si="19"/>
        <v>0</v>
      </c>
      <c r="BR20" s="646">
        <f t="shared" si="20"/>
        <v>0</v>
      </c>
      <c r="BU20" s="646">
        <f t="shared" si="21"/>
        <v>0</v>
      </c>
      <c r="BX20" s="646">
        <f t="shared" si="22"/>
        <v>0</v>
      </c>
      <c r="CA20" s="646">
        <f t="shared" si="23"/>
        <v>0</v>
      </c>
      <c r="CD20" s="646">
        <f t="shared" si="24"/>
        <v>0</v>
      </c>
      <c r="CG20" s="646">
        <f t="shared" si="25"/>
        <v>0</v>
      </c>
      <c r="CJ20" s="646">
        <f t="shared" si="26"/>
        <v>0</v>
      </c>
      <c r="CM20" s="646">
        <f t="shared" si="27"/>
        <v>0</v>
      </c>
      <c r="CP20" s="646">
        <f t="shared" si="28"/>
        <v>0</v>
      </c>
      <c r="CS20" s="646">
        <f t="shared" si="29"/>
        <v>0</v>
      </c>
      <c r="CV20" s="646">
        <f t="shared" si="30"/>
        <v>0</v>
      </c>
      <c r="CY20" s="646">
        <f t="shared" si="31"/>
        <v>0</v>
      </c>
      <c r="DB20" s="646">
        <f t="shared" si="32"/>
        <v>0</v>
      </c>
      <c r="DE20" s="646">
        <f t="shared" si="33"/>
        <v>0</v>
      </c>
      <c r="DH20" s="646">
        <f t="shared" si="34"/>
        <v>0</v>
      </c>
      <c r="DK20" s="646">
        <f t="shared" si="35"/>
        <v>0</v>
      </c>
      <c r="DN20" s="646">
        <f t="shared" si="36"/>
        <v>0</v>
      </c>
      <c r="DQ20" s="646">
        <f t="shared" si="37"/>
        <v>0</v>
      </c>
      <c r="DT20" s="646">
        <f t="shared" si="38"/>
        <v>0</v>
      </c>
      <c r="DW20" s="646">
        <f t="shared" si="39"/>
        <v>0</v>
      </c>
      <c r="DZ20" s="646"/>
      <c r="EA20" s="646"/>
      <c r="EB20" s="531">
        <f t="shared" si="40"/>
        <v>0</v>
      </c>
      <c r="EC20" s="531">
        <f t="shared" si="41"/>
        <v>0</v>
      </c>
      <c r="ED20" s="646">
        <f t="shared" si="42"/>
        <v>0</v>
      </c>
      <c r="EE20" s="647">
        <f t="shared" si="43"/>
        <v>0</v>
      </c>
      <c r="EG20" s="531">
        <f t="shared" si="44"/>
        <v>0</v>
      </c>
      <c r="EH20" s="646">
        <f t="shared" si="45"/>
        <v>0</v>
      </c>
      <c r="EI20" s="647">
        <f t="shared" si="46"/>
        <v>0</v>
      </c>
      <c r="EJ20" s="647"/>
      <c r="EK20" s="531">
        <f t="shared" si="47"/>
        <v>0</v>
      </c>
      <c r="EL20" s="531">
        <f t="shared" si="48"/>
        <v>0</v>
      </c>
      <c r="EM20" s="531">
        <f t="shared" si="49"/>
        <v>0</v>
      </c>
      <c r="EN20" s="647">
        <f t="shared" si="50"/>
        <v>0</v>
      </c>
    </row>
    <row r="21" spans="1:144">
      <c r="A21" s="665">
        <f t="shared" si="51"/>
        <v>43718</v>
      </c>
      <c r="D21" s="646">
        <f t="shared" si="0"/>
        <v>0</v>
      </c>
      <c r="G21" s="646">
        <f t="shared" si="1"/>
        <v>0</v>
      </c>
      <c r="J21" s="646">
        <f t="shared" si="2"/>
        <v>0</v>
      </c>
      <c r="M21" s="646">
        <f t="shared" si="3"/>
        <v>0</v>
      </c>
      <c r="P21" s="646">
        <f t="shared" si="4"/>
        <v>0</v>
      </c>
      <c r="S21" s="646">
        <f t="shared" si="5"/>
        <v>0</v>
      </c>
      <c r="V21" s="646">
        <f t="shared" si="6"/>
        <v>0</v>
      </c>
      <c r="Y21" s="646">
        <f t="shared" si="7"/>
        <v>0</v>
      </c>
      <c r="AB21" s="646">
        <f t="shared" si="8"/>
        <v>0</v>
      </c>
      <c r="AE21" s="646">
        <v>0</v>
      </c>
      <c r="AH21" s="646">
        <v>0</v>
      </c>
      <c r="AI21" s="666"/>
      <c r="AJ21" s="667"/>
      <c r="AK21" s="646">
        <f t="shared" si="9"/>
        <v>0</v>
      </c>
      <c r="AN21" s="646">
        <f t="shared" si="10"/>
        <v>0</v>
      </c>
      <c r="AQ21" s="646">
        <f t="shared" si="11"/>
        <v>0</v>
      </c>
      <c r="AT21" s="646">
        <f t="shared" si="12"/>
        <v>0</v>
      </c>
      <c r="AW21" s="646">
        <f t="shared" si="13"/>
        <v>0</v>
      </c>
      <c r="AZ21" s="646">
        <f t="shared" si="14"/>
        <v>0</v>
      </c>
      <c r="BC21" s="646">
        <f t="shared" si="15"/>
        <v>0</v>
      </c>
      <c r="BF21" s="646">
        <f t="shared" si="16"/>
        <v>0</v>
      </c>
      <c r="BI21" s="646">
        <f t="shared" si="17"/>
        <v>0</v>
      </c>
      <c r="BL21" s="646">
        <f t="shared" si="18"/>
        <v>0</v>
      </c>
      <c r="BO21" s="646">
        <f t="shared" si="19"/>
        <v>0</v>
      </c>
      <c r="BR21" s="646">
        <f t="shared" si="20"/>
        <v>0</v>
      </c>
      <c r="BU21" s="646">
        <f t="shared" si="21"/>
        <v>0</v>
      </c>
      <c r="BX21" s="646">
        <f t="shared" si="22"/>
        <v>0</v>
      </c>
      <c r="CA21" s="646">
        <f t="shared" si="23"/>
        <v>0</v>
      </c>
      <c r="CD21" s="646">
        <f t="shared" si="24"/>
        <v>0</v>
      </c>
      <c r="CG21" s="646">
        <f t="shared" si="25"/>
        <v>0</v>
      </c>
      <c r="CJ21" s="646">
        <f t="shared" si="26"/>
        <v>0</v>
      </c>
      <c r="CM21" s="646">
        <f t="shared" si="27"/>
        <v>0</v>
      </c>
      <c r="CP21" s="646">
        <f t="shared" si="28"/>
        <v>0</v>
      </c>
      <c r="CS21" s="646">
        <f t="shared" si="29"/>
        <v>0</v>
      </c>
      <c r="CV21" s="646">
        <f t="shared" si="30"/>
        <v>0</v>
      </c>
      <c r="CY21" s="646">
        <f t="shared" si="31"/>
        <v>0</v>
      </c>
      <c r="DB21" s="646">
        <f t="shared" si="32"/>
        <v>0</v>
      </c>
      <c r="DE21" s="646">
        <f t="shared" si="33"/>
        <v>0</v>
      </c>
      <c r="DH21" s="646">
        <f t="shared" si="34"/>
        <v>0</v>
      </c>
      <c r="DK21" s="646">
        <f t="shared" si="35"/>
        <v>0</v>
      </c>
      <c r="DN21" s="646">
        <f t="shared" si="36"/>
        <v>0</v>
      </c>
      <c r="DQ21" s="646">
        <f t="shared" si="37"/>
        <v>0</v>
      </c>
      <c r="DT21" s="646">
        <f t="shared" si="38"/>
        <v>0</v>
      </c>
      <c r="DW21" s="646">
        <f t="shared" si="39"/>
        <v>0</v>
      </c>
      <c r="DZ21" s="646"/>
      <c r="EA21" s="646"/>
      <c r="EB21" s="531">
        <f t="shared" si="40"/>
        <v>0</v>
      </c>
      <c r="EC21" s="531">
        <f t="shared" si="41"/>
        <v>0</v>
      </c>
      <c r="ED21" s="646">
        <f t="shared" si="42"/>
        <v>0</v>
      </c>
      <c r="EE21" s="647">
        <f t="shared" si="43"/>
        <v>0</v>
      </c>
      <c r="EG21" s="531">
        <f t="shared" si="44"/>
        <v>0</v>
      </c>
      <c r="EH21" s="646">
        <f t="shared" si="45"/>
        <v>0</v>
      </c>
      <c r="EI21" s="647">
        <f t="shared" si="46"/>
        <v>0</v>
      </c>
      <c r="EJ21" s="647"/>
      <c r="EK21" s="531">
        <f t="shared" si="47"/>
        <v>0</v>
      </c>
      <c r="EL21" s="531">
        <f t="shared" si="48"/>
        <v>0</v>
      </c>
      <c r="EM21" s="531">
        <f t="shared" si="49"/>
        <v>0</v>
      </c>
      <c r="EN21" s="647">
        <f t="shared" si="50"/>
        <v>0</v>
      </c>
    </row>
    <row r="22" spans="1:144">
      <c r="A22" s="665">
        <f t="shared" si="51"/>
        <v>43719</v>
      </c>
      <c r="D22" s="646">
        <f t="shared" si="0"/>
        <v>0</v>
      </c>
      <c r="G22" s="646">
        <f t="shared" si="1"/>
        <v>0</v>
      </c>
      <c r="J22" s="646">
        <f t="shared" si="2"/>
        <v>0</v>
      </c>
      <c r="M22" s="646">
        <f t="shared" si="3"/>
        <v>0</v>
      </c>
      <c r="P22" s="646">
        <f t="shared" si="4"/>
        <v>0</v>
      </c>
      <c r="S22" s="646">
        <f t="shared" si="5"/>
        <v>0</v>
      </c>
      <c r="V22" s="646">
        <f t="shared" si="6"/>
        <v>0</v>
      </c>
      <c r="Y22" s="646">
        <f t="shared" si="7"/>
        <v>0</v>
      </c>
      <c r="AB22" s="646">
        <f t="shared" si="8"/>
        <v>0</v>
      </c>
      <c r="AE22" s="646">
        <v>0</v>
      </c>
      <c r="AH22" s="646">
        <v>0</v>
      </c>
      <c r="AI22" s="666"/>
      <c r="AJ22" s="667"/>
      <c r="AK22" s="646">
        <f t="shared" si="9"/>
        <v>0</v>
      </c>
      <c r="AN22" s="646">
        <f t="shared" si="10"/>
        <v>0</v>
      </c>
      <c r="AQ22" s="646">
        <f t="shared" si="11"/>
        <v>0</v>
      </c>
      <c r="AT22" s="646">
        <f t="shared" si="12"/>
        <v>0</v>
      </c>
      <c r="AW22" s="646">
        <f t="shared" si="13"/>
        <v>0</v>
      </c>
      <c r="AZ22" s="646">
        <f t="shared" si="14"/>
        <v>0</v>
      </c>
      <c r="BC22" s="646">
        <f t="shared" si="15"/>
        <v>0</v>
      </c>
      <c r="BF22" s="646">
        <f t="shared" si="16"/>
        <v>0</v>
      </c>
      <c r="BI22" s="646">
        <f t="shared" si="17"/>
        <v>0</v>
      </c>
      <c r="BL22" s="646">
        <f t="shared" si="18"/>
        <v>0</v>
      </c>
      <c r="BO22" s="646">
        <f t="shared" si="19"/>
        <v>0</v>
      </c>
      <c r="BR22" s="646">
        <f t="shared" si="20"/>
        <v>0</v>
      </c>
      <c r="BU22" s="646">
        <f t="shared" si="21"/>
        <v>0</v>
      </c>
      <c r="BX22" s="646">
        <f t="shared" si="22"/>
        <v>0</v>
      </c>
      <c r="CA22" s="646">
        <f t="shared" si="23"/>
        <v>0</v>
      </c>
      <c r="CD22" s="646">
        <f t="shared" si="24"/>
        <v>0</v>
      </c>
      <c r="CG22" s="646">
        <f t="shared" si="25"/>
        <v>0</v>
      </c>
      <c r="CJ22" s="646">
        <f t="shared" si="26"/>
        <v>0</v>
      </c>
      <c r="CM22" s="646">
        <f t="shared" si="27"/>
        <v>0</v>
      </c>
      <c r="CP22" s="646">
        <f t="shared" si="28"/>
        <v>0</v>
      </c>
      <c r="CS22" s="646">
        <f t="shared" si="29"/>
        <v>0</v>
      </c>
      <c r="CV22" s="646">
        <f t="shared" si="30"/>
        <v>0</v>
      </c>
      <c r="CY22" s="646">
        <f t="shared" si="31"/>
        <v>0</v>
      </c>
      <c r="DB22" s="646">
        <f t="shared" si="32"/>
        <v>0</v>
      </c>
      <c r="DE22" s="646">
        <f t="shared" si="33"/>
        <v>0</v>
      </c>
      <c r="DH22" s="646">
        <f t="shared" si="34"/>
        <v>0</v>
      </c>
      <c r="DK22" s="646">
        <f t="shared" si="35"/>
        <v>0</v>
      </c>
      <c r="DN22" s="646">
        <f t="shared" si="36"/>
        <v>0</v>
      </c>
      <c r="DQ22" s="646">
        <f t="shared" si="37"/>
        <v>0</v>
      </c>
      <c r="DT22" s="646">
        <f t="shared" si="38"/>
        <v>0</v>
      </c>
      <c r="DW22" s="646">
        <f t="shared" si="39"/>
        <v>0</v>
      </c>
      <c r="DZ22" s="646"/>
      <c r="EA22" s="646"/>
      <c r="EB22" s="531">
        <f t="shared" si="40"/>
        <v>0</v>
      </c>
      <c r="EC22" s="531">
        <f t="shared" si="41"/>
        <v>0</v>
      </c>
      <c r="ED22" s="646">
        <f t="shared" si="42"/>
        <v>0</v>
      </c>
      <c r="EE22" s="647">
        <f t="shared" si="43"/>
        <v>0</v>
      </c>
      <c r="EG22" s="531">
        <f t="shared" si="44"/>
        <v>0</v>
      </c>
      <c r="EH22" s="646">
        <f t="shared" si="45"/>
        <v>0</v>
      </c>
      <c r="EI22" s="647">
        <f t="shared" si="46"/>
        <v>0</v>
      </c>
      <c r="EJ22" s="647"/>
      <c r="EK22" s="531">
        <f t="shared" si="47"/>
        <v>0</v>
      </c>
      <c r="EL22" s="531">
        <f t="shared" si="48"/>
        <v>0</v>
      </c>
      <c r="EM22" s="531">
        <f t="shared" si="49"/>
        <v>0</v>
      </c>
      <c r="EN22" s="647">
        <f t="shared" si="50"/>
        <v>0</v>
      </c>
    </row>
    <row r="23" spans="1:144">
      <c r="A23" s="665">
        <f t="shared" si="51"/>
        <v>43720</v>
      </c>
      <c r="D23" s="646">
        <f t="shared" si="0"/>
        <v>0</v>
      </c>
      <c r="G23" s="646">
        <f t="shared" si="1"/>
        <v>0</v>
      </c>
      <c r="J23" s="646">
        <f t="shared" si="2"/>
        <v>0</v>
      </c>
      <c r="M23" s="646">
        <f t="shared" si="3"/>
        <v>0</v>
      </c>
      <c r="P23" s="646">
        <f t="shared" si="4"/>
        <v>0</v>
      </c>
      <c r="S23" s="646">
        <f t="shared" si="5"/>
        <v>0</v>
      </c>
      <c r="V23" s="646">
        <f t="shared" si="6"/>
        <v>0</v>
      </c>
      <c r="Y23" s="646">
        <f t="shared" si="7"/>
        <v>0</v>
      </c>
      <c r="AB23" s="646">
        <f t="shared" si="8"/>
        <v>0</v>
      </c>
      <c r="AE23" s="646">
        <v>0</v>
      </c>
      <c r="AH23" s="646">
        <v>0</v>
      </c>
      <c r="AI23" s="666"/>
      <c r="AJ23" s="667"/>
      <c r="AK23" s="646">
        <f t="shared" si="9"/>
        <v>0</v>
      </c>
      <c r="AN23" s="646">
        <f t="shared" si="10"/>
        <v>0</v>
      </c>
      <c r="AQ23" s="646">
        <f t="shared" si="11"/>
        <v>0</v>
      </c>
      <c r="AT23" s="646">
        <f t="shared" si="12"/>
        <v>0</v>
      </c>
      <c r="AW23" s="646">
        <f t="shared" si="13"/>
        <v>0</v>
      </c>
      <c r="AZ23" s="646">
        <f t="shared" si="14"/>
        <v>0</v>
      </c>
      <c r="BC23" s="646">
        <f t="shared" si="15"/>
        <v>0</v>
      </c>
      <c r="BF23" s="646">
        <f t="shared" si="16"/>
        <v>0</v>
      </c>
      <c r="BI23" s="646">
        <f t="shared" si="17"/>
        <v>0</v>
      </c>
      <c r="BL23" s="646">
        <f t="shared" si="18"/>
        <v>0</v>
      </c>
      <c r="BO23" s="646">
        <f t="shared" si="19"/>
        <v>0</v>
      </c>
      <c r="BR23" s="646">
        <f t="shared" si="20"/>
        <v>0</v>
      </c>
      <c r="BU23" s="646">
        <f t="shared" si="21"/>
        <v>0</v>
      </c>
      <c r="BX23" s="646">
        <f t="shared" si="22"/>
        <v>0</v>
      </c>
      <c r="CA23" s="646">
        <f t="shared" si="23"/>
        <v>0</v>
      </c>
      <c r="CD23" s="646">
        <f t="shared" si="24"/>
        <v>0</v>
      </c>
      <c r="CG23" s="646">
        <f t="shared" si="25"/>
        <v>0</v>
      </c>
      <c r="CJ23" s="646">
        <f t="shared" si="26"/>
        <v>0</v>
      </c>
      <c r="CM23" s="646">
        <f t="shared" si="27"/>
        <v>0</v>
      </c>
      <c r="CP23" s="646">
        <f t="shared" si="28"/>
        <v>0</v>
      </c>
      <c r="CS23" s="646">
        <f t="shared" si="29"/>
        <v>0</v>
      </c>
      <c r="CV23" s="646">
        <f t="shared" si="30"/>
        <v>0</v>
      </c>
      <c r="CY23" s="646">
        <f t="shared" si="31"/>
        <v>0</v>
      </c>
      <c r="DB23" s="646">
        <f t="shared" si="32"/>
        <v>0</v>
      </c>
      <c r="DE23" s="646">
        <f t="shared" si="33"/>
        <v>0</v>
      </c>
      <c r="DH23" s="646">
        <f t="shared" si="34"/>
        <v>0</v>
      </c>
      <c r="DK23" s="646">
        <f t="shared" si="35"/>
        <v>0</v>
      </c>
      <c r="DN23" s="646">
        <f t="shared" si="36"/>
        <v>0</v>
      </c>
      <c r="DQ23" s="646">
        <f t="shared" si="37"/>
        <v>0</v>
      </c>
      <c r="DT23" s="646">
        <f t="shared" si="38"/>
        <v>0</v>
      </c>
      <c r="DW23" s="646">
        <f t="shared" si="39"/>
        <v>0</v>
      </c>
      <c r="DZ23" s="646"/>
      <c r="EA23" s="646"/>
      <c r="EB23" s="531">
        <f t="shared" si="40"/>
        <v>0</v>
      </c>
      <c r="EC23" s="531">
        <f t="shared" si="41"/>
        <v>0</v>
      </c>
      <c r="ED23" s="646">
        <f t="shared" si="42"/>
        <v>0</v>
      </c>
      <c r="EE23" s="647">
        <f t="shared" si="43"/>
        <v>0</v>
      </c>
      <c r="EG23" s="531">
        <f t="shared" si="44"/>
        <v>0</v>
      </c>
      <c r="EH23" s="646">
        <f t="shared" si="45"/>
        <v>0</v>
      </c>
      <c r="EI23" s="647">
        <f t="shared" si="46"/>
        <v>0</v>
      </c>
      <c r="EJ23" s="647"/>
      <c r="EK23" s="531">
        <f t="shared" si="47"/>
        <v>0</v>
      </c>
      <c r="EL23" s="531">
        <f t="shared" si="48"/>
        <v>0</v>
      </c>
      <c r="EM23" s="531">
        <f t="shared" si="49"/>
        <v>0</v>
      </c>
      <c r="EN23" s="647">
        <f t="shared" si="50"/>
        <v>0</v>
      </c>
    </row>
    <row r="24" spans="1:144">
      <c r="A24" s="665">
        <f t="shared" si="51"/>
        <v>43721</v>
      </c>
      <c r="D24" s="646">
        <f t="shared" si="0"/>
        <v>0</v>
      </c>
      <c r="G24" s="646">
        <f t="shared" si="1"/>
        <v>0</v>
      </c>
      <c r="J24" s="646">
        <f t="shared" si="2"/>
        <v>0</v>
      </c>
      <c r="M24" s="646">
        <f t="shared" si="3"/>
        <v>0</v>
      </c>
      <c r="P24" s="646">
        <f t="shared" si="4"/>
        <v>0</v>
      </c>
      <c r="S24" s="646">
        <f t="shared" si="5"/>
        <v>0</v>
      </c>
      <c r="V24" s="646">
        <f t="shared" si="6"/>
        <v>0</v>
      </c>
      <c r="Y24" s="646">
        <f t="shared" si="7"/>
        <v>0</v>
      </c>
      <c r="AB24" s="646">
        <f t="shared" si="8"/>
        <v>0</v>
      </c>
      <c r="AE24" s="646">
        <v>0</v>
      </c>
      <c r="AH24" s="646">
        <v>0</v>
      </c>
      <c r="AI24" s="666"/>
      <c r="AJ24" s="667"/>
      <c r="AK24" s="646">
        <f t="shared" si="9"/>
        <v>0</v>
      </c>
      <c r="AN24" s="646">
        <f t="shared" si="10"/>
        <v>0</v>
      </c>
      <c r="AQ24" s="646">
        <f t="shared" si="11"/>
        <v>0</v>
      </c>
      <c r="AT24" s="646">
        <f t="shared" si="12"/>
        <v>0</v>
      </c>
      <c r="AW24" s="646">
        <f t="shared" si="13"/>
        <v>0</v>
      </c>
      <c r="AZ24" s="646">
        <f t="shared" si="14"/>
        <v>0</v>
      </c>
      <c r="BC24" s="646">
        <f t="shared" si="15"/>
        <v>0</v>
      </c>
      <c r="BF24" s="646">
        <f t="shared" si="16"/>
        <v>0</v>
      </c>
      <c r="BI24" s="646">
        <f t="shared" si="17"/>
        <v>0</v>
      </c>
      <c r="BL24" s="646">
        <f t="shared" si="18"/>
        <v>0</v>
      </c>
      <c r="BO24" s="646">
        <f t="shared" si="19"/>
        <v>0</v>
      </c>
      <c r="BR24" s="646">
        <f t="shared" si="20"/>
        <v>0</v>
      </c>
      <c r="BU24" s="646">
        <f t="shared" si="21"/>
        <v>0</v>
      </c>
      <c r="BX24" s="646">
        <f t="shared" si="22"/>
        <v>0</v>
      </c>
      <c r="CA24" s="646">
        <f t="shared" si="23"/>
        <v>0</v>
      </c>
      <c r="CD24" s="646">
        <f t="shared" si="24"/>
        <v>0</v>
      </c>
      <c r="CG24" s="646">
        <f t="shared" si="25"/>
        <v>0</v>
      </c>
      <c r="CJ24" s="646">
        <f t="shared" si="26"/>
        <v>0</v>
      </c>
      <c r="CM24" s="646">
        <f t="shared" si="27"/>
        <v>0</v>
      </c>
      <c r="CP24" s="646">
        <f t="shared" si="28"/>
        <v>0</v>
      </c>
      <c r="CS24" s="646">
        <f t="shared" si="29"/>
        <v>0</v>
      </c>
      <c r="CV24" s="646">
        <f t="shared" si="30"/>
        <v>0</v>
      </c>
      <c r="CY24" s="646">
        <f t="shared" si="31"/>
        <v>0</v>
      </c>
      <c r="DB24" s="646">
        <f t="shared" si="32"/>
        <v>0</v>
      </c>
      <c r="DE24" s="646">
        <f t="shared" si="33"/>
        <v>0</v>
      </c>
      <c r="DH24" s="646">
        <f t="shared" si="34"/>
        <v>0</v>
      </c>
      <c r="DK24" s="646">
        <f t="shared" si="35"/>
        <v>0</v>
      </c>
      <c r="DN24" s="646">
        <f t="shared" si="36"/>
        <v>0</v>
      </c>
      <c r="DQ24" s="646">
        <f t="shared" si="37"/>
        <v>0</v>
      </c>
      <c r="DT24" s="646">
        <f t="shared" si="38"/>
        <v>0</v>
      </c>
      <c r="DW24" s="646">
        <f t="shared" si="39"/>
        <v>0</v>
      </c>
      <c r="DZ24" s="646"/>
      <c r="EA24" s="646"/>
      <c r="EB24" s="531">
        <f t="shared" si="40"/>
        <v>0</v>
      </c>
      <c r="EC24" s="531">
        <f t="shared" si="41"/>
        <v>0</v>
      </c>
      <c r="ED24" s="646">
        <f t="shared" si="42"/>
        <v>0</v>
      </c>
      <c r="EE24" s="647">
        <f t="shared" si="43"/>
        <v>0</v>
      </c>
      <c r="EG24" s="531">
        <f t="shared" si="44"/>
        <v>0</v>
      </c>
      <c r="EH24" s="646">
        <f t="shared" si="45"/>
        <v>0</v>
      </c>
      <c r="EI24" s="647">
        <f t="shared" si="46"/>
        <v>0</v>
      </c>
      <c r="EJ24" s="647"/>
      <c r="EK24" s="531">
        <f t="shared" si="47"/>
        <v>0</v>
      </c>
      <c r="EL24" s="531">
        <f t="shared" si="48"/>
        <v>0</v>
      </c>
      <c r="EM24" s="531">
        <f t="shared" si="49"/>
        <v>0</v>
      </c>
      <c r="EN24" s="647">
        <f t="shared" si="50"/>
        <v>0</v>
      </c>
    </row>
    <row r="25" spans="1:144">
      <c r="A25" s="665">
        <f t="shared" si="51"/>
        <v>43722</v>
      </c>
      <c r="D25" s="646">
        <f t="shared" si="0"/>
        <v>0</v>
      </c>
      <c r="G25" s="646">
        <f t="shared" si="1"/>
        <v>0</v>
      </c>
      <c r="J25" s="646">
        <f t="shared" si="2"/>
        <v>0</v>
      </c>
      <c r="M25" s="646">
        <f t="shared" si="3"/>
        <v>0</v>
      </c>
      <c r="P25" s="646">
        <f t="shared" si="4"/>
        <v>0</v>
      </c>
      <c r="S25" s="646">
        <f t="shared" si="5"/>
        <v>0</v>
      </c>
      <c r="V25" s="646">
        <f t="shared" si="6"/>
        <v>0</v>
      </c>
      <c r="Y25" s="646">
        <f t="shared" si="7"/>
        <v>0</v>
      </c>
      <c r="AB25" s="646">
        <f t="shared" si="8"/>
        <v>0</v>
      </c>
      <c r="AE25" s="646">
        <v>0</v>
      </c>
      <c r="AH25" s="646">
        <v>0</v>
      </c>
      <c r="AI25" s="666"/>
      <c r="AJ25" s="667"/>
      <c r="AK25" s="646">
        <f t="shared" si="9"/>
        <v>0</v>
      </c>
      <c r="AN25" s="646">
        <f t="shared" si="10"/>
        <v>0</v>
      </c>
      <c r="AQ25" s="646">
        <f t="shared" si="11"/>
        <v>0</v>
      </c>
      <c r="AT25" s="646">
        <f t="shared" si="12"/>
        <v>0</v>
      </c>
      <c r="AW25" s="646">
        <f t="shared" si="13"/>
        <v>0</v>
      </c>
      <c r="AZ25" s="646">
        <f t="shared" si="14"/>
        <v>0</v>
      </c>
      <c r="BC25" s="646">
        <f t="shared" si="15"/>
        <v>0</v>
      </c>
      <c r="BF25" s="646">
        <f t="shared" si="16"/>
        <v>0</v>
      </c>
      <c r="BI25" s="646">
        <f t="shared" si="17"/>
        <v>0</v>
      </c>
      <c r="BL25" s="646">
        <f t="shared" si="18"/>
        <v>0</v>
      </c>
      <c r="BO25" s="646">
        <f t="shared" si="19"/>
        <v>0</v>
      </c>
      <c r="BR25" s="646">
        <f t="shared" si="20"/>
        <v>0</v>
      </c>
      <c r="BU25" s="646">
        <f t="shared" si="21"/>
        <v>0</v>
      </c>
      <c r="BX25" s="646">
        <f t="shared" si="22"/>
        <v>0</v>
      </c>
      <c r="CA25" s="646">
        <f t="shared" si="23"/>
        <v>0</v>
      </c>
      <c r="CD25" s="646">
        <f t="shared" si="24"/>
        <v>0</v>
      </c>
      <c r="CG25" s="646">
        <f t="shared" si="25"/>
        <v>0</v>
      </c>
      <c r="CJ25" s="646">
        <f t="shared" si="26"/>
        <v>0</v>
      </c>
      <c r="CM25" s="646">
        <f t="shared" si="27"/>
        <v>0</v>
      </c>
      <c r="CP25" s="646">
        <f t="shared" si="28"/>
        <v>0</v>
      </c>
      <c r="CS25" s="646">
        <f t="shared" si="29"/>
        <v>0</v>
      </c>
      <c r="CV25" s="646">
        <f t="shared" si="30"/>
        <v>0</v>
      </c>
      <c r="CY25" s="646">
        <f t="shared" si="31"/>
        <v>0</v>
      </c>
      <c r="DB25" s="646">
        <f t="shared" si="32"/>
        <v>0</v>
      </c>
      <c r="DE25" s="646">
        <f t="shared" si="33"/>
        <v>0</v>
      </c>
      <c r="DH25" s="646">
        <f t="shared" si="34"/>
        <v>0</v>
      </c>
      <c r="DK25" s="646">
        <f t="shared" si="35"/>
        <v>0</v>
      </c>
      <c r="DN25" s="646">
        <f t="shared" si="36"/>
        <v>0</v>
      </c>
      <c r="DQ25" s="646">
        <f t="shared" si="37"/>
        <v>0</v>
      </c>
      <c r="DT25" s="646">
        <f t="shared" si="38"/>
        <v>0</v>
      </c>
      <c r="DW25" s="646">
        <f t="shared" si="39"/>
        <v>0</v>
      </c>
      <c r="DZ25" s="646"/>
      <c r="EA25" s="646"/>
      <c r="EB25" s="531">
        <f t="shared" si="40"/>
        <v>0</v>
      </c>
      <c r="EC25" s="531">
        <f t="shared" si="41"/>
        <v>0</v>
      </c>
      <c r="ED25" s="646">
        <f t="shared" si="42"/>
        <v>0</v>
      </c>
      <c r="EE25" s="647">
        <f t="shared" si="43"/>
        <v>0</v>
      </c>
      <c r="EG25" s="531">
        <f t="shared" si="44"/>
        <v>0</v>
      </c>
      <c r="EH25" s="646">
        <f t="shared" si="45"/>
        <v>0</v>
      </c>
      <c r="EI25" s="647">
        <f t="shared" si="46"/>
        <v>0</v>
      </c>
      <c r="EJ25" s="647"/>
      <c r="EK25" s="531">
        <f t="shared" si="47"/>
        <v>0</v>
      </c>
      <c r="EL25" s="531">
        <f t="shared" si="48"/>
        <v>0</v>
      </c>
      <c r="EM25" s="531">
        <f t="shared" si="49"/>
        <v>0</v>
      </c>
      <c r="EN25" s="647">
        <f t="shared" si="50"/>
        <v>0</v>
      </c>
    </row>
    <row r="26" spans="1:144">
      <c r="A26" s="665">
        <f t="shared" si="51"/>
        <v>43723</v>
      </c>
      <c r="D26" s="646">
        <f t="shared" si="0"/>
        <v>0</v>
      </c>
      <c r="G26" s="646">
        <f t="shared" si="1"/>
        <v>0</v>
      </c>
      <c r="J26" s="646">
        <f t="shared" si="2"/>
        <v>0</v>
      </c>
      <c r="M26" s="646">
        <f t="shared" si="3"/>
        <v>0</v>
      </c>
      <c r="P26" s="646">
        <f t="shared" si="4"/>
        <v>0</v>
      </c>
      <c r="S26" s="646">
        <f t="shared" si="5"/>
        <v>0</v>
      </c>
      <c r="V26" s="646">
        <f t="shared" si="6"/>
        <v>0</v>
      </c>
      <c r="Y26" s="646">
        <f t="shared" si="7"/>
        <v>0</v>
      </c>
      <c r="AB26" s="646">
        <f t="shared" si="8"/>
        <v>0</v>
      </c>
      <c r="AE26" s="646">
        <v>0</v>
      </c>
      <c r="AH26" s="646">
        <v>0</v>
      </c>
      <c r="AI26" s="666"/>
      <c r="AJ26" s="667"/>
      <c r="AK26" s="646">
        <f t="shared" si="9"/>
        <v>0</v>
      </c>
      <c r="AN26" s="646">
        <f t="shared" si="10"/>
        <v>0</v>
      </c>
      <c r="AQ26" s="646">
        <f t="shared" si="11"/>
        <v>0</v>
      </c>
      <c r="AT26" s="646">
        <f t="shared" si="12"/>
        <v>0</v>
      </c>
      <c r="AW26" s="646">
        <f t="shared" si="13"/>
        <v>0</v>
      </c>
      <c r="AZ26" s="646">
        <f t="shared" si="14"/>
        <v>0</v>
      </c>
      <c r="BC26" s="646">
        <f t="shared" si="15"/>
        <v>0</v>
      </c>
      <c r="BF26" s="646">
        <f t="shared" si="16"/>
        <v>0</v>
      </c>
      <c r="BI26" s="646">
        <f t="shared" si="17"/>
        <v>0</v>
      </c>
      <c r="BL26" s="646">
        <f t="shared" si="18"/>
        <v>0</v>
      </c>
      <c r="BO26" s="646">
        <f t="shared" si="19"/>
        <v>0</v>
      </c>
      <c r="BR26" s="646">
        <f t="shared" si="20"/>
        <v>0</v>
      </c>
      <c r="BU26" s="646">
        <f t="shared" si="21"/>
        <v>0</v>
      </c>
      <c r="BX26" s="646">
        <f t="shared" si="22"/>
        <v>0</v>
      </c>
      <c r="CA26" s="646">
        <f t="shared" si="23"/>
        <v>0</v>
      </c>
      <c r="CD26" s="646">
        <f t="shared" si="24"/>
        <v>0</v>
      </c>
      <c r="CG26" s="646">
        <f t="shared" si="25"/>
        <v>0</v>
      </c>
      <c r="CJ26" s="646">
        <f t="shared" si="26"/>
        <v>0</v>
      </c>
      <c r="CM26" s="646">
        <f t="shared" si="27"/>
        <v>0</v>
      </c>
      <c r="CP26" s="646">
        <f t="shared" si="28"/>
        <v>0</v>
      </c>
      <c r="CS26" s="646">
        <f t="shared" si="29"/>
        <v>0</v>
      </c>
      <c r="CV26" s="646">
        <f t="shared" si="30"/>
        <v>0</v>
      </c>
      <c r="CY26" s="646">
        <f t="shared" si="31"/>
        <v>0</v>
      </c>
      <c r="DB26" s="646">
        <f t="shared" si="32"/>
        <v>0</v>
      </c>
      <c r="DE26" s="646">
        <f t="shared" si="33"/>
        <v>0</v>
      </c>
      <c r="DH26" s="646">
        <f t="shared" si="34"/>
        <v>0</v>
      </c>
      <c r="DK26" s="646">
        <f t="shared" si="35"/>
        <v>0</v>
      </c>
      <c r="DN26" s="646">
        <f t="shared" si="36"/>
        <v>0</v>
      </c>
      <c r="DQ26" s="646">
        <f t="shared" si="37"/>
        <v>0</v>
      </c>
      <c r="DT26" s="646">
        <f t="shared" si="38"/>
        <v>0</v>
      </c>
      <c r="DW26" s="646">
        <f t="shared" si="39"/>
        <v>0</v>
      </c>
      <c r="DZ26" s="646"/>
      <c r="EA26" s="646"/>
      <c r="EB26" s="531">
        <f t="shared" si="40"/>
        <v>0</v>
      </c>
      <c r="EC26" s="531">
        <f t="shared" si="41"/>
        <v>0</v>
      </c>
      <c r="ED26" s="646">
        <f t="shared" si="42"/>
        <v>0</v>
      </c>
      <c r="EE26" s="647">
        <f t="shared" si="43"/>
        <v>0</v>
      </c>
      <c r="EG26" s="531">
        <f t="shared" si="44"/>
        <v>0</v>
      </c>
      <c r="EH26" s="646">
        <f t="shared" si="45"/>
        <v>0</v>
      </c>
      <c r="EI26" s="647">
        <f t="shared" si="46"/>
        <v>0</v>
      </c>
      <c r="EJ26" s="647"/>
      <c r="EK26" s="531">
        <f t="shared" si="47"/>
        <v>0</v>
      </c>
      <c r="EL26" s="531">
        <f t="shared" si="48"/>
        <v>0</v>
      </c>
      <c r="EM26" s="531">
        <f t="shared" si="49"/>
        <v>0</v>
      </c>
      <c r="EN26" s="647">
        <f t="shared" si="50"/>
        <v>0</v>
      </c>
    </row>
    <row r="27" spans="1:144">
      <c r="A27" s="665">
        <f t="shared" si="51"/>
        <v>43724</v>
      </c>
      <c r="D27" s="646">
        <f t="shared" si="0"/>
        <v>0</v>
      </c>
      <c r="G27" s="646">
        <f t="shared" si="1"/>
        <v>0</v>
      </c>
      <c r="J27" s="646">
        <f t="shared" si="2"/>
        <v>0</v>
      </c>
      <c r="M27" s="646">
        <f t="shared" si="3"/>
        <v>0</v>
      </c>
      <c r="P27" s="646">
        <f t="shared" si="4"/>
        <v>0</v>
      </c>
      <c r="S27" s="646">
        <f t="shared" si="5"/>
        <v>0</v>
      </c>
      <c r="V27" s="646">
        <f t="shared" si="6"/>
        <v>0</v>
      </c>
      <c r="Y27" s="646">
        <f t="shared" si="7"/>
        <v>0</v>
      </c>
      <c r="AB27" s="646">
        <f t="shared" si="8"/>
        <v>0</v>
      </c>
      <c r="AE27" s="646">
        <v>0</v>
      </c>
      <c r="AH27" s="646">
        <v>0</v>
      </c>
      <c r="AI27" s="666"/>
      <c r="AJ27" s="667"/>
      <c r="AK27" s="646">
        <f t="shared" si="9"/>
        <v>0</v>
      </c>
      <c r="AN27" s="646">
        <f t="shared" si="10"/>
        <v>0</v>
      </c>
      <c r="AQ27" s="646">
        <f t="shared" si="11"/>
        <v>0</v>
      </c>
      <c r="AT27" s="646">
        <f t="shared" si="12"/>
        <v>0</v>
      </c>
      <c r="AW27" s="646">
        <f t="shared" si="13"/>
        <v>0</v>
      </c>
      <c r="AZ27" s="646">
        <f t="shared" si="14"/>
        <v>0</v>
      </c>
      <c r="BC27" s="646">
        <f t="shared" si="15"/>
        <v>0</v>
      </c>
      <c r="BF27" s="646">
        <f t="shared" si="16"/>
        <v>0</v>
      </c>
      <c r="BI27" s="646">
        <f t="shared" si="17"/>
        <v>0</v>
      </c>
      <c r="BL27" s="646">
        <f t="shared" si="18"/>
        <v>0</v>
      </c>
      <c r="BO27" s="646">
        <f t="shared" si="19"/>
        <v>0</v>
      </c>
      <c r="BR27" s="646">
        <f t="shared" si="20"/>
        <v>0</v>
      </c>
      <c r="BU27" s="646">
        <f t="shared" si="21"/>
        <v>0</v>
      </c>
      <c r="BX27" s="646">
        <f t="shared" si="22"/>
        <v>0</v>
      </c>
      <c r="CA27" s="646">
        <f t="shared" si="23"/>
        <v>0</v>
      </c>
      <c r="CD27" s="646">
        <f t="shared" si="24"/>
        <v>0</v>
      </c>
      <c r="CG27" s="646">
        <f t="shared" si="25"/>
        <v>0</v>
      </c>
      <c r="CJ27" s="646">
        <f t="shared" si="26"/>
        <v>0</v>
      </c>
      <c r="CM27" s="646">
        <f t="shared" si="27"/>
        <v>0</v>
      </c>
      <c r="CP27" s="646">
        <f t="shared" si="28"/>
        <v>0</v>
      </c>
      <c r="CS27" s="646">
        <f t="shared" si="29"/>
        <v>0</v>
      </c>
      <c r="CV27" s="646">
        <f t="shared" si="30"/>
        <v>0</v>
      </c>
      <c r="CY27" s="646">
        <f t="shared" si="31"/>
        <v>0</v>
      </c>
      <c r="DB27" s="646">
        <f t="shared" si="32"/>
        <v>0</v>
      </c>
      <c r="DE27" s="646">
        <f t="shared" si="33"/>
        <v>0</v>
      </c>
      <c r="DH27" s="646">
        <f t="shared" si="34"/>
        <v>0</v>
      </c>
      <c r="DK27" s="646">
        <f t="shared" si="35"/>
        <v>0</v>
      </c>
      <c r="DN27" s="646">
        <f t="shared" si="36"/>
        <v>0</v>
      </c>
      <c r="DQ27" s="646">
        <f t="shared" si="37"/>
        <v>0</v>
      </c>
      <c r="DT27" s="646">
        <f t="shared" si="38"/>
        <v>0</v>
      </c>
      <c r="DW27" s="646">
        <f t="shared" si="39"/>
        <v>0</v>
      </c>
      <c r="DZ27" s="646"/>
      <c r="EA27" s="646"/>
      <c r="EB27" s="531">
        <f t="shared" si="40"/>
        <v>0</v>
      </c>
      <c r="EC27" s="531">
        <f t="shared" si="41"/>
        <v>0</v>
      </c>
      <c r="ED27" s="646">
        <f t="shared" si="42"/>
        <v>0</v>
      </c>
      <c r="EE27" s="647">
        <f t="shared" si="43"/>
        <v>0</v>
      </c>
      <c r="EG27" s="531">
        <f t="shared" si="44"/>
        <v>0</v>
      </c>
      <c r="EH27" s="646">
        <f t="shared" si="45"/>
        <v>0</v>
      </c>
      <c r="EI27" s="647">
        <f t="shared" si="46"/>
        <v>0</v>
      </c>
      <c r="EJ27" s="647"/>
      <c r="EK27" s="531">
        <f t="shared" si="47"/>
        <v>0</v>
      </c>
      <c r="EL27" s="531">
        <f t="shared" si="48"/>
        <v>0</v>
      </c>
      <c r="EM27" s="531">
        <f t="shared" si="49"/>
        <v>0</v>
      </c>
      <c r="EN27" s="647">
        <f t="shared" si="50"/>
        <v>0</v>
      </c>
    </row>
    <row r="28" spans="1:144">
      <c r="A28" s="665">
        <f t="shared" si="51"/>
        <v>43725</v>
      </c>
      <c r="D28" s="646">
        <f t="shared" si="0"/>
        <v>0</v>
      </c>
      <c r="G28" s="646">
        <f t="shared" si="1"/>
        <v>0</v>
      </c>
      <c r="J28" s="646">
        <f t="shared" si="2"/>
        <v>0</v>
      </c>
      <c r="M28" s="646">
        <f t="shared" si="3"/>
        <v>0</v>
      </c>
      <c r="P28" s="646">
        <f t="shared" si="4"/>
        <v>0</v>
      </c>
      <c r="S28" s="646">
        <f t="shared" si="5"/>
        <v>0</v>
      </c>
      <c r="V28" s="646">
        <f t="shared" si="6"/>
        <v>0</v>
      </c>
      <c r="Y28" s="646">
        <f t="shared" si="7"/>
        <v>0</v>
      </c>
      <c r="AB28" s="646">
        <f t="shared" si="8"/>
        <v>0</v>
      </c>
      <c r="AE28" s="646">
        <v>0</v>
      </c>
      <c r="AH28" s="646">
        <v>0</v>
      </c>
      <c r="AI28" s="666"/>
      <c r="AJ28" s="667"/>
      <c r="AK28" s="646">
        <f t="shared" si="9"/>
        <v>0</v>
      </c>
      <c r="AN28" s="646">
        <f t="shared" si="10"/>
        <v>0</v>
      </c>
      <c r="AQ28" s="646">
        <f t="shared" si="11"/>
        <v>0</v>
      </c>
      <c r="AT28" s="646">
        <f t="shared" si="12"/>
        <v>0</v>
      </c>
      <c r="AW28" s="646">
        <f t="shared" si="13"/>
        <v>0</v>
      </c>
      <c r="AZ28" s="646">
        <f t="shared" si="14"/>
        <v>0</v>
      </c>
      <c r="BC28" s="646">
        <f t="shared" si="15"/>
        <v>0</v>
      </c>
      <c r="BF28" s="646">
        <f t="shared" si="16"/>
        <v>0</v>
      </c>
      <c r="BI28" s="646">
        <f t="shared" si="17"/>
        <v>0</v>
      </c>
      <c r="BL28" s="646">
        <f t="shared" si="18"/>
        <v>0</v>
      </c>
      <c r="BO28" s="646">
        <f t="shared" si="19"/>
        <v>0</v>
      </c>
      <c r="BR28" s="646">
        <f t="shared" si="20"/>
        <v>0</v>
      </c>
      <c r="BU28" s="646">
        <f t="shared" si="21"/>
        <v>0</v>
      </c>
      <c r="BX28" s="646">
        <f t="shared" si="22"/>
        <v>0</v>
      </c>
      <c r="CA28" s="646">
        <f t="shared" si="23"/>
        <v>0</v>
      </c>
      <c r="CD28" s="646">
        <f t="shared" si="24"/>
        <v>0</v>
      </c>
      <c r="CG28" s="646">
        <f t="shared" si="25"/>
        <v>0</v>
      </c>
      <c r="CJ28" s="646">
        <f t="shared" si="26"/>
        <v>0</v>
      </c>
      <c r="CM28" s="646">
        <f t="shared" si="27"/>
        <v>0</v>
      </c>
      <c r="CP28" s="646">
        <f t="shared" si="28"/>
        <v>0</v>
      </c>
      <c r="CS28" s="646">
        <f t="shared" si="29"/>
        <v>0</v>
      </c>
      <c r="CV28" s="646">
        <f t="shared" si="30"/>
        <v>0</v>
      </c>
      <c r="CY28" s="646">
        <f t="shared" si="31"/>
        <v>0</v>
      </c>
      <c r="DB28" s="646">
        <f t="shared" si="32"/>
        <v>0</v>
      </c>
      <c r="DE28" s="646">
        <f t="shared" si="33"/>
        <v>0</v>
      </c>
      <c r="DH28" s="646">
        <f t="shared" si="34"/>
        <v>0</v>
      </c>
      <c r="DK28" s="646">
        <f t="shared" si="35"/>
        <v>0</v>
      </c>
      <c r="DN28" s="646">
        <f t="shared" si="36"/>
        <v>0</v>
      </c>
      <c r="DQ28" s="646">
        <f t="shared" si="37"/>
        <v>0</v>
      </c>
      <c r="DT28" s="646">
        <f t="shared" si="38"/>
        <v>0</v>
      </c>
      <c r="DW28" s="646">
        <f t="shared" si="39"/>
        <v>0</v>
      </c>
      <c r="DZ28" s="646"/>
      <c r="EA28" s="646"/>
      <c r="EB28" s="531">
        <f t="shared" si="40"/>
        <v>0</v>
      </c>
      <c r="EC28" s="531">
        <f t="shared" si="41"/>
        <v>0</v>
      </c>
      <c r="ED28" s="646">
        <f t="shared" si="42"/>
        <v>0</v>
      </c>
      <c r="EE28" s="647">
        <f t="shared" si="43"/>
        <v>0</v>
      </c>
      <c r="EG28" s="531">
        <f t="shared" si="44"/>
        <v>0</v>
      </c>
      <c r="EH28" s="646">
        <f t="shared" si="45"/>
        <v>0</v>
      </c>
      <c r="EI28" s="647">
        <f t="shared" si="46"/>
        <v>0</v>
      </c>
      <c r="EJ28" s="647"/>
      <c r="EK28" s="531">
        <f t="shared" si="47"/>
        <v>0</v>
      </c>
      <c r="EL28" s="531">
        <f t="shared" si="48"/>
        <v>0</v>
      </c>
      <c r="EM28" s="531">
        <f t="shared" si="49"/>
        <v>0</v>
      </c>
      <c r="EN28" s="647">
        <f t="shared" si="50"/>
        <v>0</v>
      </c>
    </row>
    <row r="29" spans="1:144">
      <c r="A29" s="665">
        <f t="shared" si="51"/>
        <v>43726</v>
      </c>
      <c r="D29" s="646">
        <f t="shared" si="0"/>
        <v>0</v>
      </c>
      <c r="G29" s="646">
        <f t="shared" si="1"/>
        <v>0</v>
      </c>
      <c r="J29" s="646">
        <f t="shared" si="2"/>
        <v>0</v>
      </c>
      <c r="M29" s="646">
        <f t="shared" si="3"/>
        <v>0</v>
      </c>
      <c r="P29" s="646">
        <f t="shared" si="4"/>
        <v>0</v>
      </c>
      <c r="S29" s="646">
        <f t="shared" si="5"/>
        <v>0</v>
      </c>
      <c r="V29" s="646">
        <f t="shared" si="6"/>
        <v>0</v>
      </c>
      <c r="Y29" s="646">
        <f t="shared" si="7"/>
        <v>0</v>
      </c>
      <c r="AB29" s="646">
        <f t="shared" si="8"/>
        <v>0</v>
      </c>
      <c r="AE29" s="646">
        <v>0</v>
      </c>
      <c r="AH29" s="646">
        <v>0</v>
      </c>
      <c r="AI29" s="666"/>
      <c r="AJ29" s="667"/>
      <c r="AK29" s="646">
        <f t="shared" si="9"/>
        <v>0</v>
      </c>
      <c r="AN29" s="646">
        <f t="shared" si="10"/>
        <v>0</v>
      </c>
      <c r="AQ29" s="646">
        <f t="shared" si="11"/>
        <v>0</v>
      </c>
      <c r="AT29" s="646">
        <f t="shared" si="12"/>
        <v>0</v>
      </c>
      <c r="AW29" s="646">
        <f t="shared" si="13"/>
        <v>0</v>
      </c>
      <c r="AZ29" s="646">
        <f t="shared" si="14"/>
        <v>0</v>
      </c>
      <c r="BC29" s="646">
        <f t="shared" si="15"/>
        <v>0</v>
      </c>
      <c r="BF29" s="646">
        <f t="shared" si="16"/>
        <v>0</v>
      </c>
      <c r="BI29" s="646">
        <f t="shared" si="17"/>
        <v>0</v>
      </c>
      <c r="BL29" s="646">
        <f t="shared" si="18"/>
        <v>0</v>
      </c>
      <c r="BO29" s="646">
        <f t="shared" si="19"/>
        <v>0</v>
      </c>
      <c r="BR29" s="646">
        <f t="shared" si="20"/>
        <v>0</v>
      </c>
      <c r="BU29" s="646">
        <f t="shared" si="21"/>
        <v>0</v>
      </c>
      <c r="BX29" s="646">
        <f t="shared" si="22"/>
        <v>0</v>
      </c>
      <c r="CA29" s="646">
        <f t="shared" si="23"/>
        <v>0</v>
      </c>
      <c r="CD29" s="646">
        <f t="shared" si="24"/>
        <v>0</v>
      </c>
      <c r="CG29" s="646">
        <f t="shared" si="25"/>
        <v>0</v>
      </c>
      <c r="CJ29" s="646">
        <f t="shared" si="26"/>
        <v>0</v>
      </c>
      <c r="CM29" s="646">
        <f t="shared" si="27"/>
        <v>0</v>
      </c>
      <c r="CP29" s="646">
        <f t="shared" si="28"/>
        <v>0</v>
      </c>
      <c r="CS29" s="646">
        <f t="shared" si="29"/>
        <v>0</v>
      </c>
      <c r="CV29" s="646">
        <f t="shared" si="30"/>
        <v>0</v>
      </c>
      <c r="CY29" s="646">
        <f t="shared" si="31"/>
        <v>0</v>
      </c>
      <c r="DB29" s="646">
        <f t="shared" si="32"/>
        <v>0</v>
      </c>
      <c r="DE29" s="646">
        <f t="shared" si="33"/>
        <v>0</v>
      </c>
      <c r="DH29" s="646">
        <f t="shared" si="34"/>
        <v>0</v>
      </c>
      <c r="DK29" s="646">
        <f t="shared" si="35"/>
        <v>0</v>
      </c>
      <c r="DN29" s="646">
        <f t="shared" si="36"/>
        <v>0</v>
      </c>
      <c r="DQ29" s="646">
        <f t="shared" si="37"/>
        <v>0</v>
      </c>
      <c r="DT29" s="646">
        <f t="shared" si="38"/>
        <v>0</v>
      </c>
      <c r="DW29" s="646">
        <f t="shared" si="39"/>
        <v>0</v>
      </c>
      <c r="DZ29" s="646"/>
      <c r="EA29" s="646"/>
      <c r="EB29" s="531">
        <f t="shared" si="40"/>
        <v>0</v>
      </c>
      <c r="EC29" s="531">
        <f t="shared" si="41"/>
        <v>0</v>
      </c>
      <c r="ED29" s="646">
        <f t="shared" si="42"/>
        <v>0</v>
      </c>
      <c r="EE29" s="647">
        <f t="shared" si="43"/>
        <v>0</v>
      </c>
      <c r="EG29" s="531">
        <f t="shared" si="44"/>
        <v>0</v>
      </c>
      <c r="EH29" s="646">
        <f t="shared" si="45"/>
        <v>0</v>
      </c>
      <c r="EI29" s="647">
        <f t="shared" si="46"/>
        <v>0</v>
      </c>
      <c r="EJ29" s="647"/>
      <c r="EK29" s="531">
        <f t="shared" si="47"/>
        <v>0</v>
      </c>
      <c r="EL29" s="531">
        <f t="shared" si="48"/>
        <v>0</v>
      </c>
      <c r="EM29" s="531">
        <f t="shared" si="49"/>
        <v>0</v>
      </c>
      <c r="EN29" s="647">
        <f t="shared" si="50"/>
        <v>0</v>
      </c>
    </row>
    <row r="30" spans="1:144">
      <c r="A30" s="665">
        <f t="shared" si="51"/>
        <v>43727</v>
      </c>
      <c r="D30" s="646">
        <f t="shared" si="0"/>
        <v>0</v>
      </c>
      <c r="G30" s="646">
        <f t="shared" si="1"/>
        <v>0</v>
      </c>
      <c r="J30" s="646">
        <f t="shared" si="2"/>
        <v>0</v>
      </c>
      <c r="M30" s="646">
        <f t="shared" si="3"/>
        <v>0</v>
      </c>
      <c r="P30" s="646">
        <f t="shared" si="4"/>
        <v>0</v>
      </c>
      <c r="S30" s="646">
        <f t="shared" si="5"/>
        <v>0</v>
      </c>
      <c r="V30" s="646">
        <f t="shared" si="6"/>
        <v>0</v>
      </c>
      <c r="Y30" s="646">
        <f t="shared" si="7"/>
        <v>0</v>
      </c>
      <c r="AB30" s="646">
        <f t="shared" si="8"/>
        <v>0</v>
      </c>
      <c r="AE30" s="646">
        <v>0</v>
      </c>
      <c r="AH30" s="646">
        <v>0</v>
      </c>
      <c r="AI30" s="666"/>
      <c r="AJ30" s="667"/>
      <c r="AK30" s="646">
        <f t="shared" si="9"/>
        <v>0</v>
      </c>
      <c r="AN30" s="646">
        <f t="shared" si="10"/>
        <v>0</v>
      </c>
      <c r="AQ30" s="646">
        <f t="shared" si="11"/>
        <v>0</v>
      </c>
      <c r="AT30" s="646">
        <f t="shared" si="12"/>
        <v>0</v>
      </c>
      <c r="AW30" s="646">
        <f t="shared" si="13"/>
        <v>0</v>
      </c>
      <c r="AZ30" s="646">
        <f t="shared" si="14"/>
        <v>0</v>
      </c>
      <c r="BC30" s="646">
        <f t="shared" si="15"/>
        <v>0</v>
      </c>
      <c r="BF30" s="646">
        <f t="shared" si="16"/>
        <v>0</v>
      </c>
      <c r="BI30" s="646">
        <f t="shared" si="17"/>
        <v>0</v>
      </c>
      <c r="BL30" s="646">
        <f t="shared" si="18"/>
        <v>0</v>
      </c>
      <c r="BO30" s="646">
        <f t="shared" si="19"/>
        <v>0</v>
      </c>
      <c r="BR30" s="646">
        <f t="shared" si="20"/>
        <v>0</v>
      </c>
      <c r="BU30" s="646">
        <f t="shared" si="21"/>
        <v>0</v>
      </c>
      <c r="BX30" s="646">
        <f t="shared" si="22"/>
        <v>0</v>
      </c>
      <c r="CA30" s="646">
        <f t="shared" si="23"/>
        <v>0</v>
      </c>
      <c r="CD30" s="646">
        <f t="shared" si="24"/>
        <v>0</v>
      </c>
      <c r="CG30" s="646">
        <f t="shared" si="25"/>
        <v>0</v>
      </c>
      <c r="CJ30" s="646">
        <f t="shared" si="26"/>
        <v>0</v>
      </c>
      <c r="CM30" s="646">
        <f t="shared" si="27"/>
        <v>0</v>
      </c>
      <c r="CP30" s="646">
        <f t="shared" si="28"/>
        <v>0</v>
      </c>
      <c r="CS30" s="646">
        <f t="shared" si="29"/>
        <v>0</v>
      </c>
      <c r="CV30" s="646">
        <f t="shared" si="30"/>
        <v>0</v>
      </c>
      <c r="CY30" s="646">
        <f t="shared" si="31"/>
        <v>0</v>
      </c>
      <c r="DB30" s="646">
        <f t="shared" si="32"/>
        <v>0</v>
      </c>
      <c r="DE30" s="646">
        <f t="shared" si="33"/>
        <v>0</v>
      </c>
      <c r="DH30" s="646">
        <f t="shared" si="34"/>
        <v>0</v>
      </c>
      <c r="DK30" s="646">
        <f t="shared" si="35"/>
        <v>0</v>
      </c>
      <c r="DN30" s="646">
        <f t="shared" si="36"/>
        <v>0</v>
      </c>
      <c r="DQ30" s="646">
        <f t="shared" si="37"/>
        <v>0</v>
      </c>
      <c r="DT30" s="646">
        <f t="shared" si="38"/>
        <v>0</v>
      </c>
      <c r="DW30" s="646">
        <f t="shared" si="39"/>
        <v>0</v>
      </c>
      <c r="DZ30" s="646"/>
      <c r="EA30" s="646"/>
      <c r="EB30" s="531">
        <f t="shared" si="40"/>
        <v>0</v>
      </c>
      <c r="EC30" s="531">
        <f t="shared" si="41"/>
        <v>0</v>
      </c>
      <c r="ED30" s="646">
        <f t="shared" si="42"/>
        <v>0</v>
      </c>
      <c r="EE30" s="647">
        <f t="shared" si="43"/>
        <v>0</v>
      </c>
      <c r="EG30" s="531">
        <f t="shared" si="44"/>
        <v>0</v>
      </c>
      <c r="EH30" s="646">
        <f t="shared" si="45"/>
        <v>0</v>
      </c>
      <c r="EI30" s="647">
        <f t="shared" si="46"/>
        <v>0</v>
      </c>
      <c r="EJ30" s="647"/>
      <c r="EK30" s="531">
        <f t="shared" si="47"/>
        <v>0</v>
      </c>
      <c r="EL30" s="531">
        <f t="shared" si="48"/>
        <v>0</v>
      </c>
      <c r="EM30" s="531">
        <f t="shared" si="49"/>
        <v>0</v>
      </c>
      <c r="EN30" s="647">
        <f t="shared" si="50"/>
        <v>0</v>
      </c>
    </row>
    <row r="31" spans="1:144">
      <c r="A31" s="665">
        <f t="shared" si="51"/>
        <v>43728</v>
      </c>
      <c r="D31" s="646">
        <f t="shared" si="0"/>
        <v>0</v>
      </c>
      <c r="G31" s="646">
        <f t="shared" si="1"/>
        <v>0</v>
      </c>
      <c r="J31" s="646">
        <f t="shared" si="2"/>
        <v>0</v>
      </c>
      <c r="M31" s="646">
        <f t="shared" si="3"/>
        <v>0</v>
      </c>
      <c r="P31" s="646">
        <f t="shared" si="4"/>
        <v>0</v>
      </c>
      <c r="S31" s="646">
        <f t="shared" si="5"/>
        <v>0</v>
      </c>
      <c r="V31" s="646">
        <f t="shared" si="6"/>
        <v>0</v>
      </c>
      <c r="Y31" s="646">
        <f t="shared" si="7"/>
        <v>0</v>
      </c>
      <c r="AB31" s="646">
        <f t="shared" si="8"/>
        <v>0</v>
      </c>
      <c r="AE31" s="646">
        <v>0</v>
      </c>
      <c r="AH31" s="646">
        <v>0</v>
      </c>
      <c r="AI31" s="666">
        <f>100000000+45950000</f>
        <v>145950000</v>
      </c>
      <c r="AJ31" s="667">
        <v>2.2499999999999999E-2</v>
      </c>
      <c r="AK31" s="646">
        <f t="shared" si="9"/>
        <v>9121.875</v>
      </c>
      <c r="AN31" s="646">
        <f t="shared" si="10"/>
        <v>0</v>
      </c>
      <c r="AQ31" s="646">
        <f t="shared" si="11"/>
        <v>0</v>
      </c>
      <c r="AT31" s="646">
        <f t="shared" si="12"/>
        <v>0</v>
      </c>
      <c r="AW31" s="646">
        <f t="shared" si="13"/>
        <v>0</v>
      </c>
      <c r="AZ31" s="646">
        <f t="shared" si="14"/>
        <v>0</v>
      </c>
      <c r="BC31" s="646">
        <f t="shared" si="15"/>
        <v>0</v>
      </c>
      <c r="BF31" s="646">
        <f t="shared" si="16"/>
        <v>0</v>
      </c>
      <c r="BI31" s="646">
        <f t="shared" si="17"/>
        <v>0</v>
      </c>
      <c r="BL31" s="646">
        <f t="shared" si="18"/>
        <v>0</v>
      </c>
      <c r="BO31" s="646">
        <f t="shared" si="19"/>
        <v>0</v>
      </c>
      <c r="BR31" s="646">
        <f t="shared" si="20"/>
        <v>0</v>
      </c>
      <c r="BU31" s="646">
        <f t="shared" si="21"/>
        <v>0</v>
      </c>
      <c r="BX31" s="646">
        <f t="shared" si="22"/>
        <v>0</v>
      </c>
      <c r="CA31" s="646">
        <f t="shared" si="23"/>
        <v>0</v>
      </c>
      <c r="CD31" s="646">
        <f t="shared" si="24"/>
        <v>0</v>
      </c>
      <c r="CG31" s="646">
        <f t="shared" si="25"/>
        <v>0</v>
      </c>
      <c r="CJ31" s="646">
        <f t="shared" si="26"/>
        <v>0</v>
      </c>
      <c r="CM31" s="646">
        <f t="shared" si="27"/>
        <v>0</v>
      </c>
      <c r="CP31" s="646">
        <f t="shared" si="28"/>
        <v>0</v>
      </c>
      <c r="CS31" s="646">
        <f t="shared" si="29"/>
        <v>0</v>
      </c>
      <c r="CV31" s="646">
        <f t="shared" si="30"/>
        <v>0</v>
      </c>
      <c r="CY31" s="646">
        <f t="shared" si="31"/>
        <v>0</v>
      </c>
      <c r="DB31" s="646">
        <f t="shared" si="32"/>
        <v>0</v>
      </c>
      <c r="DE31" s="646">
        <f t="shared" si="33"/>
        <v>0</v>
      </c>
      <c r="DH31" s="646">
        <f t="shared" si="34"/>
        <v>0</v>
      </c>
      <c r="DK31" s="646">
        <f t="shared" si="35"/>
        <v>0</v>
      </c>
      <c r="DN31" s="646">
        <f t="shared" si="36"/>
        <v>0</v>
      </c>
      <c r="DQ31" s="646">
        <f t="shared" si="37"/>
        <v>0</v>
      </c>
      <c r="DT31" s="646">
        <f t="shared" si="38"/>
        <v>0</v>
      </c>
      <c r="DW31" s="646">
        <f t="shared" si="39"/>
        <v>0</v>
      </c>
      <c r="DZ31" s="646"/>
      <c r="EA31" s="646"/>
      <c r="EB31" s="531">
        <f t="shared" si="40"/>
        <v>145950000</v>
      </c>
      <c r="EC31" s="531">
        <f t="shared" si="41"/>
        <v>0</v>
      </c>
      <c r="ED31" s="646">
        <f t="shared" si="42"/>
        <v>9121.875</v>
      </c>
      <c r="EE31" s="647">
        <f t="shared" si="43"/>
        <v>2.2499999999999999E-2</v>
      </c>
      <c r="EG31" s="531">
        <f t="shared" si="44"/>
        <v>0</v>
      </c>
      <c r="EH31" s="646">
        <f t="shared" si="45"/>
        <v>0</v>
      </c>
      <c r="EI31" s="647">
        <f t="shared" si="46"/>
        <v>0</v>
      </c>
      <c r="EJ31" s="647"/>
      <c r="EK31" s="531">
        <f t="shared" si="47"/>
        <v>145950000</v>
      </c>
      <c r="EL31" s="531">
        <f t="shared" si="48"/>
        <v>0</v>
      </c>
      <c r="EM31" s="531">
        <f t="shared" si="49"/>
        <v>9121.875</v>
      </c>
      <c r="EN31" s="647">
        <f t="shared" si="50"/>
        <v>2.2499999999999999E-2</v>
      </c>
    </row>
    <row r="32" spans="1:144">
      <c r="A32" s="665">
        <f t="shared" si="51"/>
        <v>43729</v>
      </c>
      <c r="D32" s="646">
        <f t="shared" si="0"/>
        <v>0</v>
      </c>
      <c r="G32" s="646">
        <f t="shared" si="1"/>
        <v>0</v>
      </c>
      <c r="J32" s="646">
        <f t="shared" si="2"/>
        <v>0</v>
      </c>
      <c r="M32" s="646">
        <f t="shared" si="3"/>
        <v>0</v>
      </c>
      <c r="P32" s="646">
        <f t="shared" si="4"/>
        <v>0</v>
      </c>
      <c r="S32" s="646">
        <f t="shared" si="5"/>
        <v>0</v>
      </c>
      <c r="V32" s="646">
        <f t="shared" si="6"/>
        <v>0</v>
      </c>
      <c r="Y32" s="646">
        <f t="shared" si="7"/>
        <v>0</v>
      </c>
      <c r="AB32" s="646">
        <f t="shared" si="8"/>
        <v>0</v>
      </c>
      <c r="AE32" s="646">
        <v>0</v>
      </c>
      <c r="AH32" s="646">
        <v>0</v>
      </c>
      <c r="AI32" s="666">
        <f>100000000+45950000</f>
        <v>145950000</v>
      </c>
      <c r="AJ32" s="667">
        <v>2.2499999999999999E-2</v>
      </c>
      <c r="AK32" s="646">
        <f t="shared" si="9"/>
        <v>9121.875</v>
      </c>
      <c r="AN32" s="646">
        <f t="shared" si="10"/>
        <v>0</v>
      </c>
      <c r="AQ32" s="646">
        <f t="shared" si="11"/>
        <v>0</v>
      </c>
      <c r="AT32" s="646">
        <f t="shared" si="12"/>
        <v>0</v>
      </c>
      <c r="AW32" s="646">
        <f t="shared" si="13"/>
        <v>0</v>
      </c>
      <c r="AZ32" s="646">
        <f t="shared" si="14"/>
        <v>0</v>
      </c>
      <c r="BC32" s="646">
        <f t="shared" si="15"/>
        <v>0</v>
      </c>
      <c r="BF32" s="646">
        <f t="shared" si="16"/>
        <v>0</v>
      </c>
      <c r="BI32" s="646">
        <f t="shared" si="17"/>
        <v>0</v>
      </c>
      <c r="BL32" s="646">
        <f t="shared" si="18"/>
        <v>0</v>
      </c>
      <c r="BO32" s="646">
        <f t="shared" si="19"/>
        <v>0</v>
      </c>
      <c r="BR32" s="646">
        <f t="shared" si="20"/>
        <v>0</v>
      </c>
      <c r="BU32" s="646">
        <f t="shared" si="21"/>
        <v>0</v>
      </c>
      <c r="BX32" s="646">
        <f t="shared" si="22"/>
        <v>0</v>
      </c>
      <c r="CA32" s="646">
        <f t="shared" si="23"/>
        <v>0</v>
      </c>
      <c r="CD32" s="646">
        <f t="shared" si="24"/>
        <v>0</v>
      </c>
      <c r="CG32" s="646">
        <f t="shared" si="25"/>
        <v>0</v>
      </c>
      <c r="CJ32" s="646">
        <f t="shared" si="26"/>
        <v>0</v>
      </c>
      <c r="CM32" s="646">
        <f t="shared" si="27"/>
        <v>0</v>
      </c>
      <c r="CP32" s="646">
        <f t="shared" si="28"/>
        <v>0</v>
      </c>
      <c r="CS32" s="646">
        <f t="shared" si="29"/>
        <v>0</v>
      </c>
      <c r="CV32" s="646">
        <f t="shared" si="30"/>
        <v>0</v>
      </c>
      <c r="CY32" s="646">
        <f t="shared" si="31"/>
        <v>0</v>
      </c>
      <c r="DB32" s="646">
        <f t="shared" si="32"/>
        <v>0</v>
      </c>
      <c r="DE32" s="646">
        <f t="shared" si="33"/>
        <v>0</v>
      </c>
      <c r="DH32" s="646">
        <f t="shared" si="34"/>
        <v>0</v>
      </c>
      <c r="DK32" s="646">
        <f t="shared" si="35"/>
        <v>0</v>
      </c>
      <c r="DN32" s="646">
        <f t="shared" si="36"/>
        <v>0</v>
      </c>
      <c r="DQ32" s="646">
        <f t="shared" si="37"/>
        <v>0</v>
      </c>
      <c r="DT32" s="646">
        <f t="shared" si="38"/>
        <v>0</v>
      </c>
      <c r="DW32" s="646">
        <f t="shared" si="39"/>
        <v>0</v>
      </c>
      <c r="DZ32" s="646"/>
      <c r="EA32" s="646"/>
      <c r="EB32" s="531">
        <f t="shared" si="40"/>
        <v>145950000</v>
      </c>
      <c r="EC32" s="531">
        <f t="shared" si="41"/>
        <v>0</v>
      </c>
      <c r="ED32" s="646">
        <f t="shared" si="42"/>
        <v>9121.875</v>
      </c>
      <c r="EE32" s="647">
        <f t="shared" si="43"/>
        <v>2.2499999999999999E-2</v>
      </c>
      <c r="EG32" s="531">
        <f t="shared" si="44"/>
        <v>0</v>
      </c>
      <c r="EH32" s="646">
        <f t="shared" si="45"/>
        <v>0</v>
      </c>
      <c r="EI32" s="647">
        <f t="shared" si="46"/>
        <v>0</v>
      </c>
      <c r="EJ32" s="647"/>
      <c r="EK32" s="531">
        <f t="shared" si="47"/>
        <v>145950000</v>
      </c>
      <c r="EL32" s="531">
        <f t="shared" si="48"/>
        <v>0</v>
      </c>
      <c r="EM32" s="531">
        <f t="shared" si="49"/>
        <v>9121.875</v>
      </c>
      <c r="EN32" s="647">
        <f t="shared" si="50"/>
        <v>2.2499999999999999E-2</v>
      </c>
    </row>
    <row r="33" spans="1:144">
      <c r="A33" s="665">
        <f t="shared" si="51"/>
        <v>43730</v>
      </c>
      <c r="D33" s="646">
        <f t="shared" si="0"/>
        <v>0</v>
      </c>
      <c r="G33" s="646">
        <f t="shared" si="1"/>
        <v>0</v>
      </c>
      <c r="J33" s="646">
        <f t="shared" si="2"/>
        <v>0</v>
      </c>
      <c r="M33" s="646">
        <f t="shared" si="3"/>
        <v>0</v>
      </c>
      <c r="P33" s="646">
        <f t="shared" si="4"/>
        <v>0</v>
      </c>
      <c r="S33" s="646">
        <f t="shared" si="5"/>
        <v>0</v>
      </c>
      <c r="V33" s="646">
        <f t="shared" si="6"/>
        <v>0</v>
      </c>
      <c r="Y33" s="646">
        <f t="shared" si="7"/>
        <v>0</v>
      </c>
      <c r="AB33" s="646">
        <f t="shared" si="8"/>
        <v>0</v>
      </c>
      <c r="AE33" s="646">
        <v>0</v>
      </c>
      <c r="AH33" s="646">
        <v>0</v>
      </c>
      <c r="AI33" s="666">
        <f>100000000+45950000</f>
        <v>145950000</v>
      </c>
      <c r="AJ33" s="667">
        <v>2.2499999999999999E-2</v>
      </c>
      <c r="AK33" s="646">
        <f t="shared" si="9"/>
        <v>9121.875</v>
      </c>
      <c r="AN33" s="646">
        <f t="shared" si="10"/>
        <v>0</v>
      </c>
      <c r="AQ33" s="646">
        <f t="shared" si="11"/>
        <v>0</v>
      </c>
      <c r="AT33" s="646">
        <f t="shared" si="12"/>
        <v>0</v>
      </c>
      <c r="AW33" s="646">
        <f t="shared" si="13"/>
        <v>0</v>
      </c>
      <c r="AZ33" s="646">
        <f t="shared" si="14"/>
        <v>0</v>
      </c>
      <c r="BC33" s="646">
        <f t="shared" si="15"/>
        <v>0</v>
      </c>
      <c r="BF33" s="646">
        <f t="shared" si="16"/>
        <v>0</v>
      </c>
      <c r="BI33" s="646">
        <f t="shared" si="17"/>
        <v>0</v>
      </c>
      <c r="BL33" s="646">
        <f t="shared" si="18"/>
        <v>0</v>
      </c>
      <c r="BO33" s="646">
        <f t="shared" si="19"/>
        <v>0</v>
      </c>
      <c r="BR33" s="646">
        <f t="shared" si="20"/>
        <v>0</v>
      </c>
      <c r="BU33" s="646">
        <f t="shared" si="21"/>
        <v>0</v>
      </c>
      <c r="BX33" s="646">
        <f t="shared" si="22"/>
        <v>0</v>
      </c>
      <c r="CA33" s="646">
        <f t="shared" si="23"/>
        <v>0</v>
      </c>
      <c r="CD33" s="646">
        <f t="shared" si="24"/>
        <v>0</v>
      </c>
      <c r="CG33" s="646">
        <f t="shared" si="25"/>
        <v>0</v>
      </c>
      <c r="CJ33" s="646">
        <f t="shared" si="26"/>
        <v>0</v>
      </c>
      <c r="CM33" s="646">
        <f t="shared" si="27"/>
        <v>0</v>
      </c>
      <c r="CP33" s="646">
        <f t="shared" si="28"/>
        <v>0</v>
      </c>
      <c r="CS33" s="646">
        <f t="shared" si="29"/>
        <v>0</v>
      </c>
      <c r="CV33" s="646">
        <f t="shared" si="30"/>
        <v>0</v>
      </c>
      <c r="CY33" s="646">
        <f t="shared" si="31"/>
        <v>0</v>
      </c>
      <c r="DB33" s="646">
        <f t="shared" si="32"/>
        <v>0</v>
      </c>
      <c r="DE33" s="646">
        <f t="shared" si="33"/>
        <v>0</v>
      </c>
      <c r="DH33" s="646">
        <f t="shared" si="34"/>
        <v>0</v>
      </c>
      <c r="DK33" s="646">
        <f t="shared" si="35"/>
        <v>0</v>
      </c>
      <c r="DN33" s="646">
        <f t="shared" si="36"/>
        <v>0</v>
      </c>
      <c r="DQ33" s="646">
        <f t="shared" si="37"/>
        <v>0</v>
      </c>
      <c r="DT33" s="646">
        <f t="shared" si="38"/>
        <v>0</v>
      </c>
      <c r="DW33" s="646">
        <f t="shared" si="39"/>
        <v>0</v>
      </c>
      <c r="DZ33" s="646"/>
      <c r="EA33" s="646"/>
      <c r="EB33" s="531">
        <f t="shared" si="40"/>
        <v>145950000</v>
      </c>
      <c r="EC33" s="531">
        <f t="shared" si="41"/>
        <v>0</v>
      </c>
      <c r="ED33" s="646">
        <f t="shared" si="42"/>
        <v>9121.875</v>
      </c>
      <c r="EE33" s="647">
        <f t="shared" si="43"/>
        <v>2.2499999999999999E-2</v>
      </c>
      <c r="EG33" s="531">
        <f t="shared" si="44"/>
        <v>0</v>
      </c>
      <c r="EH33" s="646">
        <f t="shared" si="45"/>
        <v>0</v>
      </c>
      <c r="EI33" s="647">
        <f t="shared" si="46"/>
        <v>0</v>
      </c>
      <c r="EJ33" s="647"/>
      <c r="EK33" s="531">
        <f t="shared" si="47"/>
        <v>145950000</v>
      </c>
      <c r="EL33" s="531">
        <f t="shared" si="48"/>
        <v>0</v>
      </c>
      <c r="EM33" s="531">
        <f t="shared" si="49"/>
        <v>9121.875</v>
      </c>
      <c r="EN33" s="647">
        <f t="shared" si="50"/>
        <v>2.2499999999999999E-2</v>
      </c>
    </row>
    <row r="34" spans="1:144">
      <c r="A34" s="665">
        <f t="shared" si="51"/>
        <v>43731</v>
      </c>
      <c r="D34" s="646">
        <f t="shared" si="0"/>
        <v>0</v>
      </c>
      <c r="G34" s="646">
        <f t="shared" si="1"/>
        <v>0</v>
      </c>
      <c r="J34" s="646">
        <f t="shared" si="2"/>
        <v>0</v>
      </c>
      <c r="M34" s="646">
        <f t="shared" si="3"/>
        <v>0</v>
      </c>
      <c r="P34" s="646">
        <f t="shared" si="4"/>
        <v>0</v>
      </c>
      <c r="S34" s="646">
        <f t="shared" si="5"/>
        <v>0</v>
      </c>
      <c r="V34" s="646">
        <f t="shared" si="6"/>
        <v>0</v>
      </c>
      <c r="Y34" s="646">
        <f t="shared" si="7"/>
        <v>0</v>
      </c>
      <c r="AB34" s="646">
        <f t="shared" si="8"/>
        <v>0</v>
      </c>
      <c r="AE34" s="646">
        <v>0</v>
      </c>
      <c r="AH34" s="646">
        <v>0</v>
      </c>
      <c r="AI34" s="666">
        <f>100100000+46100000</f>
        <v>146200000</v>
      </c>
      <c r="AJ34" s="667">
        <v>2.2200000000000001E-2</v>
      </c>
      <c r="AK34" s="646">
        <f t="shared" si="9"/>
        <v>9015.6666666666661</v>
      </c>
      <c r="AN34" s="646">
        <f t="shared" si="10"/>
        <v>0</v>
      </c>
      <c r="AQ34" s="646">
        <f t="shared" si="11"/>
        <v>0</v>
      </c>
      <c r="AT34" s="646">
        <f t="shared" si="12"/>
        <v>0</v>
      </c>
      <c r="AW34" s="646">
        <f t="shared" si="13"/>
        <v>0</v>
      </c>
      <c r="AZ34" s="646">
        <f t="shared" si="14"/>
        <v>0</v>
      </c>
      <c r="BC34" s="646">
        <f t="shared" si="15"/>
        <v>0</v>
      </c>
      <c r="BF34" s="646">
        <f t="shared" si="16"/>
        <v>0</v>
      </c>
      <c r="BI34" s="646">
        <f t="shared" si="17"/>
        <v>0</v>
      </c>
      <c r="BL34" s="646">
        <f t="shared" si="18"/>
        <v>0</v>
      </c>
      <c r="BO34" s="646">
        <f t="shared" si="19"/>
        <v>0</v>
      </c>
      <c r="BR34" s="646">
        <f t="shared" si="20"/>
        <v>0</v>
      </c>
      <c r="BU34" s="646">
        <f t="shared" si="21"/>
        <v>0</v>
      </c>
      <c r="BX34" s="646">
        <f t="shared" si="22"/>
        <v>0</v>
      </c>
      <c r="CA34" s="646">
        <f t="shared" si="23"/>
        <v>0</v>
      </c>
      <c r="CD34" s="646">
        <f t="shared" si="24"/>
        <v>0</v>
      </c>
      <c r="CG34" s="646">
        <f t="shared" si="25"/>
        <v>0</v>
      </c>
      <c r="CJ34" s="646">
        <f t="shared" si="26"/>
        <v>0</v>
      </c>
      <c r="CM34" s="646">
        <f t="shared" si="27"/>
        <v>0</v>
      </c>
      <c r="CP34" s="646">
        <f t="shared" si="28"/>
        <v>0</v>
      </c>
      <c r="CS34" s="646">
        <f t="shared" si="29"/>
        <v>0</v>
      </c>
      <c r="CV34" s="646">
        <f t="shared" si="30"/>
        <v>0</v>
      </c>
      <c r="CY34" s="646">
        <f t="shared" si="31"/>
        <v>0</v>
      </c>
      <c r="DB34" s="646">
        <f t="shared" si="32"/>
        <v>0</v>
      </c>
      <c r="DE34" s="646">
        <f t="shared" si="33"/>
        <v>0</v>
      </c>
      <c r="DH34" s="646">
        <f t="shared" si="34"/>
        <v>0</v>
      </c>
      <c r="DK34" s="646">
        <f t="shared" si="35"/>
        <v>0</v>
      </c>
      <c r="DN34" s="646">
        <f t="shared" si="36"/>
        <v>0</v>
      </c>
      <c r="DQ34" s="646">
        <f t="shared" si="37"/>
        <v>0</v>
      </c>
      <c r="DT34" s="646">
        <f t="shared" si="38"/>
        <v>0</v>
      </c>
      <c r="DW34" s="646">
        <f t="shared" si="39"/>
        <v>0</v>
      </c>
      <c r="DZ34" s="646"/>
      <c r="EA34" s="646"/>
      <c r="EB34" s="531">
        <f t="shared" si="40"/>
        <v>146200000</v>
      </c>
      <c r="EC34" s="531">
        <f t="shared" si="41"/>
        <v>0</v>
      </c>
      <c r="ED34" s="646">
        <f t="shared" si="42"/>
        <v>9015.6666666666661</v>
      </c>
      <c r="EE34" s="647">
        <f t="shared" si="43"/>
        <v>2.2199999999999998E-2</v>
      </c>
      <c r="EG34" s="531">
        <f t="shared" si="44"/>
        <v>0</v>
      </c>
      <c r="EH34" s="646">
        <f t="shared" si="45"/>
        <v>0</v>
      </c>
      <c r="EI34" s="647">
        <f t="shared" si="46"/>
        <v>0</v>
      </c>
      <c r="EJ34" s="647"/>
      <c r="EK34" s="531">
        <f t="shared" si="47"/>
        <v>146200000</v>
      </c>
      <c r="EL34" s="531">
        <f t="shared" si="48"/>
        <v>0</v>
      </c>
      <c r="EM34" s="531">
        <f t="shared" si="49"/>
        <v>9015.6666666666661</v>
      </c>
      <c r="EN34" s="647">
        <f t="shared" si="50"/>
        <v>2.2199999999999998E-2</v>
      </c>
    </row>
    <row r="35" spans="1:144">
      <c r="A35" s="665">
        <f t="shared" si="51"/>
        <v>43732</v>
      </c>
      <c r="D35" s="646">
        <f t="shared" si="0"/>
        <v>0</v>
      </c>
      <c r="G35" s="646">
        <f t="shared" si="1"/>
        <v>0</v>
      </c>
      <c r="J35" s="646">
        <f t="shared" si="2"/>
        <v>0</v>
      </c>
      <c r="M35" s="646">
        <f t="shared" si="3"/>
        <v>0</v>
      </c>
      <c r="P35" s="646">
        <f t="shared" si="4"/>
        <v>0</v>
      </c>
      <c r="S35" s="646">
        <f t="shared" si="5"/>
        <v>0</v>
      </c>
      <c r="V35" s="646">
        <f t="shared" si="6"/>
        <v>0</v>
      </c>
      <c r="Y35" s="646">
        <f t="shared" si="7"/>
        <v>0</v>
      </c>
      <c r="AB35" s="646">
        <f t="shared" si="8"/>
        <v>0</v>
      </c>
      <c r="AE35" s="646">
        <v>0</v>
      </c>
      <c r="AH35" s="646">
        <v>0</v>
      </c>
      <c r="AI35" s="666">
        <f>100000000+28800000</f>
        <v>128800000</v>
      </c>
      <c r="AJ35" s="667">
        <v>2.1999999999999999E-2</v>
      </c>
      <c r="AK35" s="646">
        <f t="shared" si="9"/>
        <v>7871.1111111111113</v>
      </c>
      <c r="AN35" s="646">
        <f t="shared" si="10"/>
        <v>0</v>
      </c>
      <c r="AQ35" s="646">
        <f t="shared" si="11"/>
        <v>0</v>
      </c>
      <c r="AT35" s="646">
        <f t="shared" si="12"/>
        <v>0</v>
      </c>
      <c r="AW35" s="646">
        <f t="shared" si="13"/>
        <v>0</v>
      </c>
      <c r="AZ35" s="646">
        <f t="shared" si="14"/>
        <v>0</v>
      </c>
      <c r="BC35" s="646">
        <f t="shared" si="15"/>
        <v>0</v>
      </c>
      <c r="BF35" s="646">
        <f t="shared" si="16"/>
        <v>0</v>
      </c>
      <c r="BI35" s="646">
        <f t="shared" si="17"/>
        <v>0</v>
      </c>
      <c r="BL35" s="646">
        <f t="shared" si="18"/>
        <v>0</v>
      </c>
      <c r="BO35" s="646">
        <f t="shared" si="19"/>
        <v>0</v>
      </c>
      <c r="BR35" s="646">
        <f t="shared" si="20"/>
        <v>0</v>
      </c>
      <c r="BU35" s="646">
        <f t="shared" si="21"/>
        <v>0</v>
      </c>
      <c r="BX35" s="646">
        <f t="shared" si="22"/>
        <v>0</v>
      </c>
      <c r="CA35" s="646">
        <f t="shared" si="23"/>
        <v>0</v>
      </c>
      <c r="CD35" s="646">
        <f t="shared" si="24"/>
        <v>0</v>
      </c>
      <c r="CG35" s="646">
        <f t="shared" si="25"/>
        <v>0</v>
      </c>
      <c r="CJ35" s="646">
        <f t="shared" si="26"/>
        <v>0</v>
      </c>
      <c r="CM35" s="646">
        <f t="shared" si="27"/>
        <v>0</v>
      </c>
      <c r="CP35" s="646">
        <f t="shared" si="28"/>
        <v>0</v>
      </c>
      <c r="CS35" s="646">
        <f t="shared" si="29"/>
        <v>0</v>
      </c>
      <c r="CV35" s="646">
        <f t="shared" si="30"/>
        <v>0</v>
      </c>
      <c r="CY35" s="646">
        <f t="shared" si="31"/>
        <v>0</v>
      </c>
      <c r="DB35" s="646">
        <f t="shared" si="32"/>
        <v>0</v>
      </c>
      <c r="DE35" s="646">
        <f t="shared" si="33"/>
        <v>0</v>
      </c>
      <c r="DH35" s="646">
        <f t="shared" si="34"/>
        <v>0</v>
      </c>
      <c r="DK35" s="646">
        <f t="shared" si="35"/>
        <v>0</v>
      </c>
      <c r="DN35" s="646">
        <f t="shared" si="36"/>
        <v>0</v>
      </c>
      <c r="DQ35" s="646">
        <f t="shared" si="37"/>
        <v>0</v>
      </c>
      <c r="DT35" s="646">
        <f t="shared" si="38"/>
        <v>0</v>
      </c>
      <c r="DW35" s="646">
        <f t="shared" si="39"/>
        <v>0</v>
      </c>
      <c r="DZ35" s="646"/>
      <c r="EA35" s="646"/>
      <c r="EB35" s="531">
        <f t="shared" si="40"/>
        <v>128800000</v>
      </c>
      <c r="EC35" s="531">
        <f t="shared" si="41"/>
        <v>0</v>
      </c>
      <c r="ED35" s="646">
        <f t="shared" si="42"/>
        <v>7871.1111111111113</v>
      </c>
      <c r="EE35" s="647">
        <f t="shared" si="43"/>
        <v>2.1999999999999999E-2</v>
      </c>
      <c r="EG35" s="531">
        <f t="shared" si="44"/>
        <v>0</v>
      </c>
      <c r="EH35" s="646">
        <f t="shared" si="45"/>
        <v>0</v>
      </c>
      <c r="EI35" s="647">
        <f t="shared" si="46"/>
        <v>0</v>
      </c>
      <c r="EJ35" s="647"/>
      <c r="EK35" s="531">
        <f t="shared" si="47"/>
        <v>128800000</v>
      </c>
      <c r="EL35" s="531">
        <f t="shared" si="48"/>
        <v>0</v>
      </c>
      <c r="EM35" s="531">
        <f t="shared" si="49"/>
        <v>7871.1111111111113</v>
      </c>
      <c r="EN35" s="647">
        <f t="shared" si="50"/>
        <v>2.1999999999999999E-2</v>
      </c>
    </row>
    <row r="36" spans="1:144">
      <c r="A36" s="665">
        <f t="shared" si="51"/>
        <v>43733</v>
      </c>
      <c r="D36" s="646">
        <f t="shared" si="0"/>
        <v>0</v>
      </c>
      <c r="G36" s="646">
        <f t="shared" si="1"/>
        <v>0</v>
      </c>
      <c r="J36" s="646">
        <f t="shared" si="2"/>
        <v>0</v>
      </c>
      <c r="M36" s="646">
        <f t="shared" si="3"/>
        <v>0</v>
      </c>
      <c r="P36" s="646">
        <f t="shared" si="4"/>
        <v>0</v>
      </c>
      <c r="S36" s="646">
        <f t="shared" si="5"/>
        <v>0</v>
      </c>
      <c r="V36" s="646">
        <f t="shared" si="6"/>
        <v>0</v>
      </c>
      <c r="Y36" s="646">
        <f t="shared" si="7"/>
        <v>0</v>
      </c>
      <c r="AB36" s="646">
        <f t="shared" si="8"/>
        <v>0</v>
      </c>
      <c r="AE36" s="646">
        <v>0</v>
      </c>
      <c r="AH36" s="646">
        <v>0</v>
      </c>
      <c r="AI36" s="666">
        <f>100000000+14075000</f>
        <v>114075000</v>
      </c>
      <c r="AJ36" s="667">
        <v>2.1999999999999999E-2</v>
      </c>
      <c r="AK36" s="646">
        <f t="shared" si="9"/>
        <v>6971.25</v>
      </c>
      <c r="AN36" s="646">
        <f t="shared" si="10"/>
        <v>0</v>
      </c>
      <c r="AQ36" s="646">
        <f t="shared" si="11"/>
        <v>0</v>
      </c>
      <c r="AT36" s="646">
        <f t="shared" si="12"/>
        <v>0</v>
      </c>
      <c r="AW36" s="646">
        <f t="shared" si="13"/>
        <v>0</v>
      </c>
      <c r="AZ36" s="646">
        <f t="shared" si="14"/>
        <v>0</v>
      </c>
      <c r="BC36" s="646">
        <f t="shared" si="15"/>
        <v>0</v>
      </c>
      <c r="BF36" s="646">
        <f t="shared" si="16"/>
        <v>0</v>
      </c>
      <c r="BI36" s="646">
        <f t="shared" si="17"/>
        <v>0</v>
      </c>
      <c r="BL36" s="646">
        <f t="shared" si="18"/>
        <v>0</v>
      </c>
      <c r="BO36" s="646">
        <f t="shared" si="19"/>
        <v>0</v>
      </c>
      <c r="BR36" s="646">
        <f t="shared" si="20"/>
        <v>0</v>
      </c>
      <c r="BU36" s="646">
        <f t="shared" si="21"/>
        <v>0</v>
      </c>
      <c r="BX36" s="646">
        <f t="shared" si="22"/>
        <v>0</v>
      </c>
      <c r="CA36" s="646">
        <f t="shared" si="23"/>
        <v>0</v>
      </c>
      <c r="CD36" s="646">
        <f t="shared" si="24"/>
        <v>0</v>
      </c>
      <c r="CG36" s="646">
        <f t="shared" si="25"/>
        <v>0</v>
      </c>
      <c r="CJ36" s="646">
        <f t="shared" si="26"/>
        <v>0</v>
      </c>
      <c r="CM36" s="646">
        <f t="shared" si="27"/>
        <v>0</v>
      </c>
      <c r="CP36" s="646">
        <f t="shared" si="28"/>
        <v>0</v>
      </c>
      <c r="CS36" s="646">
        <f t="shared" si="29"/>
        <v>0</v>
      </c>
      <c r="CV36" s="646">
        <f t="shared" si="30"/>
        <v>0</v>
      </c>
      <c r="CY36" s="646">
        <f t="shared" si="31"/>
        <v>0</v>
      </c>
      <c r="DB36" s="646">
        <f t="shared" si="32"/>
        <v>0</v>
      </c>
      <c r="DE36" s="646">
        <f t="shared" si="33"/>
        <v>0</v>
      </c>
      <c r="DH36" s="646">
        <f t="shared" si="34"/>
        <v>0</v>
      </c>
      <c r="DK36" s="646">
        <f t="shared" si="35"/>
        <v>0</v>
      </c>
      <c r="DN36" s="646">
        <f t="shared" si="36"/>
        <v>0</v>
      </c>
      <c r="DQ36" s="646">
        <f t="shared" si="37"/>
        <v>0</v>
      </c>
      <c r="DT36" s="646">
        <f t="shared" si="38"/>
        <v>0</v>
      </c>
      <c r="DW36" s="646">
        <f t="shared" si="39"/>
        <v>0</v>
      </c>
      <c r="DZ36" s="646"/>
      <c r="EA36" s="646"/>
      <c r="EB36" s="531">
        <f t="shared" si="40"/>
        <v>114075000</v>
      </c>
      <c r="EC36" s="531">
        <f t="shared" si="41"/>
        <v>0</v>
      </c>
      <c r="ED36" s="646">
        <f t="shared" si="42"/>
        <v>6971.25</v>
      </c>
      <c r="EE36" s="647">
        <f t="shared" si="43"/>
        <v>2.1999999999999999E-2</v>
      </c>
      <c r="EG36" s="531">
        <f t="shared" si="44"/>
        <v>0</v>
      </c>
      <c r="EH36" s="646">
        <f t="shared" si="45"/>
        <v>0</v>
      </c>
      <c r="EI36" s="647">
        <f t="shared" si="46"/>
        <v>0</v>
      </c>
      <c r="EJ36" s="647"/>
      <c r="EK36" s="531">
        <f t="shared" si="47"/>
        <v>114075000</v>
      </c>
      <c r="EL36" s="531">
        <f t="shared" si="48"/>
        <v>0</v>
      </c>
      <c r="EM36" s="531">
        <f t="shared" si="49"/>
        <v>6971.25</v>
      </c>
      <c r="EN36" s="647">
        <f t="shared" si="50"/>
        <v>2.1999999999999999E-2</v>
      </c>
    </row>
    <row r="37" spans="1:144">
      <c r="A37" s="665">
        <f t="shared" si="51"/>
        <v>43734</v>
      </c>
      <c r="D37" s="646">
        <f t="shared" si="0"/>
        <v>0</v>
      </c>
      <c r="G37" s="646">
        <f t="shared" si="1"/>
        <v>0</v>
      </c>
      <c r="J37" s="646">
        <f t="shared" si="2"/>
        <v>0</v>
      </c>
      <c r="M37" s="646">
        <f t="shared" si="3"/>
        <v>0</v>
      </c>
      <c r="P37" s="646">
        <f t="shared" si="4"/>
        <v>0</v>
      </c>
      <c r="S37" s="646">
        <f t="shared" si="5"/>
        <v>0</v>
      </c>
      <c r="V37" s="646">
        <f t="shared" si="6"/>
        <v>0</v>
      </c>
      <c r="Y37" s="646">
        <f t="shared" si="7"/>
        <v>0</v>
      </c>
      <c r="AB37" s="646">
        <f t="shared" si="8"/>
        <v>0</v>
      </c>
      <c r="AE37" s="646">
        <v>0</v>
      </c>
      <c r="AH37" s="646">
        <v>0</v>
      </c>
      <c r="AI37" s="666">
        <f>100000000+13675000</f>
        <v>113675000</v>
      </c>
      <c r="AJ37" s="667">
        <v>2.1999999999999999E-2</v>
      </c>
      <c r="AK37" s="646">
        <f t="shared" si="9"/>
        <v>6946.8055555555557</v>
      </c>
      <c r="AN37" s="646">
        <f t="shared" si="10"/>
        <v>0</v>
      </c>
      <c r="AQ37" s="646">
        <f t="shared" si="11"/>
        <v>0</v>
      </c>
      <c r="AT37" s="646">
        <f t="shared" si="12"/>
        <v>0</v>
      </c>
      <c r="AW37" s="646">
        <f t="shared" si="13"/>
        <v>0</v>
      </c>
      <c r="AZ37" s="646">
        <f t="shared" si="14"/>
        <v>0</v>
      </c>
      <c r="BC37" s="646">
        <f t="shared" si="15"/>
        <v>0</v>
      </c>
      <c r="BF37" s="646">
        <f t="shared" si="16"/>
        <v>0</v>
      </c>
      <c r="BI37" s="646">
        <f t="shared" si="17"/>
        <v>0</v>
      </c>
      <c r="BL37" s="646">
        <f t="shared" si="18"/>
        <v>0</v>
      </c>
      <c r="BO37" s="646">
        <f t="shared" si="19"/>
        <v>0</v>
      </c>
      <c r="BR37" s="646">
        <f t="shared" si="20"/>
        <v>0</v>
      </c>
      <c r="BU37" s="646">
        <f t="shared" si="21"/>
        <v>0</v>
      </c>
      <c r="BX37" s="646">
        <f t="shared" si="22"/>
        <v>0</v>
      </c>
      <c r="CA37" s="646">
        <f t="shared" si="23"/>
        <v>0</v>
      </c>
      <c r="CD37" s="646">
        <f t="shared" si="24"/>
        <v>0</v>
      </c>
      <c r="CG37" s="646">
        <f t="shared" si="25"/>
        <v>0</v>
      </c>
      <c r="CJ37" s="646">
        <f t="shared" si="26"/>
        <v>0</v>
      </c>
      <c r="CM37" s="646">
        <f t="shared" si="27"/>
        <v>0</v>
      </c>
      <c r="CP37" s="646">
        <f t="shared" si="28"/>
        <v>0</v>
      </c>
      <c r="CS37" s="646">
        <f t="shared" si="29"/>
        <v>0</v>
      </c>
      <c r="CV37" s="646">
        <f t="shared" si="30"/>
        <v>0</v>
      </c>
      <c r="CY37" s="646">
        <f t="shared" si="31"/>
        <v>0</v>
      </c>
      <c r="DB37" s="646">
        <f t="shared" si="32"/>
        <v>0</v>
      </c>
      <c r="DE37" s="646">
        <f t="shared" si="33"/>
        <v>0</v>
      </c>
      <c r="DH37" s="646">
        <f t="shared" si="34"/>
        <v>0</v>
      </c>
      <c r="DK37" s="646">
        <f t="shared" si="35"/>
        <v>0</v>
      </c>
      <c r="DN37" s="646">
        <f t="shared" si="36"/>
        <v>0</v>
      </c>
      <c r="DQ37" s="646">
        <f t="shared" si="37"/>
        <v>0</v>
      </c>
      <c r="DT37" s="646">
        <f t="shared" si="38"/>
        <v>0</v>
      </c>
      <c r="DW37" s="646">
        <f t="shared" si="39"/>
        <v>0</v>
      </c>
      <c r="DZ37" s="646"/>
      <c r="EA37" s="646"/>
      <c r="EB37" s="531">
        <f t="shared" si="40"/>
        <v>113675000</v>
      </c>
      <c r="EC37" s="531">
        <f t="shared" si="41"/>
        <v>0</v>
      </c>
      <c r="ED37" s="646">
        <f t="shared" si="42"/>
        <v>6946.8055555555557</v>
      </c>
      <c r="EE37" s="647">
        <f t="shared" si="43"/>
        <v>2.1999999999999999E-2</v>
      </c>
      <c r="EG37" s="531">
        <f t="shared" si="44"/>
        <v>0</v>
      </c>
      <c r="EH37" s="646">
        <f t="shared" si="45"/>
        <v>0</v>
      </c>
      <c r="EI37" s="647">
        <f t="shared" si="46"/>
        <v>0</v>
      </c>
      <c r="EJ37" s="647"/>
      <c r="EK37" s="531">
        <f t="shared" si="47"/>
        <v>113675000</v>
      </c>
      <c r="EL37" s="531">
        <f t="shared" si="48"/>
        <v>0</v>
      </c>
      <c r="EM37" s="531">
        <f t="shared" si="49"/>
        <v>6946.8055555555557</v>
      </c>
      <c r="EN37" s="647">
        <f t="shared" si="50"/>
        <v>2.1999999999999999E-2</v>
      </c>
    </row>
    <row r="38" spans="1:144">
      <c r="A38" s="665">
        <f t="shared" si="51"/>
        <v>43735</v>
      </c>
      <c r="D38" s="646">
        <f t="shared" si="0"/>
        <v>0</v>
      </c>
      <c r="G38" s="646">
        <f t="shared" si="1"/>
        <v>0</v>
      </c>
      <c r="J38" s="646">
        <f t="shared" si="2"/>
        <v>0</v>
      </c>
      <c r="M38" s="646">
        <f t="shared" si="3"/>
        <v>0</v>
      </c>
      <c r="P38" s="646">
        <f t="shared" si="4"/>
        <v>0</v>
      </c>
      <c r="S38" s="646">
        <f t="shared" si="5"/>
        <v>0</v>
      </c>
      <c r="V38" s="646">
        <f t="shared" si="6"/>
        <v>0</v>
      </c>
      <c r="Y38" s="646">
        <f t="shared" si="7"/>
        <v>0</v>
      </c>
      <c r="AB38" s="646">
        <f t="shared" si="8"/>
        <v>0</v>
      </c>
      <c r="AE38" s="646">
        <v>0</v>
      </c>
      <c r="AH38" s="646">
        <v>0</v>
      </c>
      <c r="AI38" s="666">
        <f>100000000+28875000</f>
        <v>128875000</v>
      </c>
      <c r="AJ38" s="667">
        <v>2.1999999999999999E-2</v>
      </c>
      <c r="AK38" s="646">
        <f t="shared" si="9"/>
        <v>7875.6944444444443</v>
      </c>
      <c r="AN38" s="646">
        <f t="shared" si="10"/>
        <v>0</v>
      </c>
      <c r="AQ38" s="646">
        <f t="shared" si="11"/>
        <v>0</v>
      </c>
      <c r="AT38" s="646">
        <f t="shared" si="12"/>
        <v>0</v>
      </c>
      <c r="AW38" s="646">
        <f t="shared" si="13"/>
        <v>0</v>
      </c>
      <c r="AZ38" s="646">
        <f t="shared" si="14"/>
        <v>0</v>
      </c>
      <c r="BC38" s="646">
        <f t="shared" si="15"/>
        <v>0</v>
      </c>
      <c r="BF38" s="646">
        <f t="shared" si="16"/>
        <v>0</v>
      </c>
      <c r="BI38" s="646">
        <f t="shared" si="17"/>
        <v>0</v>
      </c>
      <c r="BL38" s="646">
        <f t="shared" si="18"/>
        <v>0</v>
      </c>
      <c r="BO38" s="646">
        <f t="shared" si="19"/>
        <v>0</v>
      </c>
      <c r="BR38" s="646">
        <f t="shared" si="20"/>
        <v>0</v>
      </c>
      <c r="BU38" s="646">
        <f t="shared" si="21"/>
        <v>0</v>
      </c>
      <c r="BX38" s="646">
        <f t="shared" si="22"/>
        <v>0</v>
      </c>
      <c r="CA38" s="646">
        <f t="shared" si="23"/>
        <v>0</v>
      </c>
      <c r="CD38" s="646">
        <f t="shared" si="24"/>
        <v>0</v>
      </c>
      <c r="CG38" s="646">
        <f t="shared" si="25"/>
        <v>0</v>
      </c>
      <c r="CJ38" s="646">
        <f t="shared" si="26"/>
        <v>0</v>
      </c>
      <c r="CM38" s="646">
        <f t="shared" si="27"/>
        <v>0</v>
      </c>
      <c r="CP38" s="646">
        <f t="shared" si="28"/>
        <v>0</v>
      </c>
      <c r="CS38" s="646">
        <f t="shared" si="29"/>
        <v>0</v>
      </c>
      <c r="CV38" s="646">
        <f t="shared" si="30"/>
        <v>0</v>
      </c>
      <c r="CY38" s="646">
        <f t="shared" si="31"/>
        <v>0</v>
      </c>
      <c r="DB38" s="646">
        <f t="shared" si="32"/>
        <v>0</v>
      </c>
      <c r="DE38" s="646">
        <f t="shared" si="33"/>
        <v>0</v>
      </c>
      <c r="DH38" s="646">
        <f t="shared" si="34"/>
        <v>0</v>
      </c>
      <c r="DK38" s="646">
        <f t="shared" si="35"/>
        <v>0</v>
      </c>
      <c r="DN38" s="646">
        <f t="shared" si="36"/>
        <v>0</v>
      </c>
      <c r="DQ38" s="646">
        <f t="shared" si="37"/>
        <v>0</v>
      </c>
      <c r="DT38" s="646">
        <f t="shared" si="38"/>
        <v>0</v>
      </c>
      <c r="DW38" s="646">
        <f t="shared" si="39"/>
        <v>0</v>
      </c>
      <c r="DZ38" s="646"/>
      <c r="EA38" s="646"/>
      <c r="EB38" s="531">
        <f t="shared" si="40"/>
        <v>128875000</v>
      </c>
      <c r="EC38" s="531">
        <f t="shared" si="41"/>
        <v>0</v>
      </c>
      <c r="ED38" s="646">
        <f t="shared" si="42"/>
        <v>7875.6944444444443</v>
      </c>
      <c r="EE38" s="647">
        <f t="shared" si="43"/>
        <v>2.1999999999999999E-2</v>
      </c>
      <c r="EG38" s="531">
        <f t="shared" si="44"/>
        <v>0</v>
      </c>
      <c r="EH38" s="646">
        <f t="shared" si="45"/>
        <v>0</v>
      </c>
      <c r="EI38" s="647">
        <f t="shared" si="46"/>
        <v>0</v>
      </c>
      <c r="EJ38" s="647"/>
      <c r="EK38" s="531">
        <f t="shared" si="47"/>
        <v>128875000</v>
      </c>
      <c r="EL38" s="531">
        <f t="shared" si="48"/>
        <v>0</v>
      </c>
      <c r="EM38" s="531">
        <f t="shared" si="49"/>
        <v>7875.6944444444443</v>
      </c>
      <c r="EN38" s="647">
        <f t="shared" si="50"/>
        <v>2.1999999999999999E-2</v>
      </c>
    </row>
    <row r="39" spans="1:144">
      <c r="A39" s="665">
        <f t="shared" si="51"/>
        <v>43736</v>
      </c>
      <c r="D39" s="646">
        <f t="shared" si="0"/>
        <v>0</v>
      </c>
      <c r="G39" s="646">
        <f t="shared" si="1"/>
        <v>0</v>
      </c>
      <c r="J39" s="646">
        <f t="shared" si="2"/>
        <v>0</v>
      </c>
      <c r="M39" s="646">
        <f t="shared" si="3"/>
        <v>0</v>
      </c>
      <c r="P39" s="646">
        <f t="shared" si="4"/>
        <v>0</v>
      </c>
      <c r="S39" s="646">
        <f t="shared" si="5"/>
        <v>0</v>
      </c>
      <c r="V39" s="646">
        <f t="shared" si="6"/>
        <v>0</v>
      </c>
      <c r="Y39" s="646">
        <f t="shared" si="7"/>
        <v>0</v>
      </c>
      <c r="AB39" s="646">
        <f t="shared" si="8"/>
        <v>0</v>
      </c>
      <c r="AE39" s="646">
        <v>0</v>
      </c>
      <c r="AH39" s="646">
        <v>0</v>
      </c>
      <c r="AI39" s="666">
        <f>100000000+28875000</f>
        <v>128875000</v>
      </c>
      <c r="AJ39" s="667">
        <v>2.1999999999999999E-2</v>
      </c>
      <c r="AK39" s="646">
        <f t="shared" si="9"/>
        <v>7875.6944444444443</v>
      </c>
      <c r="AN39" s="646">
        <f t="shared" si="10"/>
        <v>0</v>
      </c>
      <c r="AQ39" s="646">
        <f t="shared" si="11"/>
        <v>0</v>
      </c>
      <c r="AT39" s="646">
        <f t="shared" si="12"/>
        <v>0</v>
      </c>
      <c r="AW39" s="646">
        <f t="shared" si="13"/>
        <v>0</v>
      </c>
      <c r="AZ39" s="646">
        <f t="shared" si="14"/>
        <v>0</v>
      </c>
      <c r="BC39" s="646">
        <f t="shared" si="15"/>
        <v>0</v>
      </c>
      <c r="BF39" s="646">
        <f t="shared" si="16"/>
        <v>0</v>
      </c>
      <c r="BI39" s="646">
        <f t="shared" si="17"/>
        <v>0</v>
      </c>
      <c r="BL39" s="646">
        <f t="shared" si="18"/>
        <v>0</v>
      </c>
      <c r="BO39" s="646">
        <f t="shared" si="19"/>
        <v>0</v>
      </c>
      <c r="BR39" s="646">
        <f t="shared" si="20"/>
        <v>0</v>
      </c>
      <c r="BU39" s="646">
        <f t="shared" si="21"/>
        <v>0</v>
      </c>
      <c r="BX39" s="646">
        <f t="shared" si="22"/>
        <v>0</v>
      </c>
      <c r="CA39" s="646">
        <f t="shared" si="23"/>
        <v>0</v>
      </c>
      <c r="CD39" s="646">
        <f t="shared" si="24"/>
        <v>0</v>
      </c>
      <c r="CG39" s="646">
        <f t="shared" si="25"/>
        <v>0</v>
      </c>
      <c r="CJ39" s="646">
        <f t="shared" si="26"/>
        <v>0</v>
      </c>
      <c r="CM39" s="646">
        <f t="shared" si="27"/>
        <v>0</v>
      </c>
      <c r="CP39" s="646">
        <f t="shared" si="28"/>
        <v>0</v>
      </c>
      <c r="CS39" s="646">
        <f t="shared" si="29"/>
        <v>0</v>
      </c>
      <c r="CV39" s="646">
        <f t="shared" si="30"/>
        <v>0</v>
      </c>
      <c r="CY39" s="646">
        <f t="shared" si="31"/>
        <v>0</v>
      </c>
      <c r="DB39" s="646">
        <f t="shared" si="32"/>
        <v>0</v>
      </c>
      <c r="DE39" s="646">
        <f t="shared" si="33"/>
        <v>0</v>
      </c>
      <c r="DH39" s="646">
        <f t="shared" si="34"/>
        <v>0</v>
      </c>
      <c r="DK39" s="646">
        <f t="shared" si="35"/>
        <v>0</v>
      </c>
      <c r="DN39" s="646">
        <f t="shared" si="36"/>
        <v>0</v>
      </c>
      <c r="DQ39" s="646">
        <f t="shared" si="37"/>
        <v>0</v>
      </c>
      <c r="DT39" s="646">
        <f t="shared" si="38"/>
        <v>0</v>
      </c>
      <c r="DW39" s="646">
        <f t="shared" si="39"/>
        <v>0</v>
      </c>
      <c r="DZ39" s="646"/>
      <c r="EA39" s="646"/>
      <c r="EB39" s="531">
        <f t="shared" si="40"/>
        <v>128875000</v>
      </c>
      <c r="EC39" s="531">
        <f t="shared" si="41"/>
        <v>0</v>
      </c>
      <c r="ED39" s="646">
        <f t="shared" si="42"/>
        <v>7875.6944444444443</v>
      </c>
      <c r="EE39" s="647">
        <f t="shared" si="43"/>
        <v>2.1999999999999999E-2</v>
      </c>
      <c r="EG39" s="531">
        <f t="shared" si="44"/>
        <v>0</v>
      </c>
      <c r="EH39" s="646">
        <f t="shared" si="45"/>
        <v>0</v>
      </c>
      <c r="EI39" s="647">
        <f t="shared" si="46"/>
        <v>0</v>
      </c>
      <c r="EJ39" s="647"/>
      <c r="EK39" s="531">
        <f t="shared" si="47"/>
        <v>128875000</v>
      </c>
      <c r="EL39" s="531">
        <f t="shared" si="48"/>
        <v>0</v>
      </c>
      <c r="EM39" s="531">
        <f t="shared" si="49"/>
        <v>7875.6944444444443</v>
      </c>
      <c r="EN39" s="647">
        <f t="shared" si="50"/>
        <v>2.1999999999999999E-2</v>
      </c>
    </row>
    <row r="40" spans="1:144">
      <c r="A40" s="665">
        <f t="shared" si="51"/>
        <v>43737</v>
      </c>
      <c r="D40" s="646">
        <f t="shared" si="0"/>
        <v>0</v>
      </c>
      <c r="G40" s="646">
        <f t="shared" si="1"/>
        <v>0</v>
      </c>
      <c r="J40" s="646">
        <f t="shared" si="2"/>
        <v>0</v>
      </c>
      <c r="M40" s="646">
        <f t="shared" si="3"/>
        <v>0</v>
      </c>
      <c r="P40" s="646">
        <f t="shared" si="4"/>
        <v>0</v>
      </c>
      <c r="S40" s="646">
        <f t="shared" si="5"/>
        <v>0</v>
      </c>
      <c r="V40" s="646">
        <f t="shared" si="6"/>
        <v>0</v>
      </c>
      <c r="Y40" s="646">
        <f t="shared" si="7"/>
        <v>0</v>
      </c>
      <c r="AB40" s="646">
        <f t="shared" si="8"/>
        <v>0</v>
      </c>
      <c r="AE40" s="646">
        <v>0</v>
      </c>
      <c r="AH40" s="646">
        <v>0</v>
      </c>
      <c r="AI40" s="666">
        <f>100000000+28875000</f>
        <v>128875000</v>
      </c>
      <c r="AJ40" s="667">
        <v>2.1999999999999999E-2</v>
      </c>
      <c r="AK40" s="646">
        <f t="shared" si="9"/>
        <v>7875.6944444444443</v>
      </c>
      <c r="AN40" s="646">
        <f t="shared" si="10"/>
        <v>0</v>
      </c>
      <c r="AQ40" s="646">
        <f t="shared" si="11"/>
        <v>0</v>
      </c>
      <c r="AT40" s="646">
        <f t="shared" si="12"/>
        <v>0</v>
      </c>
      <c r="AW40" s="646">
        <f t="shared" si="13"/>
        <v>0</v>
      </c>
      <c r="AZ40" s="646">
        <f t="shared" si="14"/>
        <v>0</v>
      </c>
      <c r="BC40" s="646">
        <f t="shared" si="15"/>
        <v>0</v>
      </c>
      <c r="BF40" s="646">
        <f t="shared" si="16"/>
        <v>0</v>
      </c>
      <c r="BI40" s="646">
        <f t="shared" si="17"/>
        <v>0</v>
      </c>
      <c r="BL40" s="646">
        <f t="shared" si="18"/>
        <v>0</v>
      </c>
      <c r="BO40" s="646">
        <f t="shared" si="19"/>
        <v>0</v>
      </c>
      <c r="BR40" s="646">
        <f t="shared" si="20"/>
        <v>0</v>
      </c>
      <c r="BU40" s="646">
        <f t="shared" si="21"/>
        <v>0</v>
      </c>
      <c r="BX40" s="646">
        <f t="shared" si="22"/>
        <v>0</v>
      </c>
      <c r="CA40" s="646">
        <f t="shared" si="23"/>
        <v>0</v>
      </c>
      <c r="CD40" s="646">
        <f t="shared" si="24"/>
        <v>0</v>
      </c>
      <c r="CG40" s="646">
        <f t="shared" si="25"/>
        <v>0</v>
      </c>
      <c r="CJ40" s="646">
        <f t="shared" si="26"/>
        <v>0</v>
      </c>
      <c r="CM40" s="646">
        <f t="shared" si="27"/>
        <v>0</v>
      </c>
      <c r="CP40" s="646">
        <f t="shared" si="28"/>
        <v>0</v>
      </c>
      <c r="CS40" s="646">
        <f t="shared" si="29"/>
        <v>0</v>
      </c>
      <c r="CV40" s="646">
        <f t="shared" si="30"/>
        <v>0</v>
      </c>
      <c r="CY40" s="646">
        <f t="shared" si="31"/>
        <v>0</v>
      </c>
      <c r="DB40" s="646">
        <f t="shared" si="32"/>
        <v>0</v>
      </c>
      <c r="DE40" s="646">
        <f t="shared" si="33"/>
        <v>0</v>
      </c>
      <c r="DH40" s="646">
        <f t="shared" si="34"/>
        <v>0</v>
      </c>
      <c r="DK40" s="646">
        <f t="shared" si="35"/>
        <v>0</v>
      </c>
      <c r="DN40" s="646">
        <f t="shared" si="36"/>
        <v>0</v>
      </c>
      <c r="DQ40" s="646">
        <f t="shared" si="37"/>
        <v>0</v>
      </c>
      <c r="DT40" s="646">
        <f t="shared" si="38"/>
        <v>0</v>
      </c>
      <c r="DW40" s="646">
        <f t="shared" si="39"/>
        <v>0</v>
      </c>
      <c r="DZ40" s="646"/>
      <c r="EA40" s="646"/>
      <c r="EB40" s="531">
        <f t="shared" si="40"/>
        <v>128875000</v>
      </c>
      <c r="EC40" s="531">
        <f t="shared" si="41"/>
        <v>0</v>
      </c>
      <c r="ED40" s="646">
        <f t="shared" si="42"/>
        <v>7875.6944444444443</v>
      </c>
      <c r="EE40" s="647">
        <f t="shared" si="43"/>
        <v>2.1999999999999999E-2</v>
      </c>
      <c r="EG40" s="531">
        <f t="shared" si="44"/>
        <v>0</v>
      </c>
      <c r="EH40" s="646">
        <f t="shared" si="45"/>
        <v>0</v>
      </c>
      <c r="EI40" s="647">
        <f t="shared" si="46"/>
        <v>0</v>
      </c>
      <c r="EJ40" s="647"/>
      <c r="EK40" s="531">
        <f t="shared" si="47"/>
        <v>128875000</v>
      </c>
      <c r="EL40" s="531">
        <f t="shared" si="48"/>
        <v>0</v>
      </c>
      <c r="EM40" s="531">
        <f t="shared" si="49"/>
        <v>7875.6944444444443</v>
      </c>
      <c r="EN40" s="647">
        <f t="shared" si="50"/>
        <v>2.1999999999999999E-2</v>
      </c>
    </row>
    <row r="41" spans="1:144">
      <c r="A41" s="665">
        <f t="shared" si="51"/>
        <v>43738</v>
      </c>
      <c r="D41" s="646">
        <f t="shared" si="0"/>
        <v>0</v>
      </c>
      <c r="G41" s="646">
        <f t="shared" si="1"/>
        <v>0</v>
      </c>
      <c r="J41" s="646">
        <f t="shared" si="2"/>
        <v>0</v>
      </c>
      <c r="M41" s="646">
        <f t="shared" si="3"/>
        <v>0</v>
      </c>
      <c r="P41" s="646">
        <f t="shared" si="4"/>
        <v>0</v>
      </c>
      <c r="S41" s="646">
        <f t="shared" si="5"/>
        <v>0</v>
      </c>
      <c r="V41" s="646">
        <f t="shared" si="6"/>
        <v>0</v>
      </c>
      <c r="Y41" s="646">
        <f t="shared" si="7"/>
        <v>0</v>
      </c>
      <c r="AB41" s="646">
        <f t="shared" si="8"/>
        <v>0</v>
      </c>
      <c r="AE41" s="646">
        <v>0</v>
      </c>
      <c r="AH41" s="646">
        <v>0</v>
      </c>
      <c r="AI41" s="666">
        <f>100000000+43825000</f>
        <v>143825000</v>
      </c>
      <c r="AJ41" s="667">
        <v>2.1999999999999999E-2</v>
      </c>
      <c r="AK41" s="646">
        <f t="shared" si="9"/>
        <v>8789.3055555555547</v>
      </c>
      <c r="AN41" s="646">
        <f t="shared" si="10"/>
        <v>0</v>
      </c>
      <c r="AQ41" s="646">
        <f t="shared" si="11"/>
        <v>0</v>
      </c>
      <c r="AT41" s="646">
        <f t="shared" si="12"/>
        <v>0</v>
      </c>
      <c r="AW41" s="646">
        <f t="shared" si="13"/>
        <v>0</v>
      </c>
      <c r="AZ41" s="646">
        <f t="shared" si="14"/>
        <v>0</v>
      </c>
      <c r="BC41" s="646">
        <f t="shared" si="15"/>
        <v>0</v>
      </c>
      <c r="BF41" s="646">
        <f t="shared" si="16"/>
        <v>0</v>
      </c>
      <c r="BI41" s="646">
        <f t="shared" si="17"/>
        <v>0</v>
      </c>
      <c r="BL41" s="646">
        <f t="shared" si="18"/>
        <v>0</v>
      </c>
      <c r="BO41" s="646">
        <f t="shared" si="19"/>
        <v>0</v>
      </c>
      <c r="BR41" s="646">
        <f t="shared" si="20"/>
        <v>0</v>
      </c>
      <c r="BU41" s="646">
        <f t="shared" si="21"/>
        <v>0</v>
      </c>
      <c r="BX41" s="646">
        <f t="shared" si="22"/>
        <v>0</v>
      </c>
      <c r="CA41" s="646">
        <f t="shared" si="23"/>
        <v>0</v>
      </c>
      <c r="CD41" s="646">
        <f t="shared" si="24"/>
        <v>0</v>
      </c>
      <c r="CG41" s="646">
        <f t="shared" si="25"/>
        <v>0</v>
      </c>
      <c r="CJ41" s="646">
        <f t="shared" si="26"/>
        <v>0</v>
      </c>
      <c r="CM41" s="646">
        <f t="shared" si="27"/>
        <v>0</v>
      </c>
      <c r="CP41" s="646">
        <f t="shared" si="28"/>
        <v>0</v>
      </c>
      <c r="CS41" s="646">
        <f t="shared" si="29"/>
        <v>0</v>
      </c>
      <c r="CV41" s="646">
        <f t="shared" si="30"/>
        <v>0</v>
      </c>
      <c r="CY41" s="646">
        <f t="shared" si="31"/>
        <v>0</v>
      </c>
      <c r="DB41" s="646">
        <f t="shared" si="32"/>
        <v>0</v>
      </c>
      <c r="DE41" s="646">
        <f t="shared" si="33"/>
        <v>0</v>
      </c>
      <c r="DH41" s="646">
        <f t="shared" si="34"/>
        <v>0</v>
      </c>
      <c r="DK41" s="646">
        <f t="shared" si="35"/>
        <v>0</v>
      </c>
      <c r="DN41" s="646">
        <f t="shared" si="36"/>
        <v>0</v>
      </c>
      <c r="DQ41" s="646">
        <f t="shared" si="37"/>
        <v>0</v>
      </c>
      <c r="DT41" s="646">
        <f t="shared" si="38"/>
        <v>0</v>
      </c>
      <c r="DW41" s="646">
        <f t="shared" si="39"/>
        <v>0</v>
      </c>
      <c r="DZ41" s="644"/>
      <c r="EA41" s="646"/>
      <c r="EB41" s="531">
        <f t="shared" si="40"/>
        <v>143825000</v>
      </c>
      <c r="EC41" s="531">
        <f t="shared" si="41"/>
        <v>0</v>
      </c>
      <c r="ED41" s="646">
        <f t="shared" si="42"/>
        <v>8789.3055555555547</v>
      </c>
      <c r="EE41" s="647">
        <f t="shared" si="43"/>
        <v>2.1999999999999999E-2</v>
      </c>
      <c r="EG41" s="531">
        <f t="shared" si="44"/>
        <v>0</v>
      </c>
      <c r="EH41" s="646">
        <f t="shared" si="45"/>
        <v>0</v>
      </c>
      <c r="EI41" s="647">
        <f t="shared" si="46"/>
        <v>0</v>
      </c>
      <c r="EJ41" s="647"/>
      <c r="EK41" s="531">
        <f t="shared" si="47"/>
        <v>143825000</v>
      </c>
      <c r="EL41" s="531">
        <f t="shared" si="48"/>
        <v>0</v>
      </c>
      <c r="EM41" s="531">
        <f t="shared" si="49"/>
        <v>8789.3055555555547</v>
      </c>
      <c r="EN41" s="647">
        <f t="shared" si="50"/>
        <v>2.1999999999999999E-2</v>
      </c>
    </row>
    <row r="42" spans="1:144">
      <c r="A42" s="532" t="s">
        <v>13</v>
      </c>
      <c r="D42" s="668">
        <f>SUM(D12:D41)</f>
        <v>0</v>
      </c>
      <c r="G42" s="668">
        <f>SUM(G12:G41)</f>
        <v>0</v>
      </c>
      <c r="J42" s="668">
        <f>SUM(J12:J41)</f>
        <v>0</v>
      </c>
      <c r="M42" s="668">
        <f>SUM(M12:M41)</f>
        <v>0</v>
      </c>
      <c r="P42" s="668">
        <f>SUM(P12:P41)</f>
        <v>0</v>
      </c>
      <c r="S42" s="668">
        <f>SUM(S12:S41)</f>
        <v>0</v>
      </c>
      <c r="V42" s="668">
        <f>SUM(V12:V41)</f>
        <v>0</v>
      </c>
      <c r="Y42" s="668">
        <f>SUM(Y12:Y41)</f>
        <v>0</v>
      </c>
      <c r="AB42" s="668">
        <f>SUM(AB12:AB41)</f>
        <v>0</v>
      </c>
      <c r="AE42" s="668">
        <f>SUM(AE12:AE41)</f>
        <v>0</v>
      </c>
      <c r="AH42" s="668">
        <f>SUM(AH12:AH41)</f>
        <v>0</v>
      </c>
      <c r="AK42" s="668">
        <f>SUM(AK12:AK41)</f>
        <v>90586.84722222219</v>
      </c>
      <c r="AN42" s="668">
        <f>SUM(AN12:AN41)</f>
        <v>0</v>
      </c>
      <c r="AQ42" s="668">
        <f>SUM(AQ12:AQ41)</f>
        <v>0</v>
      </c>
      <c r="AT42" s="668">
        <f>SUM(AT12:AT41)</f>
        <v>0</v>
      </c>
      <c r="AW42" s="668">
        <f>SUM(AW12:AW41)</f>
        <v>0</v>
      </c>
      <c r="AZ42" s="668">
        <f>SUM(AZ12:AZ41)</f>
        <v>0</v>
      </c>
      <c r="BC42" s="668">
        <f>SUM(BC12:BC41)</f>
        <v>0</v>
      </c>
      <c r="BF42" s="668">
        <f>SUM(BF12:BF41)</f>
        <v>0</v>
      </c>
      <c r="BI42" s="668">
        <f>SUM(BI12:BI41)</f>
        <v>0</v>
      </c>
      <c r="BL42" s="668">
        <f>SUM(BL12:BL41)</f>
        <v>0</v>
      </c>
      <c r="BO42" s="668">
        <f>SUM(BO12:BO41)</f>
        <v>0</v>
      </c>
      <c r="BR42" s="668">
        <f>SUM(BR12:BR41)</f>
        <v>0</v>
      </c>
      <c r="BU42" s="668">
        <f>SUM(BU12:BU41)</f>
        <v>0</v>
      </c>
      <c r="BX42" s="668">
        <f>SUM(BX12:BX41)</f>
        <v>0</v>
      </c>
      <c r="CA42" s="668">
        <f>SUM(CA12:CA41)</f>
        <v>0</v>
      </c>
      <c r="CD42" s="668">
        <f>SUM(CD12:CD41)</f>
        <v>0</v>
      </c>
      <c r="CG42" s="668">
        <f>SUM(CG12:CG41)</f>
        <v>0</v>
      </c>
      <c r="CJ42" s="668">
        <f>SUM(CJ12:CJ41)</f>
        <v>0</v>
      </c>
      <c r="CM42" s="668">
        <f>SUM(CM12:CM41)</f>
        <v>0</v>
      </c>
      <c r="CP42" s="668">
        <f>SUM(CP12:CP41)</f>
        <v>0</v>
      </c>
      <c r="CS42" s="668">
        <f>SUM(CS12:CS41)</f>
        <v>0</v>
      </c>
      <c r="CV42" s="668">
        <f>SUM(CV12:CV41)</f>
        <v>0</v>
      </c>
      <c r="CY42" s="668">
        <f>SUM(CY12:CY41)</f>
        <v>0</v>
      </c>
      <c r="DB42" s="668">
        <f>SUM(DB12:DB41)</f>
        <v>0</v>
      </c>
      <c r="DE42" s="668">
        <f>SUM(DE12:DE41)</f>
        <v>0</v>
      </c>
      <c r="DH42" s="668">
        <f>SUM(DH12:DH41)</f>
        <v>0</v>
      </c>
      <c r="DK42" s="668">
        <f>SUM(DK12:DK41)</f>
        <v>0</v>
      </c>
      <c r="DN42" s="668">
        <f>SUM(DN12:DN41)</f>
        <v>0</v>
      </c>
      <c r="DQ42" s="668">
        <f>SUM(DQ12:DQ41)</f>
        <v>0</v>
      </c>
      <c r="DT42" s="668">
        <f>SUM(DT12:DT41)</f>
        <v>0</v>
      </c>
      <c r="DW42" s="668">
        <f>SUM(DW12:DW41)</f>
        <v>0</v>
      </c>
      <c r="DZ42" s="644"/>
      <c r="EA42" s="644"/>
      <c r="EB42" s="646"/>
      <c r="EC42" s="646"/>
      <c r="ED42" s="668">
        <f>SUM(ED12:ED41)</f>
        <v>90586.84722222219</v>
      </c>
      <c r="EE42" s="647"/>
      <c r="EG42" s="646"/>
      <c r="EH42" s="668">
        <f>SUM(EH12:EH41)</f>
        <v>0</v>
      </c>
      <c r="EI42" s="647"/>
      <c r="EJ42" s="647"/>
      <c r="EK42" s="646"/>
      <c r="EL42" s="646"/>
      <c r="EM42" s="668">
        <f>SUM(EM12:EM41)</f>
        <v>90586.84722222219</v>
      </c>
      <c r="EN42" s="647"/>
    </row>
    <row r="44" spans="1:144">
      <c r="EM44" s="669"/>
    </row>
    <row r="46" spans="1:144">
      <c r="EM46" s="646"/>
    </row>
    <row r="48" spans="1:144">
      <c r="EM48" s="646"/>
    </row>
  </sheetData>
  <pageMargins left="0.7" right="0.7" top="0.75" bottom="0.75" header="0.3" footer="0.3"/>
  <pageSetup scale="78" orientation="landscape" r:id="rId1"/>
  <headerFooter>
    <oddFooter>&amp;CSchedule MA-TU&amp;RSeptember 2019 &amp;P of &amp;N
Confidential
4 CSR 240-2.090(9(A).2(D).II)</oddFooter>
  </headerFooter>
  <colBreaks count="1" manualBreakCount="1">
    <brk id="13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9"/>
  <sheetViews>
    <sheetView zoomScale="80" zoomScaleNormal="80" workbookViewId="0">
      <selection activeCell="AJ48" sqref="AJ48"/>
    </sheetView>
  </sheetViews>
  <sheetFormatPr defaultRowHeight="12.75"/>
  <cols>
    <col min="1" max="1" width="14.5703125" style="677" bestFit="1" customWidth="1"/>
    <col min="2" max="2" width="15.5703125" style="675" hidden="1" customWidth="1"/>
    <col min="3" max="3" width="15.42578125" style="676" hidden="1" customWidth="1"/>
    <col min="4" max="4" width="15.42578125" style="677" hidden="1" customWidth="1"/>
    <col min="5" max="5" width="15.5703125" style="675" bestFit="1" customWidth="1"/>
    <col min="6" max="6" width="5.7109375" style="676" customWidth="1"/>
    <col min="7" max="7" width="17.28515625" style="677" bestFit="1" customWidth="1"/>
    <col min="8" max="8" width="15.42578125" style="675" hidden="1" customWidth="1"/>
    <col min="9" max="9" width="10.28515625" style="676" hidden="1" customWidth="1"/>
    <col min="10" max="10" width="13.42578125" style="677" hidden="1" customWidth="1"/>
    <col min="11" max="11" width="14.42578125" style="675" hidden="1" customWidth="1"/>
    <col min="12" max="12" width="10.28515625" style="676" hidden="1" customWidth="1"/>
    <col min="13" max="13" width="11.7109375" style="677" hidden="1" customWidth="1"/>
    <col min="14" max="14" width="14.42578125" style="675" hidden="1" customWidth="1"/>
    <col min="15" max="15" width="10.28515625" style="676" hidden="1" customWidth="1"/>
    <col min="16" max="16" width="11.7109375" style="677" hidden="1" customWidth="1"/>
    <col min="17" max="17" width="15.42578125" style="675" hidden="1" customWidth="1"/>
    <col min="18" max="18" width="10.28515625" style="676" hidden="1" customWidth="1"/>
    <col min="19" max="19" width="11.7109375" style="677" hidden="1" customWidth="1"/>
    <col min="20" max="20" width="15.42578125" style="675" hidden="1" customWidth="1"/>
    <col min="21" max="21" width="10.28515625" style="676" hidden="1" customWidth="1"/>
    <col min="22" max="22" width="11.7109375" style="677" hidden="1" customWidth="1"/>
    <col min="23" max="23" width="15.42578125" style="675" hidden="1" customWidth="1"/>
    <col min="24" max="24" width="10.28515625" style="676" hidden="1" customWidth="1"/>
    <col min="25" max="25" width="11.7109375" style="677" hidden="1" customWidth="1"/>
    <col min="26" max="26" width="15.42578125" style="675" hidden="1" customWidth="1"/>
    <col min="27" max="27" width="10.28515625" style="676" hidden="1" customWidth="1"/>
    <col min="28" max="28" width="11.7109375" style="677" hidden="1" customWidth="1"/>
    <col min="29" max="29" width="15.42578125" style="675" hidden="1" customWidth="1"/>
    <col min="30" max="30" width="10.28515625" style="676" hidden="1" customWidth="1"/>
    <col min="31" max="31" width="11.7109375" style="677" hidden="1" customWidth="1"/>
    <col min="32" max="32" width="14.42578125" style="675" hidden="1" customWidth="1"/>
    <col min="33" max="33" width="10.28515625" style="676" hidden="1" customWidth="1"/>
    <col min="34" max="34" width="10.7109375" style="677" hidden="1" customWidth="1"/>
    <col min="35" max="35" width="14.42578125" style="675" customWidth="1"/>
    <col min="36" max="36" width="12" style="676" bestFit="1" customWidth="1"/>
    <col min="37" max="37" width="12.5703125" style="677" bestFit="1" customWidth="1"/>
    <col min="38" max="38" width="14.42578125" style="675" hidden="1" customWidth="1"/>
    <col min="39" max="39" width="10.28515625" style="676" hidden="1" customWidth="1"/>
    <col min="40" max="40" width="10.7109375" style="677" hidden="1" customWidth="1"/>
    <col min="41" max="41" width="15.42578125" style="675" hidden="1" customWidth="1"/>
    <col min="42" max="42" width="12.28515625" style="676" hidden="1" customWidth="1"/>
    <col min="43" max="43" width="11.7109375" style="677" hidden="1" customWidth="1"/>
    <col min="44" max="44" width="15.42578125" style="675" hidden="1" customWidth="1"/>
    <col min="45" max="45" width="10.28515625" style="676" hidden="1" customWidth="1"/>
    <col min="46" max="46" width="11.7109375" style="677" hidden="1" customWidth="1"/>
    <col min="47" max="47" width="14.42578125" style="675" hidden="1" customWidth="1"/>
    <col min="48" max="48" width="10.28515625" style="676" hidden="1" customWidth="1"/>
    <col min="49" max="49" width="10.7109375" style="677" hidden="1" customWidth="1"/>
    <col min="50" max="50" width="14.42578125" style="675" hidden="1" customWidth="1"/>
    <col min="51" max="51" width="10.28515625" style="676" hidden="1" customWidth="1"/>
    <col min="52" max="52" width="10.7109375" style="677" hidden="1" customWidth="1"/>
    <col min="53" max="53" width="14.42578125" style="675" hidden="1" customWidth="1"/>
    <col min="54" max="54" width="10.28515625" style="676" hidden="1" customWidth="1"/>
    <col min="55" max="55" width="10.7109375" style="677" hidden="1" customWidth="1"/>
    <col min="56" max="56" width="14.42578125" style="675" hidden="1" customWidth="1"/>
    <col min="57" max="57" width="10.28515625" style="676" hidden="1" customWidth="1"/>
    <col min="58" max="58" width="10.7109375" style="677" hidden="1" customWidth="1"/>
    <col min="59" max="59" width="14.42578125" style="675" hidden="1" customWidth="1"/>
    <col min="60" max="60" width="10.28515625" style="676" hidden="1" customWidth="1"/>
    <col min="61" max="61" width="10.7109375" style="677" hidden="1" customWidth="1"/>
    <col min="62" max="62" width="14.42578125" style="675" hidden="1" customWidth="1"/>
    <col min="63" max="63" width="10.28515625" style="676" hidden="1" customWidth="1"/>
    <col min="64" max="64" width="10.7109375" style="677" hidden="1" customWidth="1"/>
    <col min="65" max="65" width="14.42578125" style="675" hidden="1" customWidth="1"/>
    <col min="66" max="66" width="10.28515625" style="676" hidden="1" customWidth="1"/>
    <col min="67" max="67" width="10.7109375" style="677" hidden="1" customWidth="1"/>
    <col min="68" max="68" width="14.42578125" style="675" hidden="1" customWidth="1"/>
    <col min="69" max="69" width="10.28515625" style="676" hidden="1" customWidth="1"/>
    <col min="70" max="70" width="10.7109375" style="677" hidden="1" customWidth="1"/>
    <col min="71" max="71" width="14.42578125" style="675" hidden="1" customWidth="1"/>
    <col min="72" max="72" width="10.28515625" style="676" hidden="1" customWidth="1"/>
    <col min="73" max="73" width="10.7109375" style="677" hidden="1" customWidth="1"/>
    <col min="74" max="74" width="14.42578125" style="675" hidden="1" customWidth="1"/>
    <col min="75" max="75" width="10.28515625" style="676" hidden="1" customWidth="1"/>
    <col min="76" max="76" width="10.7109375" style="677" hidden="1" customWidth="1"/>
    <col min="77" max="77" width="14.42578125" style="675" hidden="1" customWidth="1"/>
    <col min="78" max="78" width="10.28515625" style="676" hidden="1" customWidth="1"/>
    <col min="79" max="79" width="10.7109375" style="677" hidden="1" customWidth="1"/>
    <col min="80" max="80" width="14.42578125" style="675" hidden="1" customWidth="1"/>
    <col min="81" max="81" width="10.28515625" style="676" hidden="1" customWidth="1"/>
    <col min="82" max="82" width="10.7109375" style="677" hidden="1" customWidth="1"/>
    <col min="83" max="83" width="14.42578125" style="675" hidden="1" customWidth="1"/>
    <col min="84" max="84" width="10.28515625" style="676" hidden="1" customWidth="1"/>
    <col min="85" max="85" width="10.7109375" style="677" hidden="1" customWidth="1"/>
    <col min="86" max="86" width="14.42578125" style="675" hidden="1" customWidth="1"/>
    <col min="87" max="87" width="10.28515625" style="676" hidden="1" customWidth="1"/>
    <col min="88" max="88" width="10.7109375" style="677" hidden="1" customWidth="1"/>
    <col min="89" max="89" width="14.42578125" style="675" hidden="1" customWidth="1"/>
    <col min="90" max="90" width="10.28515625" style="676" hidden="1" customWidth="1"/>
    <col min="91" max="91" width="10.7109375" style="677" hidden="1" customWidth="1"/>
    <col min="92" max="92" width="14.42578125" style="675" hidden="1" customWidth="1"/>
    <col min="93" max="93" width="10.28515625" style="676" hidden="1" customWidth="1"/>
    <col min="94" max="94" width="10.7109375" style="677" hidden="1" customWidth="1"/>
    <col min="95" max="95" width="14.42578125" style="675" hidden="1" customWidth="1"/>
    <col min="96" max="96" width="10.28515625" style="676" hidden="1" customWidth="1"/>
    <col min="97" max="97" width="10.7109375" style="677" hidden="1" customWidth="1"/>
    <col min="98" max="98" width="14.42578125" style="675" hidden="1" customWidth="1"/>
    <col min="99" max="99" width="10.28515625" style="676" hidden="1" customWidth="1"/>
    <col min="100" max="100" width="10.7109375" style="677" hidden="1" customWidth="1"/>
    <col min="101" max="101" width="14.42578125" style="675" hidden="1" customWidth="1"/>
    <col min="102" max="102" width="10.28515625" style="676" hidden="1" customWidth="1"/>
    <col min="103" max="103" width="10.7109375" style="677" hidden="1" customWidth="1"/>
    <col min="104" max="104" width="14.42578125" style="675" hidden="1" customWidth="1"/>
    <col min="105" max="105" width="10.28515625" style="676" hidden="1" customWidth="1"/>
    <col min="106" max="106" width="10.7109375" style="677" hidden="1" customWidth="1"/>
    <col min="107" max="107" width="14.42578125" style="675" hidden="1" customWidth="1"/>
    <col min="108" max="108" width="10.28515625" style="676" hidden="1" customWidth="1"/>
    <col min="109" max="109" width="10.7109375" style="677" hidden="1" customWidth="1"/>
    <col min="110" max="110" width="14.42578125" style="675" hidden="1" customWidth="1"/>
    <col min="111" max="111" width="10.28515625" style="676" hidden="1" customWidth="1"/>
    <col min="112" max="112" width="10.7109375" style="677" hidden="1" customWidth="1"/>
    <col min="113" max="113" width="14.42578125" style="675" hidden="1" customWidth="1"/>
    <col min="114" max="114" width="10.28515625" style="676" hidden="1" customWidth="1"/>
    <col min="115" max="115" width="10.7109375" style="677" hidden="1" customWidth="1"/>
    <col min="116" max="116" width="14.42578125" style="675" hidden="1" customWidth="1"/>
    <col min="117" max="117" width="10.28515625" style="676" hidden="1" customWidth="1"/>
    <col min="118" max="118" width="10.7109375" style="677" hidden="1" customWidth="1"/>
    <col min="119" max="119" width="14.42578125" style="675" hidden="1" customWidth="1"/>
    <col min="120" max="120" width="10.28515625" style="676" hidden="1" customWidth="1"/>
    <col min="121" max="121" width="10.7109375" style="677" hidden="1" customWidth="1"/>
    <col min="122" max="122" width="14.42578125" style="675" hidden="1" customWidth="1"/>
    <col min="123" max="123" width="10.28515625" style="676" hidden="1" customWidth="1"/>
    <col min="124" max="124" width="10.7109375" style="677" hidden="1" customWidth="1"/>
    <col min="125" max="125" width="14.42578125" style="675" hidden="1" customWidth="1"/>
    <col min="126" max="126" width="10.28515625" style="676" hidden="1" customWidth="1"/>
    <col min="127" max="127" width="10.7109375" style="677" hidden="1" customWidth="1"/>
    <col min="128" max="128" width="14.42578125" style="675" hidden="1" customWidth="1"/>
    <col min="129" max="129" width="10.28515625" style="676" hidden="1" customWidth="1"/>
    <col min="130" max="130" width="10.7109375" style="677" hidden="1" customWidth="1"/>
    <col min="131" max="131" width="2.7109375" style="677" customWidth="1"/>
    <col min="132" max="132" width="25.140625" style="677" bestFit="1" customWidth="1"/>
    <col min="133" max="133" width="15.42578125" style="677" hidden="1" customWidth="1"/>
    <col min="134" max="134" width="12.5703125" style="677" bestFit="1" customWidth="1"/>
    <col min="135" max="135" width="17.7109375" style="677" bestFit="1" customWidth="1"/>
    <col min="136" max="136" width="2.7109375" style="677" customWidth="1"/>
    <col min="137" max="137" width="15.42578125" style="677" hidden="1" customWidth="1"/>
    <col min="138" max="138" width="14.42578125" style="677" hidden="1" customWidth="1"/>
    <col min="139" max="139" width="12.42578125" style="677" hidden="1" customWidth="1"/>
    <col min="140" max="140" width="2.7109375" style="677" hidden="1" customWidth="1"/>
    <col min="141" max="141" width="16.85546875" style="677" bestFit="1" customWidth="1"/>
    <col min="142" max="142" width="15.42578125" style="677" hidden="1" customWidth="1"/>
    <col min="143" max="143" width="12.5703125" style="677" bestFit="1" customWidth="1"/>
    <col min="144" max="144" width="17.28515625" style="677" bestFit="1" customWidth="1"/>
    <col min="145" max="145" width="42.85546875" style="677" bestFit="1" customWidth="1"/>
    <col min="146" max="146" width="19.85546875" style="677" bestFit="1" customWidth="1"/>
    <col min="147" max="147" width="28.140625" style="677" customWidth="1"/>
    <col min="148" max="16384" width="9.140625" style="677"/>
  </cols>
  <sheetData>
    <row r="1" spans="1:147" s="542" customFormat="1">
      <c r="A1" s="541" t="s">
        <v>0</v>
      </c>
      <c r="B1" s="553"/>
      <c r="C1" s="670"/>
      <c r="E1" s="553"/>
      <c r="F1" s="670"/>
      <c r="H1" s="553"/>
      <c r="I1" s="670"/>
      <c r="K1" s="553"/>
      <c r="L1" s="670"/>
      <c r="N1" s="553"/>
      <c r="O1" s="670"/>
      <c r="Q1" s="553"/>
      <c r="R1" s="670"/>
      <c r="T1" s="553"/>
      <c r="U1" s="670"/>
      <c r="W1" s="553"/>
      <c r="X1" s="670"/>
      <c r="Z1" s="553"/>
      <c r="AA1" s="670"/>
      <c r="AC1" s="553"/>
      <c r="AD1" s="670"/>
      <c r="AF1" s="553"/>
      <c r="AG1" s="670"/>
      <c r="AI1" s="553"/>
      <c r="AJ1" s="670"/>
      <c r="AL1" s="553"/>
      <c r="AM1" s="670"/>
      <c r="AO1" s="553"/>
      <c r="AP1" s="670"/>
      <c r="AR1" s="553"/>
      <c r="AS1" s="670"/>
      <c r="AU1" s="553"/>
      <c r="AV1" s="670"/>
      <c r="AX1" s="553"/>
      <c r="AY1" s="670"/>
      <c r="BA1" s="553"/>
      <c r="BB1" s="670"/>
      <c r="BD1" s="553"/>
      <c r="BE1" s="670"/>
      <c r="BG1" s="553"/>
      <c r="BH1" s="670"/>
      <c r="BJ1" s="553"/>
      <c r="BK1" s="670"/>
      <c r="BM1" s="553"/>
      <c r="BN1" s="670"/>
      <c r="BP1" s="553"/>
      <c r="BQ1" s="670"/>
      <c r="BS1" s="553"/>
      <c r="BT1" s="670"/>
      <c r="BV1" s="553"/>
      <c r="BW1" s="670"/>
      <c r="BY1" s="553"/>
      <c r="BZ1" s="670"/>
      <c r="CB1" s="553"/>
      <c r="CC1" s="670"/>
      <c r="CE1" s="553"/>
      <c r="CF1" s="670"/>
      <c r="CH1" s="553"/>
      <c r="CI1" s="670"/>
      <c r="CK1" s="553"/>
      <c r="CL1" s="670"/>
      <c r="CN1" s="553"/>
      <c r="CO1" s="670"/>
      <c r="CQ1" s="553"/>
      <c r="CR1" s="670"/>
      <c r="CT1" s="553"/>
      <c r="CU1" s="670"/>
      <c r="CW1" s="553"/>
      <c r="CX1" s="670"/>
      <c r="CZ1" s="553"/>
      <c r="DA1" s="670"/>
      <c r="DC1" s="553"/>
      <c r="DD1" s="670"/>
      <c r="DF1" s="553"/>
      <c r="DG1" s="670"/>
      <c r="DI1" s="553"/>
      <c r="DJ1" s="670"/>
      <c r="DL1" s="553"/>
      <c r="DM1" s="670"/>
      <c r="DO1" s="553"/>
      <c r="DP1" s="670"/>
      <c r="DR1" s="553"/>
      <c r="DS1" s="670"/>
      <c r="DU1" s="553"/>
      <c r="DV1" s="670"/>
      <c r="DX1" s="553"/>
      <c r="DY1" s="670"/>
      <c r="DZ1" s="538"/>
      <c r="ED1" s="543"/>
      <c r="EE1" s="671" t="s">
        <v>118</v>
      </c>
      <c r="EI1" s="543" t="s">
        <v>59</v>
      </c>
      <c r="EM1" s="543"/>
      <c r="EN1" s="543" t="s">
        <v>120</v>
      </c>
      <c r="EO1" s="541" t="s">
        <v>121</v>
      </c>
      <c r="EP1" s="541" t="s">
        <v>122</v>
      </c>
      <c r="EQ1" s="541" t="s">
        <v>123</v>
      </c>
    </row>
    <row r="2" spans="1:147" s="542" customFormat="1">
      <c r="A2" s="541" t="s">
        <v>49</v>
      </c>
      <c r="B2" s="553"/>
      <c r="C2" s="670"/>
      <c r="E2" s="545"/>
      <c r="F2" s="670"/>
      <c r="G2" s="543"/>
      <c r="H2" s="553"/>
      <c r="I2" s="670"/>
      <c r="K2" s="553"/>
      <c r="L2" s="670"/>
      <c r="N2" s="553"/>
      <c r="O2" s="670"/>
      <c r="Q2" s="553"/>
      <c r="R2" s="670"/>
      <c r="T2" s="553"/>
      <c r="U2" s="670"/>
      <c r="W2" s="553"/>
      <c r="X2" s="670"/>
      <c r="Z2" s="553"/>
      <c r="AA2" s="670"/>
      <c r="AC2" s="553"/>
      <c r="AD2" s="670"/>
      <c r="AF2" s="553"/>
      <c r="AG2" s="670"/>
      <c r="AI2" s="553"/>
      <c r="AJ2" s="670"/>
      <c r="AL2" s="553"/>
      <c r="AM2" s="670"/>
      <c r="AO2" s="553"/>
      <c r="AP2" s="670"/>
      <c r="AR2" s="553"/>
      <c r="AS2" s="670"/>
      <c r="AU2" s="553"/>
      <c r="AV2" s="670"/>
      <c r="AX2" s="553"/>
      <c r="AY2" s="670"/>
      <c r="BA2" s="553"/>
      <c r="BB2" s="670"/>
      <c r="BD2" s="553"/>
      <c r="BE2" s="670"/>
      <c r="BG2" s="553"/>
      <c r="BH2" s="670"/>
      <c r="BJ2" s="553"/>
      <c r="BK2" s="670"/>
      <c r="BM2" s="553"/>
      <c r="BN2" s="670"/>
      <c r="BP2" s="553"/>
      <c r="BQ2" s="670"/>
      <c r="BS2" s="553"/>
      <c r="BT2" s="670"/>
      <c r="BV2" s="553"/>
      <c r="BW2" s="670"/>
      <c r="BY2" s="553"/>
      <c r="BZ2" s="670"/>
      <c r="CB2" s="553"/>
      <c r="CC2" s="670"/>
      <c r="CE2" s="553"/>
      <c r="CF2" s="670"/>
      <c r="CH2" s="553"/>
      <c r="CI2" s="670"/>
      <c r="CK2" s="553"/>
      <c r="CL2" s="670"/>
      <c r="CN2" s="553"/>
      <c r="CO2" s="670"/>
      <c r="CQ2" s="553"/>
      <c r="CR2" s="670"/>
      <c r="CT2" s="553"/>
      <c r="CU2" s="670"/>
      <c r="CW2" s="553"/>
      <c r="CX2" s="670"/>
      <c r="CZ2" s="553"/>
      <c r="DA2" s="670"/>
      <c r="DC2" s="553"/>
      <c r="DD2" s="670"/>
      <c r="DF2" s="553"/>
      <c r="DG2" s="670"/>
      <c r="DI2" s="553"/>
      <c r="DJ2" s="670"/>
      <c r="DL2" s="553"/>
      <c r="DM2" s="670"/>
      <c r="DO2" s="553"/>
      <c r="DP2" s="670"/>
      <c r="DR2" s="553"/>
      <c r="DS2" s="670"/>
      <c r="DU2" s="553"/>
      <c r="DV2" s="670"/>
      <c r="DX2" s="553"/>
      <c r="DY2" s="670"/>
      <c r="EB2" s="672" t="s">
        <v>51</v>
      </c>
      <c r="EC2" s="672"/>
      <c r="ED2" s="673"/>
      <c r="EE2" s="673">
        <f>EB42</f>
        <v>49100000</v>
      </c>
      <c r="EI2" s="673">
        <f>EG41</f>
        <v>0</v>
      </c>
      <c r="EM2" s="673"/>
      <c r="EN2" s="673">
        <f>EK42</f>
        <v>49100000</v>
      </c>
      <c r="EO2" s="553">
        <v>0</v>
      </c>
      <c r="EP2" s="553">
        <f>EN2+EO2</f>
        <v>49100000</v>
      </c>
      <c r="EQ2" s="553">
        <f>EE2+EO2</f>
        <v>49100000</v>
      </c>
    </row>
    <row r="3" spans="1:147" s="542" customFormat="1" ht="13.5" thickBot="1">
      <c r="A3" s="674" t="s">
        <v>244</v>
      </c>
      <c r="B3" s="553"/>
      <c r="C3" s="670"/>
      <c r="E3" s="545"/>
      <c r="F3" s="670"/>
      <c r="G3" s="543"/>
      <c r="H3" s="553"/>
      <c r="I3" s="670"/>
      <c r="K3" s="553"/>
      <c r="L3" s="670"/>
      <c r="N3" s="553"/>
      <c r="O3" s="670"/>
      <c r="Q3" s="553"/>
      <c r="R3" s="670"/>
      <c r="T3" s="553"/>
      <c r="U3" s="670"/>
      <c r="W3" s="553"/>
      <c r="X3" s="670"/>
      <c r="Z3" s="553"/>
      <c r="AA3" s="670"/>
      <c r="AC3" s="553"/>
      <c r="AD3" s="670"/>
      <c r="AF3" s="553"/>
      <c r="AG3" s="670"/>
      <c r="AI3" s="553"/>
      <c r="AJ3" s="670"/>
      <c r="AL3" s="553"/>
      <c r="AM3" s="670"/>
      <c r="AO3" s="553"/>
      <c r="AP3" s="670"/>
      <c r="AR3" s="553"/>
      <c r="AS3" s="670"/>
      <c r="AU3" s="553"/>
      <c r="AV3" s="670"/>
      <c r="AX3" s="553"/>
      <c r="AY3" s="670"/>
      <c r="BA3" s="553"/>
      <c r="BB3" s="670"/>
      <c r="BD3" s="553"/>
      <c r="BE3" s="670"/>
      <c r="BG3" s="553"/>
      <c r="BH3" s="670"/>
      <c r="BJ3" s="553"/>
      <c r="BK3" s="670"/>
      <c r="BM3" s="553"/>
      <c r="BN3" s="670"/>
      <c r="BP3" s="553"/>
      <c r="BQ3" s="670"/>
      <c r="BS3" s="553"/>
      <c r="BT3" s="670"/>
      <c r="BV3" s="553"/>
      <c r="BW3" s="670"/>
      <c r="BY3" s="553"/>
      <c r="BZ3" s="670"/>
      <c r="CB3" s="553"/>
      <c r="CC3" s="670"/>
      <c r="CE3" s="553"/>
      <c r="CF3" s="670"/>
      <c r="CH3" s="553"/>
      <c r="CI3" s="670"/>
      <c r="CK3" s="553"/>
      <c r="CL3" s="670"/>
      <c r="CN3" s="553"/>
      <c r="CO3" s="670"/>
      <c r="CQ3" s="553"/>
      <c r="CR3" s="670"/>
      <c r="CT3" s="553"/>
      <c r="CU3" s="670"/>
      <c r="CW3" s="553"/>
      <c r="CX3" s="670"/>
      <c r="CZ3" s="553"/>
      <c r="DA3" s="670"/>
      <c r="DC3" s="553"/>
      <c r="DD3" s="670"/>
      <c r="DF3" s="553"/>
      <c r="DG3" s="670"/>
      <c r="DI3" s="553"/>
      <c r="DJ3" s="670"/>
      <c r="DL3" s="553"/>
      <c r="DM3" s="670"/>
      <c r="DO3" s="553"/>
      <c r="DP3" s="670"/>
      <c r="DR3" s="553"/>
      <c r="DS3" s="670"/>
      <c r="DU3" s="553"/>
      <c r="DV3" s="670"/>
      <c r="DX3" s="553"/>
      <c r="DY3" s="670"/>
      <c r="EB3" s="672"/>
      <c r="EC3" s="672"/>
      <c r="ED3" s="673"/>
      <c r="EE3" s="673"/>
      <c r="EI3" s="673"/>
      <c r="EM3" s="673"/>
      <c r="EN3" s="673"/>
      <c r="EO3" s="553"/>
      <c r="EP3" s="553"/>
      <c r="EQ3" s="553"/>
    </row>
    <row r="4" spans="1:147" ht="13.5" thickTop="1">
      <c r="A4" s="674"/>
      <c r="E4" s="539" t="s">
        <v>50</v>
      </c>
      <c r="F4" s="678"/>
      <c r="G4" s="679"/>
      <c r="AL4" s="540"/>
      <c r="EB4" s="672" t="s">
        <v>52</v>
      </c>
      <c r="EC4" s="672"/>
      <c r="ED4" s="673"/>
      <c r="EE4" s="673">
        <f>AVERAGE(EB12:EB42)</f>
        <v>34130645.161290325</v>
      </c>
      <c r="EI4" s="673">
        <f>AVERAGE(EG12:EG41)</f>
        <v>0</v>
      </c>
      <c r="EM4" s="673"/>
      <c r="EN4" s="673">
        <f>AVERAGE(EK12:EK42)</f>
        <v>34130645.161290325</v>
      </c>
    </row>
    <row r="5" spans="1:147">
      <c r="D5" s="672"/>
      <c r="E5" s="680" t="s">
        <v>51</v>
      </c>
      <c r="F5" s="673"/>
      <c r="G5" s="681">
        <f>EQ2</f>
        <v>49100000</v>
      </c>
      <c r="AI5" s="541" t="s">
        <v>198</v>
      </c>
      <c r="EB5" s="672" t="s">
        <v>53</v>
      </c>
      <c r="EC5" s="672"/>
      <c r="ED5" s="682"/>
      <c r="EE5" s="682">
        <f>IF(EE4=0,0,360*(AVERAGE(ED12:ED42)/EE4))</f>
        <v>2.113931997542649E-2</v>
      </c>
      <c r="EI5" s="682">
        <f>IF(EI4=0,0,360*(AVERAGE(EH12:EH41)/EI4))</f>
        <v>0</v>
      </c>
      <c r="EM5" s="682"/>
      <c r="EN5" s="682">
        <f>IF(EN4=0,0,360*(AVERAGE(EM12:EM42)/EN4))</f>
        <v>2.113931997542649E-2</v>
      </c>
      <c r="EO5" s="542" t="s">
        <v>199</v>
      </c>
      <c r="EQ5" s="543" t="s">
        <v>198</v>
      </c>
    </row>
    <row r="6" spans="1:147">
      <c r="D6" s="672"/>
      <c r="E6" s="680" t="s">
        <v>52</v>
      </c>
      <c r="F6" s="673"/>
      <c r="G6" s="681">
        <f>EE4</f>
        <v>34130645.161290325</v>
      </c>
      <c r="AI6" s="683" t="s">
        <v>120</v>
      </c>
      <c r="EB6" s="684" t="s">
        <v>57</v>
      </c>
      <c r="EC6" s="684"/>
      <c r="ED6" s="673"/>
      <c r="EE6" s="673">
        <f>MAX(EB12:EB42)</f>
        <v>62800000</v>
      </c>
      <c r="EI6" s="673">
        <f>MAX(EG12:EG41)</f>
        <v>0</v>
      </c>
      <c r="EM6" s="673"/>
      <c r="EN6" s="673">
        <f>MAX(EK12:EK42)</f>
        <v>62800000</v>
      </c>
    </row>
    <row r="7" spans="1:147">
      <c r="D7" s="672"/>
      <c r="E7" s="680" t="s">
        <v>53</v>
      </c>
      <c r="F7" s="673"/>
      <c r="G7" s="685">
        <f>EE5</f>
        <v>2.113931997542649E-2</v>
      </c>
    </row>
    <row r="8" spans="1:147" ht="13.5" thickBot="1">
      <c r="D8" s="672"/>
      <c r="E8" s="686" t="s">
        <v>57</v>
      </c>
      <c r="F8" s="687"/>
      <c r="G8" s="688">
        <f>EE6</f>
        <v>62800000</v>
      </c>
      <c r="AI8" s="683" t="s">
        <v>120</v>
      </c>
      <c r="EB8" s="544" t="s">
        <v>54</v>
      </c>
      <c r="EC8" s="544"/>
      <c r="ED8" s="689"/>
      <c r="EE8" s="689"/>
      <c r="EG8" s="544" t="s">
        <v>55</v>
      </c>
      <c r="EH8" s="689"/>
      <c r="EI8" s="689"/>
      <c r="EJ8" s="690"/>
      <c r="EK8" s="544" t="s">
        <v>56</v>
      </c>
      <c r="EL8" s="544"/>
      <c r="EM8" s="689"/>
      <c r="EN8" s="689"/>
    </row>
    <row r="9" spans="1:147" ht="13.5" thickTop="1">
      <c r="AI9" s="545" t="s">
        <v>112</v>
      </c>
      <c r="AL9" s="545" t="s">
        <v>112</v>
      </c>
      <c r="AO9" s="545" t="s">
        <v>112</v>
      </c>
      <c r="AR9" s="545" t="s">
        <v>112</v>
      </c>
      <c r="AU9" s="545" t="s">
        <v>112</v>
      </c>
      <c r="AX9" s="545" t="s">
        <v>112</v>
      </c>
      <c r="BA9" s="545" t="s">
        <v>112</v>
      </c>
      <c r="BD9" s="545" t="s">
        <v>112</v>
      </c>
      <c r="BG9" s="545" t="s">
        <v>112</v>
      </c>
      <c r="BJ9" s="545" t="s">
        <v>112</v>
      </c>
      <c r="BM9" s="545" t="s">
        <v>112</v>
      </c>
      <c r="BP9" s="545" t="s">
        <v>112</v>
      </c>
      <c r="BS9" s="545" t="s">
        <v>112</v>
      </c>
      <c r="BV9" s="545" t="s">
        <v>112</v>
      </c>
      <c r="BY9" s="545" t="s">
        <v>112</v>
      </c>
      <c r="CB9" s="545" t="s">
        <v>112</v>
      </c>
      <c r="CE9" s="545" t="s">
        <v>112</v>
      </c>
      <c r="CH9" s="545" t="s">
        <v>112</v>
      </c>
      <c r="CK9" s="545" t="s">
        <v>112</v>
      </c>
      <c r="CN9" s="545" t="s">
        <v>112</v>
      </c>
      <c r="CQ9" s="545" t="s">
        <v>112</v>
      </c>
      <c r="CT9" s="545" t="s">
        <v>112</v>
      </c>
      <c r="CW9" s="545" t="s">
        <v>112</v>
      </c>
      <c r="CZ9" s="545" t="s">
        <v>112</v>
      </c>
      <c r="DC9" s="545" t="s">
        <v>112</v>
      </c>
      <c r="DF9" s="545" t="s">
        <v>112</v>
      </c>
      <c r="DI9" s="545" t="s">
        <v>112</v>
      </c>
      <c r="DL9" s="545" t="s">
        <v>112</v>
      </c>
      <c r="DO9" s="545" t="s">
        <v>112</v>
      </c>
      <c r="DR9" s="545" t="s">
        <v>112</v>
      </c>
      <c r="EB9" s="691"/>
      <c r="EC9" s="691"/>
      <c r="ED9" s="691"/>
      <c r="EE9" s="691" t="s">
        <v>58</v>
      </c>
      <c r="EG9" s="691"/>
      <c r="EH9" s="546" t="s">
        <v>59</v>
      </c>
      <c r="EI9" s="691" t="s">
        <v>58</v>
      </c>
      <c r="EJ9" s="691"/>
      <c r="EK9" s="543" t="s">
        <v>113</v>
      </c>
      <c r="EL9" s="543" t="s">
        <v>114</v>
      </c>
      <c r="EM9" s="546" t="s">
        <v>60</v>
      </c>
      <c r="EN9" s="691" t="s">
        <v>58</v>
      </c>
    </row>
    <row r="10" spans="1:147">
      <c r="B10" s="692" t="s">
        <v>61</v>
      </c>
      <c r="C10" s="693"/>
      <c r="D10" s="689"/>
      <c r="E10" s="692" t="s">
        <v>62</v>
      </c>
      <c r="F10" s="693"/>
      <c r="G10" s="689"/>
      <c r="H10" s="692" t="s">
        <v>63</v>
      </c>
      <c r="I10" s="693"/>
      <c r="J10" s="689"/>
      <c r="K10" s="692" t="s">
        <v>64</v>
      </c>
      <c r="L10" s="693"/>
      <c r="M10" s="689"/>
      <c r="N10" s="692" t="s">
        <v>65</v>
      </c>
      <c r="O10" s="693"/>
      <c r="P10" s="689"/>
      <c r="Q10" s="692" t="s">
        <v>66</v>
      </c>
      <c r="R10" s="693"/>
      <c r="S10" s="689"/>
      <c r="T10" s="692" t="s">
        <v>67</v>
      </c>
      <c r="U10" s="693"/>
      <c r="V10" s="689"/>
      <c r="W10" s="692" t="s">
        <v>68</v>
      </c>
      <c r="X10" s="693"/>
      <c r="Y10" s="689"/>
      <c r="Z10" s="692" t="s">
        <v>69</v>
      </c>
      <c r="AA10" s="693"/>
      <c r="AB10" s="689"/>
      <c r="AC10" s="547" t="s">
        <v>70</v>
      </c>
      <c r="AD10" s="693"/>
      <c r="AE10" s="689"/>
      <c r="AF10" s="547" t="s">
        <v>71</v>
      </c>
      <c r="AG10" s="693"/>
      <c r="AH10" s="689"/>
      <c r="AI10" s="692" t="s">
        <v>72</v>
      </c>
      <c r="AJ10" s="693"/>
      <c r="AK10" s="689"/>
      <c r="AL10" s="692" t="s">
        <v>73</v>
      </c>
      <c r="AM10" s="693"/>
      <c r="AN10" s="689"/>
      <c r="AO10" s="692" t="s">
        <v>74</v>
      </c>
      <c r="AP10" s="693"/>
      <c r="AQ10" s="689"/>
      <c r="AR10" s="692" t="s">
        <v>75</v>
      </c>
      <c r="AS10" s="693"/>
      <c r="AT10" s="689"/>
      <c r="AU10" s="692" t="s">
        <v>76</v>
      </c>
      <c r="AV10" s="693"/>
      <c r="AW10" s="689"/>
      <c r="AX10" s="692" t="s">
        <v>77</v>
      </c>
      <c r="AY10" s="693"/>
      <c r="AZ10" s="689"/>
      <c r="BA10" s="692" t="s">
        <v>78</v>
      </c>
      <c r="BB10" s="693"/>
      <c r="BC10" s="689"/>
      <c r="BD10" s="692" t="s">
        <v>79</v>
      </c>
      <c r="BE10" s="693"/>
      <c r="BF10" s="689"/>
      <c r="BG10" s="692" t="s">
        <v>80</v>
      </c>
      <c r="BH10" s="693"/>
      <c r="BI10" s="689"/>
      <c r="BJ10" s="692" t="s">
        <v>81</v>
      </c>
      <c r="BK10" s="693"/>
      <c r="BL10" s="689"/>
      <c r="BM10" s="692" t="s">
        <v>82</v>
      </c>
      <c r="BN10" s="693"/>
      <c r="BO10" s="689"/>
      <c r="BP10" s="692" t="s">
        <v>83</v>
      </c>
      <c r="BQ10" s="693"/>
      <c r="BR10" s="689"/>
      <c r="BS10" s="692" t="s">
        <v>84</v>
      </c>
      <c r="BT10" s="693"/>
      <c r="BU10" s="689"/>
      <c r="BV10" s="692" t="s">
        <v>85</v>
      </c>
      <c r="BW10" s="693"/>
      <c r="BX10" s="689"/>
      <c r="BY10" s="692" t="s">
        <v>86</v>
      </c>
      <c r="BZ10" s="693"/>
      <c r="CA10" s="689"/>
      <c r="CB10" s="692" t="s">
        <v>87</v>
      </c>
      <c r="CC10" s="693"/>
      <c r="CD10" s="689"/>
      <c r="CE10" s="692" t="s">
        <v>88</v>
      </c>
      <c r="CF10" s="693"/>
      <c r="CG10" s="689"/>
      <c r="CH10" s="692" t="s">
        <v>89</v>
      </c>
      <c r="CI10" s="693"/>
      <c r="CJ10" s="689"/>
      <c r="CK10" s="692" t="s">
        <v>90</v>
      </c>
      <c r="CL10" s="693"/>
      <c r="CM10" s="689"/>
      <c r="CN10" s="692" t="s">
        <v>91</v>
      </c>
      <c r="CO10" s="693"/>
      <c r="CP10" s="689"/>
      <c r="CQ10" s="692" t="s">
        <v>92</v>
      </c>
      <c r="CR10" s="693"/>
      <c r="CS10" s="689"/>
      <c r="CT10" s="692" t="s">
        <v>93</v>
      </c>
      <c r="CU10" s="693"/>
      <c r="CV10" s="689"/>
      <c r="CW10" s="692" t="s">
        <v>94</v>
      </c>
      <c r="CX10" s="693"/>
      <c r="CY10" s="689"/>
      <c r="CZ10" s="692" t="s">
        <v>95</v>
      </c>
      <c r="DA10" s="693"/>
      <c r="DB10" s="689"/>
      <c r="DC10" s="692" t="s">
        <v>96</v>
      </c>
      <c r="DD10" s="693"/>
      <c r="DE10" s="689"/>
      <c r="DF10" s="692" t="s">
        <v>97</v>
      </c>
      <c r="DG10" s="693"/>
      <c r="DH10" s="689"/>
      <c r="DI10" s="692" t="s">
        <v>98</v>
      </c>
      <c r="DJ10" s="693"/>
      <c r="DK10" s="689"/>
      <c r="DL10" s="692" t="s">
        <v>99</v>
      </c>
      <c r="DM10" s="693"/>
      <c r="DN10" s="689"/>
      <c r="DO10" s="692" t="s">
        <v>100</v>
      </c>
      <c r="DP10" s="693"/>
      <c r="DQ10" s="689"/>
      <c r="DR10" s="692" t="s">
        <v>101</v>
      </c>
      <c r="DS10" s="693"/>
      <c r="DT10" s="689"/>
      <c r="DU10" s="692" t="s">
        <v>102</v>
      </c>
      <c r="DV10" s="693"/>
      <c r="DW10" s="689"/>
      <c r="DX10" s="548" t="s">
        <v>115</v>
      </c>
      <c r="DY10" s="693"/>
      <c r="DZ10" s="689"/>
      <c r="EA10" s="690"/>
      <c r="EB10" s="543" t="s">
        <v>116</v>
      </c>
      <c r="EC10" s="543" t="s">
        <v>117</v>
      </c>
      <c r="ED10" s="691" t="s">
        <v>103</v>
      </c>
      <c r="EE10" s="691" t="s">
        <v>104</v>
      </c>
      <c r="EG10" s="546" t="s">
        <v>105</v>
      </c>
      <c r="EH10" s="691" t="s">
        <v>103</v>
      </c>
      <c r="EI10" s="691" t="s">
        <v>104</v>
      </c>
      <c r="EJ10" s="691"/>
      <c r="EK10" s="546" t="s">
        <v>60</v>
      </c>
      <c r="EL10" s="546" t="s">
        <v>60</v>
      </c>
      <c r="EM10" s="691" t="s">
        <v>103</v>
      </c>
      <c r="EN10" s="691" t="s">
        <v>104</v>
      </c>
    </row>
    <row r="11" spans="1:147">
      <c r="A11" s="691" t="s">
        <v>106</v>
      </c>
      <c r="B11" s="549" t="s">
        <v>107</v>
      </c>
      <c r="C11" s="550" t="s">
        <v>108</v>
      </c>
      <c r="D11" s="551" t="s">
        <v>109</v>
      </c>
      <c r="E11" s="549" t="s">
        <v>107</v>
      </c>
      <c r="F11" s="550" t="s">
        <v>108</v>
      </c>
      <c r="G11" s="551" t="s">
        <v>109</v>
      </c>
      <c r="H11" s="549" t="s">
        <v>107</v>
      </c>
      <c r="I11" s="550" t="s">
        <v>108</v>
      </c>
      <c r="J11" s="551" t="s">
        <v>109</v>
      </c>
      <c r="K11" s="549" t="s">
        <v>107</v>
      </c>
      <c r="L11" s="550" t="s">
        <v>108</v>
      </c>
      <c r="M11" s="551" t="s">
        <v>109</v>
      </c>
      <c r="N11" s="549" t="s">
        <v>107</v>
      </c>
      <c r="O11" s="550" t="s">
        <v>108</v>
      </c>
      <c r="P11" s="551" t="s">
        <v>109</v>
      </c>
      <c r="Q11" s="549" t="s">
        <v>107</v>
      </c>
      <c r="R11" s="550" t="s">
        <v>108</v>
      </c>
      <c r="S11" s="551" t="s">
        <v>109</v>
      </c>
      <c r="T11" s="549" t="s">
        <v>107</v>
      </c>
      <c r="U11" s="550" t="s">
        <v>108</v>
      </c>
      <c r="V11" s="551" t="s">
        <v>109</v>
      </c>
      <c r="W11" s="549" t="s">
        <v>107</v>
      </c>
      <c r="X11" s="550" t="s">
        <v>108</v>
      </c>
      <c r="Y11" s="551" t="s">
        <v>109</v>
      </c>
      <c r="Z11" s="549" t="s">
        <v>107</v>
      </c>
      <c r="AA11" s="550" t="s">
        <v>108</v>
      </c>
      <c r="AB11" s="551" t="s">
        <v>109</v>
      </c>
      <c r="AC11" s="549" t="s">
        <v>107</v>
      </c>
      <c r="AD11" s="550" t="s">
        <v>108</v>
      </c>
      <c r="AE11" s="551" t="s">
        <v>109</v>
      </c>
      <c r="AF11" s="549" t="s">
        <v>107</v>
      </c>
      <c r="AG11" s="550" t="s">
        <v>108</v>
      </c>
      <c r="AH11" s="551" t="s">
        <v>109</v>
      </c>
      <c r="AI11" s="549" t="s">
        <v>107</v>
      </c>
      <c r="AJ11" s="550" t="s">
        <v>108</v>
      </c>
      <c r="AK11" s="551" t="s">
        <v>109</v>
      </c>
      <c r="AL11" s="549" t="s">
        <v>107</v>
      </c>
      <c r="AM11" s="550" t="s">
        <v>108</v>
      </c>
      <c r="AN11" s="551" t="s">
        <v>109</v>
      </c>
      <c r="AO11" s="549" t="s">
        <v>107</v>
      </c>
      <c r="AP11" s="550" t="s">
        <v>108</v>
      </c>
      <c r="AQ11" s="551" t="s">
        <v>109</v>
      </c>
      <c r="AR11" s="549" t="s">
        <v>107</v>
      </c>
      <c r="AS11" s="550" t="s">
        <v>108</v>
      </c>
      <c r="AT11" s="551" t="s">
        <v>109</v>
      </c>
      <c r="AU11" s="549" t="s">
        <v>107</v>
      </c>
      <c r="AV11" s="550" t="s">
        <v>108</v>
      </c>
      <c r="AW11" s="551" t="s">
        <v>109</v>
      </c>
      <c r="AX11" s="549" t="s">
        <v>107</v>
      </c>
      <c r="AY11" s="550" t="s">
        <v>108</v>
      </c>
      <c r="AZ11" s="551" t="s">
        <v>109</v>
      </c>
      <c r="BA11" s="549" t="s">
        <v>107</v>
      </c>
      <c r="BB11" s="550" t="s">
        <v>108</v>
      </c>
      <c r="BC11" s="551" t="s">
        <v>109</v>
      </c>
      <c r="BD11" s="549" t="s">
        <v>107</v>
      </c>
      <c r="BE11" s="550" t="s">
        <v>108</v>
      </c>
      <c r="BF11" s="551" t="s">
        <v>109</v>
      </c>
      <c r="BG11" s="549" t="s">
        <v>107</v>
      </c>
      <c r="BH11" s="550" t="s">
        <v>108</v>
      </c>
      <c r="BI11" s="551" t="s">
        <v>109</v>
      </c>
      <c r="BJ11" s="549" t="s">
        <v>107</v>
      </c>
      <c r="BK11" s="550" t="s">
        <v>108</v>
      </c>
      <c r="BL11" s="551" t="s">
        <v>109</v>
      </c>
      <c r="BM11" s="549" t="s">
        <v>107</v>
      </c>
      <c r="BN11" s="550" t="s">
        <v>108</v>
      </c>
      <c r="BO11" s="551" t="s">
        <v>109</v>
      </c>
      <c r="BP11" s="549" t="s">
        <v>107</v>
      </c>
      <c r="BQ11" s="550" t="s">
        <v>108</v>
      </c>
      <c r="BR11" s="551" t="s">
        <v>109</v>
      </c>
      <c r="BS11" s="549" t="s">
        <v>107</v>
      </c>
      <c r="BT11" s="550" t="s">
        <v>108</v>
      </c>
      <c r="BU11" s="551" t="s">
        <v>109</v>
      </c>
      <c r="BV11" s="549" t="s">
        <v>107</v>
      </c>
      <c r="BW11" s="550" t="s">
        <v>108</v>
      </c>
      <c r="BX11" s="551" t="s">
        <v>109</v>
      </c>
      <c r="BY11" s="549" t="s">
        <v>107</v>
      </c>
      <c r="BZ11" s="550" t="s">
        <v>108</v>
      </c>
      <c r="CA11" s="551" t="s">
        <v>109</v>
      </c>
      <c r="CB11" s="549" t="s">
        <v>107</v>
      </c>
      <c r="CC11" s="550" t="s">
        <v>108</v>
      </c>
      <c r="CD11" s="551" t="s">
        <v>109</v>
      </c>
      <c r="CE11" s="549" t="s">
        <v>107</v>
      </c>
      <c r="CF11" s="550" t="s">
        <v>108</v>
      </c>
      <c r="CG11" s="551" t="s">
        <v>109</v>
      </c>
      <c r="CH11" s="549" t="s">
        <v>107</v>
      </c>
      <c r="CI11" s="550" t="s">
        <v>108</v>
      </c>
      <c r="CJ11" s="551" t="s">
        <v>109</v>
      </c>
      <c r="CK11" s="549" t="s">
        <v>107</v>
      </c>
      <c r="CL11" s="550" t="s">
        <v>108</v>
      </c>
      <c r="CM11" s="551" t="s">
        <v>109</v>
      </c>
      <c r="CN11" s="549" t="s">
        <v>107</v>
      </c>
      <c r="CO11" s="550" t="s">
        <v>108</v>
      </c>
      <c r="CP11" s="551" t="s">
        <v>109</v>
      </c>
      <c r="CQ11" s="549" t="s">
        <v>107</v>
      </c>
      <c r="CR11" s="550" t="s">
        <v>108</v>
      </c>
      <c r="CS11" s="551" t="s">
        <v>109</v>
      </c>
      <c r="CT11" s="549" t="s">
        <v>107</v>
      </c>
      <c r="CU11" s="550" t="s">
        <v>108</v>
      </c>
      <c r="CV11" s="551" t="s">
        <v>109</v>
      </c>
      <c r="CW11" s="549" t="s">
        <v>107</v>
      </c>
      <c r="CX11" s="550" t="s">
        <v>108</v>
      </c>
      <c r="CY11" s="551" t="s">
        <v>109</v>
      </c>
      <c r="CZ11" s="549" t="s">
        <v>107</v>
      </c>
      <c r="DA11" s="550" t="s">
        <v>108</v>
      </c>
      <c r="DB11" s="551" t="s">
        <v>109</v>
      </c>
      <c r="DC11" s="549" t="s">
        <v>107</v>
      </c>
      <c r="DD11" s="550" t="s">
        <v>108</v>
      </c>
      <c r="DE11" s="551" t="s">
        <v>109</v>
      </c>
      <c r="DF11" s="549" t="s">
        <v>107</v>
      </c>
      <c r="DG11" s="550" t="s">
        <v>108</v>
      </c>
      <c r="DH11" s="551" t="s">
        <v>109</v>
      </c>
      <c r="DI11" s="549" t="s">
        <v>107</v>
      </c>
      <c r="DJ11" s="550" t="s">
        <v>108</v>
      </c>
      <c r="DK11" s="551" t="s">
        <v>109</v>
      </c>
      <c r="DL11" s="549" t="s">
        <v>107</v>
      </c>
      <c r="DM11" s="550" t="s">
        <v>108</v>
      </c>
      <c r="DN11" s="551" t="s">
        <v>109</v>
      </c>
      <c r="DO11" s="549" t="s">
        <v>107</v>
      </c>
      <c r="DP11" s="550" t="s">
        <v>108</v>
      </c>
      <c r="DQ11" s="551" t="s">
        <v>109</v>
      </c>
      <c r="DR11" s="549" t="s">
        <v>107</v>
      </c>
      <c r="DS11" s="550" t="s">
        <v>108</v>
      </c>
      <c r="DT11" s="551" t="s">
        <v>109</v>
      </c>
      <c r="DU11" s="549" t="s">
        <v>107</v>
      </c>
      <c r="DV11" s="550" t="s">
        <v>108</v>
      </c>
      <c r="DW11" s="551" t="s">
        <v>109</v>
      </c>
      <c r="DX11" s="549" t="s">
        <v>107</v>
      </c>
      <c r="DY11" s="550"/>
      <c r="DZ11" s="551"/>
      <c r="EA11" s="551"/>
      <c r="EB11" s="551" t="s">
        <v>110</v>
      </c>
      <c r="EC11" s="551" t="s">
        <v>110</v>
      </c>
      <c r="ED11" s="551" t="s">
        <v>109</v>
      </c>
      <c r="EE11" s="552" t="s">
        <v>108</v>
      </c>
      <c r="EG11" s="551" t="s">
        <v>110</v>
      </c>
      <c r="EH11" s="551" t="s">
        <v>109</v>
      </c>
      <c r="EI11" s="552" t="s">
        <v>108</v>
      </c>
      <c r="EJ11" s="552"/>
      <c r="EK11" s="551" t="s">
        <v>110</v>
      </c>
      <c r="EL11" s="551" t="s">
        <v>110</v>
      </c>
      <c r="EM11" s="551" t="s">
        <v>109</v>
      </c>
      <c r="EN11" s="552" t="s">
        <v>108</v>
      </c>
    </row>
    <row r="12" spans="1:147">
      <c r="A12" s="694">
        <v>43739</v>
      </c>
      <c r="D12" s="675">
        <f>(B12*C12)/360</f>
        <v>0</v>
      </c>
      <c r="G12" s="675">
        <f>(E12*F12)/360</f>
        <v>0</v>
      </c>
      <c r="J12" s="675">
        <f>(H12*I12)/360</f>
        <v>0</v>
      </c>
      <c r="M12" s="675">
        <f>(K12*L12)/360</f>
        <v>0</v>
      </c>
      <c r="P12" s="675">
        <f>(N12*O12)/360</f>
        <v>0</v>
      </c>
      <c r="S12" s="675">
        <f>(Q12*R12)/360</f>
        <v>0</v>
      </c>
      <c r="V12" s="675">
        <f>(T12*U12)/360</f>
        <v>0</v>
      </c>
      <c r="Y12" s="675">
        <f>(W12*X12)/360</f>
        <v>0</v>
      </c>
      <c r="AB12" s="675">
        <f>(Z12*AA12)/360</f>
        <v>0</v>
      </c>
      <c r="AE12" s="675">
        <v>0</v>
      </c>
      <c r="AH12" s="675">
        <v>0</v>
      </c>
      <c r="AI12" s="695">
        <f>61900000</f>
        <v>61900000</v>
      </c>
      <c r="AJ12" s="696">
        <v>2.1999999999999999E-2</v>
      </c>
      <c r="AK12" s="675">
        <f>(AI12*AJ12)/360</f>
        <v>3782.7777777777778</v>
      </c>
      <c r="AL12" s="695"/>
      <c r="AM12" s="696"/>
      <c r="AN12" s="675">
        <f>(AL12*AM12)/360</f>
        <v>0</v>
      </c>
      <c r="AO12" s="695"/>
      <c r="AP12" s="696"/>
      <c r="AQ12" s="675">
        <f>(AO12*AP12)/360</f>
        <v>0</v>
      </c>
      <c r="AR12" s="695"/>
      <c r="AS12" s="696"/>
      <c r="AT12" s="675">
        <f>(AR12*AS12)/360</f>
        <v>0</v>
      </c>
      <c r="AW12" s="675">
        <f>(AU12*AV12)/360</f>
        <v>0</v>
      </c>
      <c r="AZ12" s="675">
        <f>(AX12*AY12)/360</f>
        <v>0</v>
      </c>
      <c r="BC12" s="675">
        <f>(BA12*BB12)/360</f>
        <v>0</v>
      </c>
      <c r="BF12" s="675">
        <f>(BD12*BE12)/360</f>
        <v>0</v>
      </c>
      <c r="BI12" s="675">
        <f>(BG12*BH12)/360</f>
        <v>0</v>
      </c>
      <c r="BL12" s="675">
        <f>(BJ12*BK12)/360</f>
        <v>0</v>
      </c>
      <c r="BO12" s="675">
        <f>(BM12*BN12)/360</f>
        <v>0</v>
      </c>
      <c r="BR12" s="675">
        <f>(BP12*BQ12)/360</f>
        <v>0</v>
      </c>
      <c r="BU12" s="675">
        <f>(BS12*BT12)/360</f>
        <v>0</v>
      </c>
      <c r="BX12" s="675">
        <f>(BV12*BW12)/360</f>
        <v>0</v>
      </c>
      <c r="CA12" s="675">
        <f>(BY12*BZ12)/360</f>
        <v>0</v>
      </c>
      <c r="CD12" s="675">
        <f>(CB12*CC12)/360</f>
        <v>0</v>
      </c>
      <c r="CG12" s="675">
        <f>(CE12*CF12)/360</f>
        <v>0</v>
      </c>
      <c r="CJ12" s="675">
        <f>(CH12*CI12)/360</f>
        <v>0</v>
      </c>
      <c r="CM12" s="675">
        <f>(CK12*CL12)/360</f>
        <v>0</v>
      </c>
      <c r="CP12" s="675">
        <f>(CN12*CO12)/360</f>
        <v>0</v>
      </c>
      <c r="CS12" s="675">
        <f>(CQ12*CR12)/360</f>
        <v>0</v>
      </c>
      <c r="CV12" s="675">
        <f>(CT12*CU12)/360</f>
        <v>0</v>
      </c>
      <c r="CY12" s="675">
        <f>(CW12*CX12)/360</f>
        <v>0</v>
      </c>
      <c r="DB12" s="675">
        <f>(CZ12*DA12)/360</f>
        <v>0</v>
      </c>
      <c r="DE12" s="675">
        <f>(DC12*DD12)/360</f>
        <v>0</v>
      </c>
      <c r="DH12" s="675">
        <f>(DF12*DG12)/360</f>
        <v>0</v>
      </c>
      <c r="DK12" s="675">
        <f>(DI12*DJ12)/360</f>
        <v>0</v>
      </c>
      <c r="DN12" s="675">
        <f>(DL12*DM12)/360</f>
        <v>0</v>
      </c>
      <c r="DQ12" s="675">
        <f>(DO12*DP12)/360</f>
        <v>0</v>
      </c>
      <c r="DT12" s="675">
        <f>(DR12*DS12)/360</f>
        <v>0</v>
      </c>
      <c r="DW12" s="675">
        <f>(DU12*DV12)/360</f>
        <v>0</v>
      </c>
      <c r="DZ12" s="675"/>
      <c r="EA12" s="675"/>
      <c r="EB12" s="553">
        <f>B12+E12+H12+K12+N12+Q12+T12+W12+Z12+AC12+AF12+AL12+AO12+AR12+AU12+AX12+BA12+BD12+BG12+DU12+AI12+DR12+DO12+DL12+DI12+DF12+DC12+CZ12+CW12+CT12+CQ12+CN12+CK12+CH12+CE12+CB12+BY12+BV12+BS12+BP12+BM12+BJ12</f>
        <v>61900000</v>
      </c>
      <c r="EC12" s="553">
        <f>EB12-EK12+EL12</f>
        <v>0</v>
      </c>
      <c r="ED12" s="675">
        <f>D12+G12+J12+M12+P12+S12+V12+Y12+AB12+AE12+AH12+AK12+AN12+AQ12+AT12+AW12+AZ12+BC12+BF12+BI12+DW12+DT12+DQ12+DN12+DK12+DH12+DE12+DB12+CY12+CV12+CS12+CP12+CM12+CJ12+CG12+CD12+CA12+BX12+BU12+BR12+BO12+BL12</f>
        <v>3782.7777777777778</v>
      </c>
      <c r="EE12" s="676">
        <f>IF(EB12&lt;&gt;0,((ED12/EB12)*360),0)</f>
        <v>2.1999999999999999E-2</v>
      </c>
      <c r="EG12" s="553">
        <f>Q12+T12+W12+Z12+AC12+AF12</f>
        <v>0</v>
      </c>
      <c r="EH12" s="675">
        <f>S12+V12+Y12+AB12+AE12+AH12</f>
        <v>0</v>
      </c>
      <c r="EI12" s="676">
        <f>IF(EG12&lt;&gt;0,((EH12/EG12)*360),0)</f>
        <v>0</v>
      </c>
      <c r="EJ12" s="676"/>
      <c r="EK12" s="553">
        <f>DR12+DL12+DI12+DF12+DC12+CZ12+CW12+CT12+CQ12+CN12+CK12+CH12+CE12+CB12+BY12+BV12+BS12+BP12+BM12+BJ12+BG12+BD12+BA12+AX12+AU12+AR12+AO12+AL12+AI12+DO12</f>
        <v>61900000</v>
      </c>
      <c r="EL12" s="553">
        <f>DX12</f>
        <v>0</v>
      </c>
      <c r="EM12" s="553">
        <f>DT12+DQ12+DN12+DK12+DH12+DE12+DB12+CY12+CV12+CS12+CP12+CM12+CJ12+CG12+CD12+CA12+BX12+BU12+BR12+BO12+BL12+BI12+BF12+BC12+AZ12+AW12+AT12+AQ12+AN12+AK12</f>
        <v>3782.7777777777778</v>
      </c>
      <c r="EN12" s="676">
        <f>IF(EK12&lt;&gt;0,((EM12/EK12)*360),0)</f>
        <v>2.1999999999999999E-2</v>
      </c>
      <c r="EP12" s="675"/>
    </row>
    <row r="13" spans="1:147">
      <c r="A13" s="694">
        <f>1+A12</f>
        <v>43740</v>
      </c>
      <c r="D13" s="675">
        <f t="shared" ref="D13:D42" si="0">(B13*C13)/360</f>
        <v>0</v>
      </c>
      <c r="G13" s="675">
        <f t="shared" ref="G13:G42" si="1">(E13*F13)/360</f>
        <v>0</v>
      </c>
      <c r="J13" s="675">
        <f t="shared" ref="J13:J42" si="2">(H13*I13)/360</f>
        <v>0</v>
      </c>
      <c r="M13" s="675">
        <f t="shared" ref="M13:M42" si="3">(K13*L13)/360</f>
        <v>0</v>
      </c>
      <c r="P13" s="675">
        <f t="shared" ref="P13:P42" si="4">(N13*O13)/360</f>
        <v>0</v>
      </c>
      <c r="S13" s="675">
        <f t="shared" ref="S13:S42" si="5">(Q13*R13)/360</f>
        <v>0</v>
      </c>
      <c r="V13" s="675">
        <f t="shared" ref="V13:V42" si="6">(T13*U13)/360</f>
        <v>0</v>
      </c>
      <c r="Y13" s="675">
        <f t="shared" ref="Y13:Y42" si="7">(W13*X13)/360</f>
        <v>0</v>
      </c>
      <c r="AB13" s="675">
        <f t="shared" ref="AB13:AB42" si="8">(Z13*AA13)/360</f>
        <v>0</v>
      </c>
      <c r="AE13" s="675">
        <v>0</v>
      </c>
      <c r="AH13" s="675">
        <v>0</v>
      </c>
      <c r="AI13" s="695">
        <f>51975000</f>
        <v>51975000</v>
      </c>
      <c r="AJ13" s="696">
        <v>2.18E-2</v>
      </c>
      <c r="AK13" s="675">
        <f t="shared" ref="AK13:AK42" si="9">(AI13*AJ13)/360</f>
        <v>3147.375</v>
      </c>
      <c r="AL13" s="695"/>
      <c r="AM13" s="696"/>
      <c r="AN13" s="675">
        <f t="shared" ref="AN13:AN42" si="10">(AL13*AM13)/360</f>
        <v>0</v>
      </c>
      <c r="AO13" s="695"/>
      <c r="AP13" s="696"/>
      <c r="AQ13" s="675">
        <f t="shared" ref="AQ13:AQ42" si="11">(AO13*AP13)/360</f>
        <v>0</v>
      </c>
      <c r="AR13" s="695"/>
      <c r="AS13" s="696"/>
      <c r="AT13" s="675">
        <f t="shared" ref="AT13:AT42" si="12">(AR13*AS13)/360</f>
        <v>0</v>
      </c>
      <c r="AW13" s="675">
        <f t="shared" ref="AW13:AW42" si="13">(AU13*AV13)/360</f>
        <v>0</v>
      </c>
      <c r="AZ13" s="675">
        <f t="shared" ref="AZ13:AZ42" si="14">(AX13*AY13)/360</f>
        <v>0</v>
      </c>
      <c r="BC13" s="675">
        <f t="shared" ref="BC13:BC42" si="15">(BA13*BB13)/360</f>
        <v>0</v>
      </c>
      <c r="BF13" s="675">
        <f t="shared" ref="BF13:BF42" si="16">(BD13*BE13)/360</f>
        <v>0</v>
      </c>
      <c r="BI13" s="675">
        <f t="shared" ref="BI13:BI42" si="17">(BG13*BH13)/360</f>
        <v>0</v>
      </c>
      <c r="BL13" s="675">
        <f t="shared" ref="BL13:BL42" si="18">(BJ13*BK13)/360</f>
        <v>0</v>
      </c>
      <c r="BO13" s="675">
        <f t="shared" ref="BO13:BO42" si="19">(BM13*BN13)/360</f>
        <v>0</v>
      </c>
      <c r="BR13" s="675">
        <f t="shared" ref="BR13:BR42" si="20">(BP13*BQ13)/360</f>
        <v>0</v>
      </c>
      <c r="BU13" s="675">
        <f t="shared" ref="BU13:BU42" si="21">(BS13*BT13)/360</f>
        <v>0</v>
      </c>
      <c r="BX13" s="675">
        <f t="shared" ref="BX13:BX42" si="22">(BV13*BW13)/360</f>
        <v>0</v>
      </c>
      <c r="CA13" s="675">
        <f t="shared" ref="CA13:CA42" si="23">(BY13*BZ13)/360</f>
        <v>0</v>
      </c>
      <c r="CD13" s="675">
        <f t="shared" ref="CD13:CD42" si="24">(CB13*CC13)/360</f>
        <v>0</v>
      </c>
      <c r="CG13" s="675">
        <f t="shared" ref="CG13:CG42" si="25">(CE13*CF13)/360</f>
        <v>0</v>
      </c>
      <c r="CJ13" s="675">
        <f t="shared" ref="CJ13:CJ42" si="26">(CH13*CI13)/360</f>
        <v>0</v>
      </c>
      <c r="CM13" s="675">
        <f t="shared" ref="CM13:CM42" si="27">(CK13*CL13)/360</f>
        <v>0</v>
      </c>
      <c r="CP13" s="675">
        <f t="shared" ref="CP13:CP42" si="28">(CN13*CO13)/360</f>
        <v>0</v>
      </c>
      <c r="CS13" s="675">
        <f t="shared" ref="CS13:CS42" si="29">(CQ13*CR13)/360</f>
        <v>0</v>
      </c>
      <c r="CV13" s="675">
        <f t="shared" ref="CV13:CV42" si="30">(CT13*CU13)/360</f>
        <v>0</v>
      </c>
      <c r="CY13" s="675">
        <f t="shared" ref="CY13:CY42" si="31">(CW13*CX13)/360</f>
        <v>0</v>
      </c>
      <c r="DB13" s="675">
        <f t="shared" ref="DB13:DB42" si="32">(CZ13*DA13)/360</f>
        <v>0</v>
      </c>
      <c r="DE13" s="675">
        <f t="shared" ref="DE13:DE42" si="33">(DC13*DD13)/360</f>
        <v>0</v>
      </c>
      <c r="DH13" s="675">
        <f t="shared" ref="DH13:DH42" si="34">(DF13*DG13)/360</f>
        <v>0</v>
      </c>
      <c r="DK13" s="675">
        <f t="shared" ref="DK13:DK42" si="35">(DI13*DJ13)/360</f>
        <v>0</v>
      </c>
      <c r="DN13" s="675">
        <f t="shared" ref="DN13:DN42" si="36">(DL13*DM13)/360</f>
        <v>0</v>
      </c>
      <c r="DQ13" s="675">
        <f t="shared" ref="DQ13:DQ42" si="37">(DO13*DP13)/360</f>
        <v>0</v>
      </c>
      <c r="DT13" s="675">
        <f t="shared" ref="DT13:DT42" si="38">(DR13*DS13)/360</f>
        <v>0</v>
      </c>
      <c r="DW13" s="675">
        <f t="shared" ref="DW13:DW42" si="39">(DU13*DV13)/360</f>
        <v>0</v>
      </c>
      <c r="DZ13" s="675"/>
      <c r="EA13" s="675"/>
      <c r="EB13" s="553">
        <f t="shared" ref="EB13:EB42" si="40">B13+E13+H13+K13+N13+Q13+T13+W13+Z13+AC13+AF13+AL13+AO13+AR13+AU13+AX13+BA13+BD13+BG13+DU13+AI13+DR13+DO13+DL13+DI13+DF13+DC13+CZ13+CW13+CT13+CQ13+CN13+CK13+CH13+CE13+CB13+BY13+BV13+BS13+BP13+BM13+BJ13</f>
        <v>51975000</v>
      </c>
      <c r="EC13" s="553">
        <f t="shared" ref="EC13:EC42" si="41">EB13-EK13+EL13</f>
        <v>0</v>
      </c>
      <c r="ED13" s="675">
        <f t="shared" ref="ED13:ED42" si="42">D13+G13+J13+M13+P13+S13+V13+Y13+AB13+AE13+AH13+AK13+AN13+AQ13+AT13+AW13+AZ13+BC13+BF13+BI13+DW13+DT13+DQ13+DN13+DK13+DH13+DE13+DB13+CY13+CV13+CS13+CP13+CM13+CJ13+CG13+CD13+CA13+BX13+BU13+BR13+BO13+BL13</f>
        <v>3147.375</v>
      </c>
      <c r="EE13" s="676">
        <f t="shared" ref="EE13:EE42" si="43">IF(EB13&lt;&gt;0,((ED13/EB13)*360),0)</f>
        <v>2.18E-2</v>
      </c>
      <c r="EG13" s="553">
        <f t="shared" ref="EG13:EG42" si="44">Q13+T13+W13+Z13+AC13+AF13</f>
        <v>0</v>
      </c>
      <c r="EH13" s="675">
        <f t="shared" ref="EH13:EH42" si="45">S13+V13+Y13+AB13+AE13+AH13</f>
        <v>0</v>
      </c>
      <c r="EI13" s="676">
        <f t="shared" ref="EI13:EI42" si="46">IF(EG13&lt;&gt;0,((EH13/EG13)*360),0)</f>
        <v>0</v>
      </c>
      <c r="EJ13" s="676"/>
      <c r="EK13" s="553">
        <f t="shared" ref="EK13:EK42" si="47">DR13+DL13+DI13+DF13+DC13+CZ13+CW13+CT13+CQ13+CN13+CK13+CH13+CE13+CB13+BY13+BV13+BS13+BP13+BM13+BJ13+BG13+BD13+BA13+AX13+AU13+AR13+AO13+AL13+AI13+DO13</f>
        <v>51975000</v>
      </c>
      <c r="EL13" s="553">
        <f t="shared" ref="EL13:EL42" si="48">DX13</f>
        <v>0</v>
      </c>
      <c r="EM13" s="553">
        <f t="shared" ref="EM13:EM42" si="49">DT13+DQ13+DN13+DK13+DH13+DE13+DB13+CY13+CV13+CS13+CP13+CM13+CJ13+CG13+CD13+CA13+BX13+BU13+BR13+BO13+BL13+BI13+BF13+BC13+AZ13+AW13+AT13+AQ13+AN13+AK13</f>
        <v>3147.375</v>
      </c>
      <c r="EN13" s="676">
        <f t="shared" ref="EN13:EN42" si="50">IF(EK13&lt;&gt;0,((EM13/EK13)*360),0)</f>
        <v>2.18E-2</v>
      </c>
      <c r="EP13" s="675"/>
    </row>
    <row r="14" spans="1:147">
      <c r="A14" s="694">
        <f t="shared" ref="A14:A42" si="51">1+A13</f>
        <v>43741</v>
      </c>
      <c r="D14" s="675">
        <f t="shared" si="0"/>
        <v>0</v>
      </c>
      <c r="G14" s="675">
        <f t="shared" si="1"/>
        <v>0</v>
      </c>
      <c r="J14" s="675">
        <f t="shared" si="2"/>
        <v>0</v>
      </c>
      <c r="M14" s="675">
        <f t="shared" si="3"/>
        <v>0</v>
      </c>
      <c r="P14" s="675">
        <f t="shared" si="4"/>
        <v>0</v>
      </c>
      <c r="S14" s="675">
        <f t="shared" si="5"/>
        <v>0</v>
      </c>
      <c r="V14" s="675">
        <f t="shared" si="6"/>
        <v>0</v>
      </c>
      <c r="Y14" s="675">
        <f t="shared" si="7"/>
        <v>0</v>
      </c>
      <c r="AB14" s="675">
        <f t="shared" si="8"/>
        <v>0</v>
      </c>
      <c r="AE14" s="675">
        <v>0</v>
      </c>
      <c r="AH14" s="675">
        <v>0</v>
      </c>
      <c r="AI14" s="695">
        <f>47300000</f>
        <v>47300000</v>
      </c>
      <c r="AJ14" s="696">
        <v>2.18E-2</v>
      </c>
      <c r="AK14" s="675">
        <f t="shared" si="9"/>
        <v>2864.2777777777778</v>
      </c>
      <c r="AL14" s="695"/>
      <c r="AM14" s="696"/>
      <c r="AN14" s="675">
        <f t="shared" si="10"/>
        <v>0</v>
      </c>
      <c r="AO14" s="695"/>
      <c r="AP14" s="696"/>
      <c r="AQ14" s="675">
        <f t="shared" si="11"/>
        <v>0</v>
      </c>
      <c r="AR14" s="695"/>
      <c r="AS14" s="696"/>
      <c r="AT14" s="675">
        <f t="shared" si="12"/>
        <v>0</v>
      </c>
      <c r="AW14" s="675">
        <f t="shared" si="13"/>
        <v>0</v>
      </c>
      <c r="AZ14" s="675">
        <f t="shared" si="14"/>
        <v>0</v>
      </c>
      <c r="BC14" s="675">
        <f t="shared" si="15"/>
        <v>0</v>
      </c>
      <c r="BF14" s="675">
        <f t="shared" si="16"/>
        <v>0</v>
      </c>
      <c r="BI14" s="675">
        <f t="shared" si="17"/>
        <v>0</v>
      </c>
      <c r="BL14" s="675">
        <f t="shared" si="18"/>
        <v>0</v>
      </c>
      <c r="BO14" s="675">
        <f t="shared" si="19"/>
        <v>0</v>
      </c>
      <c r="BR14" s="675">
        <f t="shared" si="20"/>
        <v>0</v>
      </c>
      <c r="BU14" s="675">
        <f t="shared" si="21"/>
        <v>0</v>
      </c>
      <c r="BX14" s="675">
        <f t="shared" si="22"/>
        <v>0</v>
      </c>
      <c r="CA14" s="675">
        <f t="shared" si="23"/>
        <v>0</v>
      </c>
      <c r="CD14" s="675">
        <f t="shared" si="24"/>
        <v>0</v>
      </c>
      <c r="CG14" s="675">
        <f t="shared" si="25"/>
        <v>0</v>
      </c>
      <c r="CJ14" s="675">
        <f t="shared" si="26"/>
        <v>0</v>
      </c>
      <c r="CM14" s="675">
        <f t="shared" si="27"/>
        <v>0</v>
      </c>
      <c r="CP14" s="675">
        <f t="shared" si="28"/>
        <v>0</v>
      </c>
      <c r="CS14" s="675">
        <f t="shared" si="29"/>
        <v>0</v>
      </c>
      <c r="CV14" s="675">
        <f t="shared" si="30"/>
        <v>0</v>
      </c>
      <c r="CY14" s="675">
        <f t="shared" si="31"/>
        <v>0</v>
      </c>
      <c r="DB14" s="675">
        <f t="shared" si="32"/>
        <v>0</v>
      </c>
      <c r="DE14" s="675">
        <f t="shared" si="33"/>
        <v>0</v>
      </c>
      <c r="DH14" s="675">
        <f t="shared" si="34"/>
        <v>0</v>
      </c>
      <c r="DK14" s="675">
        <f t="shared" si="35"/>
        <v>0</v>
      </c>
      <c r="DN14" s="675">
        <f t="shared" si="36"/>
        <v>0</v>
      </c>
      <c r="DQ14" s="675">
        <f t="shared" si="37"/>
        <v>0</v>
      </c>
      <c r="DT14" s="675">
        <f t="shared" si="38"/>
        <v>0</v>
      </c>
      <c r="DW14" s="675">
        <f t="shared" si="39"/>
        <v>0</v>
      </c>
      <c r="DZ14" s="675"/>
      <c r="EA14" s="675"/>
      <c r="EB14" s="553">
        <f t="shared" si="40"/>
        <v>47300000</v>
      </c>
      <c r="EC14" s="553">
        <f t="shared" si="41"/>
        <v>0</v>
      </c>
      <c r="ED14" s="675">
        <f t="shared" si="42"/>
        <v>2864.2777777777778</v>
      </c>
      <c r="EE14" s="676">
        <f t="shared" si="43"/>
        <v>2.18E-2</v>
      </c>
      <c r="EG14" s="553">
        <f t="shared" si="44"/>
        <v>0</v>
      </c>
      <c r="EH14" s="675">
        <f t="shared" si="45"/>
        <v>0</v>
      </c>
      <c r="EI14" s="676">
        <f t="shared" si="46"/>
        <v>0</v>
      </c>
      <c r="EJ14" s="676"/>
      <c r="EK14" s="553">
        <f t="shared" si="47"/>
        <v>47300000</v>
      </c>
      <c r="EL14" s="553">
        <f t="shared" si="48"/>
        <v>0</v>
      </c>
      <c r="EM14" s="553">
        <f t="shared" si="49"/>
        <v>2864.2777777777778</v>
      </c>
      <c r="EN14" s="676">
        <f t="shared" si="50"/>
        <v>2.18E-2</v>
      </c>
      <c r="EP14" s="675"/>
    </row>
    <row r="15" spans="1:147">
      <c r="A15" s="694">
        <f t="shared" si="51"/>
        <v>43742</v>
      </c>
      <c r="D15" s="675">
        <f t="shared" si="0"/>
        <v>0</v>
      </c>
      <c r="G15" s="675">
        <f t="shared" si="1"/>
        <v>0</v>
      </c>
      <c r="J15" s="675">
        <f t="shared" si="2"/>
        <v>0</v>
      </c>
      <c r="M15" s="675">
        <f t="shared" si="3"/>
        <v>0</v>
      </c>
      <c r="P15" s="675">
        <f t="shared" si="4"/>
        <v>0</v>
      </c>
      <c r="S15" s="675">
        <f t="shared" si="5"/>
        <v>0</v>
      </c>
      <c r="V15" s="675">
        <f t="shared" si="6"/>
        <v>0</v>
      </c>
      <c r="Y15" s="675">
        <f t="shared" si="7"/>
        <v>0</v>
      </c>
      <c r="AB15" s="675">
        <f t="shared" si="8"/>
        <v>0</v>
      </c>
      <c r="AE15" s="675">
        <v>0</v>
      </c>
      <c r="AH15" s="675">
        <v>0</v>
      </c>
      <c r="AI15" s="695">
        <f>47100000</f>
        <v>47100000</v>
      </c>
      <c r="AJ15" s="696">
        <v>2.1499999999999998E-2</v>
      </c>
      <c r="AK15" s="675">
        <f t="shared" si="9"/>
        <v>2812.9166666666665</v>
      </c>
      <c r="AL15" s="695"/>
      <c r="AM15" s="696"/>
      <c r="AN15" s="675">
        <f t="shared" si="10"/>
        <v>0</v>
      </c>
      <c r="AO15" s="695"/>
      <c r="AP15" s="696"/>
      <c r="AQ15" s="675">
        <f t="shared" si="11"/>
        <v>0</v>
      </c>
      <c r="AR15" s="695"/>
      <c r="AS15" s="696"/>
      <c r="AT15" s="675">
        <f t="shared" si="12"/>
        <v>0</v>
      </c>
      <c r="AW15" s="675">
        <f t="shared" si="13"/>
        <v>0</v>
      </c>
      <c r="AZ15" s="675">
        <f t="shared" si="14"/>
        <v>0</v>
      </c>
      <c r="BC15" s="675">
        <f t="shared" si="15"/>
        <v>0</v>
      </c>
      <c r="BF15" s="675">
        <f t="shared" si="16"/>
        <v>0</v>
      </c>
      <c r="BI15" s="675">
        <f t="shared" si="17"/>
        <v>0</v>
      </c>
      <c r="BL15" s="675">
        <f t="shared" si="18"/>
        <v>0</v>
      </c>
      <c r="BO15" s="675">
        <f t="shared" si="19"/>
        <v>0</v>
      </c>
      <c r="BR15" s="675">
        <f t="shared" si="20"/>
        <v>0</v>
      </c>
      <c r="BU15" s="675">
        <f t="shared" si="21"/>
        <v>0</v>
      </c>
      <c r="BX15" s="675">
        <f t="shared" si="22"/>
        <v>0</v>
      </c>
      <c r="CA15" s="675">
        <f t="shared" si="23"/>
        <v>0</v>
      </c>
      <c r="CD15" s="675">
        <f t="shared" si="24"/>
        <v>0</v>
      </c>
      <c r="CG15" s="675">
        <f t="shared" si="25"/>
        <v>0</v>
      </c>
      <c r="CJ15" s="675">
        <f t="shared" si="26"/>
        <v>0</v>
      </c>
      <c r="CM15" s="675">
        <f t="shared" si="27"/>
        <v>0</v>
      </c>
      <c r="CP15" s="675">
        <f t="shared" si="28"/>
        <v>0</v>
      </c>
      <c r="CS15" s="675">
        <f t="shared" si="29"/>
        <v>0</v>
      </c>
      <c r="CV15" s="675">
        <f t="shared" si="30"/>
        <v>0</v>
      </c>
      <c r="CY15" s="675">
        <f t="shared" si="31"/>
        <v>0</v>
      </c>
      <c r="DB15" s="675">
        <f t="shared" si="32"/>
        <v>0</v>
      </c>
      <c r="DE15" s="675">
        <f t="shared" si="33"/>
        <v>0</v>
      </c>
      <c r="DH15" s="675">
        <f t="shared" si="34"/>
        <v>0</v>
      </c>
      <c r="DK15" s="675">
        <f t="shared" si="35"/>
        <v>0</v>
      </c>
      <c r="DN15" s="675">
        <f t="shared" si="36"/>
        <v>0</v>
      </c>
      <c r="DQ15" s="675">
        <f t="shared" si="37"/>
        <v>0</v>
      </c>
      <c r="DT15" s="675">
        <f t="shared" si="38"/>
        <v>0</v>
      </c>
      <c r="DW15" s="675">
        <f t="shared" si="39"/>
        <v>0</v>
      </c>
      <c r="DZ15" s="675"/>
      <c r="EA15" s="675"/>
      <c r="EB15" s="553">
        <f t="shared" si="40"/>
        <v>47100000</v>
      </c>
      <c r="EC15" s="553">
        <f t="shared" si="41"/>
        <v>0</v>
      </c>
      <c r="ED15" s="675">
        <f t="shared" si="42"/>
        <v>2812.9166666666665</v>
      </c>
      <c r="EE15" s="676">
        <f t="shared" si="43"/>
        <v>2.1499999999999998E-2</v>
      </c>
      <c r="EG15" s="553">
        <f t="shared" si="44"/>
        <v>0</v>
      </c>
      <c r="EH15" s="675">
        <f t="shared" si="45"/>
        <v>0</v>
      </c>
      <c r="EI15" s="676">
        <f t="shared" si="46"/>
        <v>0</v>
      </c>
      <c r="EJ15" s="676"/>
      <c r="EK15" s="553">
        <f t="shared" si="47"/>
        <v>47100000</v>
      </c>
      <c r="EL15" s="553">
        <f t="shared" si="48"/>
        <v>0</v>
      </c>
      <c r="EM15" s="553">
        <f t="shared" si="49"/>
        <v>2812.9166666666665</v>
      </c>
      <c r="EN15" s="676">
        <f t="shared" si="50"/>
        <v>2.1499999999999998E-2</v>
      </c>
      <c r="EP15" s="675"/>
    </row>
    <row r="16" spans="1:147">
      <c r="A16" s="694">
        <f t="shared" si="51"/>
        <v>43743</v>
      </c>
      <c r="D16" s="675">
        <f t="shared" si="0"/>
        <v>0</v>
      </c>
      <c r="G16" s="675">
        <f t="shared" si="1"/>
        <v>0</v>
      </c>
      <c r="J16" s="675">
        <f t="shared" si="2"/>
        <v>0</v>
      </c>
      <c r="M16" s="675">
        <f t="shared" si="3"/>
        <v>0</v>
      </c>
      <c r="P16" s="675">
        <f t="shared" si="4"/>
        <v>0</v>
      </c>
      <c r="S16" s="675">
        <f t="shared" si="5"/>
        <v>0</v>
      </c>
      <c r="V16" s="675">
        <f t="shared" si="6"/>
        <v>0</v>
      </c>
      <c r="Y16" s="675">
        <f t="shared" si="7"/>
        <v>0</v>
      </c>
      <c r="AB16" s="675">
        <f t="shared" si="8"/>
        <v>0</v>
      </c>
      <c r="AE16" s="675">
        <v>0</v>
      </c>
      <c r="AH16" s="675">
        <v>0</v>
      </c>
      <c r="AI16" s="695">
        <f>47100000</f>
        <v>47100000</v>
      </c>
      <c r="AJ16" s="696">
        <v>2.1499999999999998E-2</v>
      </c>
      <c r="AK16" s="675">
        <f t="shared" si="9"/>
        <v>2812.9166666666665</v>
      </c>
      <c r="AL16" s="695"/>
      <c r="AM16" s="696"/>
      <c r="AN16" s="675">
        <f t="shared" si="10"/>
        <v>0</v>
      </c>
      <c r="AO16" s="695"/>
      <c r="AP16" s="696"/>
      <c r="AQ16" s="675">
        <f t="shared" si="11"/>
        <v>0</v>
      </c>
      <c r="AR16" s="695"/>
      <c r="AS16" s="696"/>
      <c r="AT16" s="675">
        <f t="shared" si="12"/>
        <v>0</v>
      </c>
      <c r="AW16" s="675">
        <f t="shared" si="13"/>
        <v>0</v>
      </c>
      <c r="AZ16" s="675">
        <f t="shared" si="14"/>
        <v>0</v>
      </c>
      <c r="BC16" s="675">
        <f t="shared" si="15"/>
        <v>0</v>
      </c>
      <c r="BF16" s="675">
        <f t="shared" si="16"/>
        <v>0</v>
      </c>
      <c r="BI16" s="675">
        <f t="shared" si="17"/>
        <v>0</v>
      </c>
      <c r="BL16" s="675">
        <f t="shared" si="18"/>
        <v>0</v>
      </c>
      <c r="BO16" s="675">
        <f t="shared" si="19"/>
        <v>0</v>
      </c>
      <c r="BR16" s="675">
        <f t="shared" si="20"/>
        <v>0</v>
      </c>
      <c r="BU16" s="675">
        <f t="shared" si="21"/>
        <v>0</v>
      </c>
      <c r="BX16" s="675">
        <f t="shared" si="22"/>
        <v>0</v>
      </c>
      <c r="CA16" s="675">
        <f t="shared" si="23"/>
        <v>0</v>
      </c>
      <c r="CD16" s="675">
        <f t="shared" si="24"/>
        <v>0</v>
      </c>
      <c r="CG16" s="675">
        <f t="shared" si="25"/>
        <v>0</v>
      </c>
      <c r="CJ16" s="675">
        <f t="shared" si="26"/>
        <v>0</v>
      </c>
      <c r="CM16" s="675">
        <f t="shared" si="27"/>
        <v>0</v>
      </c>
      <c r="CP16" s="675">
        <f t="shared" si="28"/>
        <v>0</v>
      </c>
      <c r="CS16" s="675">
        <f t="shared" si="29"/>
        <v>0</v>
      </c>
      <c r="CV16" s="675">
        <f t="shared" si="30"/>
        <v>0</v>
      </c>
      <c r="CY16" s="675">
        <f t="shared" si="31"/>
        <v>0</v>
      </c>
      <c r="DB16" s="675">
        <f t="shared" si="32"/>
        <v>0</v>
      </c>
      <c r="DE16" s="675">
        <f t="shared" si="33"/>
        <v>0</v>
      </c>
      <c r="DH16" s="675">
        <f t="shared" si="34"/>
        <v>0</v>
      </c>
      <c r="DK16" s="675">
        <f t="shared" si="35"/>
        <v>0</v>
      </c>
      <c r="DN16" s="675">
        <f t="shared" si="36"/>
        <v>0</v>
      </c>
      <c r="DQ16" s="675">
        <f t="shared" si="37"/>
        <v>0</v>
      </c>
      <c r="DT16" s="675">
        <f t="shared" si="38"/>
        <v>0</v>
      </c>
      <c r="DW16" s="675">
        <f t="shared" si="39"/>
        <v>0</v>
      </c>
      <c r="DZ16" s="675"/>
      <c r="EA16" s="675"/>
      <c r="EB16" s="553">
        <f t="shared" si="40"/>
        <v>47100000</v>
      </c>
      <c r="EC16" s="553">
        <f t="shared" si="41"/>
        <v>0</v>
      </c>
      <c r="ED16" s="675">
        <f t="shared" si="42"/>
        <v>2812.9166666666665</v>
      </c>
      <c r="EE16" s="676">
        <f t="shared" si="43"/>
        <v>2.1499999999999998E-2</v>
      </c>
      <c r="EG16" s="553">
        <f t="shared" si="44"/>
        <v>0</v>
      </c>
      <c r="EH16" s="675">
        <f t="shared" si="45"/>
        <v>0</v>
      </c>
      <c r="EI16" s="676">
        <f t="shared" si="46"/>
        <v>0</v>
      </c>
      <c r="EJ16" s="676"/>
      <c r="EK16" s="553">
        <f t="shared" si="47"/>
        <v>47100000</v>
      </c>
      <c r="EL16" s="553">
        <f t="shared" si="48"/>
        <v>0</v>
      </c>
      <c r="EM16" s="553">
        <f t="shared" si="49"/>
        <v>2812.9166666666665</v>
      </c>
      <c r="EN16" s="676">
        <f t="shared" si="50"/>
        <v>2.1499999999999998E-2</v>
      </c>
      <c r="EP16" s="675"/>
    </row>
    <row r="17" spans="1:146">
      <c r="A17" s="694">
        <f t="shared" si="51"/>
        <v>43744</v>
      </c>
      <c r="D17" s="675">
        <f t="shared" si="0"/>
        <v>0</v>
      </c>
      <c r="G17" s="675">
        <f t="shared" si="1"/>
        <v>0</v>
      </c>
      <c r="J17" s="675">
        <f t="shared" si="2"/>
        <v>0</v>
      </c>
      <c r="M17" s="675">
        <f t="shared" si="3"/>
        <v>0</v>
      </c>
      <c r="P17" s="675">
        <f t="shared" si="4"/>
        <v>0</v>
      </c>
      <c r="S17" s="675">
        <f t="shared" si="5"/>
        <v>0</v>
      </c>
      <c r="V17" s="675">
        <f t="shared" si="6"/>
        <v>0</v>
      </c>
      <c r="Y17" s="675">
        <f t="shared" si="7"/>
        <v>0</v>
      </c>
      <c r="AB17" s="675">
        <f t="shared" si="8"/>
        <v>0</v>
      </c>
      <c r="AE17" s="675">
        <v>0</v>
      </c>
      <c r="AH17" s="675">
        <v>0</v>
      </c>
      <c r="AI17" s="695">
        <f>47100000</f>
        <v>47100000</v>
      </c>
      <c r="AJ17" s="696">
        <v>2.1499999999999998E-2</v>
      </c>
      <c r="AK17" s="675">
        <f t="shared" si="9"/>
        <v>2812.9166666666665</v>
      </c>
      <c r="AL17" s="695"/>
      <c r="AM17" s="696"/>
      <c r="AN17" s="675">
        <f t="shared" si="10"/>
        <v>0</v>
      </c>
      <c r="AO17" s="695"/>
      <c r="AP17" s="696"/>
      <c r="AQ17" s="675">
        <f t="shared" si="11"/>
        <v>0</v>
      </c>
      <c r="AR17" s="695"/>
      <c r="AS17" s="696"/>
      <c r="AT17" s="675">
        <f t="shared" si="12"/>
        <v>0</v>
      </c>
      <c r="AW17" s="675">
        <f t="shared" si="13"/>
        <v>0</v>
      </c>
      <c r="AZ17" s="675">
        <f t="shared" si="14"/>
        <v>0</v>
      </c>
      <c r="BC17" s="675">
        <f t="shared" si="15"/>
        <v>0</v>
      </c>
      <c r="BF17" s="675">
        <f t="shared" si="16"/>
        <v>0</v>
      </c>
      <c r="BI17" s="675">
        <f t="shared" si="17"/>
        <v>0</v>
      </c>
      <c r="BL17" s="675">
        <f t="shared" si="18"/>
        <v>0</v>
      </c>
      <c r="BO17" s="675">
        <f t="shared" si="19"/>
        <v>0</v>
      </c>
      <c r="BR17" s="675">
        <f t="shared" si="20"/>
        <v>0</v>
      </c>
      <c r="BU17" s="675">
        <f t="shared" si="21"/>
        <v>0</v>
      </c>
      <c r="BX17" s="675">
        <f t="shared" si="22"/>
        <v>0</v>
      </c>
      <c r="CA17" s="675">
        <f t="shared" si="23"/>
        <v>0</v>
      </c>
      <c r="CD17" s="675">
        <f t="shared" si="24"/>
        <v>0</v>
      </c>
      <c r="CG17" s="675">
        <f t="shared" si="25"/>
        <v>0</v>
      </c>
      <c r="CJ17" s="675">
        <f t="shared" si="26"/>
        <v>0</v>
      </c>
      <c r="CM17" s="675">
        <f t="shared" si="27"/>
        <v>0</v>
      </c>
      <c r="CP17" s="675">
        <f t="shared" si="28"/>
        <v>0</v>
      </c>
      <c r="CS17" s="675">
        <f t="shared" si="29"/>
        <v>0</v>
      </c>
      <c r="CV17" s="675">
        <f t="shared" si="30"/>
        <v>0</v>
      </c>
      <c r="CY17" s="675">
        <f t="shared" si="31"/>
        <v>0</v>
      </c>
      <c r="DB17" s="675">
        <f t="shared" si="32"/>
        <v>0</v>
      </c>
      <c r="DE17" s="675">
        <f t="shared" si="33"/>
        <v>0</v>
      </c>
      <c r="DH17" s="675">
        <f t="shared" si="34"/>
        <v>0</v>
      </c>
      <c r="DK17" s="675">
        <f t="shared" si="35"/>
        <v>0</v>
      </c>
      <c r="DN17" s="675">
        <f t="shared" si="36"/>
        <v>0</v>
      </c>
      <c r="DQ17" s="675">
        <f t="shared" si="37"/>
        <v>0</v>
      </c>
      <c r="DT17" s="675">
        <f t="shared" si="38"/>
        <v>0</v>
      </c>
      <c r="DW17" s="675">
        <f t="shared" si="39"/>
        <v>0</v>
      </c>
      <c r="DZ17" s="675"/>
      <c r="EA17" s="675"/>
      <c r="EB17" s="553">
        <f t="shared" si="40"/>
        <v>47100000</v>
      </c>
      <c r="EC17" s="553">
        <f t="shared" si="41"/>
        <v>0</v>
      </c>
      <c r="ED17" s="675">
        <f t="shared" si="42"/>
        <v>2812.9166666666665</v>
      </c>
      <c r="EE17" s="676">
        <f t="shared" si="43"/>
        <v>2.1499999999999998E-2</v>
      </c>
      <c r="EG17" s="553">
        <f t="shared" si="44"/>
        <v>0</v>
      </c>
      <c r="EH17" s="675">
        <f t="shared" si="45"/>
        <v>0</v>
      </c>
      <c r="EI17" s="676">
        <f t="shared" si="46"/>
        <v>0</v>
      </c>
      <c r="EJ17" s="676"/>
      <c r="EK17" s="553">
        <f t="shared" si="47"/>
        <v>47100000</v>
      </c>
      <c r="EL17" s="553">
        <f t="shared" si="48"/>
        <v>0</v>
      </c>
      <c r="EM17" s="553">
        <f t="shared" si="49"/>
        <v>2812.9166666666665</v>
      </c>
      <c r="EN17" s="676">
        <f t="shared" si="50"/>
        <v>2.1499999999999998E-2</v>
      </c>
      <c r="EP17" s="675"/>
    </row>
    <row r="18" spans="1:146">
      <c r="A18" s="694">
        <f t="shared" si="51"/>
        <v>43745</v>
      </c>
      <c r="D18" s="675">
        <f t="shared" si="0"/>
        <v>0</v>
      </c>
      <c r="G18" s="675">
        <f t="shared" si="1"/>
        <v>0</v>
      </c>
      <c r="J18" s="675">
        <f t="shared" si="2"/>
        <v>0</v>
      </c>
      <c r="M18" s="675">
        <f t="shared" si="3"/>
        <v>0</v>
      </c>
      <c r="P18" s="675">
        <f t="shared" si="4"/>
        <v>0</v>
      </c>
      <c r="S18" s="675">
        <f t="shared" si="5"/>
        <v>0</v>
      </c>
      <c r="V18" s="675">
        <f t="shared" si="6"/>
        <v>0</v>
      </c>
      <c r="Y18" s="675">
        <f t="shared" si="7"/>
        <v>0</v>
      </c>
      <c r="AB18" s="675">
        <f t="shared" si="8"/>
        <v>0</v>
      </c>
      <c r="AE18" s="675">
        <v>0</v>
      </c>
      <c r="AH18" s="675">
        <v>0</v>
      </c>
      <c r="AI18" s="695">
        <f>39400000</f>
        <v>39400000</v>
      </c>
      <c r="AJ18" s="696">
        <v>2.1499999999999998E-2</v>
      </c>
      <c r="AK18" s="675">
        <f t="shared" si="9"/>
        <v>2353.0555555555552</v>
      </c>
      <c r="AL18" s="695"/>
      <c r="AM18" s="696"/>
      <c r="AN18" s="675">
        <f t="shared" si="10"/>
        <v>0</v>
      </c>
      <c r="AO18" s="695"/>
      <c r="AP18" s="696"/>
      <c r="AQ18" s="675">
        <f t="shared" si="11"/>
        <v>0</v>
      </c>
      <c r="AR18" s="695"/>
      <c r="AS18" s="696"/>
      <c r="AT18" s="675">
        <f t="shared" si="12"/>
        <v>0</v>
      </c>
      <c r="AW18" s="675">
        <f t="shared" si="13"/>
        <v>0</v>
      </c>
      <c r="AZ18" s="675">
        <f t="shared" si="14"/>
        <v>0</v>
      </c>
      <c r="BC18" s="675">
        <f t="shared" si="15"/>
        <v>0</v>
      </c>
      <c r="BF18" s="675">
        <f t="shared" si="16"/>
        <v>0</v>
      </c>
      <c r="BI18" s="675">
        <f t="shared" si="17"/>
        <v>0</v>
      </c>
      <c r="BL18" s="675">
        <f t="shared" si="18"/>
        <v>0</v>
      </c>
      <c r="BO18" s="675">
        <f t="shared" si="19"/>
        <v>0</v>
      </c>
      <c r="BR18" s="675">
        <f t="shared" si="20"/>
        <v>0</v>
      </c>
      <c r="BU18" s="675">
        <f t="shared" si="21"/>
        <v>0</v>
      </c>
      <c r="BX18" s="675">
        <f t="shared" si="22"/>
        <v>0</v>
      </c>
      <c r="CA18" s="675">
        <f t="shared" si="23"/>
        <v>0</v>
      </c>
      <c r="CD18" s="675">
        <f t="shared" si="24"/>
        <v>0</v>
      </c>
      <c r="CG18" s="675">
        <f t="shared" si="25"/>
        <v>0</v>
      </c>
      <c r="CJ18" s="675">
        <f t="shared" si="26"/>
        <v>0</v>
      </c>
      <c r="CM18" s="675">
        <f t="shared" si="27"/>
        <v>0</v>
      </c>
      <c r="CP18" s="675">
        <f t="shared" si="28"/>
        <v>0</v>
      </c>
      <c r="CS18" s="675">
        <f t="shared" si="29"/>
        <v>0</v>
      </c>
      <c r="CV18" s="675">
        <f t="shared" si="30"/>
        <v>0</v>
      </c>
      <c r="CY18" s="675">
        <f t="shared" si="31"/>
        <v>0</v>
      </c>
      <c r="DB18" s="675">
        <f t="shared" si="32"/>
        <v>0</v>
      </c>
      <c r="DE18" s="675">
        <f t="shared" si="33"/>
        <v>0</v>
      </c>
      <c r="DH18" s="675">
        <f t="shared" si="34"/>
        <v>0</v>
      </c>
      <c r="DK18" s="675">
        <f t="shared" si="35"/>
        <v>0</v>
      </c>
      <c r="DN18" s="675">
        <f t="shared" si="36"/>
        <v>0</v>
      </c>
      <c r="DQ18" s="675">
        <f t="shared" si="37"/>
        <v>0</v>
      </c>
      <c r="DT18" s="675">
        <f t="shared" si="38"/>
        <v>0</v>
      </c>
      <c r="DW18" s="675">
        <f t="shared" si="39"/>
        <v>0</v>
      </c>
      <c r="DZ18" s="675"/>
      <c r="EA18" s="675"/>
      <c r="EB18" s="553">
        <f t="shared" si="40"/>
        <v>39400000</v>
      </c>
      <c r="EC18" s="553">
        <f t="shared" si="41"/>
        <v>0</v>
      </c>
      <c r="ED18" s="675">
        <f t="shared" si="42"/>
        <v>2353.0555555555552</v>
      </c>
      <c r="EE18" s="676">
        <f t="shared" si="43"/>
        <v>2.1499999999999998E-2</v>
      </c>
      <c r="EG18" s="553">
        <f t="shared" si="44"/>
        <v>0</v>
      </c>
      <c r="EH18" s="675">
        <f t="shared" si="45"/>
        <v>0</v>
      </c>
      <c r="EI18" s="676">
        <f t="shared" si="46"/>
        <v>0</v>
      </c>
      <c r="EJ18" s="676"/>
      <c r="EK18" s="553">
        <f t="shared" si="47"/>
        <v>39400000</v>
      </c>
      <c r="EL18" s="553">
        <f t="shared" si="48"/>
        <v>0</v>
      </c>
      <c r="EM18" s="553">
        <f t="shared" si="49"/>
        <v>2353.0555555555552</v>
      </c>
      <c r="EN18" s="676">
        <f t="shared" si="50"/>
        <v>2.1499999999999998E-2</v>
      </c>
      <c r="EP18" s="675"/>
    </row>
    <row r="19" spans="1:146">
      <c r="A19" s="694">
        <f t="shared" si="51"/>
        <v>43746</v>
      </c>
      <c r="D19" s="675">
        <f t="shared" si="0"/>
        <v>0</v>
      </c>
      <c r="G19" s="675">
        <f t="shared" si="1"/>
        <v>0</v>
      </c>
      <c r="J19" s="675">
        <f t="shared" si="2"/>
        <v>0</v>
      </c>
      <c r="M19" s="675">
        <f t="shared" si="3"/>
        <v>0</v>
      </c>
      <c r="P19" s="675">
        <f t="shared" si="4"/>
        <v>0</v>
      </c>
      <c r="S19" s="675">
        <f t="shared" si="5"/>
        <v>0</v>
      </c>
      <c r="V19" s="675">
        <f t="shared" si="6"/>
        <v>0</v>
      </c>
      <c r="Y19" s="675">
        <f t="shared" si="7"/>
        <v>0</v>
      </c>
      <c r="AB19" s="675">
        <f t="shared" si="8"/>
        <v>0</v>
      </c>
      <c r="AE19" s="675">
        <v>0</v>
      </c>
      <c r="AH19" s="675">
        <v>0</v>
      </c>
      <c r="AI19" s="695">
        <f>22200000</f>
        <v>22200000</v>
      </c>
      <c r="AJ19" s="696">
        <v>2.1499999999999998E-2</v>
      </c>
      <c r="AK19" s="675">
        <f t="shared" si="9"/>
        <v>1325.8333333333333</v>
      </c>
      <c r="AL19" s="695"/>
      <c r="AM19" s="696"/>
      <c r="AN19" s="675">
        <f t="shared" si="10"/>
        <v>0</v>
      </c>
      <c r="AO19" s="695"/>
      <c r="AP19" s="696"/>
      <c r="AQ19" s="675">
        <f t="shared" si="11"/>
        <v>0</v>
      </c>
      <c r="AR19" s="695"/>
      <c r="AS19" s="696"/>
      <c r="AT19" s="675">
        <f t="shared" si="12"/>
        <v>0</v>
      </c>
      <c r="AW19" s="675">
        <f t="shared" si="13"/>
        <v>0</v>
      </c>
      <c r="AZ19" s="675">
        <f t="shared" si="14"/>
        <v>0</v>
      </c>
      <c r="BC19" s="675">
        <f t="shared" si="15"/>
        <v>0</v>
      </c>
      <c r="BF19" s="675">
        <f t="shared" si="16"/>
        <v>0</v>
      </c>
      <c r="BI19" s="675">
        <f t="shared" si="17"/>
        <v>0</v>
      </c>
      <c r="BL19" s="675">
        <f t="shared" si="18"/>
        <v>0</v>
      </c>
      <c r="BO19" s="675">
        <f t="shared" si="19"/>
        <v>0</v>
      </c>
      <c r="BR19" s="675">
        <f t="shared" si="20"/>
        <v>0</v>
      </c>
      <c r="BU19" s="675">
        <f t="shared" si="21"/>
        <v>0</v>
      </c>
      <c r="BX19" s="675">
        <f t="shared" si="22"/>
        <v>0</v>
      </c>
      <c r="CA19" s="675">
        <f t="shared" si="23"/>
        <v>0</v>
      </c>
      <c r="CD19" s="675">
        <f t="shared" si="24"/>
        <v>0</v>
      </c>
      <c r="CG19" s="675">
        <f t="shared" si="25"/>
        <v>0</v>
      </c>
      <c r="CJ19" s="675">
        <f t="shared" si="26"/>
        <v>0</v>
      </c>
      <c r="CM19" s="675">
        <f t="shared" si="27"/>
        <v>0</v>
      </c>
      <c r="CP19" s="675">
        <f t="shared" si="28"/>
        <v>0</v>
      </c>
      <c r="CS19" s="675">
        <f t="shared" si="29"/>
        <v>0</v>
      </c>
      <c r="CV19" s="675">
        <f t="shared" si="30"/>
        <v>0</v>
      </c>
      <c r="CY19" s="675">
        <f t="shared" si="31"/>
        <v>0</v>
      </c>
      <c r="DB19" s="675">
        <f t="shared" si="32"/>
        <v>0</v>
      </c>
      <c r="DE19" s="675">
        <f t="shared" si="33"/>
        <v>0</v>
      </c>
      <c r="DH19" s="675">
        <f t="shared" si="34"/>
        <v>0</v>
      </c>
      <c r="DK19" s="675">
        <f t="shared" si="35"/>
        <v>0</v>
      </c>
      <c r="DN19" s="675">
        <f t="shared" si="36"/>
        <v>0</v>
      </c>
      <c r="DQ19" s="675">
        <f t="shared" si="37"/>
        <v>0</v>
      </c>
      <c r="DT19" s="675">
        <f t="shared" si="38"/>
        <v>0</v>
      </c>
      <c r="DW19" s="675">
        <f t="shared" si="39"/>
        <v>0</v>
      </c>
      <c r="DZ19" s="675"/>
      <c r="EA19" s="675"/>
      <c r="EB19" s="553">
        <f t="shared" si="40"/>
        <v>22200000</v>
      </c>
      <c r="EC19" s="553">
        <f t="shared" si="41"/>
        <v>0</v>
      </c>
      <c r="ED19" s="675">
        <f t="shared" si="42"/>
        <v>1325.8333333333333</v>
      </c>
      <c r="EE19" s="676">
        <f t="shared" si="43"/>
        <v>2.1499999999999998E-2</v>
      </c>
      <c r="EG19" s="553">
        <f t="shared" si="44"/>
        <v>0</v>
      </c>
      <c r="EH19" s="675">
        <f t="shared" si="45"/>
        <v>0</v>
      </c>
      <c r="EI19" s="676">
        <f t="shared" si="46"/>
        <v>0</v>
      </c>
      <c r="EJ19" s="676"/>
      <c r="EK19" s="553">
        <f t="shared" si="47"/>
        <v>22200000</v>
      </c>
      <c r="EL19" s="553">
        <f t="shared" si="48"/>
        <v>0</v>
      </c>
      <c r="EM19" s="553">
        <f t="shared" si="49"/>
        <v>1325.8333333333333</v>
      </c>
      <c r="EN19" s="676">
        <f t="shared" si="50"/>
        <v>2.1499999999999998E-2</v>
      </c>
      <c r="EP19" s="675"/>
    </row>
    <row r="20" spans="1:146">
      <c r="A20" s="694">
        <f t="shared" si="51"/>
        <v>43747</v>
      </c>
      <c r="D20" s="675">
        <f t="shared" si="0"/>
        <v>0</v>
      </c>
      <c r="G20" s="675">
        <f t="shared" si="1"/>
        <v>0</v>
      </c>
      <c r="J20" s="675">
        <f t="shared" si="2"/>
        <v>0</v>
      </c>
      <c r="M20" s="675">
        <f t="shared" si="3"/>
        <v>0</v>
      </c>
      <c r="P20" s="675">
        <f t="shared" si="4"/>
        <v>0</v>
      </c>
      <c r="S20" s="675">
        <f t="shared" si="5"/>
        <v>0</v>
      </c>
      <c r="V20" s="675">
        <f t="shared" si="6"/>
        <v>0</v>
      </c>
      <c r="Y20" s="675">
        <f t="shared" si="7"/>
        <v>0</v>
      </c>
      <c r="AB20" s="675">
        <f t="shared" si="8"/>
        <v>0</v>
      </c>
      <c r="AE20" s="675">
        <v>0</v>
      </c>
      <c r="AH20" s="675">
        <v>0</v>
      </c>
      <c r="AI20" s="695">
        <f>5025000</f>
        <v>5025000</v>
      </c>
      <c r="AJ20" s="696">
        <v>2.1499999999999998E-2</v>
      </c>
      <c r="AK20" s="675">
        <f t="shared" si="9"/>
        <v>300.10416666666663</v>
      </c>
      <c r="AL20" s="695"/>
      <c r="AM20" s="696"/>
      <c r="AN20" s="675">
        <f t="shared" si="10"/>
        <v>0</v>
      </c>
      <c r="AO20" s="695"/>
      <c r="AP20" s="696"/>
      <c r="AQ20" s="675">
        <f t="shared" si="11"/>
        <v>0</v>
      </c>
      <c r="AR20" s="695"/>
      <c r="AS20" s="696"/>
      <c r="AT20" s="675">
        <f t="shared" si="12"/>
        <v>0</v>
      </c>
      <c r="AW20" s="675">
        <f t="shared" si="13"/>
        <v>0</v>
      </c>
      <c r="AZ20" s="675">
        <f t="shared" si="14"/>
        <v>0</v>
      </c>
      <c r="BC20" s="675">
        <f t="shared" si="15"/>
        <v>0</v>
      </c>
      <c r="BF20" s="675">
        <f t="shared" si="16"/>
        <v>0</v>
      </c>
      <c r="BI20" s="675">
        <f t="shared" si="17"/>
        <v>0</v>
      </c>
      <c r="BL20" s="675">
        <f t="shared" si="18"/>
        <v>0</v>
      </c>
      <c r="BO20" s="675">
        <f t="shared" si="19"/>
        <v>0</v>
      </c>
      <c r="BR20" s="675">
        <f t="shared" si="20"/>
        <v>0</v>
      </c>
      <c r="BU20" s="675">
        <f t="shared" si="21"/>
        <v>0</v>
      </c>
      <c r="BX20" s="675">
        <f t="shared" si="22"/>
        <v>0</v>
      </c>
      <c r="CA20" s="675">
        <f t="shared" si="23"/>
        <v>0</v>
      </c>
      <c r="CD20" s="675">
        <f t="shared" si="24"/>
        <v>0</v>
      </c>
      <c r="CG20" s="675">
        <f t="shared" si="25"/>
        <v>0</v>
      </c>
      <c r="CJ20" s="675">
        <f t="shared" si="26"/>
        <v>0</v>
      </c>
      <c r="CM20" s="675">
        <f t="shared" si="27"/>
        <v>0</v>
      </c>
      <c r="CP20" s="675">
        <f t="shared" si="28"/>
        <v>0</v>
      </c>
      <c r="CS20" s="675">
        <f t="shared" si="29"/>
        <v>0</v>
      </c>
      <c r="CV20" s="675">
        <f t="shared" si="30"/>
        <v>0</v>
      </c>
      <c r="CY20" s="675">
        <f t="shared" si="31"/>
        <v>0</v>
      </c>
      <c r="DB20" s="675">
        <f t="shared" si="32"/>
        <v>0</v>
      </c>
      <c r="DE20" s="675">
        <f t="shared" si="33"/>
        <v>0</v>
      </c>
      <c r="DH20" s="675">
        <f t="shared" si="34"/>
        <v>0</v>
      </c>
      <c r="DK20" s="675">
        <f t="shared" si="35"/>
        <v>0</v>
      </c>
      <c r="DN20" s="675">
        <f t="shared" si="36"/>
        <v>0</v>
      </c>
      <c r="DQ20" s="675">
        <f t="shared" si="37"/>
        <v>0</v>
      </c>
      <c r="DT20" s="675">
        <f t="shared" si="38"/>
        <v>0</v>
      </c>
      <c r="DW20" s="675">
        <f t="shared" si="39"/>
        <v>0</v>
      </c>
      <c r="DZ20" s="675"/>
      <c r="EA20" s="675"/>
      <c r="EB20" s="553">
        <f t="shared" si="40"/>
        <v>5025000</v>
      </c>
      <c r="EC20" s="553">
        <f t="shared" si="41"/>
        <v>0</v>
      </c>
      <c r="ED20" s="675">
        <f t="shared" si="42"/>
        <v>300.10416666666663</v>
      </c>
      <c r="EE20" s="676">
        <f t="shared" si="43"/>
        <v>2.1499999999999998E-2</v>
      </c>
      <c r="EG20" s="553">
        <f t="shared" si="44"/>
        <v>0</v>
      </c>
      <c r="EH20" s="675">
        <f t="shared" si="45"/>
        <v>0</v>
      </c>
      <c r="EI20" s="676">
        <f t="shared" si="46"/>
        <v>0</v>
      </c>
      <c r="EJ20" s="676"/>
      <c r="EK20" s="553">
        <f t="shared" si="47"/>
        <v>5025000</v>
      </c>
      <c r="EL20" s="553">
        <f t="shared" si="48"/>
        <v>0</v>
      </c>
      <c r="EM20" s="553">
        <f t="shared" si="49"/>
        <v>300.10416666666663</v>
      </c>
      <c r="EN20" s="676">
        <f t="shared" si="50"/>
        <v>2.1499999999999998E-2</v>
      </c>
      <c r="EP20" s="675"/>
    </row>
    <row r="21" spans="1:146">
      <c r="A21" s="694">
        <f t="shared" si="51"/>
        <v>43748</v>
      </c>
      <c r="D21" s="675">
        <f t="shared" si="0"/>
        <v>0</v>
      </c>
      <c r="G21" s="675">
        <f t="shared" si="1"/>
        <v>0</v>
      </c>
      <c r="J21" s="675">
        <f t="shared" si="2"/>
        <v>0</v>
      </c>
      <c r="M21" s="675">
        <f t="shared" si="3"/>
        <v>0</v>
      </c>
      <c r="P21" s="675">
        <f t="shared" si="4"/>
        <v>0</v>
      </c>
      <c r="S21" s="675">
        <f t="shared" si="5"/>
        <v>0</v>
      </c>
      <c r="V21" s="675">
        <f t="shared" si="6"/>
        <v>0</v>
      </c>
      <c r="Y21" s="675">
        <f t="shared" si="7"/>
        <v>0</v>
      </c>
      <c r="AB21" s="675">
        <f t="shared" si="8"/>
        <v>0</v>
      </c>
      <c r="AE21" s="675">
        <v>0</v>
      </c>
      <c r="AH21" s="675">
        <v>0</v>
      </c>
      <c r="AI21" s="695"/>
      <c r="AJ21" s="696"/>
      <c r="AK21" s="675">
        <f t="shared" si="9"/>
        <v>0</v>
      </c>
      <c r="AL21" s="695"/>
      <c r="AM21" s="696"/>
      <c r="AN21" s="675">
        <f t="shared" si="10"/>
        <v>0</v>
      </c>
      <c r="AO21" s="695"/>
      <c r="AP21" s="696"/>
      <c r="AQ21" s="675">
        <f t="shared" si="11"/>
        <v>0</v>
      </c>
      <c r="AR21" s="695"/>
      <c r="AS21" s="696"/>
      <c r="AT21" s="675">
        <f t="shared" si="12"/>
        <v>0</v>
      </c>
      <c r="AW21" s="675">
        <f t="shared" si="13"/>
        <v>0</v>
      </c>
      <c r="AZ21" s="675">
        <f t="shared" si="14"/>
        <v>0</v>
      </c>
      <c r="BC21" s="675">
        <f t="shared" si="15"/>
        <v>0</v>
      </c>
      <c r="BF21" s="675">
        <f t="shared" si="16"/>
        <v>0</v>
      </c>
      <c r="BI21" s="675">
        <f t="shared" si="17"/>
        <v>0</v>
      </c>
      <c r="BL21" s="675">
        <f t="shared" si="18"/>
        <v>0</v>
      </c>
      <c r="BO21" s="675">
        <f t="shared" si="19"/>
        <v>0</v>
      </c>
      <c r="BR21" s="675">
        <f t="shared" si="20"/>
        <v>0</v>
      </c>
      <c r="BU21" s="675">
        <f t="shared" si="21"/>
        <v>0</v>
      </c>
      <c r="BX21" s="675">
        <f t="shared" si="22"/>
        <v>0</v>
      </c>
      <c r="CA21" s="675">
        <f t="shared" si="23"/>
        <v>0</v>
      </c>
      <c r="CD21" s="675">
        <f t="shared" si="24"/>
        <v>0</v>
      </c>
      <c r="CG21" s="675">
        <f t="shared" si="25"/>
        <v>0</v>
      </c>
      <c r="CJ21" s="675">
        <f t="shared" si="26"/>
        <v>0</v>
      </c>
      <c r="CM21" s="675">
        <f t="shared" si="27"/>
        <v>0</v>
      </c>
      <c r="CP21" s="675">
        <f t="shared" si="28"/>
        <v>0</v>
      </c>
      <c r="CS21" s="675">
        <f t="shared" si="29"/>
        <v>0</v>
      </c>
      <c r="CV21" s="675">
        <f t="shared" si="30"/>
        <v>0</v>
      </c>
      <c r="CY21" s="675">
        <f t="shared" si="31"/>
        <v>0</v>
      </c>
      <c r="DB21" s="675">
        <f t="shared" si="32"/>
        <v>0</v>
      </c>
      <c r="DE21" s="675">
        <f t="shared" si="33"/>
        <v>0</v>
      </c>
      <c r="DH21" s="675">
        <f t="shared" si="34"/>
        <v>0</v>
      </c>
      <c r="DK21" s="675">
        <f t="shared" si="35"/>
        <v>0</v>
      </c>
      <c r="DN21" s="675">
        <f t="shared" si="36"/>
        <v>0</v>
      </c>
      <c r="DQ21" s="675">
        <f t="shared" si="37"/>
        <v>0</v>
      </c>
      <c r="DT21" s="675">
        <f t="shared" si="38"/>
        <v>0</v>
      </c>
      <c r="DW21" s="675">
        <f t="shared" si="39"/>
        <v>0</v>
      </c>
      <c r="DZ21" s="675"/>
      <c r="EA21" s="675"/>
      <c r="EB21" s="553">
        <f t="shared" si="40"/>
        <v>0</v>
      </c>
      <c r="EC21" s="553">
        <f t="shared" si="41"/>
        <v>0</v>
      </c>
      <c r="ED21" s="675">
        <f t="shared" si="42"/>
        <v>0</v>
      </c>
      <c r="EE21" s="676">
        <f t="shared" si="43"/>
        <v>0</v>
      </c>
      <c r="EG21" s="553">
        <f t="shared" si="44"/>
        <v>0</v>
      </c>
      <c r="EH21" s="675">
        <f t="shared" si="45"/>
        <v>0</v>
      </c>
      <c r="EI21" s="676">
        <f t="shared" si="46"/>
        <v>0</v>
      </c>
      <c r="EJ21" s="676"/>
      <c r="EK21" s="553">
        <f t="shared" si="47"/>
        <v>0</v>
      </c>
      <c r="EL21" s="553">
        <f t="shared" si="48"/>
        <v>0</v>
      </c>
      <c r="EM21" s="553">
        <f t="shared" si="49"/>
        <v>0</v>
      </c>
      <c r="EN21" s="676">
        <f t="shared" si="50"/>
        <v>0</v>
      </c>
      <c r="EP21" s="675"/>
    </row>
    <row r="22" spans="1:146">
      <c r="A22" s="694">
        <f t="shared" si="51"/>
        <v>43749</v>
      </c>
      <c r="D22" s="675">
        <f t="shared" si="0"/>
        <v>0</v>
      </c>
      <c r="G22" s="675">
        <f t="shared" si="1"/>
        <v>0</v>
      </c>
      <c r="J22" s="675">
        <f t="shared" si="2"/>
        <v>0</v>
      </c>
      <c r="M22" s="675">
        <f t="shared" si="3"/>
        <v>0</v>
      </c>
      <c r="P22" s="675">
        <f t="shared" si="4"/>
        <v>0</v>
      </c>
      <c r="S22" s="675">
        <f t="shared" si="5"/>
        <v>0</v>
      </c>
      <c r="V22" s="675">
        <f t="shared" si="6"/>
        <v>0</v>
      </c>
      <c r="Y22" s="675">
        <f t="shared" si="7"/>
        <v>0</v>
      </c>
      <c r="AB22" s="675">
        <f t="shared" si="8"/>
        <v>0</v>
      </c>
      <c r="AE22" s="675">
        <v>0</v>
      </c>
      <c r="AH22" s="675">
        <v>0</v>
      </c>
      <c r="AI22" s="695">
        <f>4250000</f>
        <v>4250000</v>
      </c>
      <c r="AJ22" s="696">
        <v>2.1299999999999999E-2</v>
      </c>
      <c r="AK22" s="675">
        <f t="shared" si="9"/>
        <v>251.45833333333334</v>
      </c>
      <c r="AL22" s="695"/>
      <c r="AM22" s="696"/>
      <c r="AN22" s="675">
        <f t="shared" si="10"/>
        <v>0</v>
      </c>
      <c r="AO22" s="695"/>
      <c r="AP22" s="696"/>
      <c r="AQ22" s="675">
        <f t="shared" si="11"/>
        <v>0</v>
      </c>
      <c r="AR22" s="695"/>
      <c r="AS22" s="696"/>
      <c r="AT22" s="675">
        <f t="shared" si="12"/>
        <v>0</v>
      </c>
      <c r="AW22" s="675">
        <f t="shared" si="13"/>
        <v>0</v>
      </c>
      <c r="AZ22" s="675">
        <f t="shared" si="14"/>
        <v>0</v>
      </c>
      <c r="BC22" s="675">
        <f t="shared" si="15"/>
        <v>0</v>
      </c>
      <c r="BF22" s="675">
        <f t="shared" si="16"/>
        <v>0</v>
      </c>
      <c r="BI22" s="675">
        <f t="shared" si="17"/>
        <v>0</v>
      </c>
      <c r="BL22" s="675">
        <f t="shared" si="18"/>
        <v>0</v>
      </c>
      <c r="BO22" s="675">
        <f t="shared" si="19"/>
        <v>0</v>
      </c>
      <c r="BR22" s="675">
        <f t="shared" si="20"/>
        <v>0</v>
      </c>
      <c r="BU22" s="675">
        <f t="shared" si="21"/>
        <v>0</v>
      </c>
      <c r="BX22" s="675">
        <f t="shared" si="22"/>
        <v>0</v>
      </c>
      <c r="CA22" s="675">
        <f t="shared" si="23"/>
        <v>0</v>
      </c>
      <c r="CD22" s="675">
        <f t="shared" si="24"/>
        <v>0</v>
      </c>
      <c r="CG22" s="675">
        <f t="shared" si="25"/>
        <v>0</v>
      </c>
      <c r="CJ22" s="675">
        <f t="shared" si="26"/>
        <v>0</v>
      </c>
      <c r="CM22" s="675">
        <f t="shared" si="27"/>
        <v>0</v>
      </c>
      <c r="CP22" s="675">
        <f t="shared" si="28"/>
        <v>0</v>
      </c>
      <c r="CS22" s="675">
        <f t="shared" si="29"/>
        <v>0</v>
      </c>
      <c r="CV22" s="675">
        <f t="shared" si="30"/>
        <v>0</v>
      </c>
      <c r="CY22" s="675">
        <f t="shared" si="31"/>
        <v>0</v>
      </c>
      <c r="DB22" s="675">
        <f t="shared" si="32"/>
        <v>0</v>
      </c>
      <c r="DE22" s="675">
        <f t="shared" si="33"/>
        <v>0</v>
      </c>
      <c r="DH22" s="675">
        <f t="shared" si="34"/>
        <v>0</v>
      </c>
      <c r="DK22" s="675">
        <f t="shared" si="35"/>
        <v>0</v>
      </c>
      <c r="DN22" s="675">
        <f t="shared" si="36"/>
        <v>0</v>
      </c>
      <c r="DQ22" s="675">
        <f t="shared" si="37"/>
        <v>0</v>
      </c>
      <c r="DT22" s="675">
        <f t="shared" si="38"/>
        <v>0</v>
      </c>
      <c r="DW22" s="675">
        <f t="shared" si="39"/>
        <v>0</v>
      </c>
      <c r="DZ22" s="675"/>
      <c r="EA22" s="675"/>
      <c r="EB22" s="553">
        <f t="shared" si="40"/>
        <v>4250000</v>
      </c>
      <c r="EC22" s="553">
        <f t="shared" si="41"/>
        <v>0</v>
      </c>
      <c r="ED22" s="675">
        <f t="shared" si="42"/>
        <v>251.45833333333334</v>
      </c>
      <c r="EE22" s="676">
        <f t="shared" si="43"/>
        <v>2.1300000000000003E-2</v>
      </c>
      <c r="EG22" s="553">
        <f t="shared" si="44"/>
        <v>0</v>
      </c>
      <c r="EH22" s="675">
        <f t="shared" si="45"/>
        <v>0</v>
      </c>
      <c r="EI22" s="676">
        <f t="shared" si="46"/>
        <v>0</v>
      </c>
      <c r="EJ22" s="676"/>
      <c r="EK22" s="553">
        <f t="shared" si="47"/>
        <v>4250000</v>
      </c>
      <c r="EL22" s="553">
        <f t="shared" si="48"/>
        <v>0</v>
      </c>
      <c r="EM22" s="553">
        <f t="shared" si="49"/>
        <v>251.45833333333334</v>
      </c>
      <c r="EN22" s="676">
        <f t="shared" si="50"/>
        <v>2.1300000000000003E-2</v>
      </c>
      <c r="EP22" s="675"/>
    </row>
    <row r="23" spans="1:146">
      <c r="A23" s="694">
        <f t="shared" si="51"/>
        <v>43750</v>
      </c>
      <c r="D23" s="675">
        <f t="shared" si="0"/>
        <v>0</v>
      </c>
      <c r="G23" s="675">
        <f t="shared" si="1"/>
        <v>0</v>
      </c>
      <c r="J23" s="675">
        <f t="shared" si="2"/>
        <v>0</v>
      </c>
      <c r="M23" s="675">
        <f t="shared" si="3"/>
        <v>0</v>
      </c>
      <c r="P23" s="675">
        <f t="shared" si="4"/>
        <v>0</v>
      </c>
      <c r="S23" s="675">
        <f t="shared" si="5"/>
        <v>0</v>
      </c>
      <c r="V23" s="675">
        <f t="shared" si="6"/>
        <v>0</v>
      </c>
      <c r="Y23" s="675">
        <f t="shared" si="7"/>
        <v>0</v>
      </c>
      <c r="AB23" s="675">
        <f t="shared" si="8"/>
        <v>0</v>
      </c>
      <c r="AE23" s="675">
        <v>0</v>
      </c>
      <c r="AH23" s="675">
        <v>0</v>
      </c>
      <c r="AI23" s="695">
        <f>4250000</f>
        <v>4250000</v>
      </c>
      <c r="AJ23" s="696">
        <v>2.1299999999999999E-2</v>
      </c>
      <c r="AK23" s="675">
        <f t="shared" si="9"/>
        <v>251.45833333333334</v>
      </c>
      <c r="AL23" s="695"/>
      <c r="AM23" s="696"/>
      <c r="AN23" s="675">
        <f t="shared" si="10"/>
        <v>0</v>
      </c>
      <c r="AO23" s="695"/>
      <c r="AP23" s="696"/>
      <c r="AQ23" s="675">
        <f t="shared" si="11"/>
        <v>0</v>
      </c>
      <c r="AR23" s="695"/>
      <c r="AS23" s="696"/>
      <c r="AT23" s="675">
        <f t="shared" si="12"/>
        <v>0</v>
      </c>
      <c r="AW23" s="675">
        <f t="shared" si="13"/>
        <v>0</v>
      </c>
      <c r="AZ23" s="675">
        <f t="shared" si="14"/>
        <v>0</v>
      </c>
      <c r="BC23" s="675">
        <f t="shared" si="15"/>
        <v>0</v>
      </c>
      <c r="BF23" s="675">
        <f t="shared" si="16"/>
        <v>0</v>
      </c>
      <c r="BI23" s="675">
        <f t="shared" si="17"/>
        <v>0</v>
      </c>
      <c r="BL23" s="675">
        <f t="shared" si="18"/>
        <v>0</v>
      </c>
      <c r="BO23" s="675">
        <f t="shared" si="19"/>
        <v>0</v>
      </c>
      <c r="BR23" s="675">
        <f t="shared" si="20"/>
        <v>0</v>
      </c>
      <c r="BU23" s="675">
        <f t="shared" si="21"/>
        <v>0</v>
      </c>
      <c r="BX23" s="675">
        <f t="shared" si="22"/>
        <v>0</v>
      </c>
      <c r="CA23" s="675">
        <f t="shared" si="23"/>
        <v>0</v>
      </c>
      <c r="CD23" s="675">
        <f t="shared" si="24"/>
        <v>0</v>
      </c>
      <c r="CG23" s="675">
        <f t="shared" si="25"/>
        <v>0</v>
      </c>
      <c r="CJ23" s="675">
        <f t="shared" si="26"/>
        <v>0</v>
      </c>
      <c r="CM23" s="675">
        <f t="shared" si="27"/>
        <v>0</v>
      </c>
      <c r="CP23" s="675">
        <f t="shared" si="28"/>
        <v>0</v>
      </c>
      <c r="CS23" s="675">
        <f t="shared" si="29"/>
        <v>0</v>
      </c>
      <c r="CV23" s="675">
        <f t="shared" si="30"/>
        <v>0</v>
      </c>
      <c r="CY23" s="675">
        <f t="shared" si="31"/>
        <v>0</v>
      </c>
      <c r="DB23" s="675">
        <f t="shared" si="32"/>
        <v>0</v>
      </c>
      <c r="DE23" s="675">
        <f t="shared" si="33"/>
        <v>0</v>
      </c>
      <c r="DH23" s="675">
        <f t="shared" si="34"/>
        <v>0</v>
      </c>
      <c r="DK23" s="675">
        <f t="shared" si="35"/>
        <v>0</v>
      </c>
      <c r="DN23" s="675">
        <f t="shared" si="36"/>
        <v>0</v>
      </c>
      <c r="DQ23" s="675">
        <f t="shared" si="37"/>
        <v>0</v>
      </c>
      <c r="DT23" s="675">
        <f t="shared" si="38"/>
        <v>0</v>
      </c>
      <c r="DW23" s="675">
        <f t="shared" si="39"/>
        <v>0</v>
      </c>
      <c r="DZ23" s="675"/>
      <c r="EA23" s="675"/>
      <c r="EB23" s="553">
        <f t="shared" si="40"/>
        <v>4250000</v>
      </c>
      <c r="EC23" s="553">
        <f t="shared" si="41"/>
        <v>0</v>
      </c>
      <c r="ED23" s="675">
        <f t="shared" si="42"/>
        <v>251.45833333333334</v>
      </c>
      <c r="EE23" s="676">
        <f t="shared" si="43"/>
        <v>2.1300000000000003E-2</v>
      </c>
      <c r="EG23" s="553">
        <f t="shared" si="44"/>
        <v>0</v>
      </c>
      <c r="EH23" s="675">
        <f t="shared" si="45"/>
        <v>0</v>
      </c>
      <c r="EI23" s="676">
        <f t="shared" si="46"/>
        <v>0</v>
      </c>
      <c r="EJ23" s="676"/>
      <c r="EK23" s="553">
        <f t="shared" si="47"/>
        <v>4250000</v>
      </c>
      <c r="EL23" s="553">
        <f t="shared" si="48"/>
        <v>0</v>
      </c>
      <c r="EM23" s="553">
        <f t="shared" si="49"/>
        <v>251.45833333333334</v>
      </c>
      <c r="EN23" s="676">
        <f t="shared" si="50"/>
        <v>2.1300000000000003E-2</v>
      </c>
      <c r="EP23" s="675"/>
    </row>
    <row r="24" spans="1:146">
      <c r="A24" s="694">
        <f t="shared" si="51"/>
        <v>43751</v>
      </c>
      <c r="D24" s="675">
        <f t="shared" si="0"/>
        <v>0</v>
      </c>
      <c r="G24" s="675">
        <f t="shared" si="1"/>
        <v>0</v>
      </c>
      <c r="J24" s="675">
        <f t="shared" si="2"/>
        <v>0</v>
      </c>
      <c r="M24" s="675">
        <f t="shared" si="3"/>
        <v>0</v>
      </c>
      <c r="P24" s="675">
        <f t="shared" si="4"/>
        <v>0</v>
      </c>
      <c r="S24" s="675">
        <f t="shared" si="5"/>
        <v>0</v>
      </c>
      <c r="V24" s="675">
        <f t="shared" si="6"/>
        <v>0</v>
      </c>
      <c r="Y24" s="675">
        <f t="shared" si="7"/>
        <v>0</v>
      </c>
      <c r="AB24" s="675">
        <f t="shared" si="8"/>
        <v>0</v>
      </c>
      <c r="AE24" s="675">
        <v>0</v>
      </c>
      <c r="AH24" s="675">
        <v>0</v>
      </c>
      <c r="AI24" s="695">
        <f>4250000</f>
        <v>4250000</v>
      </c>
      <c r="AJ24" s="696">
        <v>2.1299999999999999E-2</v>
      </c>
      <c r="AK24" s="675">
        <f t="shared" si="9"/>
        <v>251.45833333333334</v>
      </c>
      <c r="AL24" s="695"/>
      <c r="AM24" s="696"/>
      <c r="AN24" s="675">
        <f t="shared" si="10"/>
        <v>0</v>
      </c>
      <c r="AO24" s="695"/>
      <c r="AP24" s="696"/>
      <c r="AQ24" s="675">
        <f t="shared" si="11"/>
        <v>0</v>
      </c>
      <c r="AR24" s="695"/>
      <c r="AS24" s="696"/>
      <c r="AT24" s="675">
        <f t="shared" si="12"/>
        <v>0</v>
      </c>
      <c r="AW24" s="675">
        <f t="shared" si="13"/>
        <v>0</v>
      </c>
      <c r="AZ24" s="675">
        <f t="shared" si="14"/>
        <v>0</v>
      </c>
      <c r="BC24" s="675">
        <f t="shared" si="15"/>
        <v>0</v>
      </c>
      <c r="BF24" s="675">
        <f t="shared" si="16"/>
        <v>0</v>
      </c>
      <c r="BI24" s="675">
        <f t="shared" si="17"/>
        <v>0</v>
      </c>
      <c r="BL24" s="675">
        <f t="shared" si="18"/>
        <v>0</v>
      </c>
      <c r="BO24" s="675">
        <f t="shared" si="19"/>
        <v>0</v>
      </c>
      <c r="BR24" s="675">
        <f t="shared" si="20"/>
        <v>0</v>
      </c>
      <c r="BU24" s="675">
        <f t="shared" si="21"/>
        <v>0</v>
      </c>
      <c r="BX24" s="675">
        <f t="shared" si="22"/>
        <v>0</v>
      </c>
      <c r="CA24" s="675">
        <f t="shared" si="23"/>
        <v>0</v>
      </c>
      <c r="CD24" s="675">
        <f t="shared" si="24"/>
        <v>0</v>
      </c>
      <c r="CG24" s="675">
        <f t="shared" si="25"/>
        <v>0</v>
      </c>
      <c r="CJ24" s="675">
        <f t="shared" si="26"/>
        <v>0</v>
      </c>
      <c r="CM24" s="675">
        <f t="shared" si="27"/>
        <v>0</v>
      </c>
      <c r="CP24" s="675">
        <f t="shared" si="28"/>
        <v>0</v>
      </c>
      <c r="CS24" s="675">
        <f t="shared" si="29"/>
        <v>0</v>
      </c>
      <c r="CV24" s="675">
        <f t="shared" si="30"/>
        <v>0</v>
      </c>
      <c r="CY24" s="675">
        <f t="shared" si="31"/>
        <v>0</v>
      </c>
      <c r="DB24" s="675">
        <f t="shared" si="32"/>
        <v>0</v>
      </c>
      <c r="DE24" s="675">
        <f t="shared" si="33"/>
        <v>0</v>
      </c>
      <c r="DH24" s="675">
        <f t="shared" si="34"/>
        <v>0</v>
      </c>
      <c r="DK24" s="675">
        <f t="shared" si="35"/>
        <v>0</v>
      </c>
      <c r="DN24" s="675">
        <f t="shared" si="36"/>
        <v>0</v>
      </c>
      <c r="DQ24" s="675">
        <f t="shared" si="37"/>
        <v>0</v>
      </c>
      <c r="DT24" s="675">
        <f t="shared" si="38"/>
        <v>0</v>
      </c>
      <c r="DW24" s="675">
        <f t="shared" si="39"/>
        <v>0</v>
      </c>
      <c r="DZ24" s="675"/>
      <c r="EA24" s="675"/>
      <c r="EB24" s="553">
        <f t="shared" si="40"/>
        <v>4250000</v>
      </c>
      <c r="EC24" s="553">
        <f t="shared" si="41"/>
        <v>0</v>
      </c>
      <c r="ED24" s="675">
        <f t="shared" si="42"/>
        <v>251.45833333333334</v>
      </c>
      <c r="EE24" s="676">
        <f t="shared" si="43"/>
        <v>2.1300000000000003E-2</v>
      </c>
      <c r="EG24" s="553">
        <f t="shared" si="44"/>
        <v>0</v>
      </c>
      <c r="EH24" s="675">
        <f t="shared" si="45"/>
        <v>0</v>
      </c>
      <c r="EI24" s="676">
        <f t="shared" si="46"/>
        <v>0</v>
      </c>
      <c r="EJ24" s="676"/>
      <c r="EK24" s="553">
        <f t="shared" si="47"/>
        <v>4250000</v>
      </c>
      <c r="EL24" s="553">
        <f t="shared" si="48"/>
        <v>0</v>
      </c>
      <c r="EM24" s="553">
        <f t="shared" si="49"/>
        <v>251.45833333333334</v>
      </c>
      <c r="EN24" s="676">
        <f t="shared" si="50"/>
        <v>2.1300000000000003E-2</v>
      </c>
      <c r="EP24" s="675"/>
    </row>
    <row r="25" spans="1:146">
      <c r="A25" s="694">
        <f t="shared" si="51"/>
        <v>43752</v>
      </c>
      <c r="D25" s="675">
        <f t="shared" si="0"/>
        <v>0</v>
      </c>
      <c r="G25" s="675">
        <f t="shared" si="1"/>
        <v>0</v>
      </c>
      <c r="J25" s="675">
        <f t="shared" si="2"/>
        <v>0</v>
      </c>
      <c r="M25" s="675">
        <f t="shared" si="3"/>
        <v>0</v>
      </c>
      <c r="P25" s="675">
        <f t="shared" si="4"/>
        <v>0</v>
      </c>
      <c r="S25" s="675">
        <f t="shared" si="5"/>
        <v>0</v>
      </c>
      <c r="V25" s="675">
        <f t="shared" si="6"/>
        <v>0</v>
      </c>
      <c r="Y25" s="675">
        <f t="shared" si="7"/>
        <v>0</v>
      </c>
      <c r="AB25" s="675">
        <f t="shared" si="8"/>
        <v>0</v>
      </c>
      <c r="AE25" s="675">
        <v>0</v>
      </c>
      <c r="AH25" s="675">
        <v>0</v>
      </c>
      <c r="AI25" s="695">
        <f>4250000</f>
        <v>4250000</v>
      </c>
      <c r="AJ25" s="696">
        <v>2.1299999999999999E-2</v>
      </c>
      <c r="AK25" s="675">
        <f t="shared" si="9"/>
        <v>251.45833333333334</v>
      </c>
      <c r="AL25" s="695"/>
      <c r="AM25" s="696"/>
      <c r="AN25" s="675">
        <f t="shared" si="10"/>
        <v>0</v>
      </c>
      <c r="AO25" s="695"/>
      <c r="AP25" s="696"/>
      <c r="AQ25" s="675">
        <f t="shared" si="11"/>
        <v>0</v>
      </c>
      <c r="AR25" s="695"/>
      <c r="AS25" s="696"/>
      <c r="AT25" s="675">
        <f t="shared" si="12"/>
        <v>0</v>
      </c>
      <c r="AW25" s="675">
        <f t="shared" si="13"/>
        <v>0</v>
      </c>
      <c r="AZ25" s="675">
        <f t="shared" si="14"/>
        <v>0</v>
      </c>
      <c r="BC25" s="675">
        <f t="shared" si="15"/>
        <v>0</v>
      </c>
      <c r="BF25" s="675">
        <f t="shared" si="16"/>
        <v>0</v>
      </c>
      <c r="BI25" s="675">
        <f t="shared" si="17"/>
        <v>0</v>
      </c>
      <c r="BL25" s="675">
        <f t="shared" si="18"/>
        <v>0</v>
      </c>
      <c r="BO25" s="675">
        <f t="shared" si="19"/>
        <v>0</v>
      </c>
      <c r="BR25" s="675">
        <f t="shared" si="20"/>
        <v>0</v>
      </c>
      <c r="BU25" s="675">
        <f t="shared" si="21"/>
        <v>0</v>
      </c>
      <c r="BX25" s="675">
        <f t="shared" si="22"/>
        <v>0</v>
      </c>
      <c r="CA25" s="675">
        <f t="shared" si="23"/>
        <v>0</v>
      </c>
      <c r="CD25" s="675">
        <f t="shared" si="24"/>
        <v>0</v>
      </c>
      <c r="CG25" s="675">
        <f t="shared" si="25"/>
        <v>0</v>
      </c>
      <c r="CJ25" s="675">
        <f t="shared" si="26"/>
        <v>0</v>
      </c>
      <c r="CM25" s="675">
        <f t="shared" si="27"/>
        <v>0</v>
      </c>
      <c r="CP25" s="675">
        <f t="shared" si="28"/>
        <v>0</v>
      </c>
      <c r="CS25" s="675">
        <f t="shared" si="29"/>
        <v>0</v>
      </c>
      <c r="CV25" s="675">
        <f t="shared" si="30"/>
        <v>0</v>
      </c>
      <c r="CY25" s="675">
        <f t="shared" si="31"/>
        <v>0</v>
      </c>
      <c r="DB25" s="675">
        <f t="shared" si="32"/>
        <v>0</v>
      </c>
      <c r="DE25" s="675">
        <f t="shared" si="33"/>
        <v>0</v>
      </c>
      <c r="DH25" s="675">
        <f t="shared" si="34"/>
        <v>0</v>
      </c>
      <c r="DK25" s="675">
        <f t="shared" si="35"/>
        <v>0</v>
      </c>
      <c r="DN25" s="675">
        <f t="shared" si="36"/>
        <v>0</v>
      </c>
      <c r="DQ25" s="675">
        <f t="shared" si="37"/>
        <v>0</v>
      </c>
      <c r="DT25" s="675">
        <f t="shared" si="38"/>
        <v>0</v>
      </c>
      <c r="DW25" s="675">
        <f t="shared" si="39"/>
        <v>0</v>
      </c>
      <c r="DZ25" s="675"/>
      <c r="EA25" s="675"/>
      <c r="EB25" s="553">
        <f t="shared" si="40"/>
        <v>4250000</v>
      </c>
      <c r="EC25" s="553">
        <f t="shared" si="41"/>
        <v>0</v>
      </c>
      <c r="ED25" s="675">
        <f t="shared" si="42"/>
        <v>251.45833333333334</v>
      </c>
      <c r="EE25" s="676">
        <f t="shared" si="43"/>
        <v>2.1300000000000003E-2</v>
      </c>
      <c r="EG25" s="553">
        <f t="shared" si="44"/>
        <v>0</v>
      </c>
      <c r="EH25" s="675">
        <f t="shared" si="45"/>
        <v>0</v>
      </c>
      <c r="EI25" s="676">
        <f t="shared" si="46"/>
        <v>0</v>
      </c>
      <c r="EJ25" s="676"/>
      <c r="EK25" s="553">
        <f t="shared" si="47"/>
        <v>4250000</v>
      </c>
      <c r="EL25" s="553">
        <f t="shared" si="48"/>
        <v>0</v>
      </c>
      <c r="EM25" s="553">
        <f t="shared" si="49"/>
        <v>251.45833333333334</v>
      </c>
      <c r="EN25" s="676">
        <f t="shared" si="50"/>
        <v>2.1300000000000003E-2</v>
      </c>
      <c r="EP25" s="675"/>
    </row>
    <row r="26" spans="1:146">
      <c r="A26" s="694">
        <f t="shared" si="51"/>
        <v>43753</v>
      </c>
      <c r="D26" s="675">
        <f t="shared" si="0"/>
        <v>0</v>
      </c>
      <c r="G26" s="675">
        <f t="shared" si="1"/>
        <v>0</v>
      </c>
      <c r="J26" s="675">
        <f t="shared" si="2"/>
        <v>0</v>
      </c>
      <c r="M26" s="675">
        <f t="shared" si="3"/>
        <v>0</v>
      </c>
      <c r="P26" s="675">
        <f t="shared" si="4"/>
        <v>0</v>
      </c>
      <c r="S26" s="675">
        <f t="shared" si="5"/>
        <v>0</v>
      </c>
      <c r="V26" s="675">
        <f t="shared" si="6"/>
        <v>0</v>
      </c>
      <c r="Y26" s="675">
        <f t="shared" si="7"/>
        <v>0</v>
      </c>
      <c r="AB26" s="675">
        <f t="shared" si="8"/>
        <v>0</v>
      </c>
      <c r="AE26" s="675">
        <v>0</v>
      </c>
      <c r="AH26" s="675">
        <v>0</v>
      </c>
      <c r="AI26" s="695">
        <f>24450000</f>
        <v>24450000</v>
      </c>
      <c r="AJ26" s="696">
        <v>2.12E-2</v>
      </c>
      <c r="AK26" s="675">
        <f t="shared" si="9"/>
        <v>1439.8333333333333</v>
      </c>
      <c r="AL26" s="695"/>
      <c r="AM26" s="696"/>
      <c r="AN26" s="675">
        <f t="shared" si="10"/>
        <v>0</v>
      </c>
      <c r="AO26" s="695"/>
      <c r="AP26" s="696"/>
      <c r="AQ26" s="675">
        <f t="shared" si="11"/>
        <v>0</v>
      </c>
      <c r="AR26" s="695"/>
      <c r="AS26" s="696"/>
      <c r="AT26" s="675">
        <f t="shared" si="12"/>
        <v>0</v>
      </c>
      <c r="AW26" s="675">
        <f t="shared" si="13"/>
        <v>0</v>
      </c>
      <c r="AZ26" s="675">
        <f t="shared" si="14"/>
        <v>0</v>
      </c>
      <c r="BC26" s="675">
        <f t="shared" si="15"/>
        <v>0</v>
      </c>
      <c r="BF26" s="675">
        <f t="shared" si="16"/>
        <v>0</v>
      </c>
      <c r="BI26" s="675">
        <f t="shared" si="17"/>
        <v>0</v>
      </c>
      <c r="BL26" s="675">
        <f t="shared" si="18"/>
        <v>0</v>
      </c>
      <c r="BO26" s="675">
        <f t="shared" si="19"/>
        <v>0</v>
      </c>
      <c r="BR26" s="675">
        <f t="shared" si="20"/>
        <v>0</v>
      </c>
      <c r="BU26" s="675">
        <f t="shared" si="21"/>
        <v>0</v>
      </c>
      <c r="BX26" s="675">
        <f t="shared" si="22"/>
        <v>0</v>
      </c>
      <c r="CA26" s="675">
        <f t="shared" si="23"/>
        <v>0</v>
      </c>
      <c r="CD26" s="675">
        <f t="shared" si="24"/>
        <v>0</v>
      </c>
      <c r="CG26" s="675">
        <f t="shared" si="25"/>
        <v>0</v>
      </c>
      <c r="CJ26" s="675">
        <f t="shared" si="26"/>
        <v>0</v>
      </c>
      <c r="CM26" s="675">
        <f t="shared" si="27"/>
        <v>0</v>
      </c>
      <c r="CP26" s="675">
        <f t="shared" si="28"/>
        <v>0</v>
      </c>
      <c r="CS26" s="675">
        <f t="shared" si="29"/>
        <v>0</v>
      </c>
      <c r="CV26" s="675">
        <f t="shared" si="30"/>
        <v>0</v>
      </c>
      <c r="CY26" s="675">
        <f t="shared" si="31"/>
        <v>0</v>
      </c>
      <c r="DB26" s="675">
        <f t="shared" si="32"/>
        <v>0</v>
      </c>
      <c r="DE26" s="675">
        <f t="shared" si="33"/>
        <v>0</v>
      </c>
      <c r="DH26" s="675">
        <f t="shared" si="34"/>
        <v>0</v>
      </c>
      <c r="DK26" s="675">
        <f t="shared" si="35"/>
        <v>0</v>
      </c>
      <c r="DN26" s="675">
        <f t="shared" si="36"/>
        <v>0</v>
      </c>
      <c r="DQ26" s="675">
        <f t="shared" si="37"/>
        <v>0</v>
      </c>
      <c r="DT26" s="675">
        <f t="shared" si="38"/>
        <v>0</v>
      </c>
      <c r="DW26" s="675">
        <f t="shared" si="39"/>
        <v>0</v>
      </c>
      <c r="DZ26" s="675"/>
      <c r="EA26" s="675"/>
      <c r="EB26" s="553">
        <f t="shared" si="40"/>
        <v>24450000</v>
      </c>
      <c r="EC26" s="553">
        <f t="shared" si="41"/>
        <v>0</v>
      </c>
      <c r="ED26" s="675">
        <f t="shared" si="42"/>
        <v>1439.8333333333333</v>
      </c>
      <c r="EE26" s="676">
        <f t="shared" si="43"/>
        <v>2.12E-2</v>
      </c>
      <c r="EG26" s="553">
        <f t="shared" si="44"/>
        <v>0</v>
      </c>
      <c r="EH26" s="675">
        <f t="shared" si="45"/>
        <v>0</v>
      </c>
      <c r="EI26" s="676">
        <f t="shared" si="46"/>
        <v>0</v>
      </c>
      <c r="EJ26" s="676"/>
      <c r="EK26" s="553">
        <f t="shared" si="47"/>
        <v>24450000</v>
      </c>
      <c r="EL26" s="553">
        <f t="shared" si="48"/>
        <v>0</v>
      </c>
      <c r="EM26" s="553">
        <f t="shared" si="49"/>
        <v>1439.8333333333333</v>
      </c>
      <c r="EN26" s="676">
        <f t="shared" si="50"/>
        <v>2.12E-2</v>
      </c>
      <c r="EP26" s="675"/>
    </row>
    <row r="27" spans="1:146">
      <c r="A27" s="694">
        <f t="shared" si="51"/>
        <v>43754</v>
      </c>
      <c r="D27" s="675">
        <f t="shared" si="0"/>
        <v>0</v>
      </c>
      <c r="G27" s="675">
        <f t="shared" si="1"/>
        <v>0</v>
      </c>
      <c r="J27" s="675">
        <f t="shared" si="2"/>
        <v>0</v>
      </c>
      <c r="M27" s="675">
        <f t="shared" si="3"/>
        <v>0</v>
      </c>
      <c r="P27" s="675">
        <f t="shared" si="4"/>
        <v>0</v>
      </c>
      <c r="S27" s="675">
        <f t="shared" si="5"/>
        <v>0</v>
      </c>
      <c r="V27" s="675">
        <f t="shared" si="6"/>
        <v>0</v>
      </c>
      <c r="Y27" s="675">
        <f t="shared" si="7"/>
        <v>0</v>
      </c>
      <c r="AB27" s="675">
        <f t="shared" si="8"/>
        <v>0</v>
      </c>
      <c r="AE27" s="675">
        <v>0</v>
      </c>
      <c r="AH27" s="675">
        <v>0</v>
      </c>
      <c r="AI27" s="695">
        <f>62800000</f>
        <v>62800000</v>
      </c>
      <c r="AJ27" s="696">
        <v>2.12E-2</v>
      </c>
      <c r="AK27" s="675">
        <f t="shared" si="9"/>
        <v>3698.2222222222222</v>
      </c>
      <c r="AL27" s="695"/>
      <c r="AM27" s="696"/>
      <c r="AN27" s="675">
        <f t="shared" si="10"/>
        <v>0</v>
      </c>
      <c r="AO27" s="695"/>
      <c r="AP27" s="696"/>
      <c r="AQ27" s="675">
        <f t="shared" si="11"/>
        <v>0</v>
      </c>
      <c r="AR27" s="695"/>
      <c r="AS27" s="696"/>
      <c r="AT27" s="675">
        <f t="shared" si="12"/>
        <v>0</v>
      </c>
      <c r="AW27" s="675">
        <f t="shared" si="13"/>
        <v>0</v>
      </c>
      <c r="AZ27" s="675">
        <f t="shared" si="14"/>
        <v>0</v>
      </c>
      <c r="BC27" s="675">
        <f t="shared" si="15"/>
        <v>0</v>
      </c>
      <c r="BF27" s="675">
        <f t="shared" si="16"/>
        <v>0</v>
      </c>
      <c r="BI27" s="675">
        <f t="shared" si="17"/>
        <v>0</v>
      </c>
      <c r="BL27" s="675">
        <f t="shared" si="18"/>
        <v>0</v>
      </c>
      <c r="BO27" s="675">
        <f t="shared" si="19"/>
        <v>0</v>
      </c>
      <c r="BR27" s="675">
        <f t="shared" si="20"/>
        <v>0</v>
      </c>
      <c r="BU27" s="675">
        <f t="shared" si="21"/>
        <v>0</v>
      </c>
      <c r="BX27" s="675">
        <f t="shared" si="22"/>
        <v>0</v>
      </c>
      <c r="CA27" s="675">
        <f t="shared" si="23"/>
        <v>0</v>
      </c>
      <c r="CD27" s="675">
        <f t="shared" si="24"/>
        <v>0</v>
      </c>
      <c r="CG27" s="675">
        <f t="shared" si="25"/>
        <v>0</v>
      </c>
      <c r="CJ27" s="675">
        <f t="shared" si="26"/>
        <v>0</v>
      </c>
      <c r="CM27" s="675">
        <f t="shared" si="27"/>
        <v>0</v>
      </c>
      <c r="CP27" s="675">
        <f t="shared" si="28"/>
        <v>0</v>
      </c>
      <c r="CS27" s="675">
        <f t="shared" si="29"/>
        <v>0</v>
      </c>
      <c r="CV27" s="675">
        <f t="shared" si="30"/>
        <v>0</v>
      </c>
      <c r="CY27" s="675">
        <f t="shared" si="31"/>
        <v>0</v>
      </c>
      <c r="DB27" s="675">
        <f t="shared" si="32"/>
        <v>0</v>
      </c>
      <c r="DE27" s="675">
        <f t="shared" si="33"/>
        <v>0</v>
      </c>
      <c r="DH27" s="675">
        <f t="shared" si="34"/>
        <v>0</v>
      </c>
      <c r="DK27" s="675">
        <f t="shared" si="35"/>
        <v>0</v>
      </c>
      <c r="DN27" s="675">
        <f t="shared" si="36"/>
        <v>0</v>
      </c>
      <c r="DQ27" s="675">
        <f t="shared" si="37"/>
        <v>0</v>
      </c>
      <c r="DT27" s="675">
        <f t="shared" si="38"/>
        <v>0</v>
      </c>
      <c r="DW27" s="675">
        <f t="shared" si="39"/>
        <v>0</v>
      </c>
      <c r="DZ27" s="675"/>
      <c r="EA27" s="675"/>
      <c r="EB27" s="553">
        <f t="shared" si="40"/>
        <v>62800000</v>
      </c>
      <c r="EC27" s="553">
        <f t="shared" si="41"/>
        <v>0</v>
      </c>
      <c r="ED27" s="675">
        <f t="shared" si="42"/>
        <v>3698.2222222222222</v>
      </c>
      <c r="EE27" s="676">
        <f t="shared" si="43"/>
        <v>2.12E-2</v>
      </c>
      <c r="EG27" s="553">
        <f t="shared" si="44"/>
        <v>0</v>
      </c>
      <c r="EH27" s="675">
        <f t="shared" si="45"/>
        <v>0</v>
      </c>
      <c r="EI27" s="676">
        <f t="shared" si="46"/>
        <v>0</v>
      </c>
      <c r="EJ27" s="676"/>
      <c r="EK27" s="553">
        <f t="shared" si="47"/>
        <v>62800000</v>
      </c>
      <c r="EL27" s="553">
        <f t="shared" si="48"/>
        <v>0</v>
      </c>
      <c r="EM27" s="553">
        <f t="shared" si="49"/>
        <v>3698.2222222222222</v>
      </c>
      <c r="EN27" s="676">
        <f t="shared" si="50"/>
        <v>2.12E-2</v>
      </c>
      <c r="EP27" s="675"/>
    </row>
    <row r="28" spans="1:146">
      <c r="A28" s="694">
        <f t="shared" si="51"/>
        <v>43755</v>
      </c>
      <c r="D28" s="675">
        <f t="shared" si="0"/>
        <v>0</v>
      </c>
      <c r="G28" s="675">
        <f t="shared" si="1"/>
        <v>0</v>
      </c>
      <c r="J28" s="675">
        <f t="shared" si="2"/>
        <v>0</v>
      </c>
      <c r="M28" s="675">
        <f t="shared" si="3"/>
        <v>0</v>
      </c>
      <c r="P28" s="675">
        <f t="shared" si="4"/>
        <v>0</v>
      </c>
      <c r="S28" s="675">
        <f t="shared" si="5"/>
        <v>0</v>
      </c>
      <c r="V28" s="675">
        <f t="shared" si="6"/>
        <v>0</v>
      </c>
      <c r="Y28" s="675">
        <f t="shared" si="7"/>
        <v>0</v>
      </c>
      <c r="AB28" s="675">
        <f t="shared" si="8"/>
        <v>0</v>
      </c>
      <c r="AE28" s="675">
        <v>0</v>
      </c>
      <c r="AH28" s="675">
        <v>0</v>
      </c>
      <c r="AI28" s="695">
        <f>39600000</f>
        <v>39600000</v>
      </c>
      <c r="AJ28" s="696">
        <v>2.1000000000000001E-2</v>
      </c>
      <c r="AK28" s="675">
        <f t="shared" si="9"/>
        <v>2310</v>
      </c>
      <c r="AL28" s="695"/>
      <c r="AM28" s="696"/>
      <c r="AN28" s="675">
        <f t="shared" si="10"/>
        <v>0</v>
      </c>
      <c r="AO28" s="695"/>
      <c r="AP28" s="696"/>
      <c r="AQ28" s="675">
        <f t="shared" si="11"/>
        <v>0</v>
      </c>
      <c r="AR28" s="695"/>
      <c r="AS28" s="696"/>
      <c r="AT28" s="675">
        <f t="shared" si="12"/>
        <v>0</v>
      </c>
      <c r="AW28" s="675">
        <f t="shared" si="13"/>
        <v>0</v>
      </c>
      <c r="AZ28" s="675">
        <f t="shared" si="14"/>
        <v>0</v>
      </c>
      <c r="BC28" s="675">
        <f t="shared" si="15"/>
        <v>0</v>
      </c>
      <c r="BF28" s="675">
        <f t="shared" si="16"/>
        <v>0</v>
      </c>
      <c r="BI28" s="675">
        <f t="shared" si="17"/>
        <v>0</v>
      </c>
      <c r="BL28" s="675">
        <f t="shared" si="18"/>
        <v>0</v>
      </c>
      <c r="BO28" s="675">
        <f t="shared" si="19"/>
        <v>0</v>
      </c>
      <c r="BR28" s="675">
        <f t="shared" si="20"/>
        <v>0</v>
      </c>
      <c r="BU28" s="675">
        <f t="shared" si="21"/>
        <v>0</v>
      </c>
      <c r="BX28" s="675">
        <f t="shared" si="22"/>
        <v>0</v>
      </c>
      <c r="CA28" s="675">
        <f t="shared" si="23"/>
        <v>0</v>
      </c>
      <c r="CD28" s="675">
        <f t="shared" si="24"/>
        <v>0</v>
      </c>
      <c r="CG28" s="675">
        <f t="shared" si="25"/>
        <v>0</v>
      </c>
      <c r="CJ28" s="675">
        <f t="shared" si="26"/>
        <v>0</v>
      </c>
      <c r="CM28" s="675">
        <f t="shared" si="27"/>
        <v>0</v>
      </c>
      <c r="CP28" s="675">
        <f t="shared" si="28"/>
        <v>0</v>
      </c>
      <c r="CS28" s="675">
        <f t="shared" si="29"/>
        <v>0</v>
      </c>
      <c r="CV28" s="675">
        <f t="shared" si="30"/>
        <v>0</v>
      </c>
      <c r="CY28" s="675">
        <f t="shared" si="31"/>
        <v>0</v>
      </c>
      <c r="DB28" s="675">
        <f t="shared" si="32"/>
        <v>0</v>
      </c>
      <c r="DE28" s="675">
        <f t="shared" si="33"/>
        <v>0</v>
      </c>
      <c r="DH28" s="675">
        <f t="shared" si="34"/>
        <v>0</v>
      </c>
      <c r="DK28" s="675">
        <f t="shared" si="35"/>
        <v>0</v>
      </c>
      <c r="DN28" s="675">
        <f t="shared" si="36"/>
        <v>0</v>
      </c>
      <c r="DQ28" s="675">
        <f t="shared" si="37"/>
        <v>0</v>
      </c>
      <c r="DT28" s="675">
        <f t="shared" si="38"/>
        <v>0</v>
      </c>
      <c r="DW28" s="675">
        <f t="shared" si="39"/>
        <v>0</v>
      </c>
      <c r="DZ28" s="675"/>
      <c r="EA28" s="675"/>
      <c r="EB28" s="553">
        <f t="shared" si="40"/>
        <v>39600000</v>
      </c>
      <c r="EC28" s="553">
        <f t="shared" si="41"/>
        <v>0</v>
      </c>
      <c r="ED28" s="675">
        <f t="shared" si="42"/>
        <v>2310</v>
      </c>
      <c r="EE28" s="676">
        <f t="shared" si="43"/>
        <v>2.1000000000000001E-2</v>
      </c>
      <c r="EG28" s="553">
        <f t="shared" si="44"/>
        <v>0</v>
      </c>
      <c r="EH28" s="675">
        <f t="shared" si="45"/>
        <v>0</v>
      </c>
      <c r="EI28" s="676">
        <f t="shared" si="46"/>
        <v>0</v>
      </c>
      <c r="EJ28" s="676"/>
      <c r="EK28" s="553">
        <f t="shared" si="47"/>
        <v>39600000</v>
      </c>
      <c r="EL28" s="553">
        <f t="shared" si="48"/>
        <v>0</v>
      </c>
      <c r="EM28" s="553">
        <f t="shared" si="49"/>
        <v>2310</v>
      </c>
      <c r="EN28" s="676">
        <f t="shared" si="50"/>
        <v>2.1000000000000001E-2</v>
      </c>
      <c r="EP28" s="675"/>
    </row>
    <row r="29" spans="1:146">
      <c r="A29" s="694">
        <f t="shared" si="51"/>
        <v>43756</v>
      </c>
      <c r="D29" s="675">
        <f t="shared" si="0"/>
        <v>0</v>
      </c>
      <c r="G29" s="675">
        <f t="shared" si="1"/>
        <v>0</v>
      </c>
      <c r="J29" s="675">
        <f t="shared" si="2"/>
        <v>0</v>
      </c>
      <c r="M29" s="675">
        <f t="shared" si="3"/>
        <v>0</v>
      </c>
      <c r="P29" s="675">
        <f t="shared" si="4"/>
        <v>0</v>
      </c>
      <c r="S29" s="675">
        <f t="shared" si="5"/>
        <v>0</v>
      </c>
      <c r="V29" s="675">
        <f t="shared" si="6"/>
        <v>0</v>
      </c>
      <c r="Y29" s="675">
        <f t="shared" si="7"/>
        <v>0</v>
      </c>
      <c r="AB29" s="675">
        <f t="shared" si="8"/>
        <v>0</v>
      </c>
      <c r="AE29" s="675">
        <v>0</v>
      </c>
      <c r="AH29" s="675">
        <v>0</v>
      </c>
      <c r="AI29" s="695">
        <f>43075000</f>
        <v>43075000</v>
      </c>
      <c r="AJ29" s="696">
        <v>2.1000000000000001E-2</v>
      </c>
      <c r="AK29" s="675">
        <f t="shared" si="9"/>
        <v>2512.7083333333335</v>
      </c>
      <c r="AL29" s="695"/>
      <c r="AM29" s="696"/>
      <c r="AN29" s="675">
        <f t="shared" si="10"/>
        <v>0</v>
      </c>
      <c r="AO29" s="695"/>
      <c r="AP29" s="696"/>
      <c r="AQ29" s="675">
        <f t="shared" si="11"/>
        <v>0</v>
      </c>
      <c r="AR29" s="695"/>
      <c r="AS29" s="696"/>
      <c r="AT29" s="675">
        <f t="shared" si="12"/>
        <v>0</v>
      </c>
      <c r="AW29" s="675">
        <f t="shared" si="13"/>
        <v>0</v>
      </c>
      <c r="AZ29" s="675">
        <f t="shared" si="14"/>
        <v>0</v>
      </c>
      <c r="BC29" s="675">
        <f t="shared" si="15"/>
        <v>0</v>
      </c>
      <c r="BF29" s="675">
        <f t="shared" si="16"/>
        <v>0</v>
      </c>
      <c r="BI29" s="675">
        <f t="shared" si="17"/>
        <v>0</v>
      </c>
      <c r="BL29" s="675">
        <f t="shared" si="18"/>
        <v>0</v>
      </c>
      <c r="BO29" s="675">
        <f t="shared" si="19"/>
        <v>0</v>
      </c>
      <c r="BR29" s="675">
        <f t="shared" si="20"/>
        <v>0</v>
      </c>
      <c r="BU29" s="675">
        <f t="shared" si="21"/>
        <v>0</v>
      </c>
      <c r="BX29" s="675">
        <f t="shared" si="22"/>
        <v>0</v>
      </c>
      <c r="CA29" s="675">
        <f t="shared" si="23"/>
        <v>0</v>
      </c>
      <c r="CD29" s="675">
        <f t="shared" si="24"/>
        <v>0</v>
      </c>
      <c r="CG29" s="675">
        <f t="shared" si="25"/>
        <v>0</v>
      </c>
      <c r="CJ29" s="675">
        <f t="shared" si="26"/>
        <v>0</v>
      </c>
      <c r="CM29" s="675">
        <f t="shared" si="27"/>
        <v>0</v>
      </c>
      <c r="CP29" s="675">
        <f t="shared" si="28"/>
        <v>0</v>
      </c>
      <c r="CS29" s="675">
        <f t="shared" si="29"/>
        <v>0</v>
      </c>
      <c r="CV29" s="675">
        <f t="shared" si="30"/>
        <v>0</v>
      </c>
      <c r="CY29" s="675">
        <f t="shared" si="31"/>
        <v>0</v>
      </c>
      <c r="DB29" s="675">
        <f t="shared" si="32"/>
        <v>0</v>
      </c>
      <c r="DE29" s="675">
        <f t="shared" si="33"/>
        <v>0</v>
      </c>
      <c r="DH29" s="675">
        <f t="shared" si="34"/>
        <v>0</v>
      </c>
      <c r="DK29" s="675">
        <f t="shared" si="35"/>
        <v>0</v>
      </c>
      <c r="DN29" s="675">
        <f t="shared" si="36"/>
        <v>0</v>
      </c>
      <c r="DQ29" s="675">
        <f t="shared" si="37"/>
        <v>0</v>
      </c>
      <c r="DT29" s="675">
        <f t="shared" si="38"/>
        <v>0</v>
      </c>
      <c r="DW29" s="675">
        <f t="shared" si="39"/>
        <v>0</v>
      </c>
      <c r="DZ29" s="675"/>
      <c r="EA29" s="675"/>
      <c r="EB29" s="553">
        <f t="shared" si="40"/>
        <v>43075000</v>
      </c>
      <c r="EC29" s="553">
        <f t="shared" si="41"/>
        <v>0</v>
      </c>
      <c r="ED29" s="675">
        <f t="shared" si="42"/>
        <v>2512.7083333333335</v>
      </c>
      <c r="EE29" s="676">
        <f t="shared" si="43"/>
        <v>2.1000000000000001E-2</v>
      </c>
      <c r="EG29" s="553">
        <f t="shared" si="44"/>
        <v>0</v>
      </c>
      <c r="EH29" s="675">
        <f t="shared" si="45"/>
        <v>0</v>
      </c>
      <c r="EI29" s="676">
        <f t="shared" si="46"/>
        <v>0</v>
      </c>
      <c r="EJ29" s="676"/>
      <c r="EK29" s="553">
        <f t="shared" si="47"/>
        <v>43075000</v>
      </c>
      <c r="EL29" s="553">
        <f t="shared" si="48"/>
        <v>0</v>
      </c>
      <c r="EM29" s="553">
        <f t="shared" si="49"/>
        <v>2512.7083333333335</v>
      </c>
      <c r="EN29" s="676">
        <f t="shared" si="50"/>
        <v>2.1000000000000001E-2</v>
      </c>
      <c r="EP29" s="675"/>
    </row>
    <row r="30" spans="1:146">
      <c r="A30" s="694">
        <f t="shared" si="51"/>
        <v>43757</v>
      </c>
      <c r="D30" s="675">
        <f t="shared" si="0"/>
        <v>0</v>
      </c>
      <c r="G30" s="675">
        <f t="shared" si="1"/>
        <v>0</v>
      </c>
      <c r="J30" s="675">
        <f t="shared" si="2"/>
        <v>0</v>
      </c>
      <c r="M30" s="675">
        <f t="shared" si="3"/>
        <v>0</v>
      </c>
      <c r="P30" s="675">
        <f t="shared" si="4"/>
        <v>0</v>
      </c>
      <c r="S30" s="675">
        <f t="shared" si="5"/>
        <v>0</v>
      </c>
      <c r="V30" s="675">
        <f t="shared" si="6"/>
        <v>0</v>
      </c>
      <c r="Y30" s="675">
        <f t="shared" si="7"/>
        <v>0</v>
      </c>
      <c r="AB30" s="675">
        <f t="shared" si="8"/>
        <v>0</v>
      </c>
      <c r="AE30" s="675">
        <v>0</v>
      </c>
      <c r="AH30" s="675">
        <v>0</v>
      </c>
      <c r="AI30" s="695">
        <f>43075000</f>
        <v>43075000</v>
      </c>
      <c r="AJ30" s="696">
        <v>2.1000000000000001E-2</v>
      </c>
      <c r="AK30" s="675">
        <f t="shared" si="9"/>
        <v>2512.7083333333335</v>
      </c>
      <c r="AL30" s="695"/>
      <c r="AM30" s="696"/>
      <c r="AN30" s="675">
        <f t="shared" si="10"/>
        <v>0</v>
      </c>
      <c r="AO30" s="695"/>
      <c r="AP30" s="696"/>
      <c r="AQ30" s="675">
        <f t="shared" si="11"/>
        <v>0</v>
      </c>
      <c r="AR30" s="695"/>
      <c r="AS30" s="696"/>
      <c r="AT30" s="675">
        <f t="shared" si="12"/>
        <v>0</v>
      </c>
      <c r="AW30" s="675">
        <f t="shared" si="13"/>
        <v>0</v>
      </c>
      <c r="AZ30" s="675">
        <f t="shared" si="14"/>
        <v>0</v>
      </c>
      <c r="BC30" s="675">
        <f t="shared" si="15"/>
        <v>0</v>
      </c>
      <c r="BF30" s="675">
        <f t="shared" si="16"/>
        <v>0</v>
      </c>
      <c r="BI30" s="675">
        <f t="shared" si="17"/>
        <v>0</v>
      </c>
      <c r="BL30" s="675">
        <f t="shared" si="18"/>
        <v>0</v>
      </c>
      <c r="BO30" s="675">
        <f t="shared" si="19"/>
        <v>0</v>
      </c>
      <c r="BR30" s="675">
        <f t="shared" si="20"/>
        <v>0</v>
      </c>
      <c r="BU30" s="675">
        <f t="shared" si="21"/>
        <v>0</v>
      </c>
      <c r="BX30" s="675">
        <f t="shared" si="22"/>
        <v>0</v>
      </c>
      <c r="CA30" s="675">
        <f t="shared" si="23"/>
        <v>0</v>
      </c>
      <c r="CD30" s="675">
        <f t="shared" si="24"/>
        <v>0</v>
      </c>
      <c r="CG30" s="675">
        <f t="shared" si="25"/>
        <v>0</v>
      </c>
      <c r="CJ30" s="675">
        <f t="shared" si="26"/>
        <v>0</v>
      </c>
      <c r="CM30" s="675">
        <f t="shared" si="27"/>
        <v>0</v>
      </c>
      <c r="CP30" s="675">
        <f t="shared" si="28"/>
        <v>0</v>
      </c>
      <c r="CS30" s="675">
        <f t="shared" si="29"/>
        <v>0</v>
      </c>
      <c r="CV30" s="675">
        <f t="shared" si="30"/>
        <v>0</v>
      </c>
      <c r="CY30" s="675">
        <f t="shared" si="31"/>
        <v>0</v>
      </c>
      <c r="DB30" s="675">
        <f t="shared" si="32"/>
        <v>0</v>
      </c>
      <c r="DE30" s="675">
        <f t="shared" si="33"/>
        <v>0</v>
      </c>
      <c r="DH30" s="675">
        <f t="shared" si="34"/>
        <v>0</v>
      </c>
      <c r="DK30" s="675">
        <f t="shared" si="35"/>
        <v>0</v>
      </c>
      <c r="DN30" s="675">
        <f t="shared" si="36"/>
        <v>0</v>
      </c>
      <c r="DQ30" s="675">
        <f t="shared" si="37"/>
        <v>0</v>
      </c>
      <c r="DT30" s="675">
        <f t="shared" si="38"/>
        <v>0</v>
      </c>
      <c r="DW30" s="675">
        <f t="shared" si="39"/>
        <v>0</v>
      </c>
      <c r="DZ30" s="675"/>
      <c r="EA30" s="675"/>
      <c r="EB30" s="553">
        <f t="shared" si="40"/>
        <v>43075000</v>
      </c>
      <c r="EC30" s="553">
        <f t="shared" si="41"/>
        <v>0</v>
      </c>
      <c r="ED30" s="675">
        <f t="shared" si="42"/>
        <v>2512.7083333333335</v>
      </c>
      <c r="EE30" s="676">
        <f t="shared" si="43"/>
        <v>2.1000000000000001E-2</v>
      </c>
      <c r="EG30" s="553">
        <f t="shared" si="44"/>
        <v>0</v>
      </c>
      <c r="EH30" s="675">
        <f t="shared" si="45"/>
        <v>0</v>
      </c>
      <c r="EI30" s="676">
        <f t="shared" si="46"/>
        <v>0</v>
      </c>
      <c r="EJ30" s="676"/>
      <c r="EK30" s="553">
        <f t="shared" si="47"/>
        <v>43075000</v>
      </c>
      <c r="EL30" s="553">
        <f t="shared" si="48"/>
        <v>0</v>
      </c>
      <c r="EM30" s="553">
        <f t="shared" si="49"/>
        <v>2512.7083333333335</v>
      </c>
      <c r="EN30" s="676">
        <f t="shared" si="50"/>
        <v>2.1000000000000001E-2</v>
      </c>
      <c r="EP30" s="675"/>
    </row>
    <row r="31" spans="1:146">
      <c r="A31" s="694">
        <f t="shared" si="51"/>
        <v>43758</v>
      </c>
      <c r="D31" s="675">
        <f t="shared" si="0"/>
        <v>0</v>
      </c>
      <c r="G31" s="675">
        <f t="shared" si="1"/>
        <v>0</v>
      </c>
      <c r="J31" s="675">
        <f t="shared" si="2"/>
        <v>0</v>
      </c>
      <c r="M31" s="675">
        <f t="shared" si="3"/>
        <v>0</v>
      </c>
      <c r="P31" s="675">
        <f t="shared" si="4"/>
        <v>0</v>
      </c>
      <c r="S31" s="675">
        <f t="shared" si="5"/>
        <v>0</v>
      </c>
      <c r="V31" s="675">
        <f t="shared" si="6"/>
        <v>0</v>
      </c>
      <c r="Y31" s="675">
        <f t="shared" si="7"/>
        <v>0</v>
      </c>
      <c r="AB31" s="675">
        <f t="shared" si="8"/>
        <v>0</v>
      </c>
      <c r="AE31" s="675">
        <v>0</v>
      </c>
      <c r="AH31" s="675">
        <v>0</v>
      </c>
      <c r="AI31" s="695">
        <f>43075000</f>
        <v>43075000</v>
      </c>
      <c r="AJ31" s="696">
        <v>2.1000000000000001E-2</v>
      </c>
      <c r="AK31" s="675">
        <f t="shared" si="9"/>
        <v>2512.7083333333335</v>
      </c>
      <c r="AL31" s="695"/>
      <c r="AM31" s="696"/>
      <c r="AN31" s="675">
        <f t="shared" si="10"/>
        <v>0</v>
      </c>
      <c r="AO31" s="695"/>
      <c r="AP31" s="696"/>
      <c r="AQ31" s="675">
        <f t="shared" si="11"/>
        <v>0</v>
      </c>
      <c r="AR31" s="695"/>
      <c r="AS31" s="696"/>
      <c r="AT31" s="675">
        <f t="shared" si="12"/>
        <v>0</v>
      </c>
      <c r="AW31" s="675">
        <f t="shared" si="13"/>
        <v>0</v>
      </c>
      <c r="AZ31" s="675">
        <f t="shared" si="14"/>
        <v>0</v>
      </c>
      <c r="BC31" s="675">
        <f t="shared" si="15"/>
        <v>0</v>
      </c>
      <c r="BF31" s="675">
        <f t="shared" si="16"/>
        <v>0</v>
      </c>
      <c r="BI31" s="675">
        <f t="shared" si="17"/>
        <v>0</v>
      </c>
      <c r="BL31" s="675">
        <f t="shared" si="18"/>
        <v>0</v>
      </c>
      <c r="BO31" s="675">
        <f t="shared" si="19"/>
        <v>0</v>
      </c>
      <c r="BR31" s="675">
        <f t="shared" si="20"/>
        <v>0</v>
      </c>
      <c r="BU31" s="675">
        <f t="shared" si="21"/>
        <v>0</v>
      </c>
      <c r="BX31" s="675">
        <f t="shared" si="22"/>
        <v>0</v>
      </c>
      <c r="CA31" s="675">
        <f t="shared" si="23"/>
        <v>0</v>
      </c>
      <c r="CD31" s="675">
        <f t="shared" si="24"/>
        <v>0</v>
      </c>
      <c r="CG31" s="675">
        <f t="shared" si="25"/>
        <v>0</v>
      </c>
      <c r="CJ31" s="675">
        <f t="shared" si="26"/>
        <v>0</v>
      </c>
      <c r="CM31" s="675">
        <f t="shared" si="27"/>
        <v>0</v>
      </c>
      <c r="CP31" s="675">
        <f t="shared" si="28"/>
        <v>0</v>
      </c>
      <c r="CS31" s="675">
        <f t="shared" si="29"/>
        <v>0</v>
      </c>
      <c r="CV31" s="675">
        <f t="shared" si="30"/>
        <v>0</v>
      </c>
      <c r="CY31" s="675">
        <f t="shared" si="31"/>
        <v>0</v>
      </c>
      <c r="DB31" s="675">
        <f t="shared" si="32"/>
        <v>0</v>
      </c>
      <c r="DE31" s="675">
        <f t="shared" si="33"/>
        <v>0</v>
      </c>
      <c r="DH31" s="675">
        <f t="shared" si="34"/>
        <v>0</v>
      </c>
      <c r="DK31" s="675">
        <f t="shared" si="35"/>
        <v>0</v>
      </c>
      <c r="DN31" s="675">
        <f t="shared" si="36"/>
        <v>0</v>
      </c>
      <c r="DQ31" s="675">
        <f t="shared" si="37"/>
        <v>0</v>
      </c>
      <c r="DT31" s="675">
        <f t="shared" si="38"/>
        <v>0</v>
      </c>
      <c r="DW31" s="675">
        <f t="shared" si="39"/>
        <v>0</v>
      </c>
      <c r="DZ31" s="675"/>
      <c r="EA31" s="675"/>
      <c r="EB31" s="553">
        <f t="shared" si="40"/>
        <v>43075000</v>
      </c>
      <c r="EC31" s="553">
        <f t="shared" si="41"/>
        <v>0</v>
      </c>
      <c r="ED31" s="675">
        <f t="shared" si="42"/>
        <v>2512.7083333333335</v>
      </c>
      <c r="EE31" s="676">
        <f t="shared" si="43"/>
        <v>2.1000000000000001E-2</v>
      </c>
      <c r="EG31" s="553">
        <f t="shared" si="44"/>
        <v>0</v>
      </c>
      <c r="EH31" s="675">
        <f t="shared" si="45"/>
        <v>0</v>
      </c>
      <c r="EI31" s="676">
        <f t="shared" si="46"/>
        <v>0</v>
      </c>
      <c r="EJ31" s="676"/>
      <c r="EK31" s="553">
        <f t="shared" si="47"/>
        <v>43075000</v>
      </c>
      <c r="EL31" s="553">
        <f t="shared" si="48"/>
        <v>0</v>
      </c>
      <c r="EM31" s="553">
        <f t="shared" si="49"/>
        <v>2512.7083333333335</v>
      </c>
      <c r="EN31" s="676">
        <f t="shared" si="50"/>
        <v>2.1000000000000001E-2</v>
      </c>
      <c r="EP31" s="675"/>
    </row>
    <row r="32" spans="1:146">
      <c r="A32" s="694">
        <f t="shared" si="51"/>
        <v>43759</v>
      </c>
      <c r="D32" s="675">
        <f t="shared" si="0"/>
        <v>0</v>
      </c>
      <c r="G32" s="675">
        <f t="shared" si="1"/>
        <v>0</v>
      </c>
      <c r="J32" s="675">
        <f t="shared" si="2"/>
        <v>0</v>
      </c>
      <c r="M32" s="675">
        <f t="shared" si="3"/>
        <v>0</v>
      </c>
      <c r="P32" s="675">
        <f t="shared" si="4"/>
        <v>0</v>
      </c>
      <c r="S32" s="675">
        <f t="shared" si="5"/>
        <v>0</v>
      </c>
      <c r="V32" s="675">
        <f t="shared" si="6"/>
        <v>0</v>
      </c>
      <c r="Y32" s="675">
        <f t="shared" si="7"/>
        <v>0</v>
      </c>
      <c r="AB32" s="675">
        <f t="shared" si="8"/>
        <v>0</v>
      </c>
      <c r="AE32" s="675">
        <v>0</v>
      </c>
      <c r="AH32" s="675">
        <v>0</v>
      </c>
      <c r="AI32" s="695">
        <f>54550000</f>
        <v>54550000</v>
      </c>
      <c r="AJ32" s="696">
        <v>2.1000000000000001E-2</v>
      </c>
      <c r="AK32" s="675">
        <f t="shared" si="9"/>
        <v>3182.0833333333335</v>
      </c>
      <c r="AL32" s="695"/>
      <c r="AM32" s="696"/>
      <c r="AN32" s="675">
        <f t="shared" si="10"/>
        <v>0</v>
      </c>
      <c r="AO32" s="695"/>
      <c r="AP32" s="696"/>
      <c r="AQ32" s="675">
        <f t="shared" si="11"/>
        <v>0</v>
      </c>
      <c r="AR32" s="695"/>
      <c r="AS32" s="696"/>
      <c r="AT32" s="675">
        <f t="shared" si="12"/>
        <v>0</v>
      </c>
      <c r="AW32" s="675">
        <f t="shared" si="13"/>
        <v>0</v>
      </c>
      <c r="AZ32" s="675">
        <f t="shared" si="14"/>
        <v>0</v>
      </c>
      <c r="BC32" s="675">
        <f t="shared" si="15"/>
        <v>0</v>
      </c>
      <c r="BF32" s="675">
        <f t="shared" si="16"/>
        <v>0</v>
      </c>
      <c r="BI32" s="675">
        <f t="shared" si="17"/>
        <v>0</v>
      </c>
      <c r="BL32" s="675">
        <f t="shared" si="18"/>
        <v>0</v>
      </c>
      <c r="BO32" s="675">
        <f t="shared" si="19"/>
        <v>0</v>
      </c>
      <c r="BR32" s="675">
        <f t="shared" si="20"/>
        <v>0</v>
      </c>
      <c r="BU32" s="675">
        <f t="shared" si="21"/>
        <v>0</v>
      </c>
      <c r="BX32" s="675">
        <f t="shared" si="22"/>
        <v>0</v>
      </c>
      <c r="CA32" s="675">
        <f t="shared" si="23"/>
        <v>0</v>
      </c>
      <c r="CD32" s="675">
        <f t="shared" si="24"/>
        <v>0</v>
      </c>
      <c r="CG32" s="675">
        <f t="shared" si="25"/>
        <v>0</v>
      </c>
      <c r="CJ32" s="675">
        <f t="shared" si="26"/>
        <v>0</v>
      </c>
      <c r="CM32" s="675">
        <f t="shared" si="27"/>
        <v>0</v>
      </c>
      <c r="CP32" s="675">
        <f t="shared" si="28"/>
        <v>0</v>
      </c>
      <c r="CS32" s="675">
        <f t="shared" si="29"/>
        <v>0</v>
      </c>
      <c r="CV32" s="675">
        <f t="shared" si="30"/>
        <v>0</v>
      </c>
      <c r="CY32" s="675">
        <f t="shared" si="31"/>
        <v>0</v>
      </c>
      <c r="DB32" s="675">
        <f t="shared" si="32"/>
        <v>0</v>
      </c>
      <c r="DE32" s="675">
        <f t="shared" si="33"/>
        <v>0</v>
      </c>
      <c r="DH32" s="675">
        <f t="shared" si="34"/>
        <v>0</v>
      </c>
      <c r="DK32" s="675">
        <f t="shared" si="35"/>
        <v>0</v>
      </c>
      <c r="DN32" s="675">
        <f t="shared" si="36"/>
        <v>0</v>
      </c>
      <c r="DQ32" s="675">
        <f t="shared" si="37"/>
        <v>0</v>
      </c>
      <c r="DT32" s="675">
        <f t="shared" si="38"/>
        <v>0</v>
      </c>
      <c r="DW32" s="675">
        <f t="shared" si="39"/>
        <v>0</v>
      </c>
      <c r="DZ32" s="675"/>
      <c r="EA32" s="675"/>
      <c r="EB32" s="553">
        <f t="shared" si="40"/>
        <v>54550000</v>
      </c>
      <c r="EC32" s="553">
        <f t="shared" si="41"/>
        <v>0</v>
      </c>
      <c r="ED32" s="675">
        <f t="shared" si="42"/>
        <v>3182.0833333333335</v>
      </c>
      <c r="EE32" s="676">
        <f t="shared" si="43"/>
        <v>2.1000000000000001E-2</v>
      </c>
      <c r="EG32" s="553">
        <f t="shared" si="44"/>
        <v>0</v>
      </c>
      <c r="EH32" s="675">
        <f t="shared" si="45"/>
        <v>0</v>
      </c>
      <c r="EI32" s="676">
        <f t="shared" si="46"/>
        <v>0</v>
      </c>
      <c r="EJ32" s="676"/>
      <c r="EK32" s="553">
        <f t="shared" si="47"/>
        <v>54550000</v>
      </c>
      <c r="EL32" s="553">
        <f t="shared" si="48"/>
        <v>0</v>
      </c>
      <c r="EM32" s="553">
        <f t="shared" si="49"/>
        <v>3182.0833333333335</v>
      </c>
      <c r="EN32" s="676">
        <f t="shared" si="50"/>
        <v>2.1000000000000001E-2</v>
      </c>
      <c r="EP32" s="675"/>
    </row>
    <row r="33" spans="1:146">
      <c r="A33" s="694">
        <f t="shared" si="51"/>
        <v>43760</v>
      </c>
      <c r="D33" s="675">
        <f t="shared" si="0"/>
        <v>0</v>
      </c>
      <c r="G33" s="675">
        <f t="shared" si="1"/>
        <v>0</v>
      </c>
      <c r="J33" s="675">
        <f t="shared" si="2"/>
        <v>0</v>
      </c>
      <c r="M33" s="675">
        <f t="shared" si="3"/>
        <v>0</v>
      </c>
      <c r="P33" s="675">
        <f t="shared" si="4"/>
        <v>0</v>
      </c>
      <c r="S33" s="675">
        <f t="shared" si="5"/>
        <v>0</v>
      </c>
      <c r="V33" s="675">
        <f t="shared" si="6"/>
        <v>0</v>
      </c>
      <c r="Y33" s="675">
        <f t="shared" si="7"/>
        <v>0</v>
      </c>
      <c r="AB33" s="675">
        <f t="shared" si="8"/>
        <v>0</v>
      </c>
      <c r="AE33" s="675">
        <v>0</v>
      </c>
      <c r="AH33" s="675">
        <v>0</v>
      </c>
      <c r="AI33" s="695">
        <f>43025000</f>
        <v>43025000</v>
      </c>
      <c r="AJ33" s="696">
        <v>2.1000000000000001E-2</v>
      </c>
      <c r="AK33" s="675">
        <f t="shared" si="9"/>
        <v>2509.7916666666665</v>
      </c>
      <c r="AL33" s="695"/>
      <c r="AM33" s="696"/>
      <c r="AN33" s="675">
        <f t="shared" si="10"/>
        <v>0</v>
      </c>
      <c r="AO33" s="695"/>
      <c r="AP33" s="696"/>
      <c r="AQ33" s="675">
        <f t="shared" si="11"/>
        <v>0</v>
      </c>
      <c r="AR33" s="695"/>
      <c r="AS33" s="696"/>
      <c r="AT33" s="675">
        <f t="shared" si="12"/>
        <v>0</v>
      </c>
      <c r="AW33" s="675">
        <f t="shared" si="13"/>
        <v>0</v>
      </c>
      <c r="AZ33" s="675">
        <f t="shared" si="14"/>
        <v>0</v>
      </c>
      <c r="BC33" s="675">
        <f t="shared" si="15"/>
        <v>0</v>
      </c>
      <c r="BF33" s="675">
        <f t="shared" si="16"/>
        <v>0</v>
      </c>
      <c r="BI33" s="675">
        <f t="shared" si="17"/>
        <v>0</v>
      </c>
      <c r="BL33" s="675">
        <f t="shared" si="18"/>
        <v>0</v>
      </c>
      <c r="BO33" s="675">
        <f t="shared" si="19"/>
        <v>0</v>
      </c>
      <c r="BR33" s="675">
        <f t="shared" si="20"/>
        <v>0</v>
      </c>
      <c r="BU33" s="675">
        <f t="shared" si="21"/>
        <v>0</v>
      </c>
      <c r="BX33" s="675">
        <f t="shared" si="22"/>
        <v>0</v>
      </c>
      <c r="CA33" s="675">
        <f t="shared" si="23"/>
        <v>0</v>
      </c>
      <c r="CD33" s="675">
        <f t="shared" si="24"/>
        <v>0</v>
      </c>
      <c r="CG33" s="675">
        <f t="shared" si="25"/>
        <v>0</v>
      </c>
      <c r="CJ33" s="675">
        <f t="shared" si="26"/>
        <v>0</v>
      </c>
      <c r="CM33" s="675">
        <f t="shared" si="27"/>
        <v>0</v>
      </c>
      <c r="CP33" s="675">
        <f t="shared" si="28"/>
        <v>0</v>
      </c>
      <c r="CS33" s="675">
        <f t="shared" si="29"/>
        <v>0</v>
      </c>
      <c r="CV33" s="675">
        <f t="shared" si="30"/>
        <v>0</v>
      </c>
      <c r="CY33" s="675">
        <f t="shared" si="31"/>
        <v>0</v>
      </c>
      <c r="DB33" s="675">
        <f t="shared" si="32"/>
        <v>0</v>
      </c>
      <c r="DE33" s="675">
        <f t="shared" si="33"/>
        <v>0</v>
      </c>
      <c r="DH33" s="675">
        <f t="shared" si="34"/>
        <v>0</v>
      </c>
      <c r="DK33" s="675">
        <f t="shared" si="35"/>
        <v>0</v>
      </c>
      <c r="DN33" s="675">
        <f t="shared" si="36"/>
        <v>0</v>
      </c>
      <c r="DQ33" s="675">
        <f t="shared" si="37"/>
        <v>0</v>
      </c>
      <c r="DT33" s="675">
        <f t="shared" si="38"/>
        <v>0</v>
      </c>
      <c r="DW33" s="675">
        <f t="shared" si="39"/>
        <v>0</v>
      </c>
      <c r="DZ33" s="675"/>
      <c r="EA33" s="675"/>
      <c r="EB33" s="553">
        <f t="shared" si="40"/>
        <v>43025000</v>
      </c>
      <c r="EC33" s="553">
        <f t="shared" si="41"/>
        <v>0</v>
      </c>
      <c r="ED33" s="675">
        <f t="shared" si="42"/>
        <v>2509.7916666666665</v>
      </c>
      <c r="EE33" s="676">
        <f t="shared" si="43"/>
        <v>2.1000000000000001E-2</v>
      </c>
      <c r="EG33" s="553">
        <f t="shared" si="44"/>
        <v>0</v>
      </c>
      <c r="EH33" s="675">
        <f t="shared" si="45"/>
        <v>0</v>
      </c>
      <c r="EI33" s="676">
        <f t="shared" si="46"/>
        <v>0</v>
      </c>
      <c r="EJ33" s="676"/>
      <c r="EK33" s="553">
        <f t="shared" si="47"/>
        <v>43025000</v>
      </c>
      <c r="EL33" s="553">
        <f t="shared" si="48"/>
        <v>0</v>
      </c>
      <c r="EM33" s="553">
        <f t="shared" si="49"/>
        <v>2509.7916666666665</v>
      </c>
      <c r="EN33" s="676">
        <f t="shared" si="50"/>
        <v>2.1000000000000001E-2</v>
      </c>
      <c r="EP33" s="675"/>
    </row>
    <row r="34" spans="1:146">
      <c r="A34" s="694">
        <f t="shared" si="51"/>
        <v>43761</v>
      </c>
      <c r="D34" s="675">
        <f t="shared" si="0"/>
        <v>0</v>
      </c>
      <c r="G34" s="675">
        <f t="shared" si="1"/>
        <v>0</v>
      </c>
      <c r="J34" s="675">
        <f t="shared" si="2"/>
        <v>0</v>
      </c>
      <c r="M34" s="675">
        <f t="shared" si="3"/>
        <v>0</v>
      </c>
      <c r="P34" s="675">
        <f t="shared" si="4"/>
        <v>0</v>
      </c>
      <c r="S34" s="675">
        <f t="shared" si="5"/>
        <v>0</v>
      </c>
      <c r="V34" s="675">
        <f t="shared" si="6"/>
        <v>0</v>
      </c>
      <c r="Y34" s="675">
        <f t="shared" si="7"/>
        <v>0</v>
      </c>
      <c r="AB34" s="675">
        <f t="shared" si="8"/>
        <v>0</v>
      </c>
      <c r="AE34" s="675">
        <v>0</v>
      </c>
      <c r="AH34" s="675">
        <v>0</v>
      </c>
      <c r="AI34" s="695">
        <f>29950000</f>
        <v>29950000</v>
      </c>
      <c r="AJ34" s="696">
        <v>2.1000000000000001E-2</v>
      </c>
      <c r="AK34" s="675">
        <f t="shared" si="9"/>
        <v>1747.0833333333333</v>
      </c>
      <c r="AL34" s="695"/>
      <c r="AM34" s="696"/>
      <c r="AN34" s="675">
        <f t="shared" si="10"/>
        <v>0</v>
      </c>
      <c r="AO34" s="695"/>
      <c r="AP34" s="696"/>
      <c r="AQ34" s="675">
        <f t="shared" si="11"/>
        <v>0</v>
      </c>
      <c r="AR34" s="695"/>
      <c r="AS34" s="696"/>
      <c r="AT34" s="675">
        <f t="shared" si="12"/>
        <v>0</v>
      </c>
      <c r="AW34" s="675">
        <f t="shared" si="13"/>
        <v>0</v>
      </c>
      <c r="AZ34" s="675">
        <f t="shared" si="14"/>
        <v>0</v>
      </c>
      <c r="BC34" s="675">
        <f t="shared" si="15"/>
        <v>0</v>
      </c>
      <c r="BF34" s="675">
        <f t="shared" si="16"/>
        <v>0</v>
      </c>
      <c r="BI34" s="675">
        <f t="shared" si="17"/>
        <v>0</v>
      </c>
      <c r="BL34" s="675">
        <f t="shared" si="18"/>
        <v>0</v>
      </c>
      <c r="BO34" s="675">
        <f t="shared" si="19"/>
        <v>0</v>
      </c>
      <c r="BR34" s="675">
        <f t="shared" si="20"/>
        <v>0</v>
      </c>
      <c r="BU34" s="675">
        <f t="shared" si="21"/>
        <v>0</v>
      </c>
      <c r="BX34" s="675">
        <f t="shared" si="22"/>
        <v>0</v>
      </c>
      <c r="CA34" s="675">
        <f t="shared" si="23"/>
        <v>0</v>
      </c>
      <c r="CD34" s="675">
        <f t="shared" si="24"/>
        <v>0</v>
      </c>
      <c r="CG34" s="675">
        <f t="shared" si="25"/>
        <v>0</v>
      </c>
      <c r="CJ34" s="675">
        <f t="shared" si="26"/>
        <v>0</v>
      </c>
      <c r="CM34" s="675">
        <f t="shared" si="27"/>
        <v>0</v>
      </c>
      <c r="CP34" s="675">
        <f t="shared" si="28"/>
        <v>0</v>
      </c>
      <c r="CS34" s="675">
        <f t="shared" si="29"/>
        <v>0</v>
      </c>
      <c r="CV34" s="675">
        <f t="shared" si="30"/>
        <v>0</v>
      </c>
      <c r="CY34" s="675">
        <f t="shared" si="31"/>
        <v>0</v>
      </c>
      <c r="DB34" s="675">
        <f t="shared" si="32"/>
        <v>0</v>
      </c>
      <c r="DE34" s="675">
        <f t="shared" si="33"/>
        <v>0</v>
      </c>
      <c r="DH34" s="675">
        <f t="shared" si="34"/>
        <v>0</v>
      </c>
      <c r="DK34" s="675">
        <f t="shared" si="35"/>
        <v>0</v>
      </c>
      <c r="DN34" s="675">
        <f t="shared" si="36"/>
        <v>0</v>
      </c>
      <c r="DQ34" s="675">
        <f t="shared" si="37"/>
        <v>0</v>
      </c>
      <c r="DT34" s="675">
        <f t="shared" si="38"/>
        <v>0</v>
      </c>
      <c r="DW34" s="675">
        <f t="shared" si="39"/>
        <v>0</v>
      </c>
      <c r="DZ34" s="675"/>
      <c r="EA34" s="675"/>
      <c r="EB34" s="553">
        <f t="shared" si="40"/>
        <v>29950000</v>
      </c>
      <c r="EC34" s="553">
        <f t="shared" si="41"/>
        <v>0</v>
      </c>
      <c r="ED34" s="675">
        <f t="shared" si="42"/>
        <v>1747.0833333333333</v>
      </c>
      <c r="EE34" s="676">
        <f t="shared" si="43"/>
        <v>2.1000000000000001E-2</v>
      </c>
      <c r="EG34" s="553">
        <f t="shared" si="44"/>
        <v>0</v>
      </c>
      <c r="EH34" s="675">
        <f t="shared" si="45"/>
        <v>0</v>
      </c>
      <c r="EI34" s="676">
        <f t="shared" si="46"/>
        <v>0</v>
      </c>
      <c r="EJ34" s="676"/>
      <c r="EK34" s="553">
        <f t="shared" si="47"/>
        <v>29950000</v>
      </c>
      <c r="EL34" s="553">
        <f t="shared" si="48"/>
        <v>0</v>
      </c>
      <c r="EM34" s="553">
        <f t="shared" si="49"/>
        <v>1747.0833333333333</v>
      </c>
      <c r="EN34" s="676">
        <f t="shared" si="50"/>
        <v>2.1000000000000001E-2</v>
      </c>
      <c r="EP34" s="675"/>
    </row>
    <row r="35" spans="1:146">
      <c r="A35" s="694">
        <f t="shared" si="51"/>
        <v>43762</v>
      </c>
      <c r="D35" s="675">
        <f t="shared" si="0"/>
        <v>0</v>
      </c>
      <c r="G35" s="675">
        <f t="shared" si="1"/>
        <v>0</v>
      </c>
      <c r="J35" s="675">
        <f t="shared" si="2"/>
        <v>0</v>
      </c>
      <c r="M35" s="675">
        <f t="shared" si="3"/>
        <v>0</v>
      </c>
      <c r="P35" s="675">
        <f t="shared" si="4"/>
        <v>0</v>
      </c>
      <c r="S35" s="675">
        <f t="shared" si="5"/>
        <v>0</v>
      </c>
      <c r="V35" s="675">
        <f t="shared" si="6"/>
        <v>0</v>
      </c>
      <c r="Y35" s="675">
        <f t="shared" si="7"/>
        <v>0</v>
      </c>
      <c r="AB35" s="675">
        <f t="shared" si="8"/>
        <v>0</v>
      </c>
      <c r="AE35" s="675">
        <v>0</v>
      </c>
      <c r="AH35" s="675">
        <v>0</v>
      </c>
      <c r="AI35" s="695">
        <v>24100000</v>
      </c>
      <c r="AJ35" s="696">
        <v>2.0899999999999998E-2</v>
      </c>
      <c r="AK35" s="675">
        <f t="shared" si="9"/>
        <v>1399.1388888888887</v>
      </c>
      <c r="AL35" s="695"/>
      <c r="AM35" s="696"/>
      <c r="AN35" s="675">
        <f t="shared" si="10"/>
        <v>0</v>
      </c>
      <c r="AO35" s="695"/>
      <c r="AP35" s="696"/>
      <c r="AQ35" s="675">
        <f t="shared" si="11"/>
        <v>0</v>
      </c>
      <c r="AR35" s="695"/>
      <c r="AS35" s="696"/>
      <c r="AT35" s="675">
        <f t="shared" si="12"/>
        <v>0</v>
      </c>
      <c r="AW35" s="675">
        <f t="shared" si="13"/>
        <v>0</v>
      </c>
      <c r="AZ35" s="675">
        <f t="shared" si="14"/>
        <v>0</v>
      </c>
      <c r="BC35" s="675">
        <f t="shared" si="15"/>
        <v>0</v>
      </c>
      <c r="BF35" s="675">
        <f t="shared" si="16"/>
        <v>0</v>
      </c>
      <c r="BI35" s="675">
        <f t="shared" si="17"/>
        <v>0</v>
      </c>
      <c r="BL35" s="675">
        <f t="shared" si="18"/>
        <v>0</v>
      </c>
      <c r="BO35" s="675">
        <f t="shared" si="19"/>
        <v>0</v>
      </c>
      <c r="BR35" s="675">
        <f t="shared" si="20"/>
        <v>0</v>
      </c>
      <c r="BU35" s="675">
        <f t="shared" si="21"/>
        <v>0</v>
      </c>
      <c r="BX35" s="675">
        <f t="shared" si="22"/>
        <v>0</v>
      </c>
      <c r="CA35" s="675">
        <f t="shared" si="23"/>
        <v>0</v>
      </c>
      <c r="CD35" s="675">
        <f t="shared" si="24"/>
        <v>0</v>
      </c>
      <c r="CG35" s="675">
        <f t="shared" si="25"/>
        <v>0</v>
      </c>
      <c r="CJ35" s="675">
        <f t="shared" si="26"/>
        <v>0</v>
      </c>
      <c r="CM35" s="675">
        <f t="shared" si="27"/>
        <v>0</v>
      </c>
      <c r="CP35" s="675">
        <f t="shared" si="28"/>
        <v>0</v>
      </c>
      <c r="CS35" s="675">
        <f t="shared" si="29"/>
        <v>0</v>
      </c>
      <c r="CV35" s="675">
        <f t="shared" si="30"/>
        <v>0</v>
      </c>
      <c r="CY35" s="675">
        <f t="shared" si="31"/>
        <v>0</v>
      </c>
      <c r="DB35" s="675">
        <f t="shared" si="32"/>
        <v>0</v>
      </c>
      <c r="DE35" s="675">
        <f t="shared" si="33"/>
        <v>0</v>
      </c>
      <c r="DH35" s="675">
        <f t="shared" si="34"/>
        <v>0</v>
      </c>
      <c r="DK35" s="675">
        <f t="shared" si="35"/>
        <v>0</v>
      </c>
      <c r="DN35" s="675">
        <f t="shared" si="36"/>
        <v>0</v>
      </c>
      <c r="DQ35" s="675">
        <f t="shared" si="37"/>
        <v>0</v>
      </c>
      <c r="DT35" s="675">
        <f t="shared" si="38"/>
        <v>0</v>
      </c>
      <c r="DW35" s="675">
        <f t="shared" si="39"/>
        <v>0</v>
      </c>
      <c r="DZ35" s="675"/>
      <c r="EA35" s="675"/>
      <c r="EB35" s="553">
        <f t="shared" si="40"/>
        <v>24100000</v>
      </c>
      <c r="EC35" s="553">
        <f t="shared" si="41"/>
        <v>0</v>
      </c>
      <c r="ED35" s="675">
        <f t="shared" si="42"/>
        <v>1399.1388888888887</v>
      </c>
      <c r="EE35" s="676">
        <f t="shared" si="43"/>
        <v>2.0899999999999995E-2</v>
      </c>
      <c r="EG35" s="553">
        <f t="shared" si="44"/>
        <v>0</v>
      </c>
      <c r="EH35" s="675">
        <f t="shared" si="45"/>
        <v>0</v>
      </c>
      <c r="EI35" s="676">
        <f t="shared" si="46"/>
        <v>0</v>
      </c>
      <c r="EJ35" s="676"/>
      <c r="EK35" s="553">
        <f t="shared" si="47"/>
        <v>24100000</v>
      </c>
      <c r="EL35" s="553">
        <f t="shared" si="48"/>
        <v>0</v>
      </c>
      <c r="EM35" s="553">
        <f t="shared" si="49"/>
        <v>1399.1388888888887</v>
      </c>
      <c r="EN35" s="676">
        <f t="shared" si="50"/>
        <v>2.0899999999999995E-2</v>
      </c>
      <c r="EP35" s="675"/>
    </row>
    <row r="36" spans="1:146">
      <c r="A36" s="694">
        <f t="shared" si="51"/>
        <v>43763</v>
      </c>
      <c r="D36" s="675">
        <f t="shared" si="0"/>
        <v>0</v>
      </c>
      <c r="G36" s="675">
        <f t="shared" si="1"/>
        <v>0</v>
      </c>
      <c r="J36" s="675">
        <f t="shared" si="2"/>
        <v>0</v>
      </c>
      <c r="M36" s="675">
        <f t="shared" si="3"/>
        <v>0</v>
      </c>
      <c r="P36" s="675">
        <f t="shared" si="4"/>
        <v>0</v>
      </c>
      <c r="S36" s="675">
        <f t="shared" si="5"/>
        <v>0</v>
      </c>
      <c r="V36" s="675">
        <f t="shared" si="6"/>
        <v>0</v>
      </c>
      <c r="Y36" s="675">
        <f t="shared" si="7"/>
        <v>0</v>
      </c>
      <c r="AB36" s="675">
        <f t="shared" si="8"/>
        <v>0</v>
      </c>
      <c r="AE36" s="675">
        <v>0</v>
      </c>
      <c r="AH36" s="675">
        <v>0</v>
      </c>
      <c r="AI36" s="695">
        <f>28450000</f>
        <v>28450000</v>
      </c>
      <c r="AJ36" s="696">
        <v>2.0899999999999998E-2</v>
      </c>
      <c r="AK36" s="675">
        <f t="shared" si="9"/>
        <v>1651.6805555555557</v>
      </c>
      <c r="AL36" s="695"/>
      <c r="AM36" s="696"/>
      <c r="AN36" s="675">
        <f t="shared" si="10"/>
        <v>0</v>
      </c>
      <c r="AO36" s="695"/>
      <c r="AP36" s="696"/>
      <c r="AQ36" s="675">
        <f t="shared" si="11"/>
        <v>0</v>
      </c>
      <c r="AR36" s="695"/>
      <c r="AS36" s="696"/>
      <c r="AT36" s="675">
        <f t="shared" si="12"/>
        <v>0</v>
      </c>
      <c r="AW36" s="675">
        <f t="shared" si="13"/>
        <v>0</v>
      </c>
      <c r="AZ36" s="675">
        <f t="shared" si="14"/>
        <v>0</v>
      </c>
      <c r="BC36" s="675">
        <f t="shared" si="15"/>
        <v>0</v>
      </c>
      <c r="BF36" s="675">
        <f t="shared" si="16"/>
        <v>0</v>
      </c>
      <c r="BI36" s="675">
        <f t="shared" si="17"/>
        <v>0</v>
      </c>
      <c r="BL36" s="675">
        <f t="shared" si="18"/>
        <v>0</v>
      </c>
      <c r="BO36" s="675">
        <f t="shared" si="19"/>
        <v>0</v>
      </c>
      <c r="BR36" s="675">
        <f t="shared" si="20"/>
        <v>0</v>
      </c>
      <c r="BU36" s="675">
        <f t="shared" si="21"/>
        <v>0</v>
      </c>
      <c r="BX36" s="675">
        <f t="shared" si="22"/>
        <v>0</v>
      </c>
      <c r="CA36" s="675">
        <f t="shared" si="23"/>
        <v>0</v>
      </c>
      <c r="CD36" s="675">
        <f t="shared" si="24"/>
        <v>0</v>
      </c>
      <c r="CG36" s="675">
        <f t="shared" si="25"/>
        <v>0</v>
      </c>
      <c r="CJ36" s="675">
        <f t="shared" si="26"/>
        <v>0</v>
      </c>
      <c r="CM36" s="675">
        <f t="shared" si="27"/>
        <v>0</v>
      </c>
      <c r="CP36" s="675">
        <f t="shared" si="28"/>
        <v>0</v>
      </c>
      <c r="CS36" s="675">
        <f t="shared" si="29"/>
        <v>0</v>
      </c>
      <c r="CV36" s="675">
        <f t="shared" si="30"/>
        <v>0</v>
      </c>
      <c r="CY36" s="675">
        <f t="shared" si="31"/>
        <v>0</v>
      </c>
      <c r="DB36" s="675">
        <f t="shared" si="32"/>
        <v>0</v>
      </c>
      <c r="DE36" s="675">
        <f t="shared" si="33"/>
        <v>0</v>
      </c>
      <c r="DH36" s="675">
        <f t="shared" si="34"/>
        <v>0</v>
      </c>
      <c r="DK36" s="675">
        <f t="shared" si="35"/>
        <v>0</v>
      </c>
      <c r="DN36" s="675">
        <f t="shared" si="36"/>
        <v>0</v>
      </c>
      <c r="DQ36" s="675">
        <f t="shared" si="37"/>
        <v>0</v>
      </c>
      <c r="DT36" s="675">
        <f t="shared" si="38"/>
        <v>0</v>
      </c>
      <c r="DW36" s="675">
        <f t="shared" si="39"/>
        <v>0</v>
      </c>
      <c r="DZ36" s="675"/>
      <c r="EA36" s="675"/>
      <c r="EB36" s="553">
        <f t="shared" si="40"/>
        <v>28450000</v>
      </c>
      <c r="EC36" s="553">
        <f t="shared" si="41"/>
        <v>0</v>
      </c>
      <c r="ED36" s="675">
        <f t="shared" si="42"/>
        <v>1651.6805555555557</v>
      </c>
      <c r="EE36" s="676">
        <f t="shared" si="43"/>
        <v>2.0900000000000002E-2</v>
      </c>
      <c r="EG36" s="553">
        <f t="shared" si="44"/>
        <v>0</v>
      </c>
      <c r="EH36" s="675">
        <f t="shared" si="45"/>
        <v>0</v>
      </c>
      <c r="EI36" s="676">
        <f t="shared" si="46"/>
        <v>0</v>
      </c>
      <c r="EJ36" s="676"/>
      <c r="EK36" s="553">
        <f t="shared" si="47"/>
        <v>28450000</v>
      </c>
      <c r="EL36" s="553">
        <f t="shared" si="48"/>
        <v>0</v>
      </c>
      <c r="EM36" s="553">
        <f t="shared" si="49"/>
        <v>1651.6805555555557</v>
      </c>
      <c r="EN36" s="676">
        <f t="shared" si="50"/>
        <v>2.0900000000000002E-2</v>
      </c>
      <c r="EP36" s="675"/>
    </row>
    <row r="37" spans="1:146">
      <c r="A37" s="694">
        <f t="shared" si="51"/>
        <v>43764</v>
      </c>
      <c r="D37" s="675">
        <f t="shared" si="0"/>
        <v>0</v>
      </c>
      <c r="G37" s="675">
        <f t="shared" si="1"/>
        <v>0</v>
      </c>
      <c r="J37" s="675">
        <f t="shared" si="2"/>
        <v>0</v>
      </c>
      <c r="M37" s="675">
        <f t="shared" si="3"/>
        <v>0</v>
      </c>
      <c r="P37" s="675">
        <f t="shared" si="4"/>
        <v>0</v>
      </c>
      <c r="S37" s="675">
        <f t="shared" si="5"/>
        <v>0</v>
      </c>
      <c r="V37" s="675">
        <f t="shared" si="6"/>
        <v>0</v>
      </c>
      <c r="Y37" s="675">
        <f t="shared" si="7"/>
        <v>0</v>
      </c>
      <c r="AB37" s="675">
        <f t="shared" si="8"/>
        <v>0</v>
      </c>
      <c r="AE37" s="675">
        <v>0</v>
      </c>
      <c r="AH37" s="675">
        <v>0</v>
      </c>
      <c r="AI37" s="695">
        <f>28450000</f>
        <v>28450000</v>
      </c>
      <c r="AJ37" s="696">
        <v>2.0899999999999998E-2</v>
      </c>
      <c r="AK37" s="675">
        <f t="shared" si="9"/>
        <v>1651.6805555555557</v>
      </c>
      <c r="AL37" s="695"/>
      <c r="AM37" s="696"/>
      <c r="AN37" s="675">
        <f t="shared" si="10"/>
        <v>0</v>
      </c>
      <c r="AO37" s="695"/>
      <c r="AP37" s="696"/>
      <c r="AQ37" s="675">
        <f t="shared" si="11"/>
        <v>0</v>
      </c>
      <c r="AR37" s="695"/>
      <c r="AS37" s="696"/>
      <c r="AT37" s="675">
        <f t="shared" si="12"/>
        <v>0</v>
      </c>
      <c r="AW37" s="675">
        <f t="shared" si="13"/>
        <v>0</v>
      </c>
      <c r="AZ37" s="675">
        <f t="shared" si="14"/>
        <v>0</v>
      </c>
      <c r="BC37" s="675">
        <f t="shared" si="15"/>
        <v>0</v>
      </c>
      <c r="BF37" s="675">
        <f t="shared" si="16"/>
        <v>0</v>
      </c>
      <c r="BI37" s="675">
        <f t="shared" si="17"/>
        <v>0</v>
      </c>
      <c r="BL37" s="675">
        <f t="shared" si="18"/>
        <v>0</v>
      </c>
      <c r="BO37" s="675">
        <f t="shared" si="19"/>
        <v>0</v>
      </c>
      <c r="BR37" s="675">
        <f t="shared" si="20"/>
        <v>0</v>
      </c>
      <c r="BU37" s="675">
        <f t="shared" si="21"/>
        <v>0</v>
      </c>
      <c r="BX37" s="675">
        <f t="shared" si="22"/>
        <v>0</v>
      </c>
      <c r="CA37" s="675">
        <f t="shared" si="23"/>
        <v>0</v>
      </c>
      <c r="CD37" s="675">
        <f t="shared" si="24"/>
        <v>0</v>
      </c>
      <c r="CG37" s="675">
        <f t="shared" si="25"/>
        <v>0</v>
      </c>
      <c r="CJ37" s="675">
        <f t="shared" si="26"/>
        <v>0</v>
      </c>
      <c r="CM37" s="675">
        <f t="shared" si="27"/>
        <v>0</v>
      </c>
      <c r="CP37" s="675">
        <f t="shared" si="28"/>
        <v>0</v>
      </c>
      <c r="CS37" s="675">
        <f t="shared" si="29"/>
        <v>0</v>
      </c>
      <c r="CV37" s="675">
        <f t="shared" si="30"/>
        <v>0</v>
      </c>
      <c r="CY37" s="675">
        <f t="shared" si="31"/>
        <v>0</v>
      </c>
      <c r="DB37" s="675">
        <f t="shared" si="32"/>
        <v>0</v>
      </c>
      <c r="DE37" s="675">
        <f t="shared" si="33"/>
        <v>0</v>
      </c>
      <c r="DH37" s="675">
        <f t="shared" si="34"/>
        <v>0</v>
      </c>
      <c r="DK37" s="675">
        <f t="shared" si="35"/>
        <v>0</v>
      </c>
      <c r="DN37" s="675">
        <f t="shared" si="36"/>
        <v>0</v>
      </c>
      <c r="DQ37" s="675">
        <f t="shared" si="37"/>
        <v>0</v>
      </c>
      <c r="DT37" s="675">
        <f t="shared" si="38"/>
        <v>0</v>
      </c>
      <c r="DW37" s="675">
        <f t="shared" si="39"/>
        <v>0</v>
      </c>
      <c r="DZ37" s="675"/>
      <c r="EA37" s="675"/>
      <c r="EB37" s="553">
        <f t="shared" si="40"/>
        <v>28450000</v>
      </c>
      <c r="EC37" s="553">
        <f t="shared" si="41"/>
        <v>0</v>
      </c>
      <c r="ED37" s="675">
        <f t="shared" si="42"/>
        <v>1651.6805555555557</v>
      </c>
      <c r="EE37" s="676">
        <f t="shared" si="43"/>
        <v>2.0900000000000002E-2</v>
      </c>
      <c r="EG37" s="553">
        <f t="shared" si="44"/>
        <v>0</v>
      </c>
      <c r="EH37" s="675">
        <f t="shared" si="45"/>
        <v>0</v>
      </c>
      <c r="EI37" s="676">
        <f t="shared" si="46"/>
        <v>0</v>
      </c>
      <c r="EJ37" s="676"/>
      <c r="EK37" s="553">
        <f t="shared" si="47"/>
        <v>28450000</v>
      </c>
      <c r="EL37" s="553">
        <f t="shared" si="48"/>
        <v>0</v>
      </c>
      <c r="EM37" s="553">
        <f t="shared" si="49"/>
        <v>1651.6805555555557</v>
      </c>
      <c r="EN37" s="676">
        <f t="shared" si="50"/>
        <v>2.0900000000000002E-2</v>
      </c>
      <c r="EP37" s="675"/>
    </row>
    <row r="38" spans="1:146">
      <c r="A38" s="694">
        <f t="shared" si="51"/>
        <v>43765</v>
      </c>
      <c r="D38" s="675">
        <f t="shared" si="0"/>
        <v>0</v>
      </c>
      <c r="G38" s="675">
        <f t="shared" si="1"/>
        <v>0</v>
      </c>
      <c r="J38" s="675">
        <f t="shared" si="2"/>
        <v>0</v>
      </c>
      <c r="M38" s="675">
        <f t="shared" si="3"/>
        <v>0</v>
      </c>
      <c r="P38" s="675">
        <f t="shared" si="4"/>
        <v>0</v>
      </c>
      <c r="S38" s="675">
        <f t="shared" si="5"/>
        <v>0</v>
      </c>
      <c r="V38" s="675">
        <f t="shared" si="6"/>
        <v>0</v>
      </c>
      <c r="Y38" s="675">
        <f t="shared" si="7"/>
        <v>0</v>
      </c>
      <c r="AB38" s="675">
        <f t="shared" si="8"/>
        <v>0</v>
      </c>
      <c r="AE38" s="675">
        <v>0</v>
      </c>
      <c r="AH38" s="675">
        <v>0</v>
      </c>
      <c r="AI38" s="695">
        <f>28450000</f>
        <v>28450000</v>
      </c>
      <c r="AJ38" s="696">
        <v>2.0899999999999998E-2</v>
      </c>
      <c r="AK38" s="675">
        <f t="shared" si="9"/>
        <v>1651.6805555555557</v>
      </c>
      <c r="AL38" s="695"/>
      <c r="AM38" s="696"/>
      <c r="AN38" s="675">
        <f t="shared" si="10"/>
        <v>0</v>
      </c>
      <c r="AO38" s="695"/>
      <c r="AP38" s="696"/>
      <c r="AQ38" s="675">
        <f t="shared" si="11"/>
        <v>0</v>
      </c>
      <c r="AR38" s="695"/>
      <c r="AS38" s="696"/>
      <c r="AT38" s="675">
        <f t="shared" si="12"/>
        <v>0</v>
      </c>
      <c r="AW38" s="675">
        <f t="shared" si="13"/>
        <v>0</v>
      </c>
      <c r="AZ38" s="675">
        <f t="shared" si="14"/>
        <v>0</v>
      </c>
      <c r="BC38" s="675">
        <f t="shared" si="15"/>
        <v>0</v>
      </c>
      <c r="BF38" s="675">
        <f t="shared" si="16"/>
        <v>0</v>
      </c>
      <c r="BI38" s="675">
        <f t="shared" si="17"/>
        <v>0</v>
      </c>
      <c r="BL38" s="675">
        <f t="shared" si="18"/>
        <v>0</v>
      </c>
      <c r="BO38" s="675">
        <f t="shared" si="19"/>
        <v>0</v>
      </c>
      <c r="BR38" s="675">
        <f t="shared" si="20"/>
        <v>0</v>
      </c>
      <c r="BU38" s="675">
        <f t="shared" si="21"/>
        <v>0</v>
      </c>
      <c r="BX38" s="675">
        <f t="shared" si="22"/>
        <v>0</v>
      </c>
      <c r="CA38" s="675">
        <f t="shared" si="23"/>
        <v>0</v>
      </c>
      <c r="CD38" s="675">
        <f t="shared" si="24"/>
        <v>0</v>
      </c>
      <c r="CG38" s="675">
        <f t="shared" si="25"/>
        <v>0</v>
      </c>
      <c r="CJ38" s="675">
        <f t="shared" si="26"/>
        <v>0</v>
      </c>
      <c r="CM38" s="675">
        <f t="shared" si="27"/>
        <v>0</v>
      </c>
      <c r="CP38" s="675">
        <f t="shared" si="28"/>
        <v>0</v>
      </c>
      <c r="CS38" s="675">
        <f t="shared" si="29"/>
        <v>0</v>
      </c>
      <c r="CV38" s="675">
        <f t="shared" si="30"/>
        <v>0</v>
      </c>
      <c r="CY38" s="675">
        <f t="shared" si="31"/>
        <v>0</v>
      </c>
      <c r="DB38" s="675">
        <f t="shared" si="32"/>
        <v>0</v>
      </c>
      <c r="DE38" s="675">
        <f t="shared" si="33"/>
        <v>0</v>
      </c>
      <c r="DH38" s="675">
        <f t="shared" si="34"/>
        <v>0</v>
      </c>
      <c r="DK38" s="675">
        <f t="shared" si="35"/>
        <v>0</v>
      </c>
      <c r="DN38" s="675">
        <f t="shared" si="36"/>
        <v>0</v>
      </c>
      <c r="DQ38" s="675">
        <f t="shared" si="37"/>
        <v>0</v>
      </c>
      <c r="DT38" s="675">
        <f t="shared" si="38"/>
        <v>0</v>
      </c>
      <c r="DW38" s="675">
        <f t="shared" si="39"/>
        <v>0</v>
      </c>
      <c r="DZ38" s="675"/>
      <c r="EA38" s="675"/>
      <c r="EB38" s="553">
        <f t="shared" si="40"/>
        <v>28450000</v>
      </c>
      <c r="EC38" s="553">
        <f t="shared" si="41"/>
        <v>0</v>
      </c>
      <c r="ED38" s="675">
        <f t="shared" si="42"/>
        <v>1651.6805555555557</v>
      </c>
      <c r="EE38" s="676">
        <f t="shared" si="43"/>
        <v>2.0900000000000002E-2</v>
      </c>
      <c r="EG38" s="553">
        <f t="shared" si="44"/>
        <v>0</v>
      </c>
      <c r="EH38" s="675">
        <f t="shared" si="45"/>
        <v>0</v>
      </c>
      <c r="EI38" s="676">
        <f t="shared" si="46"/>
        <v>0</v>
      </c>
      <c r="EJ38" s="676"/>
      <c r="EK38" s="553">
        <f t="shared" si="47"/>
        <v>28450000</v>
      </c>
      <c r="EL38" s="553">
        <f t="shared" si="48"/>
        <v>0</v>
      </c>
      <c r="EM38" s="553">
        <f t="shared" si="49"/>
        <v>1651.6805555555557</v>
      </c>
      <c r="EN38" s="676">
        <f t="shared" si="50"/>
        <v>2.0900000000000002E-2</v>
      </c>
      <c r="EP38" s="675"/>
    </row>
    <row r="39" spans="1:146">
      <c r="A39" s="694">
        <f t="shared" si="51"/>
        <v>43766</v>
      </c>
      <c r="D39" s="675">
        <f t="shared" si="0"/>
        <v>0</v>
      </c>
      <c r="G39" s="675">
        <f t="shared" si="1"/>
        <v>0</v>
      </c>
      <c r="J39" s="675">
        <f t="shared" si="2"/>
        <v>0</v>
      </c>
      <c r="M39" s="675">
        <f t="shared" si="3"/>
        <v>0</v>
      </c>
      <c r="P39" s="675">
        <f t="shared" si="4"/>
        <v>0</v>
      </c>
      <c r="S39" s="675">
        <f t="shared" si="5"/>
        <v>0</v>
      </c>
      <c r="V39" s="675">
        <f t="shared" si="6"/>
        <v>0</v>
      </c>
      <c r="Y39" s="675">
        <f t="shared" si="7"/>
        <v>0</v>
      </c>
      <c r="AB39" s="675">
        <f t="shared" si="8"/>
        <v>0</v>
      </c>
      <c r="AE39" s="675">
        <v>0</v>
      </c>
      <c r="AH39" s="675">
        <v>0</v>
      </c>
      <c r="AI39" s="695">
        <f>49400000</f>
        <v>49400000</v>
      </c>
      <c r="AJ39" s="696">
        <v>2.0899999999999998E-2</v>
      </c>
      <c r="AK39" s="675">
        <f t="shared" si="9"/>
        <v>2867.9444444444443</v>
      </c>
      <c r="AL39" s="695"/>
      <c r="AM39" s="696"/>
      <c r="AN39" s="675">
        <f t="shared" si="10"/>
        <v>0</v>
      </c>
      <c r="AO39" s="695"/>
      <c r="AP39" s="696"/>
      <c r="AQ39" s="675">
        <f t="shared" si="11"/>
        <v>0</v>
      </c>
      <c r="AR39" s="695"/>
      <c r="AS39" s="696"/>
      <c r="AT39" s="675">
        <f t="shared" si="12"/>
        <v>0</v>
      </c>
      <c r="AW39" s="675">
        <f t="shared" si="13"/>
        <v>0</v>
      </c>
      <c r="AZ39" s="675">
        <f t="shared" si="14"/>
        <v>0</v>
      </c>
      <c r="BC39" s="675">
        <f t="shared" si="15"/>
        <v>0</v>
      </c>
      <c r="BF39" s="675">
        <f t="shared" si="16"/>
        <v>0</v>
      </c>
      <c r="BI39" s="675">
        <f t="shared" si="17"/>
        <v>0</v>
      </c>
      <c r="BL39" s="675">
        <f t="shared" si="18"/>
        <v>0</v>
      </c>
      <c r="BO39" s="675">
        <f t="shared" si="19"/>
        <v>0</v>
      </c>
      <c r="BR39" s="675">
        <f t="shared" si="20"/>
        <v>0</v>
      </c>
      <c r="BU39" s="675">
        <f t="shared" si="21"/>
        <v>0</v>
      </c>
      <c r="BX39" s="675">
        <f t="shared" si="22"/>
        <v>0</v>
      </c>
      <c r="CA39" s="675">
        <f t="shared" si="23"/>
        <v>0</v>
      </c>
      <c r="CD39" s="675">
        <f t="shared" si="24"/>
        <v>0</v>
      </c>
      <c r="CG39" s="675">
        <f t="shared" si="25"/>
        <v>0</v>
      </c>
      <c r="CJ39" s="675">
        <f t="shared" si="26"/>
        <v>0</v>
      </c>
      <c r="CM39" s="675">
        <f t="shared" si="27"/>
        <v>0</v>
      </c>
      <c r="CP39" s="675">
        <f t="shared" si="28"/>
        <v>0</v>
      </c>
      <c r="CS39" s="675">
        <f t="shared" si="29"/>
        <v>0</v>
      </c>
      <c r="CV39" s="675">
        <f t="shared" si="30"/>
        <v>0</v>
      </c>
      <c r="CY39" s="675">
        <f t="shared" si="31"/>
        <v>0</v>
      </c>
      <c r="DB39" s="675">
        <f t="shared" si="32"/>
        <v>0</v>
      </c>
      <c r="DE39" s="675">
        <f t="shared" si="33"/>
        <v>0</v>
      </c>
      <c r="DH39" s="675">
        <f t="shared" si="34"/>
        <v>0</v>
      </c>
      <c r="DK39" s="675">
        <f t="shared" si="35"/>
        <v>0</v>
      </c>
      <c r="DN39" s="675">
        <f t="shared" si="36"/>
        <v>0</v>
      </c>
      <c r="DQ39" s="675">
        <f t="shared" si="37"/>
        <v>0</v>
      </c>
      <c r="DT39" s="675">
        <f t="shared" si="38"/>
        <v>0</v>
      </c>
      <c r="DW39" s="675">
        <f t="shared" si="39"/>
        <v>0</v>
      </c>
      <c r="DZ39" s="675"/>
      <c r="EA39" s="675"/>
      <c r="EB39" s="553">
        <f t="shared" si="40"/>
        <v>49400000</v>
      </c>
      <c r="EC39" s="553">
        <f t="shared" si="41"/>
        <v>0</v>
      </c>
      <c r="ED39" s="675">
        <f t="shared" si="42"/>
        <v>2867.9444444444443</v>
      </c>
      <c r="EE39" s="676">
        <f t="shared" si="43"/>
        <v>2.0899999999999998E-2</v>
      </c>
      <c r="EG39" s="553">
        <f t="shared" si="44"/>
        <v>0</v>
      </c>
      <c r="EH39" s="675">
        <f t="shared" si="45"/>
        <v>0</v>
      </c>
      <c r="EI39" s="676">
        <f t="shared" si="46"/>
        <v>0</v>
      </c>
      <c r="EJ39" s="676"/>
      <c r="EK39" s="553">
        <f t="shared" si="47"/>
        <v>49400000</v>
      </c>
      <c r="EL39" s="553">
        <f t="shared" si="48"/>
        <v>0</v>
      </c>
      <c r="EM39" s="553">
        <f t="shared" si="49"/>
        <v>2867.9444444444443</v>
      </c>
      <c r="EN39" s="676">
        <f t="shared" si="50"/>
        <v>2.0899999999999998E-2</v>
      </c>
      <c r="EP39" s="675"/>
    </row>
    <row r="40" spans="1:146">
      <c r="A40" s="694">
        <f t="shared" si="51"/>
        <v>43767</v>
      </c>
      <c r="D40" s="675">
        <f t="shared" si="0"/>
        <v>0</v>
      </c>
      <c r="G40" s="675">
        <f t="shared" si="1"/>
        <v>0</v>
      </c>
      <c r="J40" s="675">
        <f t="shared" si="2"/>
        <v>0</v>
      </c>
      <c r="M40" s="675">
        <f t="shared" si="3"/>
        <v>0</v>
      </c>
      <c r="P40" s="675">
        <f t="shared" si="4"/>
        <v>0</v>
      </c>
      <c r="S40" s="675">
        <f t="shared" si="5"/>
        <v>0</v>
      </c>
      <c r="V40" s="675">
        <f t="shared" si="6"/>
        <v>0</v>
      </c>
      <c r="Y40" s="675">
        <f t="shared" si="7"/>
        <v>0</v>
      </c>
      <c r="AB40" s="675">
        <f t="shared" si="8"/>
        <v>0</v>
      </c>
      <c r="AE40" s="675">
        <v>0</v>
      </c>
      <c r="AH40" s="675">
        <v>0</v>
      </c>
      <c r="AI40" s="695">
        <f>39800000</f>
        <v>39800000</v>
      </c>
      <c r="AJ40" s="696">
        <v>2.0899999999999998E-2</v>
      </c>
      <c r="AK40" s="675">
        <f t="shared" si="9"/>
        <v>2310.6111111111109</v>
      </c>
      <c r="AL40" s="695"/>
      <c r="AM40" s="696"/>
      <c r="AN40" s="675">
        <f t="shared" si="10"/>
        <v>0</v>
      </c>
      <c r="AO40" s="695"/>
      <c r="AP40" s="696"/>
      <c r="AQ40" s="675">
        <f t="shared" si="11"/>
        <v>0</v>
      </c>
      <c r="AR40" s="695"/>
      <c r="AS40" s="696"/>
      <c r="AT40" s="675">
        <f t="shared" si="12"/>
        <v>0</v>
      </c>
      <c r="AW40" s="675">
        <f t="shared" si="13"/>
        <v>0</v>
      </c>
      <c r="AZ40" s="675">
        <f t="shared" si="14"/>
        <v>0</v>
      </c>
      <c r="BC40" s="675">
        <f t="shared" si="15"/>
        <v>0</v>
      </c>
      <c r="BF40" s="675">
        <f t="shared" si="16"/>
        <v>0</v>
      </c>
      <c r="BI40" s="675">
        <f t="shared" si="17"/>
        <v>0</v>
      </c>
      <c r="BL40" s="675">
        <f t="shared" si="18"/>
        <v>0</v>
      </c>
      <c r="BO40" s="675">
        <f t="shared" si="19"/>
        <v>0</v>
      </c>
      <c r="BR40" s="675">
        <f t="shared" si="20"/>
        <v>0</v>
      </c>
      <c r="BU40" s="675">
        <f t="shared" si="21"/>
        <v>0</v>
      </c>
      <c r="BX40" s="675">
        <f t="shared" si="22"/>
        <v>0</v>
      </c>
      <c r="CA40" s="675">
        <f t="shared" si="23"/>
        <v>0</v>
      </c>
      <c r="CD40" s="675">
        <f t="shared" si="24"/>
        <v>0</v>
      </c>
      <c r="CG40" s="675">
        <f t="shared" si="25"/>
        <v>0</v>
      </c>
      <c r="CJ40" s="675">
        <f t="shared" si="26"/>
        <v>0</v>
      </c>
      <c r="CM40" s="675">
        <f t="shared" si="27"/>
        <v>0</v>
      </c>
      <c r="CP40" s="675">
        <f t="shared" si="28"/>
        <v>0</v>
      </c>
      <c r="CS40" s="675">
        <f t="shared" si="29"/>
        <v>0</v>
      </c>
      <c r="CV40" s="675">
        <f t="shared" si="30"/>
        <v>0</v>
      </c>
      <c r="CY40" s="675">
        <f t="shared" si="31"/>
        <v>0</v>
      </c>
      <c r="DB40" s="675">
        <f t="shared" si="32"/>
        <v>0</v>
      </c>
      <c r="DE40" s="675">
        <f t="shared" si="33"/>
        <v>0</v>
      </c>
      <c r="DH40" s="675">
        <f t="shared" si="34"/>
        <v>0</v>
      </c>
      <c r="DK40" s="675">
        <f t="shared" si="35"/>
        <v>0</v>
      </c>
      <c r="DN40" s="675">
        <f t="shared" si="36"/>
        <v>0</v>
      </c>
      <c r="DQ40" s="675">
        <f t="shared" si="37"/>
        <v>0</v>
      </c>
      <c r="DT40" s="675">
        <f t="shared" si="38"/>
        <v>0</v>
      </c>
      <c r="DW40" s="675">
        <f t="shared" si="39"/>
        <v>0</v>
      </c>
      <c r="DZ40" s="675"/>
      <c r="EA40" s="675"/>
      <c r="EB40" s="553">
        <f t="shared" si="40"/>
        <v>39800000</v>
      </c>
      <c r="EC40" s="553">
        <f t="shared" si="41"/>
        <v>0</v>
      </c>
      <c r="ED40" s="675">
        <f t="shared" si="42"/>
        <v>2310.6111111111109</v>
      </c>
      <c r="EE40" s="676">
        <f t="shared" si="43"/>
        <v>2.0899999999999998E-2</v>
      </c>
      <c r="EG40" s="553">
        <f t="shared" si="44"/>
        <v>0</v>
      </c>
      <c r="EH40" s="675">
        <f t="shared" si="45"/>
        <v>0</v>
      </c>
      <c r="EI40" s="676">
        <f t="shared" si="46"/>
        <v>0</v>
      </c>
      <c r="EJ40" s="676"/>
      <c r="EK40" s="553">
        <f t="shared" si="47"/>
        <v>39800000</v>
      </c>
      <c r="EL40" s="553">
        <f t="shared" si="48"/>
        <v>0</v>
      </c>
      <c r="EM40" s="553">
        <f t="shared" si="49"/>
        <v>2310.6111111111109</v>
      </c>
      <c r="EN40" s="676">
        <f t="shared" si="50"/>
        <v>2.0899999999999998E-2</v>
      </c>
      <c r="EP40" s="675"/>
    </row>
    <row r="41" spans="1:146">
      <c r="A41" s="694">
        <f t="shared" si="51"/>
        <v>43768</v>
      </c>
      <c r="D41" s="675">
        <f t="shared" si="0"/>
        <v>0</v>
      </c>
      <c r="G41" s="675">
        <f t="shared" si="1"/>
        <v>0</v>
      </c>
      <c r="J41" s="675">
        <f t="shared" si="2"/>
        <v>0</v>
      </c>
      <c r="M41" s="675">
        <f t="shared" si="3"/>
        <v>0</v>
      </c>
      <c r="P41" s="675">
        <f t="shared" si="4"/>
        <v>0</v>
      </c>
      <c r="S41" s="675">
        <f t="shared" si="5"/>
        <v>0</v>
      </c>
      <c r="V41" s="675">
        <f t="shared" si="6"/>
        <v>0</v>
      </c>
      <c r="Y41" s="675">
        <f t="shared" si="7"/>
        <v>0</v>
      </c>
      <c r="AB41" s="675">
        <f t="shared" si="8"/>
        <v>0</v>
      </c>
      <c r="AE41" s="675">
        <v>0</v>
      </c>
      <c r="AH41" s="675">
        <v>0</v>
      </c>
      <c r="AI41" s="695">
        <f>40600000</f>
        <v>40600000</v>
      </c>
      <c r="AJ41" s="696">
        <v>2.07E-2</v>
      </c>
      <c r="AK41" s="675">
        <f t="shared" si="9"/>
        <v>2334.5</v>
      </c>
      <c r="AL41" s="695"/>
      <c r="AM41" s="696"/>
      <c r="AN41" s="675">
        <f t="shared" si="10"/>
        <v>0</v>
      </c>
      <c r="AO41" s="695"/>
      <c r="AP41" s="696"/>
      <c r="AQ41" s="675">
        <f t="shared" si="11"/>
        <v>0</v>
      </c>
      <c r="AR41" s="695"/>
      <c r="AS41" s="696"/>
      <c r="AT41" s="675">
        <f t="shared" si="12"/>
        <v>0</v>
      </c>
      <c r="AW41" s="675">
        <f t="shared" si="13"/>
        <v>0</v>
      </c>
      <c r="AZ41" s="675">
        <f t="shared" si="14"/>
        <v>0</v>
      </c>
      <c r="BC41" s="675">
        <f t="shared" si="15"/>
        <v>0</v>
      </c>
      <c r="BF41" s="675">
        <f t="shared" si="16"/>
        <v>0</v>
      </c>
      <c r="BI41" s="675">
        <f t="shared" si="17"/>
        <v>0</v>
      </c>
      <c r="BL41" s="675">
        <f t="shared" si="18"/>
        <v>0</v>
      </c>
      <c r="BO41" s="675">
        <f t="shared" si="19"/>
        <v>0</v>
      </c>
      <c r="BR41" s="675">
        <f t="shared" si="20"/>
        <v>0</v>
      </c>
      <c r="BU41" s="675">
        <f t="shared" si="21"/>
        <v>0</v>
      </c>
      <c r="BX41" s="675">
        <f t="shared" si="22"/>
        <v>0</v>
      </c>
      <c r="CA41" s="675">
        <f t="shared" si="23"/>
        <v>0</v>
      </c>
      <c r="CD41" s="675">
        <f t="shared" si="24"/>
        <v>0</v>
      </c>
      <c r="CG41" s="675">
        <f t="shared" si="25"/>
        <v>0</v>
      </c>
      <c r="CJ41" s="675">
        <f t="shared" si="26"/>
        <v>0</v>
      </c>
      <c r="CM41" s="675">
        <f t="shared" si="27"/>
        <v>0</v>
      </c>
      <c r="CP41" s="675">
        <f t="shared" si="28"/>
        <v>0</v>
      </c>
      <c r="CS41" s="675">
        <f t="shared" si="29"/>
        <v>0</v>
      </c>
      <c r="CV41" s="675">
        <f t="shared" si="30"/>
        <v>0</v>
      </c>
      <c r="CY41" s="675">
        <f t="shared" si="31"/>
        <v>0</v>
      </c>
      <c r="DB41" s="675">
        <f t="shared" si="32"/>
        <v>0</v>
      </c>
      <c r="DE41" s="675">
        <f t="shared" si="33"/>
        <v>0</v>
      </c>
      <c r="DH41" s="675">
        <f t="shared" si="34"/>
        <v>0</v>
      </c>
      <c r="DK41" s="675">
        <f t="shared" si="35"/>
        <v>0</v>
      </c>
      <c r="DN41" s="675">
        <f t="shared" si="36"/>
        <v>0</v>
      </c>
      <c r="DQ41" s="675">
        <f t="shared" si="37"/>
        <v>0</v>
      </c>
      <c r="DT41" s="675">
        <f t="shared" si="38"/>
        <v>0</v>
      </c>
      <c r="DW41" s="675">
        <f t="shared" si="39"/>
        <v>0</v>
      </c>
      <c r="DZ41" s="673"/>
      <c r="EA41" s="675"/>
      <c r="EB41" s="553">
        <f t="shared" si="40"/>
        <v>40600000</v>
      </c>
      <c r="EC41" s="553">
        <f t="shared" si="41"/>
        <v>0</v>
      </c>
      <c r="ED41" s="675">
        <f t="shared" si="42"/>
        <v>2334.5</v>
      </c>
      <c r="EE41" s="676">
        <f t="shared" si="43"/>
        <v>2.07E-2</v>
      </c>
      <c r="EG41" s="553">
        <f t="shared" si="44"/>
        <v>0</v>
      </c>
      <c r="EH41" s="675">
        <f t="shared" si="45"/>
        <v>0</v>
      </c>
      <c r="EI41" s="676">
        <f t="shared" si="46"/>
        <v>0</v>
      </c>
      <c r="EJ41" s="676"/>
      <c r="EK41" s="553">
        <f t="shared" si="47"/>
        <v>40600000</v>
      </c>
      <c r="EL41" s="553">
        <f t="shared" si="48"/>
        <v>0</v>
      </c>
      <c r="EM41" s="553">
        <f t="shared" si="49"/>
        <v>2334.5</v>
      </c>
      <c r="EN41" s="676">
        <f t="shared" si="50"/>
        <v>2.07E-2</v>
      </c>
      <c r="EP41" s="675"/>
    </row>
    <row r="42" spans="1:146">
      <c r="A42" s="694">
        <f t="shared" si="51"/>
        <v>43769</v>
      </c>
      <c r="D42" s="675">
        <f t="shared" si="0"/>
        <v>0</v>
      </c>
      <c r="G42" s="675">
        <f t="shared" si="1"/>
        <v>0</v>
      </c>
      <c r="J42" s="675">
        <f t="shared" si="2"/>
        <v>0</v>
      </c>
      <c r="M42" s="675">
        <f t="shared" si="3"/>
        <v>0</v>
      </c>
      <c r="P42" s="675">
        <f t="shared" si="4"/>
        <v>0</v>
      </c>
      <c r="S42" s="675">
        <f t="shared" si="5"/>
        <v>0</v>
      </c>
      <c r="V42" s="675">
        <f t="shared" si="6"/>
        <v>0</v>
      </c>
      <c r="Y42" s="675">
        <f t="shared" si="7"/>
        <v>0</v>
      </c>
      <c r="AB42" s="675">
        <f t="shared" si="8"/>
        <v>0</v>
      </c>
      <c r="AE42" s="675">
        <v>0</v>
      </c>
      <c r="AH42" s="675">
        <v>0</v>
      </c>
      <c r="AI42" s="695">
        <f>49100000</f>
        <v>49100000</v>
      </c>
      <c r="AJ42" s="696">
        <v>1.9199999999999998E-2</v>
      </c>
      <c r="AK42" s="675">
        <f t="shared" si="9"/>
        <v>2618.6666666666665</v>
      </c>
      <c r="AL42" s="695"/>
      <c r="AM42" s="696"/>
      <c r="AN42" s="675">
        <f t="shared" si="10"/>
        <v>0</v>
      </c>
      <c r="AO42" s="695"/>
      <c r="AP42" s="696"/>
      <c r="AQ42" s="675">
        <f t="shared" si="11"/>
        <v>0</v>
      </c>
      <c r="AR42" s="695"/>
      <c r="AS42" s="696"/>
      <c r="AT42" s="675">
        <f t="shared" si="12"/>
        <v>0</v>
      </c>
      <c r="AW42" s="675">
        <f t="shared" si="13"/>
        <v>0</v>
      </c>
      <c r="AZ42" s="675">
        <f t="shared" si="14"/>
        <v>0</v>
      </c>
      <c r="BC42" s="675">
        <f t="shared" si="15"/>
        <v>0</v>
      </c>
      <c r="BF42" s="675">
        <f t="shared" si="16"/>
        <v>0</v>
      </c>
      <c r="BI42" s="675">
        <f t="shared" si="17"/>
        <v>0</v>
      </c>
      <c r="BL42" s="675">
        <f t="shared" si="18"/>
        <v>0</v>
      </c>
      <c r="BO42" s="675">
        <f t="shared" si="19"/>
        <v>0</v>
      </c>
      <c r="BR42" s="675">
        <f t="shared" si="20"/>
        <v>0</v>
      </c>
      <c r="BU42" s="675">
        <f t="shared" si="21"/>
        <v>0</v>
      </c>
      <c r="BX42" s="675">
        <f t="shared" si="22"/>
        <v>0</v>
      </c>
      <c r="CA42" s="675">
        <f t="shared" si="23"/>
        <v>0</v>
      </c>
      <c r="CD42" s="675">
        <f t="shared" si="24"/>
        <v>0</v>
      </c>
      <c r="CG42" s="675">
        <f t="shared" si="25"/>
        <v>0</v>
      </c>
      <c r="CJ42" s="675">
        <f t="shared" si="26"/>
        <v>0</v>
      </c>
      <c r="CM42" s="675">
        <f t="shared" si="27"/>
        <v>0</v>
      </c>
      <c r="CP42" s="675">
        <f t="shared" si="28"/>
        <v>0</v>
      </c>
      <c r="CS42" s="675">
        <f t="shared" si="29"/>
        <v>0</v>
      </c>
      <c r="CV42" s="675">
        <f t="shared" si="30"/>
        <v>0</v>
      </c>
      <c r="CY42" s="675">
        <f t="shared" si="31"/>
        <v>0</v>
      </c>
      <c r="DB42" s="675">
        <f t="shared" si="32"/>
        <v>0</v>
      </c>
      <c r="DE42" s="675">
        <f t="shared" si="33"/>
        <v>0</v>
      </c>
      <c r="DH42" s="675">
        <f t="shared" si="34"/>
        <v>0</v>
      </c>
      <c r="DK42" s="675">
        <f t="shared" si="35"/>
        <v>0</v>
      </c>
      <c r="DN42" s="675">
        <f t="shared" si="36"/>
        <v>0</v>
      </c>
      <c r="DQ42" s="675">
        <f t="shared" si="37"/>
        <v>0</v>
      </c>
      <c r="DT42" s="675">
        <f t="shared" si="38"/>
        <v>0</v>
      </c>
      <c r="DW42" s="675">
        <f t="shared" si="39"/>
        <v>0</v>
      </c>
      <c r="DZ42" s="673"/>
      <c r="EA42" s="675"/>
      <c r="EB42" s="553">
        <f t="shared" si="40"/>
        <v>49100000</v>
      </c>
      <c r="EC42" s="553">
        <f t="shared" si="41"/>
        <v>0</v>
      </c>
      <c r="ED42" s="675">
        <f t="shared" si="42"/>
        <v>2618.6666666666665</v>
      </c>
      <c r="EE42" s="676">
        <f t="shared" si="43"/>
        <v>1.9199999999999998E-2</v>
      </c>
      <c r="EG42" s="553">
        <f t="shared" si="44"/>
        <v>0</v>
      </c>
      <c r="EH42" s="675">
        <f t="shared" si="45"/>
        <v>0</v>
      </c>
      <c r="EI42" s="676">
        <f t="shared" si="46"/>
        <v>0</v>
      </c>
      <c r="EJ42" s="676"/>
      <c r="EK42" s="553">
        <f t="shared" si="47"/>
        <v>49100000</v>
      </c>
      <c r="EL42" s="553">
        <f t="shared" si="48"/>
        <v>0</v>
      </c>
      <c r="EM42" s="553">
        <f t="shared" si="49"/>
        <v>2618.6666666666665</v>
      </c>
      <c r="EN42" s="676">
        <f t="shared" si="50"/>
        <v>1.9199999999999998E-2</v>
      </c>
      <c r="EP42" s="675"/>
    </row>
    <row r="43" spans="1:146">
      <c r="A43" s="554" t="s">
        <v>13</v>
      </c>
      <c r="D43" s="697">
        <f>SUM(D12:D42)</f>
        <v>0</v>
      </c>
      <c r="G43" s="697">
        <f>SUM(G12:G42)</f>
        <v>0</v>
      </c>
      <c r="J43" s="697">
        <f>SUM(J12:J42)</f>
        <v>0</v>
      </c>
      <c r="M43" s="697">
        <f>SUM(M12:M42)</f>
        <v>0</v>
      </c>
      <c r="P43" s="697">
        <f>SUM(P12:P42)</f>
        <v>0</v>
      </c>
      <c r="S43" s="697">
        <f>SUM(S12:S42)</f>
        <v>0</v>
      </c>
      <c r="V43" s="697">
        <f>SUM(V12:V42)</f>
        <v>0</v>
      </c>
      <c r="Y43" s="697">
        <f>SUM(Y12:Y42)</f>
        <v>0</v>
      </c>
      <c r="AB43" s="697">
        <f>SUM(AB12:AB42)</f>
        <v>0</v>
      </c>
      <c r="AE43" s="697">
        <f>SUM(AE12:AE42)</f>
        <v>0</v>
      </c>
      <c r="AH43" s="697">
        <f>SUM(AH12:AH42)</f>
        <v>0</v>
      </c>
      <c r="AK43" s="697">
        <f>SUM(AK12:AK42)</f>
        <v>62129.048611111109</v>
      </c>
      <c r="AN43" s="697">
        <f>SUM(AN12:AN42)</f>
        <v>0</v>
      </c>
      <c r="AQ43" s="697">
        <f>SUM(AQ12:AQ42)</f>
        <v>0</v>
      </c>
      <c r="AT43" s="697">
        <f>SUM(AT12:AT42)</f>
        <v>0</v>
      </c>
      <c r="AW43" s="697">
        <f>SUM(AW12:AW42)</f>
        <v>0</v>
      </c>
      <c r="AZ43" s="697">
        <f>SUM(AZ12:AZ42)</f>
        <v>0</v>
      </c>
      <c r="BC43" s="697">
        <f>SUM(BC12:BC42)</f>
        <v>0</v>
      </c>
      <c r="BF43" s="697">
        <f>SUM(BF12:BF42)</f>
        <v>0</v>
      </c>
      <c r="BI43" s="697">
        <f>SUM(BI12:BI42)</f>
        <v>0</v>
      </c>
      <c r="BL43" s="697">
        <f>SUM(BL12:BL42)</f>
        <v>0</v>
      </c>
      <c r="BO43" s="697">
        <f>SUM(BO12:BO42)</f>
        <v>0</v>
      </c>
      <c r="BR43" s="697">
        <f>SUM(BR12:BR42)</f>
        <v>0</v>
      </c>
      <c r="BU43" s="697">
        <f>SUM(BU12:BU42)</f>
        <v>0</v>
      </c>
      <c r="BX43" s="697">
        <f>SUM(BX12:BX42)</f>
        <v>0</v>
      </c>
      <c r="CA43" s="697">
        <f>SUM(CA12:CA42)</f>
        <v>0</v>
      </c>
      <c r="CD43" s="697">
        <f>SUM(CD12:CD42)</f>
        <v>0</v>
      </c>
      <c r="CG43" s="697">
        <f>SUM(CG12:CG42)</f>
        <v>0</v>
      </c>
      <c r="CJ43" s="697">
        <f>SUM(CJ12:CJ42)</f>
        <v>0</v>
      </c>
      <c r="CM43" s="697">
        <f>SUM(CM12:CM42)</f>
        <v>0</v>
      </c>
      <c r="CP43" s="697">
        <f>SUM(CP12:CP42)</f>
        <v>0</v>
      </c>
      <c r="CS43" s="697">
        <f>SUM(CS12:CS42)</f>
        <v>0</v>
      </c>
      <c r="CV43" s="697">
        <f>SUM(CV12:CV42)</f>
        <v>0</v>
      </c>
      <c r="CY43" s="697">
        <f>SUM(CY12:CY42)</f>
        <v>0</v>
      </c>
      <c r="DB43" s="697">
        <f>SUM(DB12:DB42)</f>
        <v>0</v>
      </c>
      <c r="DE43" s="697">
        <f>SUM(DE12:DE42)</f>
        <v>0</v>
      </c>
      <c r="DH43" s="697">
        <f>SUM(DH12:DH42)</f>
        <v>0</v>
      </c>
      <c r="DK43" s="697">
        <f>SUM(DK12:DK42)</f>
        <v>0</v>
      </c>
      <c r="DN43" s="697">
        <f>SUM(DN12:DN42)</f>
        <v>0</v>
      </c>
      <c r="DQ43" s="697">
        <f>SUM(DQ12:DQ42)</f>
        <v>0</v>
      </c>
      <c r="DT43" s="697">
        <f>SUM(DT12:DT42)</f>
        <v>0</v>
      </c>
      <c r="DW43" s="697">
        <f>SUM(DW12:DW42)</f>
        <v>0</v>
      </c>
      <c r="DZ43" s="673"/>
      <c r="EA43" s="673"/>
      <c r="EB43" s="675"/>
      <c r="EC43" s="675"/>
      <c r="ED43" s="697">
        <f>SUM(ED12:ED42)</f>
        <v>62129.048611111109</v>
      </c>
      <c r="EE43" s="676"/>
      <c r="EG43" s="675"/>
      <c r="EH43" s="697">
        <f>SUM(EH12:EH42)</f>
        <v>0</v>
      </c>
      <c r="EI43" s="676"/>
      <c r="EJ43" s="676"/>
      <c r="EK43" s="675"/>
      <c r="EL43" s="675"/>
      <c r="EM43" s="697">
        <f>SUM(EM12:EM42)</f>
        <v>62129.048611111109</v>
      </c>
      <c r="EN43" s="676"/>
    </row>
    <row r="45" spans="1:146">
      <c r="EM45" s="698"/>
    </row>
    <row r="47" spans="1:146">
      <c r="EM47" s="675"/>
    </row>
    <row r="49" spans="143:143">
      <c r="EM49" s="675"/>
    </row>
  </sheetData>
  <pageMargins left="0.7" right="0.7" top="0.75" bottom="0.75" header="0.3" footer="0.3"/>
  <pageSetup scale="79" fitToHeight="0" orientation="landscape" r:id="rId1"/>
  <headerFooter>
    <oddFooter>&amp;CSchedule MA-TU&amp;ROctober 2019 &amp;P of &amp;N
Confidential
4 CSR 240-2.090(9(A).2(D).II)</oddFooter>
  </headerFooter>
  <colBreaks count="1" manualBreakCount="1">
    <brk id="14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3"/>
  <sheetViews>
    <sheetView zoomScale="80" zoomScaleNormal="80" workbookViewId="0">
      <selection activeCell="K32" sqref="K32"/>
    </sheetView>
  </sheetViews>
  <sheetFormatPr defaultColWidth="9.140625" defaultRowHeight="12.75"/>
  <cols>
    <col min="1" max="16384" width="9.140625" style="639"/>
  </cols>
  <sheetData>
    <row r="1" spans="1:1">
      <c r="A1" s="178" t="s">
        <v>0</v>
      </c>
    </row>
    <row r="2" spans="1:1">
      <c r="A2" s="178" t="s">
        <v>179</v>
      </c>
    </row>
    <row r="3" spans="1:1">
      <c r="A3" s="178" t="s">
        <v>180</v>
      </c>
    </row>
  </sheetData>
  <pageMargins left="0.7" right="0.7" top="0.75" bottom="0.75" header="0.3" footer="0.3"/>
  <pageSetup orientation="portrait" r:id="rId1"/>
  <headerFooter>
    <oddFooter>&amp;CSchedule MA-TU&amp;RConfidential
4 CSR 240-2.090(9(A).2(D).III)</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3"/>
  <sheetViews>
    <sheetView zoomScale="80" zoomScaleNormal="80" workbookViewId="0">
      <selection activeCell="Q26" sqref="Q26"/>
    </sheetView>
  </sheetViews>
  <sheetFormatPr defaultColWidth="9.140625" defaultRowHeight="12.75"/>
  <cols>
    <col min="1" max="1" width="15.5703125" style="639" customWidth="1"/>
    <col min="2" max="16384" width="9.140625" style="639"/>
  </cols>
  <sheetData>
    <row r="1" spans="1:1">
      <c r="A1" s="178" t="s">
        <v>0</v>
      </c>
    </row>
    <row r="2" spans="1:1">
      <c r="A2" s="178" t="s">
        <v>181</v>
      </c>
    </row>
    <row r="3" spans="1:1">
      <c r="A3" s="179" t="s">
        <v>182</v>
      </c>
    </row>
  </sheetData>
  <pageMargins left="0.75" right="0.75" top="1" bottom="1" header="0.5" footer="0.5"/>
  <pageSetup orientation="portrait" r:id="rId1"/>
  <headerFooter alignWithMargins="0">
    <oddFooter>&amp;CSchedule MA-TU&amp;RConfidential
4 CSR 240-2.090(9(A).2(E))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9"/>
  <sheetViews>
    <sheetView zoomScale="80" zoomScaleNormal="80" workbookViewId="0">
      <selection activeCell="G20" sqref="G20"/>
    </sheetView>
  </sheetViews>
  <sheetFormatPr defaultColWidth="9.140625" defaultRowHeight="12.75"/>
  <cols>
    <col min="1" max="1" width="9.28515625" style="305" customWidth="1"/>
    <col min="2" max="2" width="51.28515625" style="305" customWidth="1"/>
    <col min="3" max="3" width="18.7109375" style="305" customWidth="1"/>
    <col min="4" max="4" width="2.7109375" style="305" customWidth="1"/>
    <col min="5" max="5" width="18.7109375" style="305" customWidth="1"/>
    <col min="6" max="6" width="2.7109375" style="305" customWidth="1"/>
    <col min="7" max="7" width="18.7109375" style="305" customWidth="1"/>
    <col min="8" max="16384" width="9.140625" style="305"/>
  </cols>
  <sheetData>
    <row r="1" spans="1:7" ht="13.5" customHeight="1">
      <c r="A1" s="1" t="s">
        <v>0</v>
      </c>
    </row>
    <row r="2" spans="1:7" ht="13.5" customHeight="1">
      <c r="A2" s="1" t="s">
        <v>183</v>
      </c>
    </row>
    <row r="3" spans="1:7" ht="13.5" customHeight="1">
      <c r="A3" s="1" t="s">
        <v>184</v>
      </c>
    </row>
    <row r="4" spans="1:7" ht="13.5" customHeight="1">
      <c r="A4" s="1"/>
    </row>
    <row r="5" spans="1:7" ht="13.5" customHeight="1">
      <c r="A5" s="1"/>
    </row>
    <row r="6" spans="1:7" ht="13.5" customHeight="1">
      <c r="A6" s="180"/>
      <c r="C6" s="587"/>
    </row>
    <row r="7" spans="1:7" ht="12" customHeight="1">
      <c r="A7" s="588"/>
      <c r="B7" s="589"/>
      <c r="C7" s="587"/>
      <c r="E7" s="587"/>
      <c r="G7" s="587"/>
    </row>
    <row r="8" spans="1:7">
      <c r="A8" s="588"/>
      <c r="B8" s="318"/>
      <c r="C8" s="317" t="s">
        <v>13</v>
      </c>
      <c r="E8" s="317" t="s">
        <v>185</v>
      </c>
      <c r="F8" s="318"/>
      <c r="G8" s="317" t="s">
        <v>186</v>
      </c>
    </row>
    <row r="9" spans="1:7" ht="15" customHeight="1">
      <c r="A9" s="297" t="s">
        <v>187</v>
      </c>
      <c r="B9" s="318"/>
      <c r="F9" s="318"/>
    </row>
    <row r="10" spans="1:7">
      <c r="A10" s="298" t="s">
        <v>188</v>
      </c>
      <c r="B10" s="301" t="s">
        <v>8</v>
      </c>
      <c r="G10" s="306"/>
    </row>
    <row r="11" spans="1:7">
      <c r="A11" s="298" t="s">
        <v>189</v>
      </c>
      <c r="B11" s="302" t="s">
        <v>129</v>
      </c>
      <c r="C11" s="304">
        <v>493273000</v>
      </c>
      <c r="E11" s="304">
        <v>180376000</v>
      </c>
      <c r="G11" s="304">
        <f t="shared" ref="G11:G16" si="0">+C11-E11</f>
        <v>312897000</v>
      </c>
    </row>
    <row r="12" spans="1:7">
      <c r="A12" s="298" t="s">
        <v>190</v>
      </c>
      <c r="B12" s="302" t="s">
        <v>130</v>
      </c>
      <c r="C12" s="304">
        <v>87677000</v>
      </c>
      <c r="E12" s="304">
        <v>30271000</v>
      </c>
      <c r="G12" s="304">
        <f t="shared" si="0"/>
        <v>57406000</v>
      </c>
    </row>
    <row r="13" spans="1:7" s="306" customFormat="1">
      <c r="A13" s="299">
        <v>4</v>
      </c>
      <c r="B13" s="303" t="s">
        <v>131</v>
      </c>
      <c r="C13" s="304">
        <v>249000</v>
      </c>
      <c r="E13" s="304">
        <v>127000</v>
      </c>
      <c r="G13" s="304">
        <f t="shared" si="0"/>
        <v>122000</v>
      </c>
    </row>
    <row r="14" spans="1:7" ht="12.75" customHeight="1">
      <c r="A14" s="300">
        <v>5</v>
      </c>
      <c r="B14" s="303" t="s">
        <v>132</v>
      </c>
      <c r="C14" s="304">
        <v>0</v>
      </c>
      <c r="E14" s="304">
        <v>0</v>
      </c>
      <c r="G14" s="304">
        <f t="shared" si="0"/>
        <v>0</v>
      </c>
    </row>
    <row r="15" spans="1:7">
      <c r="A15" s="300">
        <v>6</v>
      </c>
      <c r="B15" s="303" t="s">
        <v>133</v>
      </c>
      <c r="C15" s="304">
        <v>6031800</v>
      </c>
      <c r="E15" s="304">
        <v>2166535</v>
      </c>
      <c r="G15" s="304">
        <f t="shared" si="0"/>
        <v>3865265</v>
      </c>
    </row>
    <row r="16" spans="1:7">
      <c r="A16" s="300">
        <v>7</v>
      </c>
      <c r="B16" s="303" t="s">
        <v>134</v>
      </c>
      <c r="C16" s="307">
        <v>20214000</v>
      </c>
      <c r="E16" s="307">
        <v>5119000</v>
      </c>
      <c r="G16" s="307">
        <f t="shared" si="0"/>
        <v>15095000</v>
      </c>
    </row>
    <row r="17" spans="1:7">
      <c r="A17" s="300">
        <v>8</v>
      </c>
      <c r="B17" s="303" t="s">
        <v>135</v>
      </c>
      <c r="C17" s="308">
        <f>SUM(C11:C16)</f>
        <v>607444800</v>
      </c>
      <c r="E17" s="308">
        <f>SUM(E11:E16)</f>
        <v>218059535</v>
      </c>
      <c r="G17" s="308">
        <f>SUM(G11:G16)</f>
        <v>389385265</v>
      </c>
    </row>
    <row r="18" spans="1:7">
      <c r="A18" s="300">
        <v>9</v>
      </c>
      <c r="B18" s="303"/>
    </row>
    <row r="19" spans="1:7">
      <c r="A19" s="300">
        <v>10</v>
      </c>
      <c r="B19" s="303" t="s">
        <v>136</v>
      </c>
      <c r="C19" s="309">
        <v>203839000</v>
      </c>
      <c r="E19" s="309">
        <v>74538000</v>
      </c>
      <c r="G19" s="304">
        <f t="shared" ref="G19:G25" si="1">+C19-E19</f>
        <v>129301000</v>
      </c>
    </row>
    <row r="20" spans="1:7">
      <c r="A20" s="300">
        <v>11</v>
      </c>
      <c r="B20" s="303" t="s">
        <v>137</v>
      </c>
      <c r="C20" s="309">
        <v>790000</v>
      </c>
      <c r="E20" s="309">
        <v>273000</v>
      </c>
      <c r="G20" s="304">
        <f t="shared" si="1"/>
        <v>517000</v>
      </c>
    </row>
    <row r="21" spans="1:7">
      <c r="A21" s="300">
        <v>12</v>
      </c>
      <c r="B21" s="303" t="s">
        <v>138</v>
      </c>
      <c r="C21" s="309">
        <v>6319000</v>
      </c>
      <c r="E21" s="309">
        <v>3218000</v>
      </c>
      <c r="G21" s="304">
        <f t="shared" si="1"/>
        <v>3101000</v>
      </c>
    </row>
    <row r="22" spans="1:7">
      <c r="A22" s="300">
        <v>13</v>
      </c>
      <c r="B22" s="303" t="s">
        <v>139</v>
      </c>
      <c r="C22" s="309">
        <v>0</v>
      </c>
      <c r="E22" s="309"/>
      <c r="G22" s="304">
        <f t="shared" si="1"/>
        <v>0</v>
      </c>
    </row>
    <row r="23" spans="1:7">
      <c r="A23" s="300">
        <v>14</v>
      </c>
      <c r="B23" s="303" t="s">
        <v>132</v>
      </c>
      <c r="C23" s="309">
        <v>0</v>
      </c>
      <c r="E23" s="309"/>
      <c r="G23" s="304">
        <f t="shared" si="1"/>
        <v>0</v>
      </c>
    </row>
    <row r="24" spans="1:7">
      <c r="A24" s="300">
        <v>15</v>
      </c>
      <c r="B24" s="303" t="s">
        <v>140</v>
      </c>
      <c r="C24" s="309">
        <v>2189260</v>
      </c>
      <c r="E24" s="309">
        <v>786351</v>
      </c>
      <c r="G24" s="304">
        <f t="shared" si="1"/>
        <v>1402909</v>
      </c>
    </row>
    <row r="25" spans="1:7">
      <c r="A25" s="300">
        <v>16</v>
      </c>
      <c r="B25" s="303" t="s">
        <v>141</v>
      </c>
      <c r="C25" s="310">
        <f>315000+80973</f>
        <v>395973</v>
      </c>
      <c r="E25" s="310">
        <f>80000+29084</f>
        <v>109084</v>
      </c>
      <c r="G25" s="307">
        <f t="shared" si="1"/>
        <v>286889</v>
      </c>
    </row>
    <row r="26" spans="1:7">
      <c r="A26" s="300">
        <v>17</v>
      </c>
      <c r="B26" s="303" t="s">
        <v>142</v>
      </c>
      <c r="C26" s="308">
        <f>SUM(C19:C25)</f>
        <v>213533233</v>
      </c>
      <c r="E26" s="308">
        <f>SUM(E19:E25)</f>
        <v>78924435</v>
      </c>
      <c r="G26" s="308">
        <f>SUM(G19:G25)</f>
        <v>134608798</v>
      </c>
    </row>
    <row r="27" spans="1:7">
      <c r="A27" s="300">
        <v>18</v>
      </c>
      <c r="B27" s="303"/>
      <c r="G27" s="311"/>
    </row>
    <row r="28" spans="1:7">
      <c r="A28" s="300">
        <v>19</v>
      </c>
      <c r="B28" s="303" t="s">
        <v>144</v>
      </c>
    </row>
    <row r="29" spans="1:7">
      <c r="A29" s="300">
        <v>20</v>
      </c>
      <c r="B29" s="303" t="s">
        <v>191</v>
      </c>
      <c r="C29" s="309">
        <f>16174992-239</f>
        <v>16174753</v>
      </c>
      <c r="E29" s="309">
        <f>5809823-86</f>
        <v>5809737</v>
      </c>
      <c r="G29" s="304">
        <f t="shared" ref="G29:G33" si="2">+C29-E29</f>
        <v>10365016</v>
      </c>
    </row>
    <row r="30" spans="1:7">
      <c r="A30" s="300">
        <v>21</v>
      </c>
      <c r="B30" s="303" t="s">
        <v>146</v>
      </c>
      <c r="C30" s="309">
        <v>198940966</v>
      </c>
      <c r="E30" s="309">
        <v>71456720</v>
      </c>
      <c r="G30" s="304">
        <f t="shared" si="2"/>
        <v>127484246</v>
      </c>
    </row>
    <row r="31" spans="1:7">
      <c r="A31" s="300">
        <v>22</v>
      </c>
      <c r="B31" s="303" t="s">
        <v>147</v>
      </c>
      <c r="C31" s="309">
        <v>2800109</v>
      </c>
      <c r="E31" s="309">
        <v>1005799</v>
      </c>
      <c r="G31" s="304">
        <f t="shared" si="2"/>
        <v>1794310</v>
      </c>
    </row>
    <row r="32" spans="1:7" s="306" customFormat="1">
      <c r="A32" s="299">
        <v>23</v>
      </c>
      <c r="B32" s="303" t="s">
        <v>148</v>
      </c>
      <c r="C32" s="309">
        <v>122784</v>
      </c>
      <c r="E32" s="309">
        <v>44104</v>
      </c>
      <c r="G32" s="304">
        <f t="shared" si="2"/>
        <v>78680</v>
      </c>
    </row>
    <row r="33" spans="1:7" s="306" customFormat="1" ht="15" customHeight="1">
      <c r="A33" s="299">
        <v>24</v>
      </c>
      <c r="B33" s="303" t="s">
        <v>192</v>
      </c>
      <c r="C33" s="310">
        <v>0</v>
      </c>
      <c r="E33" s="310">
        <v>0</v>
      </c>
      <c r="G33" s="307">
        <f t="shared" si="2"/>
        <v>0</v>
      </c>
    </row>
    <row r="34" spans="1:7" s="306" customFormat="1">
      <c r="A34" s="299">
        <v>25</v>
      </c>
      <c r="B34" s="303" t="s">
        <v>149</v>
      </c>
      <c r="C34" s="312">
        <f>SUM(C29:C33)</f>
        <v>218038612</v>
      </c>
      <c r="E34" s="312">
        <f>SUM(E29:E33)</f>
        <v>78316360</v>
      </c>
      <c r="G34" s="312">
        <f>SUM(G29:G33)</f>
        <v>139722252</v>
      </c>
    </row>
    <row r="35" spans="1:7" s="306" customFormat="1">
      <c r="A35" s="299">
        <v>26</v>
      </c>
      <c r="B35" s="313"/>
      <c r="C35" s="319"/>
      <c r="E35" s="319"/>
      <c r="G35" s="319"/>
    </row>
    <row r="36" spans="1:7" s="306" customFormat="1">
      <c r="A36" s="299">
        <v>27</v>
      </c>
      <c r="B36" s="301" t="s">
        <v>151</v>
      </c>
      <c r="C36" s="319">
        <f>C34+C26+C17</f>
        <v>1039016645</v>
      </c>
      <c r="E36" s="319">
        <f>E34+E26+E17</f>
        <v>375300330</v>
      </c>
      <c r="G36" s="319">
        <f>G34+G26+G17</f>
        <v>663716315</v>
      </c>
    </row>
    <row r="37" spans="1:7" s="306" customFormat="1">
      <c r="A37" s="299">
        <v>28</v>
      </c>
      <c r="B37" s="313"/>
      <c r="C37" s="319"/>
      <c r="E37" s="319"/>
      <c r="G37" s="319"/>
    </row>
    <row r="38" spans="1:7" s="306" customFormat="1">
      <c r="A38" s="299">
        <v>29</v>
      </c>
      <c r="B38" s="301" t="s">
        <v>153</v>
      </c>
      <c r="C38" s="319"/>
      <c r="E38" s="319"/>
      <c r="G38" s="319"/>
    </row>
    <row r="39" spans="1:7" s="306" customFormat="1">
      <c r="A39" s="299">
        <v>30</v>
      </c>
      <c r="B39" s="303" t="s">
        <v>193</v>
      </c>
      <c r="C39" s="309">
        <v>962204</v>
      </c>
      <c r="D39" s="309"/>
      <c r="E39" s="309">
        <v>345624</v>
      </c>
      <c r="F39" s="309"/>
      <c r="G39" s="309">
        <f t="shared" ref="G39:G40" si="3">+C39-E39</f>
        <v>616580</v>
      </c>
    </row>
    <row r="40" spans="1:7" s="306" customFormat="1">
      <c r="A40" s="299">
        <v>31</v>
      </c>
      <c r="B40" s="303" t="s">
        <v>194</v>
      </c>
      <c r="C40" s="310">
        <v>0</v>
      </c>
      <c r="D40" s="310"/>
      <c r="E40" s="310">
        <v>0</v>
      </c>
      <c r="F40" s="310"/>
      <c r="G40" s="310">
        <f t="shared" si="3"/>
        <v>0</v>
      </c>
    </row>
    <row r="41" spans="1:7" s="306" customFormat="1">
      <c r="A41" s="299">
        <v>32</v>
      </c>
      <c r="B41" s="301" t="s">
        <v>154</v>
      </c>
      <c r="C41" s="319">
        <f>SUM(C39:C40)</f>
        <v>962204</v>
      </c>
      <c r="D41" s="319"/>
      <c r="E41" s="319">
        <f>SUM(E39:E40)</f>
        <v>345624</v>
      </c>
      <c r="F41" s="319"/>
      <c r="G41" s="319">
        <f>SUM(G39:G40)</f>
        <v>616580</v>
      </c>
    </row>
    <row r="42" spans="1:7" s="306" customFormat="1">
      <c r="A42" s="299">
        <v>33</v>
      </c>
      <c r="B42" s="313"/>
      <c r="C42" s="319"/>
      <c r="D42" s="319"/>
      <c r="E42" s="319"/>
      <c r="F42" s="319"/>
      <c r="G42" s="319"/>
    </row>
    <row r="43" spans="1:7" s="306" customFormat="1">
      <c r="A43" s="299">
        <v>34</v>
      </c>
      <c r="B43" s="301" t="s">
        <v>156</v>
      </c>
      <c r="C43" s="319">
        <f>C41+C36</f>
        <v>1039978849</v>
      </c>
      <c r="D43" s="319"/>
      <c r="E43" s="319">
        <f>E41+E36</f>
        <v>375645954</v>
      </c>
      <c r="F43" s="319"/>
      <c r="G43" s="319">
        <f>G41+G36</f>
        <v>664332895</v>
      </c>
    </row>
    <row r="44" spans="1:7">
      <c r="A44" s="300">
        <v>35</v>
      </c>
      <c r="B44" s="313"/>
    </row>
    <row r="45" spans="1:7">
      <c r="A45" s="300">
        <v>36</v>
      </c>
      <c r="B45" s="301" t="s">
        <v>158</v>
      </c>
      <c r="F45" s="306"/>
      <c r="G45" s="311"/>
    </row>
    <row r="46" spans="1:7" ht="13.5" customHeight="1">
      <c r="A46" s="300">
        <v>37</v>
      </c>
      <c r="B46" s="303" t="s">
        <v>159</v>
      </c>
      <c r="C46" s="309">
        <f>260825000+4201472</f>
        <v>265026472</v>
      </c>
      <c r="D46" s="309"/>
      <c r="E46" s="309">
        <f>93528000+1509108</f>
        <v>95037108</v>
      </c>
      <c r="F46" s="309"/>
      <c r="G46" s="309">
        <f t="shared" ref="G46:G51" si="4">+C46-E46</f>
        <v>169989364</v>
      </c>
    </row>
    <row r="47" spans="1:7" ht="13.5" customHeight="1">
      <c r="A47" s="300">
        <v>38</v>
      </c>
      <c r="B47" s="303" t="s">
        <v>160</v>
      </c>
      <c r="C47" s="309">
        <v>4168435</v>
      </c>
      <c r="D47" s="309"/>
      <c r="E47" s="309">
        <v>1497242</v>
      </c>
      <c r="F47" s="309"/>
      <c r="G47" s="309">
        <f t="shared" si="4"/>
        <v>2671193</v>
      </c>
    </row>
    <row r="48" spans="1:7">
      <c r="A48" s="300">
        <v>39</v>
      </c>
      <c r="B48" s="303" t="s">
        <v>161</v>
      </c>
      <c r="C48" s="309">
        <v>243814713</v>
      </c>
      <c r="D48" s="309"/>
      <c r="E48" s="309">
        <v>87574721</v>
      </c>
      <c r="F48" s="309"/>
      <c r="G48" s="309">
        <f t="shared" si="4"/>
        <v>156239992</v>
      </c>
    </row>
    <row r="49" spans="1:7">
      <c r="A49" s="300">
        <v>40</v>
      </c>
      <c r="B49" s="303" t="s">
        <v>162</v>
      </c>
      <c r="C49" s="309">
        <v>2149511</v>
      </c>
      <c r="D49" s="309"/>
      <c r="E49" s="309">
        <v>772073</v>
      </c>
      <c r="F49" s="309"/>
      <c r="G49" s="309">
        <f t="shared" si="4"/>
        <v>1377438</v>
      </c>
    </row>
    <row r="50" spans="1:7">
      <c r="A50" s="300">
        <v>41</v>
      </c>
      <c r="B50" s="303" t="s">
        <v>163</v>
      </c>
      <c r="C50" s="309">
        <v>7457773</v>
      </c>
      <c r="D50" s="309"/>
      <c r="E50" s="309">
        <v>2678724</v>
      </c>
      <c r="F50" s="309"/>
      <c r="G50" s="309">
        <f t="shared" si="4"/>
        <v>4779049</v>
      </c>
    </row>
    <row r="51" spans="1:7">
      <c r="A51" s="300">
        <v>42</v>
      </c>
      <c r="B51" s="303" t="s">
        <v>164</v>
      </c>
      <c r="C51" s="309">
        <v>2584280</v>
      </c>
      <c r="D51" s="309"/>
      <c r="E51" s="309">
        <v>928236</v>
      </c>
      <c r="F51" s="309"/>
      <c r="G51" s="309">
        <f t="shared" si="4"/>
        <v>1656044</v>
      </c>
    </row>
    <row r="52" spans="1:7">
      <c r="A52" s="300">
        <v>43</v>
      </c>
      <c r="B52" s="313" t="s">
        <v>165</v>
      </c>
      <c r="C52" s="319">
        <f>SUM(C46:C51)</f>
        <v>525201184</v>
      </c>
      <c r="D52" s="319"/>
      <c r="E52" s="319">
        <f>SUM(E46:E51)</f>
        <v>188488104</v>
      </c>
      <c r="F52" s="319"/>
      <c r="G52" s="319">
        <f>SUM(G46:G51)</f>
        <v>336713080</v>
      </c>
    </row>
    <row r="53" spans="1:7">
      <c r="A53" s="300">
        <v>44</v>
      </c>
      <c r="B53" s="313"/>
      <c r="C53" s="306"/>
      <c r="E53" s="306"/>
      <c r="G53" s="306"/>
    </row>
    <row r="54" spans="1:7" ht="13.5" thickBot="1">
      <c r="A54" s="300">
        <v>45</v>
      </c>
      <c r="B54" s="314" t="s">
        <v>167</v>
      </c>
      <c r="C54" s="319">
        <f>C43-C52</f>
        <v>514777665</v>
      </c>
      <c r="D54" s="319"/>
      <c r="E54" s="319">
        <f>E43-E52</f>
        <v>187157850</v>
      </c>
      <c r="F54" s="319"/>
      <c r="G54" s="319">
        <f>G43-G52</f>
        <v>327619815</v>
      </c>
    </row>
    <row r="55" spans="1:7" ht="13.5" thickTop="1">
      <c r="A55" s="300">
        <v>46</v>
      </c>
      <c r="B55" s="590"/>
      <c r="C55" s="306"/>
    </row>
    <row r="56" spans="1:7">
      <c r="A56" s="300">
        <v>47</v>
      </c>
      <c r="B56" s="301" t="s">
        <v>195</v>
      </c>
      <c r="C56" s="250">
        <v>33286417241</v>
      </c>
      <c r="D56" s="250"/>
      <c r="E56" s="250">
        <v>11956000000</v>
      </c>
      <c r="F56" s="250"/>
      <c r="G56" s="250">
        <f>+C56-E56</f>
        <v>21330417241</v>
      </c>
    </row>
    <row r="57" spans="1:7">
      <c r="A57" s="300">
        <v>48</v>
      </c>
      <c r="B57" s="306"/>
      <c r="C57" s="306"/>
    </row>
    <row r="58" spans="1:7">
      <c r="A58" s="300">
        <v>49</v>
      </c>
      <c r="B58" s="301" t="s">
        <v>196</v>
      </c>
      <c r="C58" s="316">
        <f>C54/C56*1000</f>
        <v>15.465096807292648</v>
      </c>
      <c r="D58" s="591"/>
      <c r="E58" s="316">
        <f>E54/E56*1000</f>
        <v>15.653885078621611</v>
      </c>
      <c r="F58" s="591"/>
      <c r="G58" s="316">
        <f>G54/G56*1000</f>
        <v>15.359278315956688</v>
      </c>
    </row>
    <row r="59" spans="1:7">
      <c r="A59" s="300">
        <v>50</v>
      </c>
      <c r="B59" s="306"/>
      <c r="C59" s="306"/>
      <c r="E59" s="592"/>
      <c r="G59" s="592"/>
    </row>
    <row r="60" spans="1:7">
      <c r="A60" s="300">
        <v>51</v>
      </c>
      <c r="B60" s="301" t="s">
        <v>197</v>
      </c>
      <c r="C60" s="315">
        <f>C58/10</f>
        <v>1.5465096807292649</v>
      </c>
      <c r="D60" s="591"/>
      <c r="E60" s="315">
        <f>E58/10</f>
        <v>1.5653885078621612</v>
      </c>
      <c r="F60" s="591"/>
      <c r="G60" s="315">
        <f>G58/10</f>
        <v>1.5359278315956688</v>
      </c>
    </row>
    <row r="63" spans="1:7">
      <c r="C63" s="311"/>
      <c r="E63" s="311"/>
      <c r="G63" s="311"/>
    </row>
    <row r="64" spans="1:7">
      <c r="G64" s="311"/>
    </row>
    <row r="69" spans="5:5">
      <c r="E69" s="593"/>
    </row>
  </sheetData>
  <pageMargins left="0.75" right="0.75" top="1" bottom="1" header="0.5" footer="0.5"/>
  <pageSetup scale="76" orientation="portrait" r:id="rId1"/>
  <headerFooter alignWithMargins="0">
    <oddFooter>&amp;CSchedule MA-TU&amp;R Confidential
4 CSR 240-2.090(9(A).2(A))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zoomScale="80" zoomScaleNormal="80" zoomScaleSheetLayoutView="80" workbookViewId="0">
      <selection activeCell="G19" sqref="G19"/>
    </sheetView>
  </sheetViews>
  <sheetFormatPr defaultColWidth="8" defaultRowHeight="12.75"/>
  <cols>
    <col min="1" max="1" width="13.5703125" style="360" customWidth="1"/>
    <col min="2" max="2" width="58.5703125" style="360" customWidth="1"/>
    <col min="3" max="3" width="14.28515625" style="360" bestFit="1" customWidth="1"/>
    <col min="4" max="4" width="15" style="360" customWidth="1"/>
    <col min="5" max="5" width="14.5703125" style="360" customWidth="1"/>
    <col min="6" max="6" width="15.28515625" style="597" bestFit="1" customWidth="1"/>
    <col min="7" max="7" width="2.140625" style="360" customWidth="1"/>
    <col min="8" max="8" width="14.42578125" style="360" customWidth="1"/>
    <col min="9" max="9" width="1.5703125" style="360" customWidth="1"/>
    <col min="10" max="10" width="11.5703125" style="360" bestFit="1" customWidth="1"/>
    <col min="11" max="11" width="12.140625" style="360" bestFit="1" customWidth="1"/>
    <col min="12" max="12" width="10.140625" style="360" bestFit="1" customWidth="1"/>
    <col min="13" max="13" width="11.85546875" style="360" bestFit="1" customWidth="1"/>
    <col min="14" max="14" width="8" style="360"/>
    <col min="15" max="15" width="11" style="360" bestFit="1" customWidth="1"/>
    <col min="16" max="16384" width="8" style="360"/>
  </cols>
  <sheetData>
    <row r="1" spans="1:18" s="597" customFormat="1">
      <c r="A1" s="1" t="s">
        <v>0</v>
      </c>
      <c r="B1" s="594"/>
      <c r="C1" s="595"/>
      <c r="D1" s="595"/>
      <c r="E1" s="595"/>
      <c r="F1" s="595"/>
      <c r="G1" s="595"/>
      <c r="H1" s="594"/>
      <c r="I1" s="596"/>
    </row>
    <row r="2" spans="1:18" s="597" customFormat="1">
      <c r="A2" s="1" t="s">
        <v>233</v>
      </c>
      <c r="B2" s="594"/>
      <c r="C2" s="595"/>
      <c r="D2" s="598"/>
      <c r="E2" s="598"/>
      <c r="F2" s="595"/>
      <c r="G2" s="595"/>
      <c r="H2" s="594"/>
      <c r="I2" s="596"/>
    </row>
    <row r="3" spans="1:18" s="597" customFormat="1">
      <c r="A3" s="1" t="s">
        <v>200</v>
      </c>
      <c r="B3" s="599"/>
      <c r="C3" s="600"/>
      <c r="D3" s="601"/>
      <c r="E3" s="602"/>
      <c r="F3" s="595"/>
      <c r="G3" s="595"/>
      <c r="H3" s="595"/>
    </row>
    <row r="4" spans="1:18">
      <c r="A4" s="1"/>
      <c r="B4" s="603"/>
      <c r="C4" s="604"/>
      <c r="D4" s="604"/>
      <c r="E4" s="604"/>
      <c r="F4" s="595"/>
      <c r="G4" s="604"/>
      <c r="H4" s="604"/>
    </row>
    <row r="5" spans="1:18">
      <c r="A5" s="556"/>
      <c r="B5" s="603"/>
      <c r="C5" s="604"/>
      <c r="D5" s="604"/>
      <c r="E5" s="604"/>
      <c r="F5" s="595"/>
      <c r="G5" s="604"/>
      <c r="H5" s="604"/>
    </row>
    <row r="6" spans="1:18">
      <c r="A6" s="605"/>
      <c r="B6" s="606"/>
      <c r="C6" s="607"/>
      <c r="D6" s="607"/>
      <c r="E6" s="607"/>
      <c r="F6" s="608"/>
      <c r="G6" s="608"/>
      <c r="H6" s="608"/>
    </row>
    <row r="7" spans="1:18">
      <c r="A7" s="322"/>
      <c r="B7" s="321"/>
      <c r="C7" s="320">
        <f>'9(A).2(A)'!A22</f>
        <v>43252</v>
      </c>
      <c r="D7" s="320">
        <f>'9(A).2(A)'!F22</f>
        <v>43282</v>
      </c>
      <c r="E7" s="320">
        <f>'9(A).2(A)'!K22</f>
        <v>43313</v>
      </c>
      <c r="F7" s="320">
        <f>'9(A).2(A)'!P22</f>
        <v>43344</v>
      </c>
      <c r="G7" s="321"/>
      <c r="H7" s="322" t="s">
        <v>13</v>
      </c>
    </row>
    <row r="8" spans="1:18">
      <c r="A8" s="323" t="s">
        <v>127</v>
      </c>
      <c r="B8" s="325" t="s">
        <v>128</v>
      </c>
      <c r="C8" s="352"/>
      <c r="D8" s="352"/>
      <c r="E8" s="352"/>
      <c r="F8" s="353"/>
      <c r="G8" s="352"/>
      <c r="H8" s="352"/>
    </row>
    <row r="9" spans="1:18">
      <c r="A9" s="323"/>
      <c r="B9" s="326" t="s">
        <v>129</v>
      </c>
      <c r="C9" s="160">
        <v>38139136</v>
      </c>
      <c r="D9" s="160">
        <v>48021838</v>
      </c>
      <c r="E9" s="160">
        <v>45360598</v>
      </c>
      <c r="F9" s="160">
        <v>30731101</v>
      </c>
      <c r="G9" s="40"/>
      <c r="H9" s="160">
        <f>SUM(C9:F9)</f>
        <v>162252673</v>
      </c>
      <c r="I9" s="609"/>
      <c r="J9" s="610"/>
      <c r="K9" s="609"/>
      <c r="L9" s="597"/>
    </row>
    <row r="10" spans="1:18">
      <c r="A10" s="323"/>
      <c r="B10" s="326" t="s">
        <v>130</v>
      </c>
      <c r="C10" s="513">
        <v>7808524</v>
      </c>
      <c r="D10" s="513">
        <v>8084948</v>
      </c>
      <c r="E10" s="513">
        <v>8095105</v>
      </c>
      <c r="F10" s="513">
        <v>7673208</v>
      </c>
      <c r="G10" s="40"/>
      <c r="H10" s="41">
        <f t="shared" ref="H10:H13" si="0">SUM(C10:F10)</f>
        <v>31661785</v>
      </c>
      <c r="I10" s="609"/>
      <c r="J10" s="610"/>
      <c r="K10" s="609"/>
      <c r="L10" s="609"/>
      <c r="M10" s="611"/>
      <c r="N10" s="611"/>
      <c r="O10" s="611"/>
      <c r="P10" s="611"/>
      <c r="Q10" s="611"/>
      <c r="R10" s="611"/>
    </row>
    <row r="11" spans="1:18">
      <c r="A11" s="323"/>
      <c r="B11" s="327" t="s">
        <v>131</v>
      </c>
      <c r="C11" s="513">
        <v>286178</v>
      </c>
      <c r="D11" s="513">
        <v>530683</v>
      </c>
      <c r="E11" s="513">
        <v>539044</v>
      </c>
      <c r="F11" s="513">
        <v>1827505</v>
      </c>
      <c r="G11" s="40"/>
      <c r="H11" s="41">
        <f t="shared" si="0"/>
        <v>3183410</v>
      </c>
      <c r="I11" s="609"/>
      <c r="J11" s="610"/>
      <c r="K11" s="609"/>
      <c r="L11" s="597"/>
    </row>
    <row r="12" spans="1:18">
      <c r="A12" s="323"/>
      <c r="B12" s="326" t="s">
        <v>132</v>
      </c>
      <c r="C12" s="513">
        <v>42026</v>
      </c>
      <c r="D12" s="513">
        <v>12760</v>
      </c>
      <c r="E12" s="513">
        <v>12770</v>
      </c>
      <c r="F12" s="513">
        <v>11835</v>
      </c>
      <c r="G12" s="40"/>
      <c r="H12" s="41">
        <f t="shared" si="0"/>
        <v>79391</v>
      </c>
      <c r="I12" s="609"/>
      <c r="J12" s="610"/>
      <c r="K12" s="609"/>
      <c r="L12" s="597"/>
    </row>
    <row r="13" spans="1:18">
      <c r="A13" s="323"/>
      <c r="B13" s="326" t="s">
        <v>133</v>
      </c>
      <c r="C13" s="513">
        <v>322377</v>
      </c>
      <c r="D13" s="513">
        <v>251563</v>
      </c>
      <c r="E13" s="513">
        <v>338593</v>
      </c>
      <c r="F13" s="513">
        <v>436342</v>
      </c>
      <c r="G13" s="40"/>
      <c r="H13" s="41">
        <f t="shared" si="0"/>
        <v>1348875</v>
      </c>
      <c r="I13" s="609"/>
      <c r="J13" s="610"/>
      <c r="K13" s="609"/>
      <c r="L13" s="597"/>
    </row>
    <row r="14" spans="1:18">
      <c r="A14" s="323"/>
      <c r="B14" s="326" t="s">
        <v>134</v>
      </c>
      <c r="C14" s="514">
        <v>2667895</v>
      </c>
      <c r="D14" s="514">
        <v>1418932</v>
      </c>
      <c r="E14" s="514">
        <v>1609648</v>
      </c>
      <c r="F14" s="514">
        <v>2209417</v>
      </c>
      <c r="G14" s="40"/>
      <c r="H14" s="338">
        <f>SUM(C14:F14)</f>
        <v>7905892</v>
      </c>
      <c r="I14" s="609"/>
      <c r="J14" s="610"/>
      <c r="K14" s="609"/>
      <c r="L14" s="597"/>
    </row>
    <row r="15" spans="1:18">
      <c r="A15" s="323"/>
      <c r="B15" s="326" t="s">
        <v>135</v>
      </c>
      <c r="C15" s="41">
        <f>SUM(C9:C14)</f>
        <v>49266136</v>
      </c>
      <c r="D15" s="41">
        <f>SUM(D9:D14)</f>
        <v>58320724</v>
      </c>
      <c r="E15" s="41">
        <f>SUM(E9:E14)</f>
        <v>55955758</v>
      </c>
      <c r="F15" s="41">
        <f>SUM(F9:F14)</f>
        <v>42889408</v>
      </c>
      <c r="G15" s="40"/>
      <c r="H15" s="278">
        <f>SUM(H9:H14)</f>
        <v>206432026</v>
      </c>
      <c r="I15" s="609"/>
      <c r="J15" s="610"/>
      <c r="K15" s="609"/>
      <c r="L15" s="597"/>
    </row>
    <row r="16" spans="1:18">
      <c r="A16" s="323"/>
      <c r="B16" s="326"/>
      <c r="C16" s="40"/>
      <c r="D16" s="40"/>
      <c r="E16" s="40"/>
      <c r="F16" s="40"/>
      <c r="G16" s="40"/>
      <c r="H16" s="339"/>
      <c r="I16" s="609"/>
      <c r="J16" s="610"/>
      <c r="K16" s="609"/>
      <c r="L16" s="597"/>
    </row>
    <row r="17" spans="1:12">
      <c r="A17" s="323"/>
      <c r="B17" s="326" t="s">
        <v>136</v>
      </c>
      <c r="C17" s="160">
        <v>9351008</v>
      </c>
      <c r="D17" s="160">
        <v>14342321</v>
      </c>
      <c r="E17" s="160">
        <v>14356540</v>
      </c>
      <c r="F17" s="160">
        <v>8721039</v>
      </c>
      <c r="G17" s="40"/>
      <c r="H17" s="160">
        <f>SUM(C17:F17)</f>
        <v>46770908</v>
      </c>
      <c r="I17" s="609"/>
      <c r="J17" s="610"/>
      <c r="K17" s="609"/>
      <c r="L17" s="597"/>
    </row>
    <row r="18" spans="1:12">
      <c r="A18" s="323"/>
      <c r="B18" s="326" t="s">
        <v>137</v>
      </c>
      <c r="C18" s="513">
        <v>0</v>
      </c>
      <c r="D18" s="513">
        <v>0</v>
      </c>
      <c r="E18" s="513">
        <v>0</v>
      </c>
      <c r="F18" s="513">
        <v>0</v>
      </c>
      <c r="G18" s="40"/>
      <c r="H18" s="41">
        <f t="shared" ref="H18:H22" si="1">SUM(C18:F18)</f>
        <v>0</v>
      </c>
      <c r="I18" s="609"/>
      <c r="J18" s="610"/>
      <c r="K18" s="609"/>
      <c r="L18" s="597"/>
    </row>
    <row r="19" spans="1:12">
      <c r="A19" s="323"/>
      <c r="B19" s="326" t="s">
        <v>138</v>
      </c>
      <c r="C19" s="513">
        <v>981746</v>
      </c>
      <c r="D19" s="513">
        <v>1543922</v>
      </c>
      <c r="E19" s="513">
        <v>1123250</v>
      </c>
      <c r="F19" s="513">
        <v>1848670</v>
      </c>
      <c r="G19" s="40"/>
      <c r="H19" s="41">
        <f>SUM(C19:F19)</f>
        <v>5497588</v>
      </c>
      <c r="I19" s="609"/>
      <c r="J19" s="610"/>
      <c r="K19" s="609"/>
      <c r="L19" s="597"/>
    </row>
    <row r="20" spans="1:12">
      <c r="A20" s="323"/>
      <c r="B20" s="326" t="s">
        <v>139</v>
      </c>
      <c r="C20" s="513">
        <v>7800</v>
      </c>
      <c r="D20" s="513">
        <v>7500</v>
      </c>
      <c r="E20" s="513">
        <v>7500</v>
      </c>
      <c r="F20" s="513">
        <v>7500</v>
      </c>
      <c r="G20" s="40"/>
      <c r="H20" s="41">
        <f>SUM(C20:F20)</f>
        <v>30300</v>
      </c>
      <c r="I20" s="609"/>
      <c r="J20" s="610"/>
      <c r="K20" s="609"/>
      <c r="L20" s="597"/>
    </row>
    <row r="21" spans="1:12">
      <c r="A21" s="323"/>
      <c r="B21" s="326" t="s">
        <v>132</v>
      </c>
      <c r="C21" s="513">
        <v>10304</v>
      </c>
      <c r="D21" s="513">
        <v>3811</v>
      </c>
      <c r="E21" s="513">
        <v>4042</v>
      </c>
      <c r="F21" s="513">
        <v>3359</v>
      </c>
      <c r="G21" s="40"/>
      <c r="H21" s="41">
        <f t="shared" si="1"/>
        <v>21516</v>
      </c>
      <c r="I21" s="609"/>
      <c r="J21" s="610"/>
      <c r="K21" s="609"/>
      <c r="L21" s="597"/>
    </row>
    <row r="22" spans="1:12">
      <c r="A22" s="323"/>
      <c r="B22" s="326" t="s">
        <v>140</v>
      </c>
      <c r="C22" s="513">
        <v>583616</v>
      </c>
      <c r="D22" s="513">
        <v>619577</v>
      </c>
      <c r="E22" s="513">
        <v>563287</v>
      </c>
      <c r="F22" s="513">
        <v>457125</v>
      </c>
      <c r="G22" s="40"/>
      <c r="H22" s="41">
        <f t="shared" si="1"/>
        <v>2223605</v>
      </c>
      <c r="I22" s="609"/>
      <c r="J22" s="610"/>
      <c r="K22" s="609"/>
      <c r="L22" s="597"/>
    </row>
    <row r="23" spans="1:12" ht="15.75" customHeight="1">
      <c r="A23" s="323"/>
      <c r="B23" s="326" t="s">
        <v>141</v>
      </c>
      <c r="C23" s="514">
        <v>790974</v>
      </c>
      <c r="D23" s="514">
        <v>286209</v>
      </c>
      <c r="E23" s="514">
        <v>1988105</v>
      </c>
      <c r="F23" s="514">
        <v>1821670</v>
      </c>
      <c r="G23" s="40"/>
      <c r="H23" s="338">
        <f>SUM(C23:F23)</f>
        <v>4886958</v>
      </c>
      <c r="I23" s="609"/>
      <c r="J23" s="610"/>
      <c r="K23" s="609"/>
      <c r="L23" s="597"/>
    </row>
    <row r="24" spans="1:12" ht="15">
      <c r="A24" s="323"/>
      <c r="B24" s="326" t="s">
        <v>142</v>
      </c>
      <c r="C24" s="41">
        <f>SUM(C17:C23)</f>
        <v>11725448</v>
      </c>
      <c r="D24" s="41">
        <f>SUM(D17:D23)</f>
        <v>16803340</v>
      </c>
      <c r="E24" s="41">
        <f>SUM(E17:E23)</f>
        <v>18042724</v>
      </c>
      <c r="F24" s="41">
        <f>SUM(F17:F23)</f>
        <v>12859363</v>
      </c>
      <c r="G24" s="340"/>
      <c r="H24" s="41">
        <f>SUM(H17:H23)</f>
        <v>59430875</v>
      </c>
      <c r="I24" s="609"/>
      <c r="J24" s="610"/>
      <c r="K24" s="609"/>
      <c r="L24" s="597"/>
    </row>
    <row r="25" spans="1:12">
      <c r="A25" s="323"/>
      <c r="B25" s="352"/>
      <c r="C25" s="41"/>
      <c r="D25" s="41"/>
      <c r="E25" s="41"/>
      <c r="F25" s="41"/>
      <c r="G25" s="41"/>
      <c r="H25" s="41"/>
      <c r="I25" s="611"/>
      <c r="J25" s="610"/>
      <c r="K25" s="609"/>
      <c r="L25" s="597"/>
    </row>
    <row r="26" spans="1:12">
      <c r="A26" s="323" t="s">
        <v>143</v>
      </c>
      <c r="B26" s="328" t="s">
        <v>144</v>
      </c>
      <c r="C26" s="41"/>
      <c r="D26" s="41"/>
      <c r="E26" s="41"/>
      <c r="F26" s="41"/>
      <c r="G26" s="41"/>
      <c r="H26" s="41"/>
      <c r="I26" s="611"/>
      <c r="J26" s="610"/>
      <c r="K26" s="609"/>
      <c r="L26" s="597"/>
    </row>
    <row r="27" spans="1:12" ht="15" customHeight="1">
      <c r="A27" s="323"/>
      <c r="B27" s="327" t="s">
        <v>145</v>
      </c>
      <c r="C27" s="160">
        <v>2867893</v>
      </c>
      <c r="D27" s="160">
        <v>2373510</v>
      </c>
      <c r="E27" s="160">
        <v>1940155</v>
      </c>
      <c r="F27" s="160">
        <v>1649210</v>
      </c>
      <c r="G27" s="40"/>
      <c r="H27" s="160">
        <f>SUM(C27:F27)</f>
        <v>8830768</v>
      </c>
      <c r="I27" s="611"/>
      <c r="J27" s="610"/>
      <c r="K27" s="609"/>
      <c r="L27" s="597"/>
    </row>
    <row r="28" spans="1:12">
      <c r="A28" s="323"/>
      <c r="B28" s="327" t="s">
        <v>146</v>
      </c>
      <c r="C28" s="513">
        <v>2311886</v>
      </c>
      <c r="D28" s="513">
        <v>2388949</v>
      </c>
      <c r="E28" s="513">
        <v>2388949</v>
      </c>
      <c r="F28" s="513">
        <v>2311886</v>
      </c>
      <c r="G28" s="40"/>
      <c r="H28" s="41">
        <f t="shared" ref="H28:H31" si="2">SUM(C28:F28)</f>
        <v>9401670</v>
      </c>
      <c r="I28" s="611"/>
      <c r="J28" s="610"/>
      <c r="K28" s="609"/>
      <c r="L28" s="597"/>
    </row>
    <row r="29" spans="1:12">
      <c r="A29" s="323"/>
      <c r="B29" s="326" t="s">
        <v>147</v>
      </c>
      <c r="C29" s="513">
        <v>285612</v>
      </c>
      <c r="D29" s="513">
        <v>222495</v>
      </c>
      <c r="E29" s="513">
        <v>224013</v>
      </c>
      <c r="F29" s="513">
        <v>305972</v>
      </c>
      <c r="G29" s="40"/>
      <c r="H29" s="41">
        <f t="shared" si="2"/>
        <v>1038092</v>
      </c>
      <c r="I29" s="611"/>
      <c r="J29" s="610"/>
      <c r="K29" s="609"/>
      <c r="L29" s="597"/>
    </row>
    <row r="30" spans="1:12">
      <c r="A30" s="323"/>
      <c r="B30" s="326" t="s">
        <v>148</v>
      </c>
      <c r="C30" s="513">
        <v>-46574</v>
      </c>
      <c r="D30" s="513">
        <v>-5935</v>
      </c>
      <c r="E30" s="513">
        <v>-31596</v>
      </c>
      <c r="F30" s="513">
        <v>-4871</v>
      </c>
      <c r="G30" s="40"/>
      <c r="H30" s="41">
        <f t="shared" si="2"/>
        <v>-88976</v>
      </c>
      <c r="I30" s="611"/>
      <c r="J30" s="610"/>
      <c r="K30" s="609"/>
      <c r="L30" s="597"/>
    </row>
    <row r="31" spans="1:12" ht="14.25">
      <c r="A31" s="323"/>
      <c r="B31" s="327" t="s">
        <v>223</v>
      </c>
      <c r="C31" s="514">
        <v>0</v>
      </c>
      <c r="D31" s="514">
        <v>0</v>
      </c>
      <c r="E31" s="514">
        <v>0</v>
      </c>
      <c r="F31" s="514">
        <v>0</v>
      </c>
      <c r="G31" s="40"/>
      <c r="H31" s="338">
        <f t="shared" si="2"/>
        <v>0</v>
      </c>
      <c r="I31" s="611"/>
      <c r="J31" s="610"/>
      <c r="K31" s="609"/>
      <c r="L31" s="597"/>
    </row>
    <row r="32" spans="1:12">
      <c r="A32" s="323"/>
      <c r="B32" s="329" t="s">
        <v>149</v>
      </c>
      <c r="C32" s="249">
        <f>SUM(C27:C31)</f>
        <v>5418817</v>
      </c>
      <c r="D32" s="249">
        <f>SUM(D27:D31)</f>
        <v>4979019</v>
      </c>
      <c r="E32" s="249">
        <f>SUM(E27:E31)</f>
        <v>4521521</v>
      </c>
      <c r="F32" s="249">
        <f>SUM(F27:F31)</f>
        <v>4262197</v>
      </c>
      <c r="G32" s="248"/>
      <c r="H32" s="249">
        <f>SUM(H27:H31)</f>
        <v>19181554</v>
      </c>
      <c r="I32" s="611"/>
      <c r="J32" s="610"/>
      <c r="K32" s="609"/>
      <c r="L32" s="597"/>
    </row>
    <row r="33" spans="1:12">
      <c r="A33" s="323"/>
      <c r="B33" s="612"/>
      <c r="C33" s="247"/>
      <c r="D33" s="247"/>
      <c r="E33" s="247"/>
      <c r="F33" s="249"/>
      <c r="G33" s="341"/>
      <c r="H33" s="247"/>
      <c r="I33" s="611"/>
      <c r="J33" s="610"/>
      <c r="K33" s="609"/>
      <c r="L33" s="597"/>
    </row>
    <row r="34" spans="1:12">
      <c r="A34" s="323" t="s">
        <v>150</v>
      </c>
      <c r="B34" s="313" t="s">
        <v>151</v>
      </c>
      <c r="C34" s="247">
        <f>C15+C24+C32</f>
        <v>66410401</v>
      </c>
      <c r="D34" s="247">
        <f>D15+D24+D32</f>
        <v>80103083</v>
      </c>
      <c r="E34" s="247">
        <f>E15+E24+E32</f>
        <v>78520003</v>
      </c>
      <c r="F34" s="247">
        <f>F15+F24+F32</f>
        <v>60010968</v>
      </c>
      <c r="G34" s="341"/>
      <c r="H34" s="247">
        <f>H15+H24+H32</f>
        <v>285044455</v>
      </c>
      <c r="I34" s="611"/>
      <c r="J34" s="610"/>
      <c r="K34" s="609"/>
      <c r="L34" s="597"/>
    </row>
    <row r="35" spans="1:12">
      <c r="A35" s="323"/>
      <c r="B35" s="313"/>
      <c r="C35" s="247"/>
      <c r="D35" s="247"/>
      <c r="E35" s="247"/>
      <c r="F35" s="247"/>
      <c r="G35" s="341"/>
      <c r="H35" s="247"/>
      <c r="I35" s="611"/>
      <c r="J35" s="610"/>
      <c r="K35" s="613"/>
      <c r="L35" s="597"/>
    </row>
    <row r="36" spans="1:12">
      <c r="A36" s="323" t="s">
        <v>152</v>
      </c>
      <c r="B36" s="330" t="s">
        <v>153</v>
      </c>
      <c r="C36" s="345"/>
      <c r="D36" s="345"/>
      <c r="E36" s="345"/>
      <c r="F36" s="41"/>
      <c r="G36" s="345"/>
      <c r="H36" s="345"/>
      <c r="I36" s="611"/>
      <c r="J36" s="610"/>
      <c r="K36" s="609"/>
      <c r="L36" s="597"/>
    </row>
    <row r="37" spans="1:12" ht="15" customHeight="1">
      <c r="A37" s="323"/>
      <c r="B37" s="332" t="s">
        <v>224</v>
      </c>
      <c r="C37" s="160">
        <v>105218</v>
      </c>
      <c r="D37" s="160">
        <v>110641</v>
      </c>
      <c r="E37" s="160">
        <v>98272</v>
      </c>
      <c r="F37" s="160">
        <v>96590</v>
      </c>
      <c r="G37" s="342"/>
      <c r="H37" s="343">
        <f>SUM(C37:F37)</f>
        <v>410721</v>
      </c>
      <c r="I37" s="611"/>
      <c r="J37" s="610"/>
      <c r="K37" s="597"/>
      <c r="L37" s="597"/>
    </row>
    <row r="38" spans="1:12" ht="14.25">
      <c r="A38" s="323"/>
      <c r="B38" s="332" t="s">
        <v>225</v>
      </c>
      <c r="C38" s="513">
        <v>-61859</v>
      </c>
      <c r="D38" s="513">
        <v>-66535</v>
      </c>
      <c r="E38" s="513">
        <v>-61132</v>
      </c>
      <c r="F38" s="513">
        <v>-62051</v>
      </c>
      <c r="G38" s="342"/>
      <c r="H38" s="158">
        <f t="shared" ref="H38:H40" si="3">SUM(C38:F38)</f>
        <v>-251577</v>
      </c>
      <c r="I38" s="611"/>
      <c r="J38" s="610"/>
    </row>
    <row r="39" spans="1:12">
      <c r="A39" s="323"/>
      <c r="B39" s="331" t="s">
        <v>154</v>
      </c>
      <c r="C39" s="344">
        <f>C37+C38</f>
        <v>43359</v>
      </c>
      <c r="D39" s="344">
        <f>D37+D38</f>
        <v>44106</v>
      </c>
      <c r="E39" s="344">
        <f>E37+E38</f>
        <v>37140</v>
      </c>
      <c r="F39" s="344">
        <f>F37+F38</f>
        <v>34539</v>
      </c>
      <c r="G39" s="40"/>
      <c r="H39" s="341">
        <f>SUM(C39:F39)</f>
        <v>159144</v>
      </c>
      <c r="I39" s="611"/>
      <c r="J39" s="610"/>
      <c r="K39" s="611"/>
    </row>
    <row r="40" spans="1:12">
      <c r="A40" s="323"/>
      <c r="B40" s="313"/>
      <c r="C40" s="513"/>
      <c r="D40" s="513"/>
      <c r="E40" s="513"/>
      <c r="F40" s="513"/>
      <c r="G40" s="40"/>
      <c r="H40" s="345">
        <f t="shared" si="3"/>
        <v>0</v>
      </c>
      <c r="I40" s="611"/>
      <c r="J40" s="610"/>
    </row>
    <row r="41" spans="1:12" ht="13.5" thickBot="1">
      <c r="A41" s="323" t="s">
        <v>155</v>
      </c>
      <c r="B41" s="333" t="s">
        <v>156</v>
      </c>
      <c r="C41" s="346">
        <f>C34+C39</f>
        <v>66453760</v>
      </c>
      <c r="D41" s="346">
        <f>D34+D39</f>
        <v>80147189</v>
      </c>
      <c r="E41" s="346">
        <f>E34+E39</f>
        <v>78557143</v>
      </c>
      <c r="F41" s="346">
        <f>F34+F39</f>
        <v>60045507</v>
      </c>
      <c r="G41" s="347"/>
      <c r="H41" s="348">
        <f>SUM(C41:F41)</f>
        <v>285203599</v>
      </c>
      <c r="I41" s="611"/>
      <c r="J41" s="610"/>
      <c r="K41" s="611"/>
    </row>
    <row r="42" spans="1:12" ht="13.5" thickTop="1">
      <c r="A42" s="323"/>
      <c r="B42" s="326"/>
      <c r="C42" s="513"/>
      <c r="D42" s="513"/>
      <c r="E42" s="513"/>
      <c r="F42" s="513"/>
      <c r="G42" s="342"/>
      <c r="H42" s="345"/>
      <c r="I42" s="611"/>
      <c r="J42" s="610"/>
    </row>
    <row r="43" spans="1:12">
      <c r="A43" s="323" t="s">
        <v>157</v>
      </c>
      <c r="B43" s="333" t="s">
        <v>158</v>
      </c>
      <c r="C43" s="345"/>
      <c r="D43" s="345"/>
      <c r="E43" s="345"/>
      <c r="F43" s="41"/>
      <c r="G43" s="345"/>
      <c r="H43" s="345"/>
      <c r="I43" s="611"/>
      <c r="J43" s="610"/>
      <c r="K43" s="611"/>
    </row>
    <row r="44" spans="1:12" s="597" customFormat="1">
      <c r="A44" s="324"/>
      <c r="B44" s="327" t="s">
        <v>159</v>
      </c>
      <c r="C44" s="160">
        <v>16479919</v>
      </c>
      <c r="D44" s="160">
        <v>20396598</v>
      </c>
      <c r="E44" s="160">
        <v>20105837</v>
      </c>
      <c r="F44" s="160">
        <v>16306970</v>
      </c>
      <c r="G44" s="40"/>
      <c r="H44" s="160">
        <f>SUM(C44:F44)</f>
        <v>73289324</v>
      </c>
      <c r="I44" s="611"/>
      <c r="J44" s="610"/>
    </row>
    <row r="45" spans="1:12">
      <c r="A45" s="323"/>
      <c r="B45" s="327" t="s">
        <v>160</v>
      </c>
      <c r="C45" s="513">
        <v>1095989</v>
      </c>
      <c r="D45" s="513">
        <v>1686340</v>
      </c>
      <c r="E45" s="513">
        <v>1098118</v>
      </c>
      <c r="F45" s="513">
        <v>1729875</v>
      </c>
      <c r="G45" s="342"/>
      <c r="H45" s="345">
        <f>SUM(C45:F45)</f>
        <v>5610322</v>
      </c>
      <c r="I45" s="611"/>
      <c r="J45" s="610"/>
      <c r="K45" s="611"/>
    </row>
    <row r="46" spans="1:12">
      <c r="A46" s="323"/>
      <c r="B46" s="326" t="s">
        <v>161</v>
      </c>
      <c r="C46" s="513">
        <v>2929898</v>
      </c>
      <c r="D46" s="513">
        <v>3011394</v>
      </c>
      <c r="E46" s="513">
        <v>3011395</v>
      </c>
      <c r="F46" s="513">
        <v>2929898</v>
      </c>
      <c r="G46" s="342"/>
      <c r="H46" s="345">
        <f t="shared" ref="H46:H48" si="4">SUM(C46:F46)</f>
        <v>11882585</v>
      </c>
      <c r="I46" s="611"/>
      <c r="J46" s="610"/>
    </row>
    <row r="47" spans="1:12">
      <c r="A47" s="323"/>
      <c r="B47" s="326" t="s">
        <v>162</v>
      </c>
      <c r="C47" s="513">
        <v>-333544</v>
      </c>
      <c r="D47" s="513">
        <v>-321251</v>
      </c>
      <c r="E47" s="513">
        <v>-160345</v>
      </c>
      <c r="F47" s="513">
        <v>-360129</v>
      </c>
      <c r="G47" s="342"/>
      <c r="H47" s="345">
        <f t="shared" si="4"/>
        <v>-1175269</v>
      </c>
      <c r="I47" s="611"/>
      <c r="J47" s="610"/>
    </row>
    <row r="48" spans="1:12">
      <c r="A48" s="323"/>
      <c r="B48" s="326" t="s">
        <v>163</v>
      </c>
      <c r="C48" s="513">
        <v>669803</v>
      </c>
      <c r="D48" s="513">
        <v>718470</v>
      </c>
      <c r="E48" s="513">
        <v>665130</v>
      </c>
      <c r="F48" s="513">
        <v>940528</v>
      </c>
      <c r="G48" s="342"/>
      <c r="H48" s="345">
        <f t="shared" si="4"/>
        <v>2993931</v>
      </c>
      <c r="I48" s="611"/>
      <c r="J48" s="610"/>
    </row>
    <row r="49" spans="1:17">
      <c r="A49" s="323"/>
      <c r="B49" s="326" t="s">
        <v>164</v>
      </c>
      <c r="C49" s="514">
        <v>0</v>
      </c>
      <c r="D49" s="514">
        <v>0</v>
      </c>
      <c r="E49" s="514">
        <v>0</v>
      </c>
      <c r="F49" s="514">
        <v>0</v>
      </c>
      <c r="G49" s="342"/>
      <c r="H49" s="158">
        <f>SUM(C49:F49)</f>
        <v>0</v>
      </c>
      <c r="I49" s="611"/>
      <c r="J49" s="610"/>
    </row>
    <row r="50" spans="1:17">
      <c r="A50" s="323"/>
      <c r="B50" s="313" t="s">
        <v>165</v>
      </c>
      <c r="C50" s="247">
        <f>SUM(C44:C49)</f>
        <v>20842065</v>
      </c>
      <c r="D50" s="247">
        <f>SUM(D44:D49)</f>
        <v>25491551</v>
      </c>
      <c r="E50" s="247">
        <f>SUM(E44:E49)</f>
        <v>24720135</v>
      </c>
      <c r="F50" s="249">
        <f>SUM(F44:F49)</f>
        <v>21547142</v>
      </c>
      <c r="G50" s="345"/>
      <c r="H50" s="247">
        <f>SUM(H44:H49)</f>
        <v>92600893</v>
      </c>
      <c r="I50" s="611"/>
      <c r="J50" s="610"/>
    </row>
    <row r="51" spans="1:17" ht="15">
      <c r="A51" s="323"/>
      <c r="B51" s="614"/>
      <c r="C51" s="615"/>
      <c r="D51" s="615"/>
      <c r="E51" s="615"/>
      <c r="F51" s="616"/>
      <c r="G51" s="345"/>
      <c r="H51" s="617"/>
      <c r="I51" s="611"/>
      <c r="J51" s="610"/>
      <c r="K51" s="611"/>
      <c r="L51" s="618"/>
    </row>
    <row r="52" spans="1:17" ht="15" thickBot="1">
      <c r="A52" s="323" t="s">
        <v>166</v>
      </c>
      <c r="B52" s="334" t="s">
        <v>226</v>
      </c>
      <c r="C52" s="349">
        <f>C41-C50</f>
        <v>45611695</v>
      </c>
      <c r="D52" s="349">
        <f>D41-D50</f>
        <v>54655638</v>
      </c>
      <c r="E52" s="349">
        <f>E41-E50</f>
        <v>53837008</v>
      </c>
      <c r="F52" s="349">
        <f>F41-F50</f>
        <v>38498365</v>
      </c>
      <c r="G52" s="350"/>
      <c r="H52" s="349">
        <f>H41-H50</f>
        <v>192602706</v>
      </c>
      <c r="I52" s="611"/>
      <c r="J52" s="610"/>
      <c r="K52" s="611"/>
      <c r="L52" s="618"/>
      <c r="M52" s="618"/>
      <c r="O52" s="618"/>
      <c r="Q52" s="618"/>
    </row>
    <row r="53" spans="1:17" ht="13.5" thickTop="1">
      <c r="A53" s="323"/>
      <c r="B53" s="352"/>
      <c r="C53" s="351"/>
      <c r="D53" s="352"/>
      <c r="E53" s="351"/>
      <c r="F53" s="353"/>
      <c r="G53" s="351"/>
      <c r="H53" s="351"/>
      <c r="I53" s="618"/>
      <c r="J53" s="610"/>
      <c r="K53" s="619"/>
    </row>
    <row r="54" spans="1:17" s="597" customFormat="1" ht="14.25">
      <c r="A54" s="324"/>
      <c r="B54" s="335" t="s">
        <v>227</v>
      </c>
      <c r="C54" s="513">
        <f>'9(A).2(A)'!D29</f>
        <v>51307366</v>
      </c>
      <c r="D54" s="513">
        <f>'9(A).2(A)'!I29</f>
        <v>53729711</v>
      </c>
      <c r="E54" s="513">
        <f>'9(A).2(A)'!N29</f>
        <v>51635114</v>
      </c>
      <c r="F54" s="513">
        <f>'9(A).2(A)'!S29</f>
        <v>45036757</v>
      </c>
      <c r="G54" s="354"/>
      <c r="H54" s="355">
        <f>SUM(C54:F54)</f>
        <v>201708948</v>
      </c>
      <c r="I54" s="611"/>
      <c r="J54" s="610"/>
      <c r="K54" s="620"/>
      <c r="L54" s="613"/>
    </row>
    <row r="55" spans="1:17">
      <c r="A55" s="597"/>
      <c r="B55" s="336" t="s">
        <v>207</v>
      </c>
      <c r="C55" s="355">
        <f>+C52-C54</f>
        <v>-5695671</v>
      </c>
      <c r="D55" s="355">
        <f>+D52-D54</f>
        <v>925927</v>
      </c>
      <c r="E55" s="355">
        <f>+E52-E54</f>
        <v>2201894</v>
      </c>
      <c r="F55" s="355">
        <f>+F52-F54</f>
        <v>-6538392</v>
      </c>
      <c r="G55" s="353"/>
      <c r="H55" s="355">
        <f>+H52-H54</f>
        <v>-9106242</v>
      </c>
      <c r="I55" s="611"/>
      <c r="J55" s="610"/>
    </row>
    <row r="56" spans="1:17">
      <c r="A56" s="597"/>
      <c r="B56" s="337" t="s">
        <v>209</v>
      </c>
      <c r="C56" s="356">
        <f>ROUND(C55*0.95,0)</f>
        <v>-5410887</v>
      </c>
      <c r="D56" s="356">
        <f>ROUND(D55*0.95,0)</f>
        <v>879631</v>
      </c>
      <c r="E56" s="356">
        <f>ROUND(E55*0.95,0)</f>
        <v>2091799</v>
      </c>
      <c r="F56" s="356">
        <f>ROUND(F55*0.95,0)</f>
        <v>-6211472</v>
      </c>
      <c r="G56" s="357"/>
      <c r="H56" s="356">
        <f>C56+D56+E56+F56</f>
        <v>-8650929</v>
      </c>
      <c r="I56" s="611"/>
      <c r="J56" s="610"/>
    </row>
    <row r="57" spans="1:17" s="597" customFormat="1">
      <c r="C57" s="357"/>
      <c r="D57" s="357"/>
      <c r="E57" s="357"/>
      <c r="F57" s="357"/>
      <c r="G57" s="357"/>
      <c r="H57" s="357"/>
      <c r="I57" s="611"/>
      <c r="J57" s="618"/>
    </row>
    <row r="58" spans="1:17">
      <c r="C58" s="353"/>
      <c r="D58" s="353"/>
      <c r="E58" s="353"/>
      <c r="F58" s="353"/>
      <c r="G58" s="353"/>
      <c r="H58" s="353"/>
      <c r="I58" s="611"/>
      <c r="K58" s="611"/>
    </row>
    <row r="59" spans="1:17" s="597" customFormat="1" ht="14.25">
      <c r="A59" s="358">
        <v>1</v>
      </c>
      <c r="B59" s="702" t="s">
        <v>208</v>
      </c>
      <c r="C59" s="702"/>
      <c r="D59" s="702"/>
      <c r="E59" s="702"/>
      <c r="F59" s="702"/>
      <c r="G59" s="702"/>
      <c r="H59" s="702"/>
      <c r="I59" s="621"/>
      <c r="J59" s="353"/>
      <c r="K59" s="622"/>
      <c r="L59" s="623"/>
      <c r="M59" s="623"/>
    </row>
    <row r="60" spans="1:17" s="597" customFormat="1" ht="27.75" customHeight="1">
      <c r="A60" s="358">
        <v>2</v>
      </c>
      <c r="B60" s="702" t="s">
        <v>202</v>
      </c>
      <c r="C60" s="702"/>
      <c r="D60" s="702"/>
      <c r="E60" s="702"/>
      <c r="F60" s="702"/>
      <c r="G60" s="702"/>
      <c r="H60" s="702"/>
      <c r="I60" s="624"/>
      <c r="J60" s="625"/>
      <c r="K60" s="626"/>
      <c r="L60" s="353"/>
      <c r="M60" s="353"/>
    </row>
    <row r="61" spans="1:17" ht="14.25">
      <c r="A61" s="359">
        <v>3</v>
      </c>
      <c r="B61" s="703" t="s">
        <v>215</v>
      </c>
      <c r="C61" s="703"/>
      <c r="D61" s="703"/>
      <c r="E61" s="703"/>
      <c r="F61" s="703"/>
      <c r="H61" s="355"/>
      <c r="I61" s="597"/>
      <c r="J61" s="597"/>
      <c r="K61" s="597"/>
      <c r="L61" s="597"/>
      <c r="M61" s="597"/>
      <c r="N61" s="597"/>
    </row>
    <row r="62" spans="1:17" ht="30.75" customHeight="1">
      <c r="A62" s="361">
        <v>4</v>
      </c>
      <c r="B62" s="703" t="s">
        <v>216</v>
      </c>
      <c r="C62" s="703"/>
      <c r="D62" s="703"/>
      <c r="E62" s="703"/>
      <c r="F62" s="703"/>
      <c r="H62" s="355"/>
      <c r="I62" s="597"/>
      <c r="J62" s="597"/>
      <c r="K62" s="597"/>
      <c r="L62" s="597"/>
      <c r="M62" s="597"/>
      <c r="N62" s="597"/>
    </row>
    <row r="63" spans="1:17" ht="14.25">
      <c r="A63" s="361">
        <v>5</v>
      </c>
      <c r="B63" s="703" t="s">
        <v>217</v>
      </c>
      <c r="C63" s="703"/>
      <c r="D63" s="703"/>
      <c r="E63" s="703"/>
      <c r="F63" s="703"/>
      <c r="H63" s="351"/>
    </row>
    <row r="64" spans="1:17" s="597" customFormat="1"/>
  </sheetData>
  <mergeCells count="5">
    <mergeCell ref="B59:H59"/>
    <mergeCell ref="B60:H60"/>
    <mergeCell ref="B61:F61"/>
    <mergeCell ref="B62:F62"/>
    <mergeCell ref="B63:F63"/>
  </mergeCells>
  <printOptions horizontalCentered="1"/>
  <pageMargins left="0" right="0" top="0" bottom="0.25" header="0" footer="0"/>
  <pageSetup scale="48" orientation="portrait" r:id="rId1"/>
  <headerFooter alignWithMargins="0">
    <oddFooter>&amp;CSchedule MA-TU&amp;RConfidential
4 CSR 240-2.090(9(A).2(A))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pageSetUpPr fitToPage="1"/>
  </sheetPr>
  <dimension ref="A1:P69"/>
  <sheetViews>
    <sheetView zoomScale="85" zoomScaleNormal="85" workbookViewId="0">
      <selection activeCell="L25" sqref="L25"/>
    </sheetView>
  </sheetViews>
  <sheetFormatPr defaultRowHeight="12.75"/>
  <cols>
    <col min="1" max="1" width="20.42578125" customWidth="1"/>
    <col min="2" max="2" width="12.5703125" customWidth="1"/>
    <col min="3" max="4" width="15.5703125" customWidth="1"/>
    <col min="5" max="5" width="15.7109375" customWidth="1"/>
    <col min="6" max="6" width="15.5703125" customWidth="1"/>
    <col min="7" max="7" width="15.28515625" bestFit="1" customWidth="1"/>
    <col min="8" max="8" width="10.28515625" bestFit="1" customWidth="1"/>
    <col min="12" max="12" width="10.5703125" bestFit="1" customWidth="1"/>
  </cols>
  <sheetData>
    <row r="1" spans="1:8">
      <c r="A1" s="1" t="s">
        <v>0</v>
      </c>
    </row>
    <row r="2" spans="1:8">
      <c r="A2" s="1" t="s">
        <v>8</v>
      </c>
    </row>
    <row r="3" spans="1:8">
      <c r="A3" s="2" t="s">
        <v>9</v>
      </c>
    </row>
    <row r="4" spans="1:8">
      <c r="A4" s="1"/>
    </row>
    <row r="5" spans="1:8">
      <c r="B5" s="94"/>
      <c r="C5" s="84"/>
    </row>
    <row r="6" spans="1:8" ht="13.5" thickBot="1"/>
    <row r="7" spans="1:8" ht="15" thickBot="1">
      <c r="C7" s="73" t="s">
        <v>10</v>
      </c>
      <c r="D7" s="74"/>
      <c r="E7" s="75"/>
      <c r="F7" s="75"/>
      <c r="G7" s="76"/>
      <c r="H7" s="3"/>
    </row>
    <row r="8" spans="1:8" ht="13.5" thickBot="1">
      <c r="A8" s="69" t="s">
        <v>11</v>
      </c>
      <c r="B8" s="69" t="s">
        <v>12</v>
      </c>
      <c r="C8" s="70">
        <v>42887</v>
      </c>
      <c r="D8" s="83">
        <v>42917</v>
      </c>
      <c r="E8" s="71">
        <v>42948</v>
      </c>
      <c r="F8" s="83">
        <v>42979</v>
      </c>
      <c r="G8" s="72" t="s">
        <v>13</v>
      </c>
    </row>
    <row r="9" spans="1:8">
      <c r="A9" t="s">
        <v>14</v>
      </c>
      <c r="B9" t="s">
        <v>15</v>
      </c>
      <c r="C9" s="4">
        <f>$C$19*(C53/C$63)</f>
        <v>-3036879.8399160048</v>
      </c>
      <c r="D9" s="6">
        <f>$D$19*(D53/D$63)</f>
        <v>4956636.0044136727</v>
      </c>
      <c r="E9" s="6">
        <f>$E$19*(E53/E$63)</f>
        <v>1645189.6465406059</v>
      </c>
      <c r="F9" s="6">
        <f>$F$19*(F53/F$63)</f>
        <v>1467371.5990094698</v>
      </c>
      <c r="G9" s="6">
        <f>SUM(C9:F9)</f>
        <v>5032317.4100477435</v>
      </c>
    </row>
    <row r="10" spans="1:8">
      <c r="A10" t="s">
        <v>16</v>
      </c>
      <c r="B10" t="s">
        <v>15</v>
      </c>
      <c r="C10" s="5">
        <f>$C$19*(C54/C$63)</f>
        <v>-739896.37714209175</v>
      </c>
      <c r="D10" s="7">
        <f>$D$19*(D54/D$63)</f>
        <v>1117592.9427932112</v>
      </c>
      <c r="E10" s="7">
        <f>$E$19*(E54/E$63)</f>
        <v>467739.92757390422</v>
      </c>
      <c r="F10" s="7">
        <f>$F$19*(F54/F$63)</f>
        <v>406460.42031149857</v>
      </c>
      <c r="G10" s="7">
        <f>SUM(C10:F10)</f>
        <v>1251896.9135365221</v>
      </c>
    </row>
    <row r="11" spans="1:8">
      <c r="A11" t="s">
        <v>17</v>
      </c>
      <c r="B11" t="s">
        <v>15</v>
      </c>
      <c r="C11" s="5">
        <f t="shared" ref="C11:C18" si="0">$C$19*(C55/C$63)</f>
        <v>-1784616.7244330726</v>
      </c>
      <c r="D11" s="7">
        <f t="shared" ref="D11:D18" si="1">$D$19*(D55/D$63)</f>
        <v>2538036.1742258044</v>
      </c>
      <c r="E11" s="7">
        <f t="shared" ref="E11:E18" si="2">$E$19*(E55/E$63)</f>
        <v>1156970.2947334272</v>
      </c>
      <c r="F11" s="7">
        <f t="shared" ref="F11:F18" si="3">$F$19*(F55/F$63)</f>
        <v>1027762.4613299532</v>
      </c>
      <c r="G11" s="7">
        <f>SUM(C11:F11)</f>
        <v>2938152.2058561123</v>
      </c>
    </row>
    <row r="12" spans="1:8">
      <c r="A12" t="s">
        <v>18</v>
      </c>
      <c r="B12" t="s">
        <v>19</v>
      </c>
      <c r="C12" s="5">
        <f t="shared" si="0"/>
        <v>-834174.57676702237</v>
      </c>
      <c r="D12" s="7">
        <f t="shared" si="1"/>
        <v>1093497.4561935607</v>
      </c>
      <c r="E12" s="7">
        <f t="shared" si="2"/>
        <v>517935.57539918902</v>
      </c>
      <c r="F12" s="7">
        <f t="shared" si="3"/>
        <v>454638.02033598046</v>
      </c>
      <c r="G12" s="7">
        <f>SUM(C12:F12)</f>
        <v>1231896.475161708</v>
      </c>
    </row>
    <row r="13" spans="1:8" ht="12.75" customHeight="1">
      <c r="A13" s="119" t="s">
        <v>20</v>
      </c>
      <c r="B13" s="54" t="s">
        <v>15</v>
      </c>
      <c r="C13" s="5">
        <f t="shared" si="0"/>
        <v>-33769.673556476002</v>
      </c>
      <c r="D13" s="7">
        <f t="shared" si="1"/>
        <v>49588.053384637846</v>
      </c>
      <c r="E13" s="7">
        <f t="shared" si="2"/>
        <v>23768.29566357721</v>
      </c>
      <c r="F13" s="7">
        <f t="shared" si="3"/>
        <v>24091.184735000599</v>
      </c>
      <c r="G13" s="55">
        <f>SUM(C13:F13)</f>
        <v>63677.860226739649</v>
      </c>
    </row>
    <row r="14" spans="1:8">
      <c r="A14" t="s">
        <v>21</v>
      </c>
      <c r="C14" s="5"/>
      <c r="D14" s="7"/>
      <c r="E14" s="7"/>
      <c r="F14" s="7"/>
      <c r="G14" s="7"/>
    </row>
    <row r="15" spans="1:8">
      <c r="A15" s="56" t="s">
        <v>22</v>
      </c>
      <c r="B15" t="s">
        <v>19</v>
      </c>
      <c r="C15" s="5">
        <f t="shared" si="0"/>
        <v>-37575.462324637672</v>
      </c>
      <c r="D15" s="7">
        <f t="shared" si="1"/>
        <v>46473.421670384749</v>
      </c>
      <c r="E15" s="7">
        <f t="shared" si="2"/>
        <v>20641.681951410861</v>
      </c>
      <c r="F15" s="7">
        <f t="shared" si="3"/>
        <v>21155.136650553453</v>
      </c>
      <c r="G15" s="7">
        <f t="shared" ref="G15:G18" si="4">SUM(C15:F15)</f>
        <v>50694.777947711395</v>
      </c>
    </row>
    <row r="16" spans="1:8">
      <c r="A16" s="56" t="s">
        <v>23</v>
      </c>
      <c r="B16" t="s">
        <v>19</v>
      </c>
      <c r="C16" s="5">
        <f t="shared" si="0"/>
        <v>-504844.31958328397</v>
      </c>
      <c r="D16" s="7">
        <f t="shared" si="1"/>
        <v>650150.45640154777</v>
      </c>
      <c r="E16" s="7">
        <f t="shared" si="2"/>
        <v>314234.41601848602</v>
      </c>
      <c r="F16" s="7">
        <f t="shared" si="3"/>
        <v>278383.83707549889</v>
      </c>
      <c r="G16" s="7">
        <f t="shared" si="4"/>
        <v>737924.38991224871</v>
      </c>
    </row>
    <row r="17" spans="1:16">
      <c r="A17" s="56" t="s">
        <v>24</v>
      </c>
      <c r="B17" t="s">
        <v>19</v>
      </c>
      <c r="C17" s="5">
        <f t="shared" si="0"/>
        <v>-343469.02627741121</v>
      </c>
      <c r="D17" s="7">
        <f t="shared" si="1"/>
        <v>412539.49091718107</v>
      </c>
      <c r="E17" s="7">
        <f t="shared" si="2"/>
        <v>206892.16211939958</v>
      </c>
      <c r="F17" s="7">
        <f t="shared" si="3"/>
        <v>195881.34055204486</v>
      </c>
      <c r="G17" s="7">
        <f t="shared" si="4"/>
        <v>471843.96731121431</v>
      </c>
    </row>
    <row r="18" spans="1:16">
      <c r="A18" s="110" t="s">
        <v>25</v>
      </c>
      <c r="B18" s="94" t="s">
        <v>26</v>
      </c>
      <c r="C18" s="157">
        <f t="shared" si="0"/>
        <v>0</v>
      </c>
      <c r="D18" s="158">
        <f t="shared" si="1"/>
        <v>0</v>
      </c>
      <c r="E18" s="158">
        <f t="shared" si="2"/>
        <v>0</v>
      </c>
      <c r="F18" s="158">
        <f t="shared" si="3"/>
        <v>0</v>
      </c>
      <c r="G18" s="158">
        <f t="shared" si="4"/>
        <v>0</v>
      </c>
      <c r="K18" s="58"/>
      <c r="L18" s="58"/>
      <c r="M18" s="58"/>
      <c r="N18" s="58"/>
    </row>
    <row r="19" spans="1:16" s="94" customFormat="1">
      <c r="A19" s="110"/>
      <c r="C19" s="132">
        <v>-7315226</v>
      </c>
      <c r="D19" s="41">
        <v>10864514</v>
      </c>
      <c r="E19" s="41">
        <v>4353372</v>
      </c>
      <c r="F19" s="41">
        <v>3875744</v>
      </c>
      <c r="G19" s="160">
        <f>SUM(C19:F19)</f>
        <v>11778404</v>
      </c>
      <c r="K19" s="38"/>
      <c r="L19" s="38"/>
      <c r="M19" s="38"/>
      <c r="N19" s="38"/>
    </row>
    <row r="20" spans="1:16">
      <c r="B20" s="122"/>
      <c r="C20" s="159"/>
      <c r="D20" s="159"/>
      <c r="E20" s="159"/>
      <c r="F20" s="159"/>
      <c r="G20" s="160"/>
      <c r="I20" s="94"/>
      <c r="J20" s="95"/>
      <c r="K20" s="130"/>
      <c r="L20" s="137"/>
      <c r="M20" s="137"/>
      <c r="N20" s="137"/>
      <c r="O20" s="87"/>
    </row>
    <row r="21" spans="1:16" ht="14.25">
      <c r="C21" s="87"/>
      <c r="D21" s="87"/>
      <c r="E21" s="87"/>
      <c r="F21" s="87"/>
      <c r="K21" s="124"/>
      <c r="L21" s="124"/>
      <c r="M21" s="124"/>
      <c r="N21" s="124"/>
    </row>
    <row r="22" spans="1:16" ht="13.5" thickBot="1">
      <c r="K22" s="58"/>
      <c r="L22" s="58"/>
      <c r="M22" s="123"/>
      <c r="N22" s="123"/>
      <c r="O22" s="87"/>
      <c r="P22" s="87"/>
    </row>
    <row r="23" spans="1:16" ht="13.5" thickBot="1">
      <c r="B23" s="10"/>
      <c r="C23" s="77" t="s">
        <v>27</v>
      </c>
      <c r="D23" s="13"/>
      <c r="E23" s="13"/>
      <c r="F23" s="13"/>
      <c r="G23" s="78"/>
      <c r="K23" s="58"/>
      <c r="L23" s="58"/>
      <c r="M23" s="58"/>
      <c r="N23" s="58"/>
    </row>
    <row r="24" spans="1:16">
      <c r="B24" t="s">
        <v>19</v>
      </c>
      <c r="C24" s="4">
        <f t="shared" ref="C24:F26" si="5">SUMIF($B$9:$B$18,$B24,C$9:C$18)</f>
        <v>-1720063.3849523552</v>
      </c>
      <c r="D24" s="4">
        <f t="shared" si="5"/>
        <v>2202660.8251826745</v>
      </c>
      <c r="E24" s="4">
        <f t="shared" si="5"/>
        <v>1059703.8354884854</v>
      </c>
      <c r="F24" s="4">
        <f t="shared" si="5"/>
        <v>950058.33461407758</v>
      </c>
      <c r="G24" s="4">
        <f>SUM(C24:F24)</f>
        <v>2492359.610332882</v>
      </c>
    </row>
    <row r="25" spans="1:16">
      <c r="B25" t="s">
        <v>15</v>
      </c>
      <c r="C25" s="5">
        <f t="shared" si="5"/>
        <v>-5595162.6150476448</v>
      </c>
      <c r="D25" s="5">
        <f t="shared" si="5"/>
        <v>8661853.1748173255</v>
      </c>
      <c r="E25" s="5">
        <f t="shared" si="5"/>
        <v>3293668.1645115144</v>
      </c>
      <c r="F25" s="5">
        <f t="shared" si="5"/>
        <v>2925685.6653859224</v>
      </c>
      <c r="G25" s="5">
        <f>SUM(C25:F25)</f>
        <v>9286044.389667118</v>
      </c>
    </row>
    <row r="26" spans="1:16">
      <c r="B26" t="s">
        <v>26</v>
      </c>
      <c r="C26" s="157">
        <f t="shared" si="5"/>
        <v>0</v>
      </c>
      <c r="D26" s="157">
        <f t="shared" si="5"/>
        <v>0</v>
      </c>
      <c r="E26" s="157">
        <f t="shared" si="5"/>
        <v>0</v>
      </c>
      <c r="F26" s="157">
        <f t="shared" si="5"/>
        <v>0</v>
      </c>
      <c r="G26" s="157">
        <f>SUM(C26:F26)</f>
        <v>0</v>
      </c>
    </row>
    <row r="27" spans="1:16">
      <c r="C27" s="4">
        <f>SUM(C24:C26)</f>
        <v>-7315226</v>
      </c>
      <c r="D27" s="4">
        <f>SUM(D24:D26)</f>
        <v>10864514</v>
      </c>
      <c r="E27" s="4">
        <f>SUM(E24:E26)</f>
        <v>4353372</v>
      </c>
      <c r="F27" s="4">
        <f>SUM(F24:F26)</f>
        <v>3875744</v>
      </c>
      <c r="G27" s="4">
        <f>SUM(C27:F27)</f>
        <v>11778404</v>
      </c>
    </row>
    <row r="28" spans="1:16">
      <c r="C28" s="87"/>
      <c r="D28" s="87"/>
      <c r="E28" s="87"/>
      <c r="F28" s="87"/>
      <c r="G28" s="87"/>
    </row>
    <row r="29" spans="1:16" ht="13.5" thickBot="1"/>
    <row r="30" spans="1:16" ht="13.5" thickBot="1">
      <c r="A30" s="14" t="s">
        <v>11</v>
      </c>
      <c r="B30" s="14" t="s">
        <v>12</v>
      </c>
      <c r="C30" s="16" t="s">
        <v>28</v>
      </c>
      <c r="D30" s="15"/>
      <c r="E30" s="15"/>
      <c r="F30" s="15"/>
      <c r="G30" s="17"/>
      <c r="H30" s="94"/>
    </row>
    <row r="31" spans="1:16">
      <c r="A31" t="s">
        <v>14</v>
      </c>
      <c r="B31" t="s">
        <v>15</v>
      </c>
      <c r="C31" s="145">
        <v>1192038742</v>
      </c>
      <c r="D31" s="145">
        <v>1559484976</v>
      </c>
      <c r="E31" s="145">
        <v>1067905726</v>
      </c>
      <c r="F31" s="145">
        <v>985774602</v>
      </c>
      <c r="G31" s="7">
        <f>SUM(C31:F31)</f>
        <v>4805204046</v>
      </c>
      <c r="H31" s="94"/>
    </row>
    <row r="32" spans="1:16">
      <c r="A32" t="s">
        <v>16</v>
      </c>
      <c r="B32" t="s">
        <v>15</v>
      </c>
      <c r="C32" s="145">
        <v>290424776</v>
      </c>
      <c r="D32" s="145">
        <v>351623440</v>
      </c>
      <c r="E32" s="145">
        <v>303613719</v>
      </c>
      <c r="F32" s="145">
        <v>273058549</v>
      </c>
      <c r="G32" s="7">
        <f>SUM(C32:F32)</f>
        <v>1218720484</v>
      </c>
      <c r="H32" s="94"/>
    </row>
    <row r="33" spans="1:11">
      <c r="A33" t="s">
        <v>17</v>
      </c>
      <c r="B33" t="s">
        <v>15</v>
      </c>
      <c r="C33" s="145">
        <v>700499324</v>
      </c>
      <c r="D33" s="145">
        <v>798531358</v>
      </c>
      <c r="E33" s="145">
        <v>750998649</v>
      </c>
      <c r="F33" s="145">
        <v>690446873</v>
      </c>
      <c r="G33" s="7">
        <f>SUM(C33:F33)</f>
        <v>2940476204</v>
      </c>
      <c r="H33" s="94"/>
    </row>
    <row r="34" spans="1:11">
      <c r="A34" t="s">
        <v>18</v>
      </c>
      <c r="B34" t="s">
        <v>19</v>
      </c>
      <c r="C34" s="145">
        <v>337377316</v>
      </c>
      <c r="D34" s="145">
        <v>354493366</v>
      </c>
      <c r="E34" s="145">
        <v>346408753</v>
      </c>
      <c r="F34" s="145">
        <v>314701951</v>
      </c>
      <c r="G34" s="7">
        <f>SUM(C34:F34)</f>
        <v>1352981386</v>
      </c>
      <c r="H34" s="94"/>
    </row>
    <row r="35" spans="1:11" ht="12.75" customHeight="1">
      <c r="A35" s="119" t="s">
        <v>20</v>
      </c>
      <c r="B35" s="54" t="s">
        <v>15</v>
      </c>
      <c r="C35" s="146">
        <v>13255302</v>
      </c>
      <c r="D35" s="146">
        <v>15601675</v>
      </c>
      <c r="E35" s="146">
        <v>15428190</v>
      </c>
      <c r="F35" s="146">
        <v>16184365</v>
      </c>
      <c r="G35" s="55">
        <f>SUM(C35:F35)</f>
        <v>60469532</v>
      </c>
      <c r="H35" s="94"/>
    </row>
    <row r="36" spans="1:11">
      <c r="A36" t="s">
        <v>21</v>
      </c>
      <c r="C36" s="145"/>
      <c r="D36" s="145"/>
      <c r="E36" s="145"/>
      <c r="F36" s="145"/>
      <c r="G36" s="7"/>
      <c r="H36" s="94"/>
    </row>
    <row r="37" spans="1:11">
      <c r="A37" s="56" t="s">
        <v>22</v>
      </c>
      <c r="B37" t="s">
        <v>19</v>
      </c>
      <c r="C37" s="145">
        <v>15682776</v>
      </c>
      <c r="D37" s="145">
        <v>15547289</v>
      </c>
      <c r="E37" s="145">
        <v>14246818</v>
      </c>
      <c r="F37" s="145">
        <v>15111556</v>
      </c>
      <c r="G37" s="55">
        <f t="shared" ref="G37:G40" si="6">SUM(C37:F37)</f>
        <v>60588439</v>
      </c>
      <c r="H37" s="94"/>
      <c r="I37" s="94"/>
      <c r="J37" s="95"/>
      <c r="K37" s="38"/>
    </row>
    <row r="38" spans="1:11">
      <c r="A38" s="56" t="s">
        <v>23</v>
      </c>
      <c r="B38" t="s">
        <v>19</v>
      </c>
      <c r="C38" s="145">
        <v>204181506</v>
      </c>
      <c r="D38" s="145">
        <v>210767773</v>
      </c>
      <c r="E38" s="145">
        <v>210168131</v>
      </c>
      <c r="F38" s="145">
        <v>192698218</v>
      </c>
      <c r="G38" s="55">
        <f t="shared" si="6"/>
        <v>817815628</v>
      </c>
      <c r="H38" s="94"/>
      <c r="I38" s="94"/>
      <c r="J38" s="94"/>
      <c r="K38" s="38"/>
    </row>
    <row r="39" spans="1:11">
      <c r="A39" s="56" t="s">
        <v>24</v>
      </c>
      <c r="B39" t="s">
        <v>19</v>
      </c>
      <c r="C39" s="145">
        <v>138914157</v>
      </c>
      <c r="D39" s="145">
        <v>133738320</v>
      </c>
      <c r="E39" s="145">
        <v>138374847</v>
      </c>
      <c r="F39" s="145">
        <v>135589716</v>
      </c>
      <c r="G39" s="55">
        <f t="shared" si="6"/>
        <v>546617040</v>
      </c>
      <c r="H39" s="94"/>
      <c r="K39" s="149"/>
    </row>
    <row r="40" spans="1:11">
      <c r="A40" s="110" t="s">
        <v>25</v>
      </c>
      <c r="B40" t="s">
        <v>26</v>
      </c>
      <c r="C40" s="155">
        <v>0</v>
      </c>
      <c r="D40" s="155">
        <v>0</v>
      </c>
      <c r="E40" s="155">
        <v>0</v>
      </c>
      <c r="F40" s="155">
        <v>0</v>
      </c>
      <c r="G40" s="156">
        <f t="shared" si="6"/>
        <v>0</v>
      </c>
      <c r="H40" s="94"/>
      <c r="K40" s="149"/>
    </row>
    <row r="41" spans="1:11">
      <c r="A41" s="110"/>
      <c r="C41" s="86">
        <f>SUM(C31:C40)</f>
        <v>2892373899</v>
      </c>
      <c r="D41" s="86">
        <f t="shared" ref="D41:F41" si="7">SUM(D31:D40)</f>
        <v>3439788197</v>
      </c>
      <c r="E41" s="86">
        <f t="shared" si="7"/>
        <v>2847144833</v>
      </c>
      <c r="F41" s="86">
        <f t="shared" si="7"/>
        <v>2623565830</v>
      </c>
      <c r="G41" s="86">
        <f>SUM(C41:F41)</f>
        <v>11802872759</v>
      </c>
      <c r="H41" s="94"/>
      <c r="K41" s="149"/>
    </row>
    <row r="42" spans="1:11">
      <c r="C42" s="86"/>
      <c r="D42" s="86"/>
      <c r="E42" s="86"/>
      <c r="F42" s="86"/>
      <c r="G42" s="86"/>
      <c r="H42" s="94"/>
      <c r="K42" s="38"/>
    </row>
    <row r="43" spans="1:11">
      <c r="H43" s="94"/>
      <c r="K43" s="38"/>
    </row>
    <row r="44" spans="1:11">
      <c r="C44" s="150" t="s">
        <v>29</v>
      </c>
      <c r="D44" s="151"/>
      <c r="E44" s="153"/>
      <c r="F44" s="94"/>
      <c r="K44" s="38"/>
    </row>
    <row r="45" spans="1:11">
      <c r="C45" s="147"/>
      <c r="D45" s="148"/>
      <c r="E45" s="154"/>
      <c r="F45" s="94"/>
      <c r="K45" s="38"/>
    </row>
    <row r="46" spans="1:11">
      <c r="C46" s="8" t="s">
        <v>19</v>
      </c>
      <c r="D46" s="61">
        <v>1.0238</v>
      </c>
      <c r="E46" s="149"/>
      <c r="F46" s="94"/>
    </row>
    <row r="47" spans="1:11">
      <c r="C47" s="8" t="s">
        <v>15</v>
      </c>
      <c r="D47" s="61">
        <v>1.0548999999999999</v>
      </c>
      <c r="E47" s="149"/>
      <c r="F47" s="94"/>
    </row>
    <row r="48" spans="1:11">
      <c r="C48" s="9" t="s">
        <v>26</v>
      </c>
      <c r="D48" s="62">
        <v>0.99209999999999998</v>
      </c>
      <c r="E48" s="149"/>
      <c r="F48" s="94"/>
    </row>
    <row r="49" spans="1:8" ht="13.5" thickBot="1"/>
    <row r="50" spans="1:8">
      <c r="C50" s="79" t="s">
        <v>30</v>
      </c>
      <c r="D50" s="80"/>
      <c r="E50" s="80"/>
      <c r="F50" s="80"/>
      <c r="G50" s="81"/>
    </row>
    <row r="51" spans="1:8" ht="13.5" thickBot="1">
      <c r="C51" s="82">
        <f>C8</f>
        <v>42887</v>
      </c>
      <c r="D51" s="67">
        <f>D8</f>
        <v>42917</v>
      </c>
      <c r="E51" s="67">
        <f>E8</f>
        <v>42948</v>
      </c>
      <c r="F51" s="67">
        <f>F8</f>
        <v>42979</v>
      </c>
      <c r="G51" s="68"/>
    </row>
    <row r="52" spans="1:8" ht="13.5" thickBot="1">
      <c r="A52" s="14" t="s">
        <v>11</v>
      </c>
      <c r="B52" s="64"/>
      <c r="C52" s="63" t="s">
        <v>31</v>
      </c>
      <c r="D52" s="65" t="s">
        <v>31</v>
      </c>
      <c r="E52" s="65" t="s">
        <v>31</v>
      </c>
      <c r="F52" s="65" t="s">
        <v>31</v>
      </c>
      <c r="G52" s="66" t="s">
        <v>13</v>
      </c>
    </row>
    <row r="53" spans="1:8">
      <c r="A53" t="s">
        <v>14</v>
      </c>
      <c r="C53" s="5">
        <f t="shared" ref="C53:D55" si="8">ROUND(C31*$D$47,0)</f>
        <v>1257481669</v>
      </c>
      <c r="D53" s="5">
        <f t="shared" si="8"/>
        <v>1645100701</v>
      </c>
      <c r="E53" s="5">
        <f t="shared" ref="E53:F55" si="9">ROUND(E31*$D$47,0)</f>
        <v>1126533750</v>
      </c>
      <c r="F53" s="5">
        <f t="shared" si="9"/>
        <v>1039893628</v>
      </c>
      <c r="G53" s="5">
        <f>SUM(C53:F53)</f>
        <v>5069009748</v>
      </c>
      <c r="H53" s="94"/>
    </row>
    <row r="54" spans="1:8">
      <c r="A54" t="s">
        <v>16</v>
      </c>
      <c r="C54" s="5">
        <f t="shared" si="8"/>
        <v>306369096</v>
      </c>
      <c r="D54" s="5">
        <f t="shared" si="8"/>
        <v>370927567</v>
      </c>
      <c r="E54" s="5">
        <f t="shared" si="9"/>
        <v>320282112</v>
      </c>
      <c r="F54" s="5">
        <f t="shared" si="9"/>
        <v>288049463</v>
      </c>
      <c r="G54" s="5">
        <f>SUM(C54:F54)</f>
        <v>1285628238</v>
      </c>
      <c r="H54" s="94"/>
    </row>
    <row r="55" spans="1:8">
      <c r="A55" t="s">
        <v>17</v>
      </c>
      <c r="C55" s="5">
        <f t="shared" si="8"/>
        <v>738956737</v>
      </c>
      <c r="D55" s="5">
        <f t="shared" si="8"/>
        <v>842370730</v>
      </c>
      <c r="E55" s="5">
        <f t="shared" si="9"/>
        <v>792228475</v>
      </c>
      <c r="F55" s="5">
        <f t="shared" si="9"/>
        <v>728352406</v>
      </c>
      <c r="G55" s="5">
        <f>SUM(C55:F55)</f>
        <v>3101908348</v>
      </c>
      <c r="H55" s="94"/>
    </row>
    <row r="56" spans="1:8">
      <c r="A56" t="s">
        <v>18</v>
      </c>
      <c r="C56" s="5">
        <f>ROUND(C34*$D$46,0)</f>
        <v>345406896</v>
      </c>
      <c r="D56" s="5">
        <f>ROUND(D34*$D$46,0)</f>
        <v>362930308</v>
      </c>
      <c r="E56" s="5">
        <f>ROUND(E34*$D$46,0)</f>
        <v>354653281</v>
      </c>
      <c r="F56" s="5">
        <f>ROUND(F34*$D$46,0)</f>
        <v>322191857</v>
      </c>
      <c r="G56" s="5">
        <f>SUM(C56:F56)</f>
        <v>1385182342</v>
      </c>
      <c r="H56" s="94"/>
    </row>
    <row r="57" spans="1:8" ht="12.75" customHeight="1">
      <c r="A57" s="119" t="s">
        <v>20</v>
      </c>
      <c r="C57" s="53">
        <f>ROUND(C35*$D$47,0)</f>
        <v>13983018</v>
      </c>
      <c r="D57" s="53">
        <f>ROUND(D35*$D$47,0)</f>
        <v>16458207</v>
      </c>
      <c r="E57" s="53">
        <f>ROUND(E35*$D$47,0)</f>
        <v>16275198</v>
      </c>
      <c r="F57" s="53">
        <f>ROUND(F35*$D$47,0)</f>
        <v>17072887</v>
      </c>
      <c r="G57" s="53">
        <f>SUM(C57:F57)</f>
        <v>63789310</v>
      </c>
      <c r="H57" s="94"/>
    </row>
    <row r="58" spans="1:8" ht="12.75" customHeight="1">
      <c r="A58" t="s">
        <v>21</v>
      </c>
      <c r="C58" s="11"/>
      <c r="D58" s="11"/>
      <c r="E58" s="11"/>
      <c r="F58" s="11"/>
      <c r="G58" s="11"/>
      <c r="H58" s="94"/>
    </row>
    <row r="59" spans="1:8" ht="12.75" customHeight="1">
      <c r="A59" s="56" t="s">
        <v>22</v>
      </c>
      <c r="C59" s="5">
        <f>ROUND(C37*$D$48,0)</f>
        <v>15558882</v>
      </c>
      <c r="D59" s="5">
        <f>ROUND(D37*$D$48,0)</f>
        <v>15424465</v>
      </c>
      <c r="E59" s="5">
        <f>ROUND(E37*$D$48,0)</f>
        <v>14134268</v>
      </c>
      <c r="F59" s="5">
        <f>ROUND(F37*$D$48,0)</f>
        <v>14992175</v>
      </c>
      <c r="G59" s="5">
        <f t="shared" ref="G59:G63" si="10">SUM(C59:F59)</f>
        <v>60109790</v>
      </c>
      <c r="H59" s="94"/>
    </row>
    <row r="60" spans="1:8" ht="12.75" customHeight="1">
      <c r="A60" s="56" t="s">
        <v>23</v>
      </c>
      <c r="C60" s="5">
        <f t="shared" ref="C60:F61" si="11">ROUND(C38*$D$46,0)</f>
        <v>209041026</v>
      </c>
      <c r="D60" s="5">
        <f t="shared" si="11"/>
        <v>215784046</v>
      </c>
      <c r="E60" s="5">
        <f t="shared" si="11"/>
        <v>215170133</v>
      </c>
      <c r="F60" s="5">
        <f t="shared" si="11"/>
        <v>197284436</v>
      </c>
      <c r="G60" s="5">
        <f t="shared" si="10"/>
        <v>837279641</v>
      </c>
      <c r="H60" s="94"/>
    </row>
    <row r="61" spans="1:8">
      <c r="A61" s="56" t="s">
        <v>24</v>
      </c>
      <c r="C61" s="5">
        <f t="shared" si="11"/>
        <v>142220314</v>
      </c>
      <c r="D61" s="5">
        <f t="shared" si="11"/>
        <v>136921292</v>
      </c>
      <c r="E61" s="5">
        <f t="shared" si="11"/>
        <v>141668168</v>
      </c>
      <c r="F61" s="5">
        <f t="shared" si="11"/>
        <v>138816751</v>
      </c>
      <c r="G61" s="5">
        <f t="shared" si="10"/>
        <v>559626525</v>
      </c>
      <c r="H61" s="94"/>
    </row>
    <row r="62" spans="1:8">
      <c r="A62" s="110" t="s">
        <v>25</v>
      </c>
      <c r="C62" s="157">
        <f>ROUND(C40*$D$48,0)</f>
        <v>0</v>
      </c>
      <c r="D62" s="157">
        <f>ROUND(D40*$D$48,0)</f>
        <v>0</v>
      </c>
      <c r="E62" s="157">
        <f>ROUND(E40*$D$48,0)</f>
        <v>0</v>
      </c>
      <c r="F62" s="157">
        <f>ROUND(F40*$D$48,0)</f>
        <v>0</v>
      </c>
      <c r="G62" s="157">
        <f t="shared" si="10"/>
        <v>0</v>
      </c>
      <c r="H62" s="94"/>
    </row>
    <row r="63" spans="1:8">
      <c r="A63" s="110"/>
      <c r="C63" s="86">
        <f>SUM(C53:C62)</f>
        <v>3029017638</v>
      </c>
      <c r="D63" s="86">
        <f t="shared" ref="D63:F63" si="12">SUM(D53:D62)</f>
        <v>3605917316</v>
      </c>
      <c r="E63" s="86">
        <f t="shared" si="12"/>
        <v>2980945385</v>
      </c>
      <c r="F63" s="86">
        <f t="shared" si="12"/>
        <v>2746653603</v>
      </c>
      <c r="G63" s="86">
        <f t="shared" si="10"/>
        <v>12362533942</v>
      </c>
      <c r="H63" s="94"/>
    </row>
    <row r="64" spans="1:8">
      <c r="C64" s="86"/>
      <c r="D64" s="86"/>
      <c r="E64" s="86"/>
      <c r="F64" s="86"/>
      <c r="G64" s="86"/>
      <c r="H64" s="94"/>
    </row>
    <row r="65" spans="1:8">
      <c r="C65" s="5"/>
      <c r="D65" s="5"/>
      <c r="E65" s="5"/>
      <c r="F65" s="5"/>
      <c r="G65" s="5"/>
      <c r="H65" s="94"/>
    </row>
    <row r="66" spans="1:8">
      <c r="H66" s="94"/>
    </row>
    <row r="67" spans="1:8">
      <c r="G67" s="60"/>
      <c r="H67" s="94"/>
    </row>
    <row r="68" spans="1:8" ht="14.25">
      <c r="A68" s="704" t="s">
        <v>32</v>
      </c>
      <c r="B68" s="705"/>
      <c r="C68" s="705"/>
      <c r="D68" s="705"/>
      <c r="E68" s="705"/>
      <c r="F68" s="705"/>
      <c r="G68" s="706"/>
      <c r="H68" s="94"/>
    </row>
    <row r="69" spans="1:8">
      <c r="C69" s="84"/>
    </row>
  </sheetData>
  <mergeCells count="1">
    <mergeCell ref="A68:G68"/>
  </mergeCells>
  <phoneticPr fontId="21" type="noConversion"/>
  <pageMargins left="0.75" right="0.75" top="1" bottom="1" header="0.5" footer="0.5"/>
  <pageSetup scale="74" orientation="portrait" r:id="rId1"/>
  <headerFooter alignWithMargins="0">
    <oddFooter>&amp;CSchedule MA-TU
Page 2 of 5&amp;RConfidential
4 CSR 240-2.135(2)(A)(8)</oddFooter>
  </headerFooter>
  <ignoredErrors>
    <ignoredError sqref="D56" formula="1"/>
    <ignoredError sqref="F27 G24:G25 G9:G17"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pageSetUpPr fitToPage="1"/>
  </sheetPr>
  <dimension ref="A1:L56"/>
  <sheetViews>
    <sheetView zoomScale="85" zoomScaleNormal="85" workbookViewId="0">
      <selection activeCell="L30" sqref="L30"/>
    </sheetView>
  </sheetViews>
  <sheetFormatPr defaultRowHeight="12.75"/>
  <cols>
    <col min="1" max="1" width="23.7109375" customWidth="1"/>
    <col min="2" max="2" width="12.5703125" customWidth="1"/>
    <col min="3" max="4" width="15.5703125" customWidth="1"/>
    <col min="5" max="5" width="15.5703125" bestFit="1" customWidth="1"/>
    <col min="6" max="6" width="14.28515625" customWidth="1"/>
    <col min="7" max="7" width="15" bestFit="1" customWidth="1"/>
    <col min="8" max="11" width="14.28515625" customWidth="1"/>
    <col min="12" max="12" width="10.28515625" bestFit="1" customWidth="1"/>
  </cols>
  <sheetData>
    <row r="1" spans="1:12">
      <c r="A1" s="1" t="s">
        <v>0</v>
      </c>
    </row>
    <row r="2" spans="1:12">
      <c r="A2" s="1" t="s">
        <v>33</v>
      </c>
    </row>
    <row r="3" spans="1:12">
      <c r="A3" s="2"/>
    </row>
    <row r="4" spans="1:12">
      <c r="A4" s="1"/>
    </row>
    <row r="6" spans="1:12">
      <c r="C6" s="95"/>
    </row>
    <row r="7" spans="1:12" ht="13.5" thickBot="1">
      <c r="C7" s="152"/>
      <c r="D7" s="152"/>
      <c r="E7" s="152"/>
      <c r="F7" s="47"/>
      <c r="G7" s="47"/>
      <c r="H7" s="47"/>
      <c r="I7" s="47"/>
      <c r="J7" s="47"/>
      <c r="K7" s="47"/>
      <c r="L7" s="3"/>
    </row>
    <row r="8" spans="1:12">
      <c r="A8" s="18" t="s">
        <v>11</v>
      </c>
      <c r="B8" s="18" t="s">
        <v>12</v>
      </c>
      <c r="C8" s="52">
        <v>43132</v>
      </c>
      <c r="D8" s="52">
        <v>43160</v>
      </c>
      <c r="E8" s="52">
        <v>43191</v>
      </c>
      <c r="F8" s="52">
        <v>43221</v>
      </c>
      <c r="G8" s="52">
        <v>43252</v>
      </c>
      <c r="H8" s="52">
        <v>43282</v>
      </c>
      <c r="I8" s="52">
        <v>43313</v>
      </c>
      <c r="J8" s="52">
        <v>43344</v>
      </c>
      <c r="K8" s="48" t="s">
        <v>13</v>
      </c>
    </row>
    <row r="9" spans="1:12">
      <c r="A9" t="s">
        <v>14</v>
      </c>
      <c r="B9" t="s">
        <v>15</v>
      </c>
      <c r="C9" s="139">
        <v>-770119</v>
      </c>
      <c r="D9" s="139">
        <v>-621353</v>
      </c>
      <c r="E9" s="139">
        <v>-600389</v>
      </c>
      <c r="F9" s="139">
        <v>-486036</v>
      </c>
      <c r="G9" s="139">
        <v>-717964</v>
      </c>
      <c r="H9" s="139">
        <v>-841976</v>
      </c>
      <c r="I9" s="139">
        <v>-754287</v>
      </c>
      <c r="J9" s="139">
        <v>-684081</v>
      </c>
      <c r="K9" s="34">
        <f>SUM(C9:J9)</f>
        <v>-5476205</v>
      </c>
    </row>
    <row r="10" spans="1:12">
      <c r="A10" t="s">
        <v>16</v>
      </c>
      <c r="B10" t="s">
        <v>15</v>
      </c>
      <c r="C10" s="140">
        <v>-176987</v>
      </c>
      <c r="D10" s="140">
        <v>-155221</v>
      </c>
      <c r="E10" s="140">
        <v>-152952</v>
      </c>
      <c r="F10" s="140">
        <v>-138456</v>
      </c>
      <c r="G10" s="140">
        <v>-174225</v>
      </c>
      <c r="H10" s="140">
        <v>-192190</v>
      </c>
      <c r="I10" s="140">
        <v>-179632</v>
      </c>
      <c r="J10" s="140">
        <v>-167597</v>
      </c>
      <c r="K10" s="34">
        <f>SUM(C10:J10)</f>
        <v>-1337260</v>
      </c>
    </row>
    <row r="11" spans="1:12">
      <c r="A11" t="s">
        <v>17</v>
      </c>
      <c r="B11" t="s">
        <v>15</v>
      </c>
      <c r="C11" s="140">
        <v>-375449</v>
      </c>
      <c r="D11" s="140">
        <v>-352897</v>
      </c>
      <c r="E11" s="140">
        <v>-356424</v>
      </c>
      <c r="F11" s="140">
        <v>-354060</v>
      </c>
      <c r="G11" s="140">
        <v>-419944</v>
      </c>
      <c r="H11" s="140">
        <v>-448669</v>
      </c>
      <c r="I11" s="140">
        <v>-423885</v>
      </c>
      <c r="J11" s="140">
        <v>-414530</v>
      </c>
      <c r="K11" s="51">
        <f>SUM(C11:J11)</f>
        <v>-3145858</v>
      </c>
    </row>
    <row r="12" spans="1:12">
      <c r="A12" t="s">
        <v>18</v>
      </c>
      <c r="B12" t="s">
        <v>19</v>
      </c>
      <c r="C12" s="140">
        <v>-148777</v>
      </c>
      <c r="D12" s="140">
        <v>-169012</v>
      </c>
      <c r="E12" s="140">
        <v>-157754</v>
      </c>
      <c r="F12" s="140">
        <v>-179339</v>
      </c>
      <c r="G12" s="140">
        <v>-182532</v>
      </c>
      <c r="H12" s="140">
        <v>-199399</v>
      </c>
      <c r="I12" s="140">
        <v>-196531</v>
      </c>
      <c r="J12" s="140">
        <v>-183833</v>
      </c>
      <c r="K12" s="34">
        <f>SUM(C12:J12)</f>
        <v>-1417177</v>
      </c>
    </row>
    <row r="13" spans="1:12" ht="12.75" customHeight="1">
      <c r="A13" s="115" t="s">
        <v>20</v>
      </c>
      <c r="B13" s="54" t="s">
        <v>15</v>
      </c>
      <c r="C13" s="141">
        <v>-11015</v>
      </c>
      <c r="D13" s="141">
        <v>-8981</v>
      </c>
      <c r="E13" s="141">
        <v>-10168</v>
      </c>
      <c r="F13" s="141">
        <v>-8091</v>
      </c>
      <c r="G13" s="141">
        <v>-7552</v>
      </c>
      <c r="H13" s="141">
        <v>-7307</v>
      </c>
      <c r="I13" s="141">
        <v>-7442</v>
      </c>
      <c r="J13" s="141">
        <v>-7967</v>
      </c>
      <c r="K13" s="34">
        <f>SUM(C13:J13)</f>
        <v>-68523</v>
      </c>
    </row>
    <row r="14" spans="1:12">
      <c r="A14" t="s">
        <v>21</v>
      </c>
      <c r="C14" s="140"/>
      <c r="D14" s="140"/>
      <c r="E14" s="140"/>
      <c r="F14" s="140"/>
      <c r="G14" s="140"/>
      <c r="H14" s="140"/>
      <c r="I14" s="140"/>
      <c r="J14" s="140"/>
      <c r="K14" s="51"/>
    </row>
    <row r="15" spans="1:12">
      <c r="A15" s="56" t="s">
        <v>22</v>
      </c>
      <c r="B15" t="s">
        <v>19</v>
      </c>
      <c r="C15" s="141">
        <v>-5429</v>
      </c>
      <c r="D15" s="141">
        <v>-8219</v>
      </c>
      <c r="E15" s="141">
        <v>-8291</v>
      </c>
      <c r="F15" s="141">
        <v>-8579</v>
      </c>
      <c r="G15" s="141">
        <v>-6872</v>
      </c>
      <c r="H15" s="141">
        <v>-8191</v>
      </c>
      <c r="I15" s="141">
        <v>-8550</v>
      </c>
      <c r="J15" s="141">
        <v>-8526</v>
      </c>
      <c r="K15" s="34">
        <f>SUM(C15:J15)</f>
        <v>-62657</v>
      </c>
    </row>
    <row r="16" spans="1:12">
      <c r="A16" s="56" t="s">
        <v>23</v>
      </c>
      <c r="B16" t="s">
        <v>19</v>
      </c>
      <c r="C16" s="141">
        <v>-31652</v>
      </c>
      <c r="D16" s="141">
        <v>-86218</v>
      </c>
      <c r="E16" s="141">
        <v>-92713</v>
      </c>
      <c r="F16" s="141">
        <v>-101054</v>
      </c>
      <c r="G16" s="141">
        <v>-71185</v>
      </c>
      <c r="H16" s="141">
        <v>-113352</v>
      </c>
      <c r="I16" s="141">
        <v>-117030</v>
      </c>
      <c r="J16" s="141">
        <v>-115354</v>
      </c>
      <c r="K16" s="34">
        <f>SUM(C16:J16)</f>
        <v>-728558</v>
      </c>
    </row>
    <row r="17" spans="1:11">
      <c r="A17" s="56" t="s">
        <v>24</v>
      </c>
      <c r="B17" t="s">
        <v>19</v>
      </c>
      <c r="C17" s="141">
        <v>-21875</v>
      </c>
      <c r="D17" s="141">
        <v>-62792</v>
      </c>
      <c r="E17" s="141">
        <v>-60344</v>
      </c>
      <c r="F17" s="141">
        <v>-69340</v>
      </c>
      <c r="G17" s="141">
        <v>-52867</v>
      </c>
      <c r="H17" s="141">
        <v>-78010</v>
      </c>
      <c r="I17" s="141">
        <v>-78499</v>
      </c>
      <c r="J17" s="141">
        <v>-75604</v>
      </c>
      <c r="K17" s="34">
        <f>SUM(C17:J17)</f>
        <v>-499331</v>
      </c>
    </row>
    <row r="18" spans="1:11">
      <c r="A18" s="84" t="s">
        <v>25</v>
      </c>
      <c r="B18" s="94" t="s">
        <v>26</v>
      </c>
      <c r="C18" s="142">
        <v>0</v>
      </c>
      <c r="D18" s="142">
        <v>0</v>
      </c>
      <c r="E18" s="142">
        <v>0</v>
      </c>
      <c r="F18" s="142">
        <v>0</v>
      </c>
      <c r="G18" s="142">
        <v>0</v>
      </c>
      <c r="H18" s="142">
        <v>0</v>
      </c>
      <c r="I18" s="142">
        <v>0</v>
      </c>
      <c r="J18" s="142">
        <v>0</v>
      </c>
      <c r="K18" s="138">
        <f>SUM(C18:J18)</f>
        <v>0</v>
      </c>
    </row>
    <row r="19" spans="1:11">
      <c r="C19" s="131">
        <f t="shared" ref="C19:K19" si="0">SUM(C9:C18)</f>
        <v>-1541303</v>
      </c>
      <c r="D19" s="131">
        <f t="shared" si="0"/>
        <v>-1464693</v>
      </c>
      <c r="E19" s="49">
        <f t="shared" si="0"/>
        <v>-1439035</v>
      </c>
      <c r="F19" s="6">
        <f t="shared" si="0"/>
        <v>-1344955</v>
      </c>
      <c r="G19" s="6">
        <f t="shared" si="0"/>
        <v>-1633141</v>
      </c>
      <c r="H19" s="6">
        <f t="shared" si="0"/>
        <v>-1889094</v>
      </c>
      <c r="I19" s="6">
        <f t="shared" si="0"/>
        <v>-1765856</v>
      </c>
      <c r="J19" s="6">
        <f t="shared" si="0"/>
        <v>-1657492</v>
      </c>
      <c r="K19" s="34">
        <f t="shared" si="0"/>
        <v>-12735569</v>
      </c>
    </row>
    <row r="21" spans="1:11" ht="13.5" thickBot="1"/>
    <row r="22" spans="1:11" ht="13.5" thickBot="1">
      <c r="A22" s="15"/>
      <c r="B22" s="50" t="s">
        <v>27</v>
      </c>
      <c r="C22" s="12"/>
      <c r="D22" s="12"/>
      <c r="E22" s="13"/>
      <c r="F22" s="13"/>
      <c r="G22" s="13"/>
      <c r="H22" s="13"/>
      <c r="I22" s="13"/>
      <c r="J22" s="13"/>
      <c r="K22" s="12" t="s">
        <v>13</v>
      </c>
    </row>
    <row r="23" spans="1:11">
      <c r="B23" t="s">
        <v>19</v>
      </c>
      <c r="C23" s="36">
        <f>SUMIF($B$9:$B$18,$B23,C$9:C$18)</f>
        <v>-207733</v>
      </c>
      <c r="D23" s="36">
        <f t="shared" ref="C23:J25" si="1">SUMIF($B$9:$B$18,$B23,D$9:D$18)</f>
        <v>-326241</v>
      </c>
      <c r="E23" s="36">
        <f t="shared" si="1"/>
        <v>-319102</v>
      </c>
      <c r="F23" s="36">
        <f t="shared" si="1"/>
        <v>-358312</v>
      </c>
      <c r="G23" s="36">
        <f t="shared" si="1"/>
        <v>-313456</v>
      </c>
      <c r="H23" s="36">
        <f t="shared" si="1"/>
        <v>-398952</v>
      </c>
      <c r="I23" s="36">
        <f t="shared" si="1"/>
        <v>-400610</v>
      </c>
      <c r="J23" s="36">
        <f t="shared" si="1"/>
        <v>-383317</v>
      </c>
      <c r="K23" s="34">
        <f>SUM(C23:J23)</f>
        <v>-2707723</v>
      </c>
    </row>
    <row r="24" spans="1:11">
      <c r="B24" t="s">
        <v>15</v>
      </c>
      <c r="C24" s="37">
        <f t="shared" si="1"/>
        <v>-1333570</v>
      </c>
      <c r="D24" s="37">
        <f t="shared" si="1"/>
        <v>-1138452</v>
      </c>
      <c r="E24" s="37">
        <f t="shared" si="1"/>
        <v>-1119933</v>
      </c>
      <c r="F24" s="37">
        <f t="shared" si="1"/>
        <v>-986643</v>
      </c>
      <c r="G24" s="37">
        <f t="shared" si="1"/>
        <v>-1319685</v>
      </c>
      <c r="H24" s="37">
        <f t="shared" si="1"/>
        <v>-1490142</v>
      </c>
      <c r="I24" s="37">
        <f t="shared" si="1"/>
        <v>-1365246</v>
      </c>
      <c r="J24" s="37">
        <f t="shared" si="1"/>
        <v>-1274175</v>
      </c>
      <c r="K24" s="34">
        <f>SUM(C24:J24)</f>
        <v>-10027846</v>
      </c>
    </row>
    <row r="25" spans="1:11">
      <c r="B25" t="s">
        <v>26</v>
      </c>
      <c r="C25" s="162">
        <f t="shared" si="1"/>
        <v>0</v>
      </c>
      <c r="D25" s="162">
        <f t="shared" si="1"/>
        <v>0</v>
      </c>
      <c r="E25" s="162">
        <f t="shared" si="1"/>
        <v>0</v>
      </c>
      <c r="F25" s="162">
        <f t="shared" si="1"/>
        <v>0</v>
      </c>
      <c r="G25" s="162">
        <f t="shared" si="1"/>
        <v>0</v>
      </c>
      <c r="H25" s="162">
        <f t="shared" si="1"/>
        <v>0</v>
      </c>
      <c r="I25" s="162">
        <f t="shared" si="1"/>
        <v>0</v>
      </c>
      <c r="J25" s="162">
        <f t="shared" si="1"/>
        <v>0</v>
      </c>
      <c r="K25" s="138">
        <f>SUM(C25:J25)</f>
        <v>0</v>
      </c>
    </row>
    <row r="26" spans="1:11">
      <c r="C26" s="36">
        <f t="shared" ref="C26:K26" si="2">SUM(C23:C25)</f>
        <v>-1541303</v>
      </c>
      <c r="D26" s="36">
        <f t="shared" si="2"/>
        <v>-1464693</v>
      </c>
      <c r="E26" s="36">
        <f t="shared" si="2"/>
        <v>-1439035</v>
      </c>
      <c r="F26" s="36">
        <f t="shared" si="2"/>
        <v>-1344955</v>
      </c>
      <c r="G26" s="36">
        <f t="shared" si="2"/>
        <v>-1633141</v>
      </c>
      <c r="H26" s="36">
        <f t="shared" si="2"/>
        <v>-1889094</v>
      </c>
      <c r="I26" s="36">
        <f t="shared" si="2"/>
        <v>-1765856</v>
      </c>
      <c r="J26" s="36">
        <f>SUM(J23:J25)</f>
        <v>-1657492</v>
      </c>
      <c r="K26" s="34">
        <f t="shared" si="2"/>
        <v>-12735569</v>
      </c>
    </row>
    <row r="27" spans="1:11">
      <c r="C27" s="36"/>
      <c r="D27" s="36"/>
      <c r="E27" s="36"/>
      <c r="F27" s="36"/>
      <c r="G27" s="36"/>
      <c r="H27" s="36"/>
      <c r="I27" s="36"/>
      <c r="J27" s="36"/>
      <c r="K27" s="34"/>
    </row>
    <row r="28" spans="1:11">
      <c r="C28" s="36"/>
      <c r="D28" s="36"/>
      <c r="E28" s="36"/>
      <c r="F28" s="36"/>
      <c r="G28" s="36"/>
      <c r="H28" s="36"/>
      <c r="I28" s="36"/>
      <c r="J28" s="36"/>
      <c r="K28" s="34"/>
    </row>
    <row r="29" spans="1:11">
      <c r="A29" s="38"/>
      <c r="B29" s="38"/>
      <c r="C29" s="38"/>
      <c r="D29" s="38"/>
      <c r="E29" s="38"/>
      <c r="F29" s="38"/>
      <c r="G29" s="38"/>
      <c r="H29" s="38"/>
      <c r="I29" s="38"/>
      <c r="J29" s="38"/>
      <c r="K29" s="38"/>
    </row>
    <row r="30" spans="1:11">
      <c r="A30" s="38"/>
      <c r="B30" s="38"/>
      <c r="C30" s="40"/>
      <c r="D30" s="40"/>
      <c r="E30" s="40"/>
      <c r="F30" s="40"/>
      <c r="G30" s="40"/>
      <c r="H30" s="40"/>
      <c r="I30" s="40"/>
      <c r="J30" s="40"/>
      <c r="K30" s="41"/>
    </row>
    <row r="31" spans="1:11">
      <c r="A31" s="38"/>
      <c r="B31" s="38"/>
      <c r="C31" s="40"/>
      <c r="D31" s="40"/>
      <c r="E31" s="40"/>
      <c r="F31" s="40"/>
      <c r="G31" s="40"/>
      <c r="H31" s="40"/>
      <c r="I31" s="40"/>
      <c r="J31" s="40"/>
      <c r="K31" s="41"/>
    </row>
    <row r="32" spans="1:11">
      <c r="A32" s="38"/>
      <c r="B32" s="38"/>
      <c r="C32" s="40"/>
      <c r="D32" s="40"/>
      <c r="E32" s="40"/>
      <c r="F32" s="40"/>
      <c r="G32" s="40"/>
      <c r="H32" s="40"/>
      <c r="I32" s="40"/>
      <c r="J32" s="40"/>
      <c r="K32" s="41"/>
    </row>
    <row r="33" spans="1:11">
      <c r="A33" s="38"/>
      <c r="B33" s="38"/>
      <c r="C33" s="40"/>
      <c r="D33" s="40"/>
      <c r="E33" s="40"/>
      <c r="F33" s="40"/>
      <c r="G33" s="40"/>
      <c r="H33" s="40"/>
      <c r="I33" s="40"/>
      <c r="J33" s="40"/>
      <c r="K33" s="41"/>
    </row>
    <row r="34" spans="1:11" ht="12.75" customHeight="1">
      <c r="A34" s="42"/>
      <c r="B34" s="43"/>
      <c r="C34" s="113"/>
      <c r="D34" s="113"/>
      <c r="E34" s="113"/>
      <c r="F34" s="113"/>
      <c r="G34" s="113"/>
      <c r="H34" s="113"/>
      <c r="I34" s="113"/>
      <c r="J34" s="113"/>
      <c r="K34" s="44"/>
    </row>
    <row r="35" spans="1:11">
      <c r="A35" s="38"/>
      <c r="B35" s="38"/>
      <c r="C35" s="92"/>
      <c r="D35" s="92"/>
      <c r="E35" s="92"/>
      <c r="F35" s="92"/>
      <c r="G35" s="92"/>
      <c r="H35" s="92"/>
      <c r="I35" s="92"/>
      <c r="J35" s="92"/>
      <c r="K35" s="41"/>
    </row>
    <row r="36" spans="1:11">
      <c r="A36" s="38"/>
      <c r="B36" s="38"/>
      <c r="C36" s="92"/>
      <c r="D36" s="92"/>
      <c r="E36" s="92"/>
      <c r="F36" s="92"/>
      <c r="G36" s="92"/>
      <c r="H36" s="92"/>
      <c r="I36" s="92"/>
      <c r="J36" s="92"/>
      <c r="K36" s="41"/>
    </row>
    <row r="37" spans="1:11">
      <c r="A37" s="38"/>
      <c r="B37" s="38"/>
      <c r="C37" s="92"/>
      <c r="D37" s="92"/>
      <c r="E37" s="92"/>
      <c r="F37" s="92"/>
      <c r="G37" s="92"/>
      <c r="H37" s="92"/>
      <c r="I37" s="92"/>
      <c r="J37" s="92"/>
      <c r="K37" s="45"/>
    </row>
    <row r="38" spans="1:11">
      <c r="A38" s="38"/>
      <c r="B38" s="38"/>
      <c r="C38" s="93" t="s">
        <v>34</v>
      </c>
      <c r="D38" s="93"/>
      <c r="E38" s="93"/>
      <c r="F38" s="93"/>
      <c r="G38" s="93"/>
      <c r="H38" s="93"/>
      <c r="I38" s="93"/>
      <c r="J38" s="93"/>
      <c r="K38" s="38"/>
    </row>
    <row r="39" spans="1:11">
      <c r="A39" s="38"/>
      <c r="B39" s="38"/>
      <c r="C39" s="92"/>
      <c r="D39" s="92"/>
      <c r="E39" s="92"/>
      <c r="F39" s="92"/>
      <c r="G39" s="92"/>
      <c r="H39" s="92"/>
      <c r="I39" s="92"/>
      <c r="J39" s="92"/>
      <c r="K39" s="38"/>
    </row>
    <row r="40" spans="1:11">
      <c r="A40" s="38"/>
      <c r="B40" s="38"/>
      <c r="C40" s="93"/>
      <c r="D40" s="93"/>
      <c r="E40" s="93"/>
      <c r="F40" s="93"/>
      <c r="G40" s="93"/>
      <c r="H40" s="93"/>
      <c r="I40" s="93"/>
      <c r="J40" s="93"/>
      <c r="K40" s="38"/>
    </row>
    <row r="41" spans="1:11">
      <c r="A41" s="38"/>
      <c r="B41" s="38"/>
      <c r="C41" s="116"/>
      <c r="D41" s="116"/>
      <c r="E41" s="116"/>
      <c r="F41" s="116"/>
      <c r="G41" s="116"/>
      <c r="H41" s="116"/>
      <c r="I41" s="116"/>
      <c r="J41" s="116"/>
      <c r="K41" s="38"/>
    </row>
    <row r="42" spans="1:11">
      <c r="A42" s="38"/>
      <c r="B42" s="38"/>
      <c r="C42" s="116"/>
      <c r="D42" s="116"/>
      <c r="E42" s="116"/>
      <c r="F42" s="116"/>
      <c r="G42" s="116"/>
      <c r="H42" s="116"/>
      <c r="I42" s="116"/>
      <c r="J42" s="116"/>
      <c r="K42" s="38"/>
    </row>
    <row r="43" spans="1:11">
      <c r="A43" s="38"/>
      <c r="B43" s="38"/>
      <c r="C43" s="114"/>
      <c r="D43" s="116"/>
      <c r="E43" s="116"/>
      <c r="F43" s="116"/>
      <c r="G43" s="116"/>
      <c r="H43" s="116"/>
      <c r="I43" s="116"/>
      <c r="J43" s="116"/>
      <c r="K43" s="38"/>
    </row>
    <row r="44" spans="1:11">
      <c r="A44" s="39"/>
      <c r="B44" s="39"/>
      <c r="C44" s="114"/>
      <c r="D44" s="114"/>
      <c r="E44" s="114"/>
      <c r="F44" s="114"/>
      <c r="G44" s="114"/>
      <c r="H44" s="114"/>
      <c r="I44" s="114"/>
      <c r="J44" s="114"/>
      <c r="K44" s="38"/>
    </row>
    <row r="45" spans="1:11">
      <c r="A45" s="38"/>
      <c r="B45" s="38"/>
      <c r="C45" s="45"/>
      <c r="D45" s="45"/>
      <c r="E45" s="45"/>
      <c r="F45" s="45"/>
      <c r="G45" s="45"/>
      <c r="H45" s="45"/>
      <c r="I45" s="45"/>
      <c r="J45" s="45"/>
      <c r="K45" s="45"/>
    </row>
    <row r="46" spans="1:11">
      <c r="A46" s="38"/>
      <c r="B46" s="38"/>
      <c r="C46" s="45"/>
      <c r="D46" s="45"/>
      <c r="E46" s="45"/>
      <c r="F46" s="45"/>
      <c r="G46" s="45"/>
      <c r="H46" s="45"/>
      <c r="I46" s="45"/>
      <c r="J46" s="45"/>
      <c r="K46" s="45"/>
    </row>
    <row r="47" spans="1:11">
      <c r="A47" s="38"/>
      <c r="B47" s="38"/>
      <c r="C47" s="45"/>
      <c r="D47" s="45"/>
      <c r="E47" s="45"/>
      <c r="F47" s="45"/>
      <c r="G47" s="45"/>
      <c r="H47" s="45"/>
      <c r="I47" s="45"/>
      <c r="J47" s="45"/>
      <c r="K47" s="45"/>
    </row>
    <row r="48" spans="1:11">
      <c r="A48" s="38"/>
      <c r="B48" s="38"/>
      <c r="C48" s="45"/>
      <c r="D48" s="45"/>
      <c r="E48" s="45"/>
      <c r="F48" s="45"/>
      <c r="G48" s="45"/>
      <c r="H48" s="45"/>
      <c r="I48" s="45"/>
      <c r="J48" s="45"/>
      <c r="K48" s="45"/>
    </row>
    <row r="49" spans="1:11" ht="12.75" customHeight="1">
      <c r="A49" s="42"/>
      <c r="B49" s="38"/>
      <c r="C49" s="46"/>
      <c r="D49" s="46"/>
      <c r="E49" s="46"/>
      <c r="F49" s="46"/>
      <c r="G49" s="46"/>
      <c r="H49" s="46"/>
      <c r="I49" s="46"/>
      <c r="J49" s="46"/>
      <c r="K49" s="46"/>
    </row>
    <row r="50" spans="1:11">
      <c r="A50" s="38"/>
      <c r="B50" s="38"/>
      <c r="C50" s="45"/>
      <c r="D50" s="45"/>
      <c r="E50" s="45"/>
      <c r="F50" s="45"/>
      <c r="G50" s="45"/>
      <c r="H50" s="45"/>
      <c r="I50" s="45"/>
      <c r="J50" s="45"/>
      <c r="K50" s="45"/>
    </row>
    <row r="51" spans="1:11">
      <c r="A51" s="38"/>
      <c r="B51" s="38"/>
      <c r="C51" s="45"/>
      <c r="D51" s="45"/>
      <c r="E51" s="45"/>
      <c r="F51" s="45"/>
      <c r="G51" s="45"/>
      <c r="H51" s="45"/>
      <c r="I51" s="45"/>
      <c r="J51" s="45"/>
      <c r="K51" s="45"/>
    </row>
    <row r="52" spans="1:11">
      <c r="A52" s="38"/>
      <c r="B52" s="38"/>
      <c r="C52" s="45"/>
      <c r="D52" s="45"/>
      <c r="E52" s="45"/>
      <c r="F52" s="45"/>
      <c r="G52" s="45"/>
      <c r="H52" s="45"/>
      <c r="I52" s="45"/>
      <c r="J52" s="45"/>
      <c r="K52" s="45"/>
    </row>
    <row r="53" spans="1:11">
      <c r="A53" s="38"/>
      <c r="B53" s="38"/>
      <c r="C53" s="38"/>
      <c r="D53" s="38"/>
      <c r="E53" s="38"/>
      <c r="F53" s="38"/>
      <c r="G53" s="38"/>
      <c r="H53" s="38"/>
      <c r="I53" s="38"/>
      <c r="J53" s="38"/>
      <c r="K53" s="38"/>
    </row>
    <row r="54" spans="1:11">
      <c r="A54" s="38"/>
      <c r="B54" s="38"/>
      <c r="C54" s="38"/>
      <c r="D54" s="38"/>
      <c r="E54" s="38"/>
      <c r="F54" s="38"/>
      <c r="G54" s="38"/>
      <c r="H54" s="38"/>
      <c r="I54" s="38"/>
      <c r="J54" s="38"/>
      <c r="K54" s="38"/>
    </row>
    <row r="55" spans="1:11">
      <c r="A55" s="38"/>
      <c r="B55" s="38"/>
      <c r="C55" s="38"/>
      <c r="D55" s="38"/>
      <c r="E55" s="38"/>
      <c r="F55" s="38"/>
      <c r="G55" s="38"/>
      <c r="H55" s="38"/>
      <c r="I55" s="38"/>
      <c r="J55" s="38"/>
      <c r="K55" s="38"/>
    </row>
    <row r="56" spans="1:11">
      <c r="A56" s="38"/>
      <c r="B56" s="38"/>
      <c r="C56" s="38"/>
      <c r="D56" s="38"/>
      <c r="E56" s="38"/>
      <c r="F56" s="38"/>
      <c r="G56" s="38"/>
      <c r="H56" s="38"/>
      <c r="I56" s="38"/>
      <c r="J56" s="38"/>
      <c r="K56" s="38"/>
    </row>
  </sheetData>
  <phoneticPr fontId="21" type="noConversion"/>
  <pageMargins left="0.75" right="0.75" top="1" bottom="1" header="0.5" footer="0.5"/>
  <pageSetup scale="72" orientation="landscape" r:id="rId1"/>
  <headerFooter alignWithMargins="0">
    <oddFooter>&amp;CSchedule MA-TU
Page 3 of 5&amp;RConfidential
4 CSR 240-2.135(2)(A)(8)</oddFooter>
  </headerFooter>
  <ignoredErrors>
    <ignoredError sqref="D19:H19 J1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U20"/>
  <sheetViews>
    <sheetView zoomScale="85" zoomScaleNormal="85" workbookViewId="0">
      <selection activeCell="AI18" sqref="AI18"/>
    </sheetView>
  </sheetViews>
  <sheetFormatPr defaultRowHeight="12.75"/>
  <cols>
    <col min="1" max="1" width="15.42578125" style="84" customWidth="1"/>
    <col min="2" max="2" width="2.7109375" style="84" customWidth="1"/>
    <col min="3" max="3" width="17.5703125" style="84" bestFit="1" customWidth="1"/>
    <col min="4" max="4" width="2.5703125" style="84" customWidth="1"/>
    <col min="5" max="5" width="13.7109375" style="110" customWidth="1"/>
    <col min="6" max="6" width="2.5703125" style="110" customWidth="1"/>
    <col min="7" max="7" width="10.28515625" style="84" customWidth="1"/>
    <col min="8" max="8" width="2.7109375" style="84" customWidth="1"/>
    <col min="9" max="9" width="15.5703125" style="84" customWidth="1"/>
    <col min="10" max="10" width="2.7109375" style="84" customWidth="1"/>
    <col min="11" max="11" width="12.7109375" style="84" customWidth="1"/>
    <col min="12" max="12" width="2.5703125" style="84" customWidth="1"/>
    <col min="13" max="13" width="18.85546875" style="84" customWidth="1"/>
    <col min="14" max="14" width="15.5703125" style="84" customWidth="1"/>
    <col min="15" max="15" width="12.28515625" style="7" bestFit="1" customWidth="1"/>
    <col min="16" max="16" width="15.42578125" style="110" customWidth="1"/>
    <col min="17" max="17" width="14" style="110" customWidth="1"/>
    <col min="18" max="18" width="16.5703125" style="110" bestFit="1" customWidth="1"/>
    <col min="19" max="21" width="12.28515625" style="84" bestFit="1" customWidth="1"/>
    <col min="22" max="16384" width="9.140625" style="84"/>
  </cols>
  <sheetData>
    <row r="1" spans="1:21" s="110" customFormat="1">
      <c r="A1" s="177" t="s">
        <v>0</v>
      </c>
      <c r="B1" s="627"/>
      <c r="C1" s="627"/>
      <c r="D1" s="627"/>
      <c r="E1" s="627"/>
      <c r="F1" s="627"/>
      <c r="G1" s="627"/>
      <c r="H1" s="104"/>
      <c r="I1" s="104"/>
      <c r="J1" s="104"/>
      <c r="K1" s="104"/>
      <c r="L1" s="104"/>
      <c r="M1" s="104"/>
      <c r="N1" s="104"/>
      <c r="O1" s="278"/>
    </row>
    <row r="2" spans="1:21" s="110" customFormat="1">
      <c r="A2" s="177" t="s">
        <v>233</v>
      </c>
      <c r="B2" s="627"/>
      <c r="C2" s="627"/>
      <c r="D2" s="627"/>
      <c r="E2" s="627"/>
      <c r="F2" s="627"/>
      <c r="G2" s="627"/>
      <c r="H2" s="104"/>
      <c r="I2" s="104"/>
      <c r="J2" s="104"/>
      <c r="K2" s="104"/>
      <c r="L2" s="104"/>
      <c r="M2" s="104"/>
      <c r="N2" s="104"/>
      <c r="O2" s="278"/>
    </row>
    <row r="3" spans="1:21">
      <c r="A3" s="1" t="s">
        <v>173</v>
      </c>
      <c r="B3" s="57"/>
      <c r="C3" s="57"/>
      <c r="D3" s="57"/>
      <c r="E3" s="627"/>
      <c r="F3" s="627"/>
      <c r="G3" s="57"/>
      <c r="H3" s="90"/>
      <c r="I3" s="90"/>
      <c r="J3" s="90"/>
      <c r="K3" s="90"/>
      <c r="L3" s="90"/>
      <c r="M3" s="90"/>
      <c r="N3" s="90"/>
    </row>
    <row r="4" spans="1:21">
      <c r="A4" s="1" t="s">
        <v>174</v>
      </c>
      <c r="N4" s="163"/>
      <c r="O4" s="163"/>
      <c r="P4" s="145"/>
      <c r="Q4" s="145"/>
      <c r="R4" s="145"/>
      <c r="S4" s="163"/>
      <c r="T4" s="163"/>
      <c r="U4" s="163"/>
    </row>
    <row r="5" spans="1:21">
      <c r="C5" s="125"/>
      <c r="E5" s="95"/>
      <c r="F5" s="95"/>
      <c r="N5" s="19"/>
    </row>
    <row r="7" spans="1:21">
      <c r="G7" s="84" t="s">
        <v>34</v>
      </c>
    </row>
    <row r="19" spans="1:21" s="7" customFormat="1">
      <c r="A19" s="84"/>
      <c r="B19" s="84"/>
      <c r="C19" s="84"/>
      <c r="D19" s="84"/>
      <c r="E19" s="110"/>
      <c r="F19" s="110"/>
      <c r="G19" s="84"/>
      <c r="H19" s="84"/>
      <c r="I19" s="84"/>
      <c r="J19" s="84"/>
      <c r="K19" s="84"/>
      <c r="L19" s="84"/>
      <c r="M19" s="84"/>
      <c r="N19" s="88"/>
      <c r="P19" s="110"/>
      <c r="Q19" s="110"/>
      <c r="R19" s="110"/>
      <c r="S19" s="84"/>
      <c r="T19" s="84"/>
      <c r="U19" s="84"/>
    </row>
    <row r="20" spans="1:21" s="7" customFormat="1">
      <c r="A20" s="84"/>
      <c r="B20" s="84"/>
      <c r="C20" s="84"/>
      <c r="D20" s="84"/>
      <c r="E20" s="110"/>
      <c r="F20" s="110"/>
      <c r="G20" s="84"/>
      <c r="H20" s="84"/>
      <c r="I20" s="84"/>
      <c r="J20" s="84"/>
      <c r="K20" s="84"/>
      <c r="L20" s="84"/>
      <c r="M20" s="84"/>
      <c r="N20" s="88"/>
      <c r="P20" s="110"/>
      <c r="Q20" s="110"/>
      <c r="R20" s="110"/>
      <c r="S20" s="84"/>
      <c r="T20" s="84"/>
      <c r="U20" s="84"/>
    </row>
  </sheetData>
  <pageMargins left="0.75" right="0.75" top="1" bottom="1" header="0.5" footer="0.5"/>
  <pageSetup scale="91" orientation="landscape" r:id="rId1"/>
  <headerFooter alignWithMargins="0">
    <oddFooter>&amp;CSchedule MA-TU
&amp;RConfidential
4 CSR 240-2.090(9(A).2(B))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66"/>
  <sheetViews>
    <sheetView topLeftCell="A4" zoomScale="85" zoomScaleNormal="85" workbookViewId="0">
      <selection activeCell="C42" sqref="C42"/>
    </sheetView>
  </sheetViews>
  <sheetFormatPr defaultRowHeight="12.75"/>
  <cols>
    <col min="1" max="1" width="32.140625" style="84" customWidth="1"/>
    <col min="2" max="2" width="2.7109375" style="84" customWidth="1"/>
    <col min="3" max="3" width="17.5703125" style="84" bestFit="1" customWidth="1"/>
    <col min="4" max="4" width="2.5703125" style="84" customWidth="1"/>
    <col min="5" max="5" width="21.42578125" style="110" bestFit="1" customWidth="1"/>
    <col min="6" max="6" width="2.5703125" style="110" customWidth="1"/>
    <col min="7" max="7" width="13.140625" style="84" bestFit="1" customWidth="1"/>
    <col min="8" max="8" width="2.7109375" style="84" customWidth="1"/>
    <col min="9" max="9" width="15.5703125" style="84" customWidth="1"/>
    <col min="10" max="10" width="2.7109375" style="84" customWidth="1"/>
    <col min="11" max="11" width="20.85546875" style="84" bestFit="1" customWidth="1"/>
    <col min="12" max="12" width="2.5703125" style="84" customWidth="1"/>
    <col min="13" max="13" width="32.28515625" style="84" bestFit="1" customWidth="1"/>
    <col min="14" max="14" width="15.5703125" style="84" customWidth="1"/>
    <col min="15" max="15" width="12.28515625" style="7" bestFit="1" customWidth="1"/>
    <col min="16" max="16" width="15.42578125" style="110" customWidth="1"/>
    <col min="17" max="17" width="14" style="110" customWidth="1"/>
    <col min="18" max="18" width="16.5703125" style="110" bestFit="1" customWidth="1"/>
    <col min="19" max="21" width="12.28515625" style="84" bestFit="1" customWidth="1"/>
    <col min="22" max="16384" width="9.140625" style="84"/>
  </cols>
  <sheetData>
    <row r="1" spans="1:21" s="110" customFormat="1">
      <c r="A1" s="177" t="s">
        <v>0</v>
      </c>
      <c r="B1" s="627"/>
      <c r="C1" s="627"/>
      <c r="D1" s="627"/>
      <c r="E1" s="627"/>
      <c r="F1" s="627"/>
      <c r="G1" s="627"/>
      <c r="H1" s="104"/>
      <c r="I1" s="104"/>
      <c r="J1" s="104"/>
      <c r="K1" s="104"/>
      <c r="L1" s="104"/>
      <c r="M1" s="104"/>
      <c r="N1" s="104"/>
      <c r="O1" s="278"/>
    </row>
    <row r="2" spans="1:21" s="110" customFormat="1">
      <c r="A2" s="177" t="s">
        <v>233</v>
      </c>
      <c r="B2" s="627"/>
      <c r="C2" s="627"/>
      <c r="D2" s="627"/>
      <c r="E2" s="627"/>
      <c r="F2" s="627"/>
      <c r="G2" s="627"/>
      <c r="H2" s="104"/>
      <c r="I2" s="104"/>
      <c r="J2" s="104"/>
      <c r="K2" s="104"/>
      <c r="L2" s="104"/>
      <c r="M2" s="104"/>
      <c r="N2" s="104"/>
      <c r="O2" s="278"/>
    </row>
    <row r="3" spans="1:21" s="110" customFormat="1">
      <c r="A3" s="177" t="s">
        <v>175</v>
      </c>
      <c r="B3" s="627"/>
      <c r="C3" s="627"/>
      <c r="D3" s="627"/>
      <c r="E3" s="627"/>
      <c r="F3" s="627"/>
      <c r="G3" s="627"/>
      <c r="H3" s="104"/>
      <c r="I3" s="104"/>
      <c r="J3" s="104"/>
      <c r="K3" s="104"/>
      <c r="L3" s="104"/>
      <c r="M3" s="104"/>
      <c r="N3" s="104"/>
      <c r="O3" s="278"/>
    </row>
    <row r="4" spans="1:21" s="110" customFormat="1">
      <c r="A4" s="177" t="s">
        <v>176</v>
      </c>
      <c r="N4" s="145"/>
      <c r="O4" s="145"/>
      <c r="P4" s="145"/>
      <c r="Q4" s="145"/>
      <c r="R4" s="145"/>
      <c r="S4" s="145"/>
      <c r="T4" s="145"/>
      <c r="U4" s="145"/>
    </row>
    <row r="5" spans="1:21" s="628" customFormat="1">
      <c r="C5" s="255"/>
      <c r="E5" s="629"/>
      <c r="F5" s="256"/>
      <c r="G5" s="630"/>
      <c r="K5" s="630"/>
      <c r="M5" s="630"/>
      <c r="N5" s="257"/>
      <c r="O5" s="631"/>
      <c r="P5" s="632"/>
      <c r="Q5" s="632"/>
      <c r="R5" s="632"/>
    </row>
    <row r="6" spans="1:21" ht="38.25">
      <c r="C6" s="164" t="s">
        <v>35</v>
      </c>
      <c r="D6" s="20"/>
      <c r="E6" s="164" t="s">
        <v>238</v>
      </c>
      <c r="F6" s="101"/>
      <c r="G6" s="164" t="s">
        <v>36</v>
      </c>
      <c r="I6" s="164" t="s">
        <v>218</v>
      </c>
      <c r="K6" s="164" t="s">
        <v>239</v>
      </c>
      <c r="L6" s="101"/>
      <c r="M6" s="164" t="s">
        <v>37</v>
      </c>
      <c r="N6" s="165" t="s">
        <v>38</v>
      </c>
      <c r="P6" s="119"/>
    </row>
    <row r="7" spans="1:21">
      <c r="C7" s="101"/>
      <c r="D7" s="20"/>
      <c r="E7" s="101"/>
      <c r="F7" s="101"/>
      <c r="G7" s="20"/>
      <c r="I7" s="21"/>
      <c r="M7" s="20"/>
      <c r="N7" s="20"/>
    </row>
    <row r="8" spans="1:21">
      <c r="A8" s="134">
        <v>43281</v>
      </c>
      <c r="C8" s="278">
        <f>'Actual Net Energy Costs'!C56</f>
        <v>-5410887</v>
      </c>
      <c r="D8" s="7"/>
      <c r="E8" s="146">
        <v>0</v>
      </c>
      <c r="F8" s="146"/>
      <c r="G8" s="534">
        <v>0</v>
      </c>
      <c r="H8" s="166"/>
      <c r="I8" s="35">
        <v>0</v>
      </c>
      <c r="J8" s="166"/>
      <c r="K8" s="166">
        <v>0</v>
      </c>
      <c r="L8" s="166"/>
      <c r="M8" s="163">
        <v>0</v>
      </c>
      <c r="N8" s="33">
        <f>C8+E8+I8+K8+M8</f>
        <v>-5410887</v>
      </c>
      <c r="P8" s="633"/>
    </row>
    <row r="9" spans="1:21">
      <c r="C9" s="102"/>
      <c r="D9" s="25"/>
      <c r="E9" s="102"/>
      <c r="F9" s="102"/>
      <c r="G9" s="535"/>
      <c r="H9" s="166"/>
      <c r="I9" s="23"/>
      <c r="J9" s="166"/>
      <c r="K9" s="166"/>
      <c r="L9" s="166"/>
      <c r="M9" s="25"/>
      <c r="N9" s="24"/>
    </row>
    <row r="10" spans="1:21">
      <c r="A10" s="26">
        <f>A8+30</f>
        <v>43311</v>
      </c>
      <c r="C10" s="278">
        <f>'Actual Net Energy Costs'!D56</f>
        <v>879631</v>
      </c>
      <c r="D10" s="7"/>
      <c r="E10" s="146">
        <v>0</v>
      </c>
      <c r="F10" s="146"/>
      <c r="G10" s="536">
        <v>2.347169E-2</v>
      </c>
      <c r="H10" s="166"/>
      <c r="I10" s="107">
        <f>ROUND((N8*G10)/12,0)</f>
        <v>-10584</v>
      </c>
      <c r="J10" s="166"/>
      <c r="K10" s="166">
        <v>0</v>
      </c>
      <c r="L10" s="166"/>
      <c r="M10" s="163">
        <v>0</v>
      </c>
      <c r="N10" s="33">
        <f>N8+C10+E10+I10+K10+M10</f>
        <v>-4541840</v>
      </c>
      <c r="P10" s="633"/>
      <c r="Q10" s="634"/>
    </row>
    <row r="11" spans="1:21">
      <c r="A11" s="27"/>
      <c r="B11" s="27"/>
      <c r="C11" s="103"/>
      <c r="D11" s="28"/>
      <c r="E11" s="103"/>
      <c r="F11" s="103"/>
      <c r="G11" s="118"/>
      <c r="H11" s="166"/>
      <c r="I11" s="166"/>
      <c r="J11" s="166"/>
      <c r="K11" s="166"/>
      <c r="L11" s="166"/>
      <c r="M11" s="166"/>
      <c r="N11" s="29"/>
    </row>
    <row r="12" spans="1:21">
      <c r="A12" s="30">
        <f>A10+30</f>
        <v>43341</v>
      </c>
      <c r="B12" s="27"/>
      <c r="C12" s="279">
        <f>'Actual Net Energy Costs'!E56</f>
        <v>2091799</v>
      </c>
      <c r="D12" s="55"/>
      <c r="E12" s="146">
        <v>0</v>
      </c>
      <c r="F12" s="146"/>
      <c r="G12" s="536">
        <v>2.3254460000000001E-2</v>
      </c>
      <c r="H12" s="166"/>
      <c r="I12" s="85">
        <f>ROUND((N10*G12)/12,0)</f>
        <v>-8802</v>
      </c>
      <c r="J12" s="166"/>
      <c r="K12" s="166">
        <v>0</v>
      </c>
      <c r="L12" s="166"/>
      <c r="M12" s="163">
        <v>0</v>
      </c>
      <c r="N12" s="33">
        <f>N10+C12+E12+I12+K12+M12</f>
        <v>-2458843</v>
      </c>
      <c r="P12" s="633"/>
    </row>
    <row r="13" spans="1:21">
      <c r="A13" s="27"/>
      <c r="B13" s="27"/>
      <c r="C13" s="103"/>
      <c r="D13" s="28"/>
      <c r="E13" s="103"/>
      <c r="F13" s="103"/>
      <c r="G13" s="118"/>
      <c r="H13" s="166"/>
      <c r="I13" s="166"/>
      <c r="J13" s="166"/>
      <c r="K13" s="166"/>
      <c r="L13" s="166"/>
      <c r="M13" s="166"/>
      <c r="N13" s="29"/>
    </row>
    <row r="14" spans="1:21">
      <c r="A14" s="30">
        <f>A12+31</f>
        <v>43372</v>
      </c>
      <c r="B14" s="27"/>
      <c r="C14" s="279">
        <f>'Actual Net Energy Costs'!F56</f>
        <v>-6211472</v>
      </c>
      <c r="D14" s="55"/>
      <c r="E14" s="146">
        <v>0</v>
      </c>
      <c r="F14" s="146"/>
      <c r="G14" s="536">
        <v>2.328962E-2</v>
      </c>
      <c r="H14" s="166"/>
      <c r="I14" s="85">
        <f>ROUND((N12*G14)/12,0)</f>
        <v>-4772</v>
      </c>
      <c r="J14" s="166"/>
      <c r="K14" s="166">
        <v>0</v>
      </c>
      <c r="L14" s="166"/>
      <c r="M14" s="163">
        <v>0</v>
      </c>
      <c r="N14" s="33">
        <f>N12+C14+E14+I14+K14+M14</f>
        <v>-8675087</v>
      </c>
      <c r="P14" s="633"/>
    </row>
    <row r="15" spans="1:21">
      <c r="A15" s="27"/>
      <c r="B15" s="27"/>
      <c r="C15" s="28"/>
      <c r="D15" s="28"/>
      <c r="E15" s="103"/>
      <c r="F15" s="103"/>
      <c r="G15" s="118"/>
      <c r="H15" s="166"/>
      <c r="I15" s="166"/>
      <c r="J15" s="166"/>
      <c r="K15" s="166"/>
      <c r="L15" s="166"/>
      <c r="M15" s="166"/>
      <c r="N15" s="29"/>
    </row>
    <row r="16" spans="1:21">
      <c r="A16" s="30">
        <f>A14+28</f>
        <v>43400</v>
      </c>
      <c r="B16" s="27"/>
      <c r="C16" s="167">
        <v>0</v>
      </c>
      <c r="D16" s="167"/>
      <c r="E16" s="279">
        <v>15060</v>
      </c>
      <c r="F16" s="146"/>
      <c r="G16" s="536">
        <v>2.457413E-2</v>
      </c>
      <c r="H16" s="166"/>
      <c r="I16" s="107">
        <f>ROUND((N14*G16)/12,0)</f>
        <v>-17765</v>
      </c>
      <c r="J16" s="168"/>
      <c r="K16" s="279">
        <v>-449314</v>
      </c>
      <c r="L16" s="145"/>
      <c r="M16" s="163">
        <v>0</v>
      </c>
      <c r="N16" s="33">
        <f>N14+C16+E16+I16+K16+M16</f>
        <v>-9127106</v>
      </c>
      <c r="P16" s="633"/>
      <c r="Q16" s="635"/>
    </row>
    <row r="17" spans="1:18">
      <c r="A17" s="27"/>
      <c r="B17" s="27"/>
      <c r="C17" s="28"/>
      <c r="D17" s="28"/>
      <c r="E17" s="103"/>
      <c r="F17" s="103"/>
      <c r="G17" s="118"/>
      <c r="H17" s="166"/>
      <c r="I17" s="168"/>
      <c r="J17" s="168"/>
      <c r="K17" s="168"/>
      <c r="L17" s="168"/>
      <c r="M17" s="166"/>
      <c r="N17" s="29"/>
    </row>
    <row r="18" spans="1:18">
      <c r="A18" s="30">
        <f>A16+31</f>
        <v>43431</v>
      </c>
      <c r="B18" s="27"/>
      <c r="C18" s="167">
        <v>0</v>
      </c>
      <c r="D18" s="167"/>
      <c r="E18" s="146">
        <v>0</v>
      </c>
      <c r="F18" s="146"/>
      <c r="G18" s="536">
        <v>2.5271160000000001E-2</v>
      </c>
      <c r="H18" s="166"/>
      <c r="I18" s="107">
        <f>ROUND((N16*G18)/12,0)</f>
        <v>-19221</v>
      </c>
      <c r="J18" s="168"/>
      <c r="K18" s="145">
        <v>0</v>
      </c>
      <c r="L18" s="145"/>
      <c r="M18" s="163">
        <v>0</v>
      </c>
      <c r="N18" s="33">
        <f>N16+C18+E18+I18+K18+M18</f>
        <v>-9146327</v>
      </c>
      <c r="P18" s="633"/>
      <c r="Q18" s="636"/>
    </row>
    <row r="19" spans="1:18">
      <c r="A19" s="27"/>
      <c r="B19" s="27"/>
      <c r="C19" s="28"/>
      <c r="D19" s="28"/>
      <c r="E19" s="103"/>
      <c r="F19" s="103"/>
      <c r="G19" s="118"/>
      <c r="H19" s="166"/>
      <c r="I19" s="107"/>
      <c r="J19" s="168"/>
      <c r="K19" s="168"/>
      <c r="L19" s="168"/>
      <c r="M19" s="166"/>
      <c r="N19" s="29"/>
      <c r="Q19" s="636"/>
    </row>
    <row r="20" spans="1:18">
      <c r="A20" s="26">
        <f>A18+31</f>
        <v>43462</v>
      </c>
      <c r="B20" s="22"/>
      <c r="C20" s="32">
        <v>0</v>
      </c>
      <c r="D20" s="32"/>
      <c r="E20" s="146">
        <v>0</v>
      </c>
      <c r="F20" s="146"/>
      <c r="G20" s="536">
        <v>2.7545790000000001E-2</v>
      </c>
      <c r="H20" s="166"/>
      <c r="I20" s="107">
        <f>ROUND((N18*G20)/12,0)</f>
        <v>-20995</v>
      </c>
      <c r="J20" s="168"/>
      <c r="K20" s="168">
        <v>0</v>
      </c>
      <c r="L20" s="168"/>
      <c r="M20" s="163">
        <v>0</v>
      </c>
      <c r="N20" s="33">
        <f>N18+C20+E20+I20+K20+M20</f>
        <v>-9167322</v>
      </c>
      <c r="P20" s="633"/>
      <c r="Q20" s="636"/>
    </row>
    <row r="21" spans="1:18">
      <c r="C21" s="166"/>
      <c r="D21" s="166"/>
      <c r="E21" s="168"/>
      <c r="F21" s="168"/>
      <c r="G21" s="118"/>
      <c r="H21" s="166"/>
      <c r="I21" s="168"/>
      <c r="J21" s="168"/>
      <c r="K21" s="168"/>
      <c r="L21" s="168"/>
      <c r="M21" s="166"/>
      <c r="N21" s="29"/>
    </row>
    <row r="22" spans="1:18">
      <c r="A22" s="26">
        <f>A20+30</f>
        <v>43492</v>
      </c>
      <c r="B22" s="26"/>
      <c r="C22" s="32">
        <v>0</v>
      </c>
      <c r="D22" s="32"/>
      <c r="E22" s="146">
        <v>0</v>
      </c>
      <c r="F22" s="146"/>
      <c r="G22" s="536">
        <v>2.8696949999999999E-2</v>
      </c>
      <c r="H22" s="166"/>
      <c r="I22" s="107">
        <f>ROUND((N20*G22)/12,0)</f>
        <v>-21923</v>
      </c>
      <c r="J22" s="168"/>
      <c r="K22" s="168">
        <v>0</v>
      </c>
      <c r="L22" s="168"/>
      <c r="M22" s="163">
        <v>0</v>
      </c>
      <c r="N22" s="33">
        <f>N20+C22+E22+I22+K22+M22</f>
        <v>-9189245</v>
      </c>
      <c r="P22" s="120"/>
      <c r="Q22" s="95"/>
      <c r="R22" s="95"/>
    </row>
    <row r="23" spans="1:18">
      <c r="C23" s="166"/>
      <c r="D23" s="166"/>
      <c r="E23" s="168"/>
      <c r="F23" s="168"/>
      <c r="G23" s="118"/>
      <c r="H23" s="166"/>
      <c r="I23" s="168"/>
      <c r="J23" s="168"/>
      <c r="K23" s="168"/>
      <c r="L23" s="168"/>
      <c r="M23" s="166"/>
      <c r="N23" s="29"/>
      <c r="P23" s="95"/>
      <c r="Q23" s="95"/>
      <c r="R23" s="95"/>
    </row>
    <row r="24" spans="1:18">
      <c r="A24" s="26">
        <f>A22+31</f>
        <v>43523</v>
      </c>
      <c r="B24" s="26"/>
      <c r="C24" s="32">
        <v>0</v>
      </c>
      <c r="D24" s="32"/>
      <c r="E24" s="146">
        <v>0</v>
      </c>
      <c r="F24" s="146"/>
      <c r="G24" s="536">
        <v>2.8403910000000001E-2</v>
      </c>
      <c r="H24" s="166"/>
      <c r="I24" s="107">
        <f>ROUND((N22*G24)/12,0)</f>
        <v>-21751</v>
      </c>
      <c r="J24" s="168"/>
      <c r="K24" s="168">
        <v>0</v>
      </c>
      <c r="L24" s="168"/>
      <c r="M24" s="279">
        <v>1148903</v>
      </c>
      <c r="N24" s="33">
        <f>N22+C24+E24+I24+K24+M24</f>
        <v>-8062093</v>
      </c>
      <c r="P24" s="97"/>
      <c r="Q24" s="97"/>
      <c r="R24" s="97"/>
    </row>
    <row r="25" spans="1:18">
      <c r="C25" s="166"/>
      <c r="D25" s="166"/>
      <c r="E25" s="168"/>
      <c r="F25" s="168"/>
      <c r="G25" s="118"/>
      <c r="H25" s="166"/>
      <c r="I25" s="168"/>
      <c r="J25" s="168"/>
      <c r="K25" s="168"/>
      <c r="L25" s="168"/>
      <c r="M25" s="533"/>
      <c r="N25" s="29"/>
      <c r="P25" s="96"/>
      <c r="Q25" s="96"/>
      <c r="R25" s="95"/>
    </row>
    <row r="26" spans="1:18">
      <c r="A26" s="26">
        <f>A24+30</f>
        <v>43553</v>
      </c>
      <c r="B26" s="26"/>
      <c r="C26" s="32">
        <v>0</v>
      </c>
      <c r="D26" s="32"/>
      <c r="E26" s="146">
        <v>0</v>
      </c>
      <c r="F26" s="146"/>
      <c r="G26" s="536">
        <v>2.7878150000000001E-2</v>
      </c>
      <c r="H26" s="166"/>
      <c r="I26" s="107">
        <f>ROUND((N24*G26)/12,0)</f>
        <v>-18730</v>
      </c>
      <c r="J26" s="168"/>
      <c r="K26" s="168">
        <v>0</v>
      </c>
      <c r="L26" s="168"/>
      <c r="M26" s="279">
        <v>1148936</v>
      </c>
      <c r="N26" s="33">
        <f>N24+C26+E26+I26+K26+M26</f>
        <v>-6931887</v>
      </c>
      <c r="P26" s="97"/>
      <c r="Q26" s="97"/>
      <c r="R26" s="97"/>
    </row>
    <row r="27" spans="1:18">
      <c r="C27" s="166"/>
      <c r="D27" s="166"/>
      <c r="E27" s="168"/>
      <c r="F27" s="168"/>
      <c r="G27" s="118"/>
      <c r="H27" s="166"/>
      <c r="I27" s="169"/>
      <c r="J27" s="168"/>
      <c r="K27" s="168"/>
      <c r="L27" s="168"/>
      <c r="M27" s="533"/>
      <c r="N27" s="29"/>
      <c r="P27" s="96"/>
      <c r="Q27" s="96"/>
      <c r="R27" s="97"/>
    </row>
    <row r="28" spans="1:18">
      <c r="A28" s="26">
        <f>A26+31</f>
        <v>43584</v>
      </c>
      <c r="B28" s="26"/>
      <c r="C28" s="32">
        <v>0</v>
      </c>
      <c r="D28" s="32"/>
      <c r="E28" s="146">
        <v>0</v>
      </c>
      <c r="F28" s="146"/>
      <c r="G28" s="536">
        <v>2.6622739999999999E-2</v>
      </c>
      <c r="H28" s="166"/>
      <c r="I28" s="107">
        <f>ROUND((N26*G28)/12,0)</f>
        <v>-15379</v>
      </c>
      <c r="J28" s="168"/>
      <c r="K28" s="168">
        <v>0</v>
      </c>
      <c r="L28" s="168"/>
      <c r="M28" s="279">
        <v>941977</v>
      </c>
      <c r="N28" s="33">
        <f>N26+C28+E28+I28+K28+M28</f>
        <v>-6005289</v>
      </c>
      <c r="P28" s="97"/>
      <c r="Q28" s="97"/>
      <c r="R28" s="97"/>
    </row>
    <row r="29" spans="1:18">
      <c r="C29" s="166"/>
      <c r="D29" s="166"/>
      <c r="E29" s="168"/>
      <c r="F29" s="168"/>
      <c r="G29" s="118"/>
      <c r="H29" s="166"/>
      <c r="I29" s="168"/>
      <c r="J29" s="168"/>
      <c r="K29" s="168"/>
      <c r="L29" s="168"/>
      <c r="M29" s="533"/>
      <c r="N29" s="29"/>
      <c r="P29" s="96"/>
      <c r="Q29" s="96"/>
      <c r="R29" s="95"/>
    </row>
    <row r="30" spans="1:18">
      <c r="A30" s="26">
        <f>A28+31</f>
        <v>43615</v>
      </c>
      <c r="B30" s="26"/>
      <c r="C30" s="32">
        <v>0</v>
      </c>
      <c r="D30" s="32"/>
      <c r="E30" s="146">
        <v>0</v>
      </c>
      <c r="F30" s="146"/>
      <c r="G30" s="536">
        <v>2.677361E-2</v>
      </c>
      <c r="H30" s="166"/>
      <c r="I30" s="107">
        <f>ROUND((N28*G30)/12,0)</f>
        <v>-13399</v>
      </c>
      <c r="J30" s="168"/>
      <c r="K30" s="168">
        <v>0</v>
      </c>
      <c r="L30" s="168"/>
      <c r="M30" s="279">
        <v>890368</v>
      </c>
      <c r="N30" s="33">
        <f>N28+C30+E30+I30+K30+M30</f>
        <v>-5128320</v>
      </c>
      <c r="P30" s="97"/>
      <c r="Q30" s="97"/>
      <c r="R30" s="97"/>
    </row>
    <row r="31" spans="1:18">
      <c r="C31" s="166"/>
      <c r="D31" s="166"/>
      <c r="E31" s="168"/>
      <c r="F31" s="168"/>
      <c r="G31" s="537"/>
      <c r="H31" s="166"/>
      <c r="I31" s="168"/>
      <c r="J31" s="168"/>
      <c r="K31" s="168"/>
      <c r="L31" s="168"/>
      <c r="M31" s="533"/>
      <c r="N31" s="29"/>
      <c r="P31" s="96"/>
      <c r="Q31" s="96"/>
      <c r="R31" s="95"/>
    </row>
    <row r="32" spans="1:18">
      <c r="A32" s="26">
        <f>A30+28</f>
        <v>43643</v>
      </c>
      <c r="B32" s="26"/>
      <c r="C32" s="31">
        <v>0</v>
      </c>
      <c r="D32" s="31"/>
      <c r="E32" s="146">
        <v>0</v>
      </c>
      <c r="F32" s="146"/>
      <c r="G32" s="536">
        <v>2.6500570000000001E-2</v>
      </c>
      <c r="H32" s="166"/>
      <c r="I32" s="107">
        <f>ROUND((N30*G32)/12,0)</f>
        <v>-11325</v>
      </c>
      <c r="J32" s="168"/>
      <c r="K32" s="168">
        <v>0</v>
      </c>
      <c r="L32" s="168"/>
      <c r="M32" s="279">
        <v>1008366.32</v>
      </c>
      <c r="N32" s="33">
        <f>N30+C32+E32+I32+K32+M32</f>
        <v>-4131278.68</v>
      </c>
      <c r="P32" s="97"/>
      <c r="Q32" s="97"/>
      <c r="R32" s="97"/>
    </row>
    <row r="33" spans="1:20">
      <c r="C33" s="166"/>
      <c r="D33" s="166"/>
      <c r="E33" s="168"/>
      <c r="F33" s="168"/>
      <c r="G33" s="537"/>
      <c r="H33" s="166"/>
      <c r="I33" s="168"/>
      <c r="J33" s="168"/>
      <c r="K33" s="168"/>
      <c r="L33" s="168"/>
      <c r="M33" s="533"/>
      <c r="N33" s="29"/>
      <c r="P33" s="96"/>
      <c r="Q33" s="96"/>
      <c r="R33" s="95"/>
    </row>
    <row r="34" spans="1:20">
      <c r="A34" s="26">
        <f>A32+31</f>
        <v>43674</v>
      </c>
      <c r="B34" s="26"/>
      <c r="C34" s="31">
        <v>0</v>
      </c>
      <c r="D34" s="31"/>
      <c r="E34" s="146">
        <v>0</v>
      </c>
      <c r="F34" s="146"/>
      <c r="G34" s="536">
        <v>2.594869E-2</v>
      </c>
      <c r="H34" s="166"/>
      <c r="I34" s="107">
        <f>ROUND((N32*G34)/12,0)</f>
        <v>-8933</v>
      </c>
      <c r="J34" s="168"/>
      <c r="K34" s="168">
        <v>0</v>
      </c>
      <c r="L34" s="168"/>
      <c r="M34" s="279">
        <v>1197875</v>
      </c>
      <c r="N34" s="33">
        <f>N32+C34+E34+I34+K34+M34</f>
        <v>-2942336.68</v>
      </c>
      <c r="P34" s="97"/>
      <c r="Q34" s="97"/>
      <c r="R34" s="106"/>
    </row>
    <row r="35" spans="1:20">
      <c r="C35" s="166"/>
      <c r="D35" s="166"/>
      <c r="E35" s="168"/>
      <c r="F35" s="168"/>
      <c r="G35" s="537"/>
      <c r="H35" s="166"/>
      <c r="I35" s="168"/>
      <c r="J35" s="168"/>
      <c r="K35" s="168"/>
      <c r="L35" s="168"/>
      <c r="M35" s="533"/>
      <c r="N35" s="29"/>
      <c r="P35" s="96"/>
      <c r="Q35" s="96"/>
      <c r="R35" s="95"/>
    </row>
    <row r="36" spans="1:20">
      <c r="A36" s="26">
        <f>A34+30</f>
        <v>43704</v>
      </c>
      <c r="B36" s="26"/>
      <c r="C36" s="31">
        <v>0</v>
      </c>
      <c r="D36" s="31"/>
      <c r="E36" s="146">
        <v>0</v>
      </c>
      <c r="F36" s="146"/>
      <c r="G36" s="536">
        <v>2.3511899999999999E-2</v>
      </c>
      <c r="H36" s="166"/>
      <c r="I36" s="107">
        <f>ROUND((N34*G36)/12,0)</f>
        <v>-5765</v>
      </c>
      <c r="J36" s="168"/>
      <c r="K36" s="168">
        <v>0</v>
      </c>
      <c r="L36" s="168"/>
      <c r="M36" s="279">
        <v>1267230</v>
      </c>
      <c r="N36" s="33">
        <f>N34+C36+E36+I36+K36+M36</f>
        <v>-1680871.6800000002</v>
      </c>
      <c r="P36" s="97"/>
      <c r="Q36" s="97"/>
      <c r="R36" s="97"/>
    </row>
    <row r="37" spans="1:20">
      <c r="C37" s="166"/>
      <c r="D37" s="166"/>
      <c r="E37" s="168"/>
      <c r="F37" s="168"/>
      <c r="G37" s="537"/>
      <c r="H37" s="166"/>
      <c r="I37" s="168"/>
      <c r="J37" s="168"/>
      <c r="K37" s="168"/>
      <c r="L37" s="168"/>
      <c r="M37" s="533"/>
      <c r="N37" s="29"/>
      <c r="P37" s="96"/>
      <c r="Q37" s="96"/>
      <c r="R37" s="95"/>
    </row>
    <row r="38" spans="1:20">
      <c r="A38" s="26">
        <f>A36+31</f>
        <v>43735</v>
      </c>
      <c r="B38" s="26"/>
      <c r="C38" s="31">
        <v>0</v>
      </c>
      <c r="D38" s="31"/>
      <c r="E38" s="100">
        <v>0</v>
      </c>
      <c r="F38" s="100"/>
      <c r="G38" s="536">
        <v>2.21687E-2</v>
      </c>
      <c r="H38" s="166"/>
      <c r="I38" s="107">
        <f>ROUND((N36*G38)/12,0)</f>
        <v>-3105</v>
      </c>
      <c r="J38" s="168"/>
      <c r="K38" s="168">
        <v>0</v>
      </c>
      <c r="L38" s="168"/>
      <c r="M38" s="279">
        <v>1139341</v>
      </c>
      <c r="N38" s="33">
        <f>N36+C38+E38+I38+K38+M38</f>
        <v>-544635.68000000017</v>
      </c>
      <c r="P38" s="97"/>
      <c r="Q38" s="97"/>
      <c r="R38" s="97"/>
      <c r="S38" s="110"/>
      <c r="T38" s="110"/>
    </row>
    <row r="39" spans="1:20">
      <c r="C39" s="166"/>
      <c r="D39" s="166"/>
      <c r="E39" s="168"/>
      <c r="F39" s="168"/>
      <c r="G39" s="109"/>
      <c r="H39" s="166"/>
      <c r="I39" s="168"/>
      <c r="J39" s="168"/>
      <c r="K39" s="168"/>
      <c r="L39" s="168"/>
      <c r="M39" s="146"/>
      <c r="N39" s="29"/>
      <c r="S39" s="110"/>
      <c r="T39" s="110"/>
    </row>
    <row r="40" spans="1:20" s="110" customFormat="1">
      <c r="A40" s="98">
        <f>A38+30</f>
        <v>43765</v>
      </c>
      <c r="B40" s="98"/>
      <c r="C40" s="170">
        <v>0</v>
      </c>
      <c r="D40" s="99"/>
      <c r="E40" s="170">
        <v>0</v>
      </c>
      <c r="F40" s="99"/>
      <c r="G40" s="536">
        <v>2.113932E-2</v>
      </c>
      <c r="H40" s="168"/>
      <c r="I40" s="230">
        <f>ROUND((N38*G40)/12,0)</f>
        <v>-959</v>
      </c>
      <c r="J40" s="168"/>
      <c r="K40" s="171">
        <v>0</v>
      </c>
      <c r="L40" s="172"/>
      <c r="M40" s="254">
        <v>0</v>
      </c>
      <c r="N40" s="161">
        <f>N38+C40+E40+I40+K40+M40</f>
        <v>-545594.68000000017</v>
      </c>
      <c r="O40" s="108"/>
      <c r="P40" s="106"/>
      <c r="R40" s="635"/>
    </row>
    <row r="41" spans="1:20">
      <c r="G41" s="125"/>
      <c r="S41" s="110"/>
      <c r="T41" s="110"/>
    </row>
    <row r="42" spans="1:20">
      <c r="A42" s="59" t="s">
        <v>39</v>
      </c>
      <c r="C42" s="278">
        <f>SUM(C8:C40)</f>
        <v>-8650929</v>
      </c>
      <c r="D42" s="7"/>
      <c r="E42" s="278">
        <f>SUM(E8:E40)</f>
        <v>15060</v>
      </c>
      <c r="F42" s="278"/>
      <c r="I42" s="278">
        <f>SUM(I8:I40)</f>
        <v>-203408</v>
      </c>
      <c r="K42" s="634">
        <f>SUM(K8:K40)</f>
        <v>-449314</v>
      </c>
      <c r="L42" s="576"/>
      <c r="M42" s="278">
        <f>SUM(M8:M40)</f>
        <v>8742996.3200000003</v>
      </c>
      <c r="Q42" s="634"/>
      <c r="S42" s="110"/>
      <c r="T42" s="110"/>
    </row>
    <row r="43" spans="1:20">
      <c r="C43" s="111"/>
      <c r="E43" s="95"/>
      <c r="F43" s="95"/>
      <c r="I43" s="111"/>
      <c r="M43" s="143"/>
      <c r="N43" s="127"/>
      <c r="O43" s="128"/>
      <c r="P43" s="135"/>
      <c r="Q43" s="135"/>
      <c r="R43" s="117"/>
      <c r="S43" s="135"/>
    </row>
    <row r="44" spans="1:20">
      <c r="I44" s="112"/>
      <c r="M44" s="135"/>
      <c r="N44" s="136"/>
      <c r="O44" s="127"/>
      <c r="P44" s="135"/>
      <c r="Q44" s="135"/>
      <c r="R44" s="135"/>
      <c r="S44" s="135"/>
    </row>
    <row r="45" spans="1:20">
      <c r="A45" s="84" t="s">
        <v>40</v>
      </c>
      <c r="M45" s="144"/>
      <c r="N45" s="136"/>
      <c r="O45" s="127"/>
      <c r="P45" s="135"/>
      <c r="Q45" s="135"/>
      <c r="R45" s="135"/>
      <c r="S45" s="135"/>
    </row>
    <row r="46" spans="1:20">
      <c r="I46" s="576"/>
      <c r="M46" s="135"/>
      <c r="N46" s="136"/>
      <c r="O46" s="127"/>
      <c r="P46" s="135"/>
      <c r="Q46" s="135"/>
      <c r="R46" s="135"/>
      <c r="S46" s="135"/>
    </row>
    <row r="47" spans="1:20">
      <c r="I47" s="576"/>
      <c r="N47" s="136"/>
      <c r="O47" s="127"/>
      <c r="P47" s="135"/>
      <c r="Q47" s="135"/>
      <c r="R47" s="135"/>
      <c r="S47" s="135"/>
    </row>
    <row r="48" spans="1:20">
      <c r="I48" s="576"/>
      <c r="N48" s="637"/>
      <c r="O48" s="41"/>
      <c r="P48" s="638"/>
      <c r="Q48" s="135"/>
      <c r="R48" s="135"/>
      <c r="S48" s="135"/>
    </row>
    <row r="49" spans="3:19">
      <c r="C49" s="576"/>
      <c r="I49" s="576"/>
      <c r="N49" s="135"/>
      <c r="O49" s="41"/>
      <c r="P49" s="135"/>
      <c r="Q49" s="135"/>
      <c r="R49" s="135"/>
      <c r="S49" s="135"/>
    </row>
    <row r="50" spans="3:19">
      <c r="N50" s="135"/>
      <c r="O50" s="41"/>
      <c r="P50" s="135"/>
      <c r="Q50" s="135"/>
      <c r="R50" s="135"/>
      <c r="S50" s="135"/>
    </row>
    <row r="51" spans="3:19">
      <c r="N51" s="637"/>
      <c r="O51" s="41"/>
      <c r="P51" s="135"/>
      <c r="Q51" s="135"/>
      <c r="R51" s="135"/>
      <c r="S51" s="135"/>
    </row>
    <row r="53" spans="3:19">
      <c r="G53" s="84" t="s">
        <v>34</v>
      </c>
    </row>
    <row r="65" spans="14:14">
      <c r="N65" s="88"/>
    </row>
    <row r="66" spans="14:14">
      <c r="N66" s="88"/>
    </row>
  </sheetData>
  <phoneticPr fontId="21" type="noConversion"/>
  <pageMargins left="0.75" right="0.75" top="1" bottom="1" header="0.5" footer="0.5"/>
  <pageSetup scale="40" orientation="landscape" r:id="rId1"/>
  <headerFooter alignWithMargins="0">
    <oddFooter>&amp;CSchedule MA-TU
&amp;RConfidential
4 CSR 240-2.090(9(A).2(C))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O30"/>
  <sheetViews>
    <sheetView zoomScale="80" zoomScaleNormal="80" workbookViewId="0">
      <selection activeCell="AI18" sqref="AI18"/>
    </sheetView>
  </sheetViews>
  <sheetFormatPr defaultColWidth="9.140625" defaultRowHeight="12.75"/>
  <cols>
    <col min="1" max="1" width="11" style="639" customWidth="1"/>
    <col min="2" max="16384" width="9.140625" style="639"/>
  </cols>
  <sheetData>
    <row r="1" spans="1:15">
      <c r="A1" s="177" t="s">
        <v>0</v>
      </c>
    </row>
    <row r="2" spans="1:15">
      <c r="A2" s="177" t="s">
        <v>177</v>
      </c>
    </row>
    <row r="3" spans="1:15">
      <c r="A3" s="177" t="s">
        <v>178</v>
      </c>
    </row>
    <row r="4" spans="1:15">
      <c r="A4" s="177"/>
      <c r="I4" s="258"/>
      <c r="J4" s="258"/>
      <c r="K4" s="258"/>
      <c r="L4" s="258"/>
      <c r="M4" s="258"/>
      <c r="N4" s="258"/>
    </row>
    <row r="7" spans="1:15">
      <c r="O7" s="640"/>
    </row>
    <row r="28" spans="2:2">
      <c r="B28" s="177"/>
    </row>
    <row r="29" spans="2:2">
      <c r="B29" s="177"/>
    </row>
    <row r="30" spans="2:2">
      <c r="B30" s="177"/>
    </row>
  </sheetData>
  <pageMargins left="0.7" right="0.7" top="0.75" bottom="0.75" header="0.3" footer="0.3"/>
  <pageSetup orientation="portrait" r:id="rId1"/>
  <headerFooter>
    <oddFooter>&amp;CSchedule MA-TU&amp;RConfidential
4 CSR 240-2.090(9(A).2(D).I)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9</vt:i4>
      </vt:variant>
    </vt:vector>
  </HeadingPairs>
  <TitlesOfParts>
    <vt:vector size="36" baseType="lpstr">
      <vt:lpstr>Summary</vt:lpstr>
      <vt:lpstr>9(A).2(A)</vt:lpstr>
      <vt:lpstr>ER-2016-0179</vt:lpstr>
      <vt:lpstr>Actual Net Energy Costs</vt:lpstr>
      <vt:lpstr>Accumulated Costs</vt:lpstr>
      <vt:lpstr>Recoveries and Refunds</vt:lpstr>
      <vt:lpstr>9(A).2(B)</vt:lpstr>
      <vt:lpstr>9(A).2(C)</vt:lpstr>
      <vt:lpstr>9(A).2(D).I</vt:lpstr>
      <vt:lpstr>9(A).2(D).II Jul-18</vt:lpstr>
      <vt:lpstr>9(A).2(D).II Aug-18</vt:lpstr>
      <vt:lpstr>9(A).2(D).II Sep-18</vt:lpstr>
      <vt:lpstr>9(A).2(D).II Oct-18</vt:lpstr>
      <vt:lpstr>9(A).2(D).II  Nov_18</vt:lpstr>
      <vt:lpstr>9(A).2(D).II  Dec_18</vt:lpstr>
      <vt:lpstr>9(A).2(D).II  Jan_19</vt:lpstr>
      <vt:lpstr>9(A).2(D).II  Feb_19</vt:lpstr>
      <vt:lpstr>9(A).2(D).II Mar_19</vt:lpstr>
      <vt:lpstr>9(A).2(D).II Apr_19</vt:lpstr>
      <vt:lpstr>9(A).2(D).II May_19</vt:lpstr>
      <vt:lpstr>9(A).2(D).II Jun_19</vt:lpstr>
      <vt:lpstr>9(A).2(D).II Jul_19</vt:lpstr>
      <vt:lpstr>9(A).2(D).II Aug_19</vt:lpstr>
      <vt:lpstr>9(A).2(D).II Sep_19</vt:lpstr>
      <vt:lpstr>9(A).2(D).II Oct_19</vt:lpstr>
      <vt:lpstr>9(A).2(D).III</vt:lpstr>
      <vt:lpstr>9(A).2(E)</vt:lpstr>
      <vt:lpstr>'9(A).2(D).II  Dec_18'!Print_Area</vt:lpstr>
      <vt:lpstr>'9(A).2(D).II  Jan_19'!Print_Area</vt:lpstr>
      <vt:lpstr>'9(A).2(D).II Apr_19'!Print_Area</vt:lpstr>
      <vt:lpstr>'9(A).2(D).II Aug-18'!Print_Area</vt:lpstr>
      <vt:lpstr>'9(A).2(D).II Jul_19'!Print_Area</vt:lpstr>
      <vt:lpstr>'9(A).2(D).II Jul-18'!Print_Area</vt:lpstr>
      <vt:lpstr>'9(A).2(D).II Oct-18'!Print_Area</vt:lpstr>
      <vt:lpstr>'9(A).2(D).II Sep_19'!Print_Area</vt:lpstr>
      <vt:lpstr>'9(A).2(D).II Sep-18'!Print_Area</vt:lpstr>
    </vt:vector>
  </TitlesOfParts>
  <Manager/>
  <Company>Ameren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Jesse Michael Francis</dc:creator>
  <cp:keywords/>
  <dc:description/>
  <cp:lastModifiedBy>Best, Geri A</cp:lastModifiedBy>
  <cp:revision/>
  <cp:lastPrinted>2019-11-21T17:58:10Z</cp:lastPrinted>
  <dcterms:created xsi:type="dcterms:W3CDTF">2010-03-11T15:52:41Z</dcterms:created>
  <dcterms:modified xsi:type="dcterms:W3CDTF">2019-11-21T17:58:47Z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