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" windowWidth="18765" windowHeight="8340"/>
  </bookViews>
  <sheets>
    <sheet name="PPC" sheetId="4" r:id="rId1"/>
    <sheet name="PCR" sheetId="1" r:id="rId2"/>
    <sheet name="PTD" sheetId="12" r:id="rId3"/>
    <sheet name="TDR" sheetId="11" r:id="rId4"/>
    <sheet name="PI" sheetId="8" r:id="rId5"/>
    <sheet name="PIR" sheetId="9" r:id="rId6"/>
    <sheet name="OA" sheetId="10" r:id="rId7"/>
    <sheet name="tariff tables" sheetId="5" r:id="rId8"/>
  </sheets>
  <calcPr calcId="145621" calcMode="manual"/>
</workbook>
</file>

<file path=xl/calcChain.xml><?xml version="1.0" encoding="utf-8"?>
<calcChain xmlns="http://schemas.openxmlformats.org/spreadsheetml/2006/main">
  <c r="AK39" i="1" l="1"/>
  <c r="AJ25" i="1"/>
  <c r="I21" i="5" l="1"/>
  <c r="C9" i="1" l="1"/>
  <c r="AK22" i="11"/>
  <c r="AL22" i="11"/>
  <c r="AJ22" i="11"/>
  <c r="AL39" i="1" l="1"/>
  <c r="AJ39" i="1"/>
  <c r="B15" i="4"/>
  <c r="G4" i="5" s="1"/>
  <c r="AM36" i="11" l="1"/>
  <c r="AM31" i="11"/>
  <c r="AM30" i="11"/>
  <c r="AM29" i="11"/>
  <c r="B25" i="1"/>
  <c r="AJ61" i="1"/>
  <c r="G2" i="12" l="1"/>
  <c r="H2" i="12"/>
  <c r="I10" i="12"/>
  <c r="AI25" i="1" l="1"/>
  <c r="AI61" i="1"/>
  <c r="F9" i="4" l="1"/>
  <c r="H8" i="4"/>
  <c r="H5" i="4"/>
  <c r="H6" i="4"/>
  <c r="H7" i="4"/>
  <c r="G7" i="4"/>
  <c r="G8" i="4"/>
  <c r="G6" i="4"/>
  <c r="G5" i="4"/>
  <c r="H4" i="4"/>
  <c r="F11" i="4"/>
  <c r="H9" i="4" l="1"/>
  <c r="H11" i="4"/>
  <c r="G9" i="4"/>
  <c r="AH61" i="1"/>
  <c r="AG61" i="1"/>
  <c r="AF61" i="1"/>
  <c r="AE61" i="1"/>
  <c r="AD61" i="1"/>
  <c r="AC61" i="1"/>
  <c r="AB61" i="1"/>
  <c r="AA61" i="1"/>
  <c r="Z61" i="1"/>
  <c r="Y61" i="1"/>
  <c r="X61" i="1"/>
  <c r="X25" i="1"/>
  <c r="X48" i="1" s="1"/>
  <c r="AJ18" i="11" l="1"/>
  <c r="X18" i="11"/>
  <c r="Y18" i="11"/>
  <c r="Z18" i="11" s="1"/>
  <c r="AA18" i="11" s="1"/>
  <c r="AB18" i="11" s="1"/>
  <c r="AC18" i="11" s="1"/>
  <c r="AD18" i="11" s="1"/>
  <c r="AE18" i="11" s="1"/>
  <c r="AF18" i="11" s="1"/>
  <c r="AG18" i="11" s="1"/>
  <c r="AH18" i="11" s="1"/>
  <c r="AI18" i="11" s="1"/>
  <c r="X63" i="11"/>
  <c r="Y63" i="11"/>
  <c r="Z63" i="11"/>
  <c r="AA63" i="11"/>
  <c r="AB63" i="11"/>
  <c r="AC63" i="11"/>
  <c r="AD63" i="11"/>
  <c r="AE63" i="11"/>
  <c r="AF63" i="11"/>
  <c r="AG63" i="11"/>
  <c r="AH63" i="11"/>
  <c r="AI63" i="11"/>
  <c r="AL18" i="1"/>
  <c r="AJ18" i="1"/>
  <c r="Y18" i="1"/>
  <c r="X18" i="1"/>
  <c r="AG18" i="1"/>
  <c r="AH18" i="1"/>
  <c r="AI18" i="1" s="1"/>
  <c r="AG25" i="1"/>
  <c r="AG48" i="1" s="1"/>
  <c r="AH25" i="1"/>
  <c r="AH48" i="1" s="1"/>
  <c r="AI48" i="1"/>
  <c r="AG26" i="1"/>
  <c r="AG49" i="1" s="1"/>
  <c r="AH26" i="1"/>
  <c r="AI26" i="1"/>
  <c r="AI49" i="1" s="1"/>
  <c r="AG27" i="1"/>
  <c r="AG50" i="1" s="1"/>
  <c r="AH27" i="1"/>
  <c r="AH50" i="1" s="1"/>
  <c r="AI27" i="1"/>
  <c r="AI50" i="1" s="1"/>
  <c r="AG28" i="1"/>
  <c r="AG51" i="1" s="1"/>
  <c r="AH28" i="1"/>
  <c r="AH51" i="1" s="1"/>
  <c r="AI28" i="1"/>
  <c r="AI51" i="1" s="1"/>
  <c r="AG29" i="1"/>
  <c r="AG52" i="1" s="1"/>
  <c r="AH29" i="1"/>
  <c r="AH52" i="1" s="1"/>
  <c r="AI29" i="1"/>
  <c r="AI52" i="1" s="1"/>
  <c r="AH49" i="1"/>
  <c r="Y25" i="1"/>
  <c r="Y48" i="1" s="1"/>
  <c r="Z25" i="1"/>
  <c r="AA25" i="1"/>
  <c r="AB25" i="1"/>
  <c r="AC25" i="1"/>
  <c r="AC48" i="1" s="1"/>
  <c r="AD25" i="1"/>
  <c r="AD48" i="1" s="1"/>
  <c r="AE25" i="1"/>
  <c r="AE48" i="1" s="1"/>
  <c r="AF25" i="1"/>
  <c r="AF48" i="1" s="1"/>
  <c r="X26" i="1"/>
  <c r="X49" i="1" s="1"/>
  <c r="Y26" i="1"/>
  <c r="Z26" i="1"/>
  <c r="AA26" i="1"/>
  <c r="AA49" i="1" s="1"/>
  <c r="AB26" i="1"/>
  <c r="AB49" i="1" s="1"/>
  <c r="AC26" i="1"/>
  <c r="AD26" i="1"/>
  <c r="AD49" i="1" s="1"/>
  <c r="AE26" i="1"/>
  <c r="AE49" i="1" s="1"/>
  <c r="AF26" i="1"/>
  <c r="AF49" i="1" s="1"/>
  <c r="X27" i="1"/>
  <c r="Y27" i="1"/>
  <c r="Z27" i="1"/>
  <c r="AA27" i="1"/>
  <c r="AA50" i="1" s="1"/>
  <c r="AB27" i="1"/>
  <c r="AB50" i="1" s="1"/>
  <c r="AC27" i="1"/>
  <c r="AC50" i="1" s="1"/>
  <c r="AD27" i="1"/>
  <c r="AD50" i="1" s="1"/>
  <c r="AE27" i="1"/>
  <c r="AE50" i="1" s="1"/>
  <c r="AF27" i="1"/>
  <c r="AF50" i="1" s="1"/>
  <c r="X28" i="1"/>
  <c r="Y28" i="1"/>
  <c r="Y51" i="1" s="1"/>
  <c r="Z28" i="1"/>
  <c r="Z51" i="1" s="1"/>
  <c r="AA28" i="1"/>
  <c r="AB28" i="1"/>
  <c r="AB51" i="1" s="1"/>
  <c r="AC28" i="1"/>
  <c r="AC51" i="1" s="1"/>
  <c r="AD28" i="1"/>
  <c r="AD51" i="1" s="1"/>
  <c r="AE28" i="1"/>
  <c r="AE51" i="1" s="1"/>
  <c r="AF28" i="1"/>
  <c r="AF51" i="1" s="1"/>
  <c r="X29" i="1"/>
  <c r="X52" i="1" s="1"/>
  <c r="Y29" i="1"/>
  <c r="Y52" i="1" s="1"/>
  <c r="Z29" i="1"/>
  <c r="Z52" i="1" s="1"/>
  <c r="AA29" i="1"/>
  <c r="AA52" i="1" s="1"/>
  <c r="AB29" i="1"/>
  <c r="AB52" i="1" s="1"/>
  <c r="AC29" i="1"/>
  <c r="AC52" i="1" s="1"/>
  <c r="AD29" i="1"/>
  <c r="AD52" i="1" s="1"/>
  <c r="AE29" i="1"/>
  <c r="AE52" i="1" s="1"/>
  <c r="AF29" i="1"/>
  <c r="AF52" i="1" s="1"/>
  <c r="Z48" i="1"/>
  <c r="AA48" i="1"/>
  <c r="AB48" i="1"/>
  <c r="Y49" i="1"/>
  <c r="Z49" i="1"/>
  <c r="AC49" i="1"/>
  <c r="X50" i="1"/>
  <c r="Y50" i="1"/>
  <c r="Z50" i="1"/>
  <c r="X51" i="1"/>
  <c r="AA51" i="1"/>
  <c r="P63" i="11" l="1"/>
  <c r="Q63" i="11"/>
  <c r="R63" i="11"/>
  <c r="S63" i="11"/>
  <c r="T63" i="11"/>
  <c r="U63" i="11"/>
  <c r="V63" i="11"/>
  <c r="W63" i="11"/>
  <c r="AJ63" i="11"/>
  <c r="O63" i="11"/>
  <c r="W25" i="1" l="1"/>
  <c r="B48" i="1" l="1"/>
  <c r="B33" i="11" l="1"/>
  <c r="B32" i="11"/>
  <c r="B31" i="11"/>
  <c r="AK61" i="1" l="1"/>
  <c r="AL61" i="1" l="1"/>
  <c r="AL63" i="11" s="1"/>
  <c r="AK63" i="11"/>
  <c r="W61" i="1" l="1"/>
  <c r="D9" i="5" l="1"/>
  <c r="C9" i="5"/>
  <c r="J61" i="1" l="1"/>
  <c r="K61" i="1"/>
  <c r="L61" i="1"/>
  <c r="M61" i="1"/>
  <c r="N61" i="1"/>
  <c r="O61" i="1"/>
  <c r="P61" i="1"/>
  <c r="Q61" i="1"/>
  <c r="R61" i="1"/>
  <c r="S61" i="1"/>
  <c r="T61" i="1"/>
  <c r="U61" i="1"/>
  <c r="V61" i="1"/>
  <c r="I61" i="1"/>
  <c r="H61" i="1"/>
  <c r="G61" i="1"/>
  <c r="F61" i="1"/>
  <c r="E61" i="1"/>
  <c r="D61" i="1"/>
  <c r="C61" i="1"/>
  <c r="B61" i="1"/>
  <c r="C4" i="11" l="1"/>
  <c r="AL23" i="11"/>
  <c r="AL24" i="11"/>
  <c r="AL25" i="11"/>
  <c r="AL26" i="11"/>
  <c r="AL40" i="1"/>
  <c r="AL41" i="1"/>
  <c r="AL42" i="1"/>
  <c r="AL43" i="1"/>
  <c r="AL25" i="1"/>
  <c r="AL26" i="1"/>
  <c r="AL27" i="1"/>
  <c r="AL28" i="1"/>
  <c r="AL29" i="1"/>
  <c r="C8" i="1"/>
  <c r="C7" i="1"/>
  <c r="C6" i="1"/>
  <c r="C5" i="1"/>
  <c r="C4" i="1"/>
  <c r="AL51" i="1" l="1"/>
  <c r="AL52" i="1"/>
  <c r="AL48" i="1"/>
  <c r="AL50" i="1"/>
  <c r="AL49" i="1"/>
  <c r="C7" i="11" l="1"/>
  <c r="C5" i="11"/>
  <c r="C6" i="11"/>
  <c r="AM38" i="11"/>
  <c r="AM37" i="11"/>
  <c r="A43" i="1"/>
  <c r="A42" i="1"/>
  <c r="A41" i="1"/>
  <c r="A40" i="1"/>
  <c r="A39" i="1"/>
  <c r="AK25" i="1"/>
  <c r="N25" i="1"/>
  <c r="O25" i="1"/>
  <c r="P25" i="1"/>
  <c r="Q25" i="1"/>
  <c r="R25" i="1"/>
  <c r="S25" i="1"/>
  <c r="T25" i="1"/>
  <c r="U25" i="1"/>
  <c r="V25" i="1"/>
  <c r="N26" i="1"/>
  <c r="O26" i="1"/>
  <c r="P26" i="1"/>
  <c r="Q26" i="1"/>
  <c r="R26" i="1"/>
  <c r="S26" i="1"/>
  <c r="T26" i="1"/>
  <c r="U26" i="1"/>
  <c r="V26" i="1"/>
  <c r="W26" i="1"/>
  <c r="AJ26" i="1"/>
  <c r="AK26" i="1"/>
  <c r="N27" i="1"/>
  <c r="O27" i="1"/>
  <c r="P27" i="1"/>
  <c r="Q27" i="1"/>
  <c r="R27" i="1"/>
  <c r="S27" i="1"/>
  <c r="T27" i="1"/>
  <c r="U27" i="1"/>
  <c r="V27" i="1"/>
  <c r="W27" i="1"/>
  <c r="AJ27" i="1"/>
  <c r="AK27" i="1"/>
  <c r="N28" i="1"/>
  <c r="O28" i="1"/>
  <c r="P28" i="1"/>
  <c r="Q28" i="1"/>
  <c r="R28" i="1"/>
  <c r="S28" i="1"/>
  <c r="T28" i="1"/>
  <c r="U28" i="1"/>
  <c r="V28" i="1"/>
  <c r="W28" i="1"/>
  <c r="AJ28" i="1"/>
  <c r="AK28" i="1"/>
  <c r="N29" i="1"/>
  <c r="O29" i="1"/>
  <c r="P29" i="1"/>
  <c r="Q29" i="1"/>
  <c r="R29" i="1"/>
  <c r="S29" i="1"/>
  <c r="T29" i="1"/>
  <c r="U29" i="1"/>
  <c r="V29" i="1"/>
  <c r="W29" i="1"/>
  <c r="AJ29" i="1"/>
  <c r="AK29" i="1"/>
  <c r="H29" i="1"/>
  <c r="H52" i="1" s="1"/>
  <c r="G29" i="1"/>
  <c r="G52" i="1" s="1"/>
  <c r="F29" i="1"/>
  <c r="F52" i="1" s="1"/>
  <c r="E29" i="1"/>
  <c r="E52" i="1" s="1"/>
  <c r="D29" i="1"/>
  <c r="D52" i="1" s="1"/>
  <c r="C29" i="1"/>
  <c r="C52" i="1" s="1"/>
  <c r="B29" i="1"/>
  <c r="B52" i="1" s="1"/>
  <c r="B59" i="1" s="1"/>
  <c r="H28" i="1"/>
  <c r="H51" i="1" s="1"/>
  <c r="G28" i="1"/>
  <c r="G51" i="1" s="1"/>
  <c r="F28" i="1"/>
  <c r="F51" i="1" s="1"/>
  <c r="E28" i="1"/>
  <c r="E51" i="1" s="1"/>
  <c r="D28" i="1"/>
  <c r="D51" i="1" s="1"/>
  <c r="C28" i="1"/>
  <c r="C51" i="1" s="1"/>
  <c r="B28" i="1"/>
  <c r="B51" i="1" s="1"/>
  <c r="B58" i="1" s="1"/>
  <c r="H27" i="1"/>
  <c r="H50" i="1" s="1"/>
  <c r="G27" i="1"/>
  <c r="G50" i="1" s="1"/>
  <c r="F27" i="1"/>
  <c r="F50" i="1" s="1"/>
  <c r="E27" i="1"/>
  <c r="E50" i="1" s="1"/>
  <c r="D27" i="1"/>
  <c r="D50" i="1" s="1"/>
  <c r="C27" i="1"/>
  <c r="C50" i="1" s="1"/>
  <c r="B27" i="1"/>
  <c r="B50" i="1" s="1"/>
  <c r="B57" i="1" s="1"/>
  <c r="H26" i="1"/>
  <c r="H49" i="1" s="1"/>
  <c r="G26" i="1"/>
  <c r="G49" i="1" s="1"/>
  <c r="F26" i="1"/>
  <c r="F49" i="1" s="1"/>
  <c r="E26" i="1"/>
  <c r="E49" i="1" s="1"/>
  <c r="D26" i="1"/>
  <c r="D49" i="1" s="1"/>
  <c r="C26" i="1"/>
  <c r="C49" i="1" s="1"/>
  <c r="B26" i="1"/>
  <c r="B49" i="1" s="1"/>
  <c r="B56" i="1" s="1"/>
  <c r="H25" i="1"/>
  <c r="H48" i="1" s="1"/>
  <c r="G25" i="1"/>
  <c r="G48" i="1" s="1"/>
  <c r="F25" i="1"/>
  <c r="F48" i="1" s="1"/>
  <c r="E25" i="1"/>
  <c r="E48" i="1" s="1"/>
  <c r="D25" i="1"/>
  <c r="D48" i="1" s="1"/>
  <c r="C25" i="1"/>
  <c r="B55" i="1"/>
  <c r="B62" i="1" s="1"/>
  <c r="C48" i="1" l="1"/>
  <c r="C55" i="1" s="1"/>
  <c r="AN36" i="11"/>
  <c r="B36" i="11" s="1"/>
  <c r="C8" i="11"/>
  <c r="C9" i="11" s="1"/>
  <c r="AM33" i="11"/>
  <c r="AM32" i="11"/>
  <c r="AN38" i="11"/>
  <c r="P38" i="11" s="1"/>
  <c r="N49" i="1"/>
  <c r="N50" i="1"/>
  <c r="AN37" i="11"/>
  <c r="R37" i="11" s="1"/>
  <c r="N48" i="1"/>
  <c r="N52" i="1"/>
  <c r="N51" i="1"/>
  <c r="O36" i="11"/>
  <c r="B64" i="1"/>
  <c r="B65" i="1"/>
  <c r="B63" i="1"/>
  <c r="B66" i="1"/>
  <c r="B38" i="11" l="1"/>
  <c r="K36" i="11"/>
  <c r="G36" i="11"/>
  <c r="K38" i="11"/>
  <c r="C38" i="11"/>
  <c r="AJ36" i="11"/>
  <c r="V37" i="11"/>
  <c r="S38" i="11"/>
  <c r="Q36" i="11"/>
  <c r="M36" i="11"/>
  <c r="C37" i="11"/>
  <c r="AK36" i="11"/>
  <c r="AL36" i="11"/>
  <c r="O38" i="11"/>
  <c r="W36" i="11"/>
  <c r="P36" i="11"/>
  <c r="C36" i="11"/>
  <c r="F36" i="11"/>
  <c r="E36" i="11"/>
  <c r="S36" i="11"/>
  <c r="H36" i="11"/>
  <c r="T36" i="11"/>
  <c r="AJ38" i="11"/>
  <c r="J36" i="11"/>
  <c r="V36" i="11"/>
  <c r="AK38" i="11"/>
  <c r="I38" i="11"/>
  <c r="R38" i="11"/>
  <c r="R42" i="11" s="1"/>
  <c r="M38" i="11"/>
  <c r="S37" i="11"/>
  <c r="Z37" i="11"/>
  <c r="AA37" i="11"/>
  <c r="AE37" i="11"/>
  <c r="AI37" i="11"/>
  <c r="X37" i="11"/>
  <c r="AB37" i="11"/>
  <c r="AF37" i="11"/>
  <c r="Y37" i="11"/>
  <c r="AC37" i="11"/>
  <c r="AG37" i="11"/>
  <c r="AD37" i="11"/>
  <c r="AH37" i="11"/>
  <c r="AL38" i="11"/>
  <c r="AA38" i="11"/>
  <c r="AE38" i="11"/>
  <c r="AI38" i="11"/>
  <c r="X38" i="11"/>
  <c r="AB38" i="11"/>
  <c r="AF38" i="11"/>
  <c r="Y38" i="11"/>
  <c r="AC38" i="11"/>
  <c r="AG38" i="11"/>
  <c r="AH38" i="11"/>
  <c r="Z38" i="11"/>
  <c r="AD38" i="11"/>
  <c r="Z36" i="11"/>
  <c r="AD36" i="11"/>
  <c r="AH36" i="11"/>
  <c r="AA36" i="11"/>
  <c r="AE36" i="11"/>
  <c r="AI36" i="11"/>
  <c r="X36" i="11"/>
  <c r="AB36" i="11"/>
  <c r="AF36" i="11"/>
  <c r="Y36" i="11"/>
  <c r="AC36" i="11"/>
  <c r="AG36" i="11"/>
  <c r="E38" i="11"/>
  <c r="U38" i="11"/>
  <c r="T38" i="11"/>
  <c r="L38" i="11"/>
  <c r="G38" i="11"/>
  <c r="W38" i="11"/>
  <c r="U36" i="11"/>
  <c r="L36" i="11"/>
  <c r="D36" i="11"/>
  <c r="R36" i="11"/>
  <c r="I36" i="11"/>
  <c r="N36" i="11"/>
  <c r="N40" i="11" s="1"/>
  <c r="Q38" i="11"/>
  <c r="V38" i="11"/>
  <c r="N38" i="11"/>
  <c r="AN31" i="11"/>
  <c r="AN32" i="11"/>
  <c r="AN33" i="11"/>
  <c r="AN30" i="11"/>
  <c r="J38" i="11"/>
  <c r="J40" i="11" s="1"/>
  <c r="H38" i="11"/>
  <c r="F38" i="11"/>
  <c r="D38" i="11"/>
  <c r="Q40" i="11"/>
  <c r="B68" i="1"/>
  <c r="B70" i="1"/>
  <c r="I37" i="11"/>
  <c r="I43" i="11" s="1"/>
  <c r="I53" i="11" s="1"/>
  <c r="AL37" i="11"/>
  <c r="H37" i="11"/>
  <c r="H41" i="11" s="1"/>
  <c r="H51" i="11" s="1"/>
  <c r="O40" i="11"/>
  <c r="P37" i="11"/>
  <c r="P43" i="11" s="1"/>
  <c r="F37" i="11"/>
  <c r="F44" i="11" s="1"/>
  <c r="F54" i="11" s="1"/>
  <c r="O37" i="11"/>
  <c r="O42" i="11" s="1"/>
  <c r="T37" i="11"/>
  <c r="N37" i="11"/>
  <c r="N41" i="11" s="1"/>
  <c r="B37" i="11"/>
  <c r="K37" i="11"/>
  <c r="K41" i="11" s="1"/>
  <c r="K51" i="11" s="1"/>
  <c r="AJ37" i="11"/>
  <c r="J37" i="11"/>
  <c r="W37" i="11"/>
  <c r="G37" i="11"/>
  <c r="G41" i="11" s="1"/>
  <c r="G51" i="11" s="1"/>
  <c r="L37" i="11"/>
  <c r="D37" i="11"/>
  <c r="D43" i="11" s="1"/>
  <c r="D53" i="11" s="1"/>
  <c r="U37" i="11"/>
  <c r="M37" i="11"/>
  <c r="M44" i="11" s="1"/>
  <c r="M54" i="11" s="1"/>
  <c r="E37" i="11"/>
  <c r="E42" i="11" s="1"/>
  <c r="E52" i="11" s="1"/>
  <c r="AK37" i="11"/>
  <c r="Q37" i="11"/>
  <c r="Q44" i="11" s="1"/>
  <c r="G42" i="11"/>
  <c r="G52" i="11" s="1"/>
  <c r="G40" i="11"/>
  <c r="I40" i="11"/>
  <c r="I44" i="11"/>
  <c r="I54" i="11" s="1"/>
  <c r="F40" i="11"/>
  <c r="C42" i="11"/>
  <c r="C52" i="11" s="1"/>
  <c r="C43" i="11"/>
  <c r="C53" i="11" s="1"/>
  <c r="K40" i="11"/>
  <c r="E40" i="11"/>
  <c r="M40" i="11"/>
  <c r="P40" i="11"/>
  <c r="L43" i="11"/>
  <c r="L53" i="11" s="1"/>
  <c r="H40" i="11"/>
  <c r="D40" i="11"/>
  <c r="C56" i="1"/>
  <c r="C63" i="1" s="1"/>
  <c r="D56" i="1" s="1"/>
  <c r="C57" i="1"/>
  <c r="C64" i="1" s="1"/>
  <c r="C59" i="1"/>
  <c r="C66" i="1" s="1"/>
  <c r="D59" i="1" s="1"/>
  <c r="C58" i="1"/>
  <c r="C65" i="1" s="1"/>
  <c r="C62" i="1"/>
  <c r="R40" i="11"/>
  <c r="R41" i="11"/>
  <c r="R43" i="11"/>
  <c r="B67" i="1"/>
  <c r="AL42" i="11" l="1"/>
  <c r="AL40" i="11"/>
  <c r="AL41" i="11"/>
  <c r="AL44" i="11"/>
  <c r="AL54" i="11" s="1"/>
  <c r="AL43" i="11"/>
  <c r="M42" i="11"/>
  <c r="M52" i="11" s="1"/>
  <c r="L40" i="11"/>
  <c r="C44" i="11"/>
  <c r="C54" i="11" s="1"/>
  <c r="B40" i="11"/>
  <c r="B50" i="11" s="1"/>
  <c r="B57" i="11" s="1"/>
  <c r="B41" i="11"/>
  <c r="B51" i="11" s="1"/>
  <c r="B58" i="11" s="1"/>
  <c r="R44" i="11"/>
  <c r="L41" i="11"/>
  <c r="L51" i="11" s="1"/>
  <c r="C41" i="11"/>
  <c r="C51" i="11" s="1"/>
  <c r="C40" i="11"/>
  <c r="J43" i="11"/>
  <c r="J53" i="11" s="1"/>
  <c r="L42" i="11"/>
  <c r="L52" i="11" s="1"/>
  <c r="AL52" i="11"/>
  <c r="AH43" i="11"/>
  <c r="AH53" i="11" s="1"/>
  <c r="AH42" i="11"/>
  <c r="AH52" i="11" s="1"/>
  <c r="AH41" i="11"/>
  <c r="AH51" i="11" s="1"/>
  <c r="AH40" i="11"/>
  <c r="AH44" i="11"/>
  <c r="AH54" i="11" s="1"/>
  <c r="AF40" i="11"/>
  <c r="AF41" i="11"/>
  <c r="AF51" i="11" s="1"/>
  <c r="AF42" i="11"/>
  <c r="AF52" i="11" s="1"/>
  <c r="AF43" i="11"/>
  <c r="AF53" i="11" s="1"/>
  <c r="AF44" i="11"/>
  <c r="AF54" i="11" s="1"/>
  <c r="AE40" i="11"/>
  <c r="AE41" i="11"/>
  <c r="AE51" i="11" s="1"/>
  <c r="AE42" i="11"/>
  <c r="AE52" i="11" s="1"/>
  <c r="AE43" i="11"/>
  <c r="AE53" i="11" s="1"/>
  <c r="AE44" i="11"/>
  <c r="AE54" i="11" s="1"/>
  <c r="AG40" i="11"/>
  <c r="AG41" i="11"/>
  <c r="AG51" i="11" s="1"/>
  <c r="AG42" i="11"/>
  <c r="AG52" i="11" s="1"/>
  <c r="AG43" i="11"/>
  <c r="AG53" i="11" s="1"/>
  <c r="AG44" i="11"/>
  <c r="AG54" i="11" s="1"/>
  <c r="AB40" i="11"/>
  <c r="AB41" i="11"/>
  <c r="AB51" i="11" s="1"/>
  <c r="AB42" i="11"/>
  <c r="AB52" i="11" s="1"/>
  <c r="AB43" i="11"/>
  <c r="AB53" i="11" s="1"/>
  <c r="AB44" i="11"/>
  <c r="AB54" i="11" s="1"/>
  <c r="AA40" i="11"/>
  <c r="AA41" i="11"/>
  <c r="AA51" i="11" s="1"/>
  <c r="AA42" i="11"/>
  <c r="AA52" i="11" s="1"/>
  <c r="AA43" i="11"/>
  <c r="AA53" i="11" s="1"/>
  <c r="AA44" i="11"/>
  <c r="AA54" i="11" s="1"/>
  <c r="AD42" i="11"/>
  <c r="AD52" i="11" s="1"/>
  <c r="AD41" i="11"/>
  <c r="AD51" i="11" s="1"/>
  <c r="AD40" i="11"/>
  <c r="AD44" i="11"/>
  <c r="AD54" i="11" s="1"/>
  <c r="AD43" i="11"/>
  <c r="AD53" i="11" s="1"/>
  <c r="AC40" i="11"/>
  <c r="AC41" i="11"/>
  <c r="AC51" i="11" s="1"/>
  <c r="AC42" i="11"/>
  <c r="AC52" i="11" s="1"/>
  <c r="AC43" i="11"/>
  <c r="AC53" i="11" s="1"/>
  <c r="AC44" i="11"/>
  <c r="AC54" i="11" s="1"/>
  <c r="X40" i="11"/>
  <c r="X41" i="11"/>
  <c r="X51" i="11" s="1"/>
  <c r="X42" i="11"/>
  <c r="X52" i="11" s="1"/>
  <c r="X43" i="11"/>
  <c r="X53" i="11" s="1"/>
  <c r="X44" i="11"/>
  <c r="X54" i="11" s="1"/>
  <c r="Z41" i="11"/>
  <c r="Z51" i="11" s="1"/>
  <c r="Z40" i="11"/>
  <c r="Z44" i="11"/>
  <c r="Z54" i="11" s="1"/>
  <c r="Z43" i="11"/>
  <c r="Z53" i="11" s="1"/>
  <c r="Z42" i="11"/>
  <c r="Z52" i="11" s="1"/>
  <c r="Y40" i="11"/>
  <c r="Y41" i="11"/>
  <c r="Y51" i="11" s="1"/>
  <c r="Y42" i="11"/>
  <c r="Y52" i="11" s="1"/>
  <c r="Y43" i="11"/>
  <c r="Y53" i="11" s="1"/>
  <c r="Y44" i="11"/>
  <c r="Y54" i="11" s="1"/>
  <c r="AI40" i="11"/>
  <c r="AI41" i="11"/>
  <c r="AI51" i="11" s="1"/>
  <c r="AI42" i="11"/>
  <c r="AI52" i="11" s="1"/>
  <c r="AI43" i="11"/>
  <c r="AI53" i="11" s="1"/>
  <c r="AI44" i="11"/>
  <c r="AI54" i="11" s="1"/>
  <c r="F41" i="11"/>
  <c r="F51" i="11" s="1"/>
  <c r="D55" i="1"/>
  <c r="F43" i="11"/>
  <c r="F53" i="11" s="1"/>
  <c r="D42" i="11"/>
  <c r="D52" i="11" s="1"/>
  <c r="O44" i="11"/>
  <c r="O54" i="11" s="1"/>
  <c r="B43" i="11"/>
  <c r="B44" i="11"/>
  <c r="B42" i="11"/>
  <c r="H44" i="11"/>
  <c r="H54" i="11" s="1"/>
  <c r="F42" i="11"/>
  <c r="F52" i="11" s="1"/>
  <c r="H43" i="11"/>
  <c r="H53" i="11" s="1"/>
  <c r="H42" i="11"/>
  <c r="H52" i="11" s="1"/>
  <c r="M41" i="11"/>
  <c r="M51" i="11" s="1"/>
  <c r="O41" i="11"/>
  <c r="O51" i="11" s="1"/>
  <c r="J44" i="11"/>
  <c r="J54" i="11" s="1"/>
  <c r="N42" i="11"/>
  <c r="I41" i="11"/>
  <c r="I51" i="11" s="1"/>
  <c r="I42" i="11"/>
  <c r="I52" i="11" s="1"/>
  <c r="E43" i="11"/>
  <c r="E53" i="11" s="1"/>
  <c r="E44" i="11"/>
  <c r="E54" i="11" s="1"/>
  <c r="D50" i="11"/>
  <c r="L50" i="11"/>
  <c r="M50" i="11"/>
  <c r="G50" i="11"/>
  <c r="R45" i="11"/>
  <c r="H50" i="11"/>
  <c r="C50" i="11"/>
  <c r="C45" i="11"/>
  <c r="F50" i="11"/>
  <c r="AL50" i="11"/>
  <c r="K50" i="11"/>
  <c r="I50" i="11"/>
  <c r="E50" i="11"/>
  <c r="J50" i="11"/>
  <c r="AL53" i="11"/>
  <c r="AL51" i="11"/>
  <c r="C70" i="1"/>
  <c r="M43" i="11"/>
  <c r="M53" i="11" s="1"/>
  <c r="J42" i="11"/>
  <c r="J52" i="11" s="1"/>
  <c r="P44" i="11"/>
  <c r="P54" i="11" s="1"/>
  <c r="K42" i="11"/>
  <c r="K52" i="11" s="1"/>
  <c r="L44" i="11"/>
  <c r="L54" i="11" s="1"/>
  <c r="E41" i="11"/>
  <c r="E51" i="11" s="1"/>
  <c r="K43" i="11"/>
  <c r="K53" i="11" s="1"/>
  <c r="K44" i="11"/>
  <c r="K54" i="11" s="1"/>
  <c r="J41" i="11"/>
  <c r="J51" i="11" s="1"/>
  <c r="N43" i="11"/>
  <c r="O43" i="11"/>
  <c r="G44" i="11"/>
  <c r="G54" i="11" s="1"/>
  <c r="P41" i="11"/>
  <c r="Q41" i="11"/>
  <c r="N44" i="11"/>
  <c r="G43" i="11"/>
  <c r="G53" i="11" s="1"/>
  <c r="P42" i="11"/>
  <c r="B53" i="11"/>
  <c r="B60" i="11" s="1"/>
  <c r="B67" i="11" s="1"/>
  <c r="D41" i="11"/>
  <c r="D51" i="11" s="1"/>
  <c r="D44" i="11"/>
  <c r="D54" i="11" s="1"/>
  <c r="Q43" i="11"/>
  <c r="Q42" i="11"/>
  <c r="B54" i="11"/>
  <c r="B61" i="11" s="1"/>
  <c r="B68" i="11" s="1"/>
  <c r="D58" i="1"/>
  <c r="D65" i="1" s="1"/>
  <c r="D57" i="1"/>
  <c r="D64" i="1" s="1"/>
  <c r="S43" i="11"/>
  <c r="S44" i="11"/>
  <c r="S42" i="11"/>
  <c r="S41" i="11"/>
  <c r="S40" i="11"/>
  <c r="D62" i="1"/>
  <c r="E55" i="1" s="1"/>
  <c r="D66" i="1"/>
  <c r="D63" i="1"/>
  <c r="E56" i="1" s="1"/>
  <c r="C68" i="1"/>
  <c r="R51" i="11"/>
  <c r="AJ23" i="11"/>
  <c r="AK23" i="11"/>
  <c r="O52" i="11"/>
  <c r="R52" i="11"/>
  <c r="AJ24" i="11"/>
  <c r="AK24" i="11"/>
  <c r="P53" i="11"/>
  <c r="R53" i="11"/>
  <c r="AJ25" i="11"/>
  <c r="AK25" i="11"/>
  <c r="Q54" i="11"/>
  <c r="R54" i="11"/>
  <c r="AJ26" i="11"/>
  <c r="AK26" i="11"/>
  <c r="B4" i="1"/>
  <c r="AK40" i="1"/>
  <c r="AK49" i="1" s="1"/>
  <c r="AK41" i="1"/>
  <c r="AK50" i="1" s="1"/>
  <c r="AK42" i="1"/>
  <c r="AK51" i="1" s="1"/>
  <c r="AK43" i="1"/>
  <c r="AK52" i="1" s="1"/>
  <c r="AJ40" i="1"/>
  <c r="AJ49" i="1" s="1"/>
  <c r="AJ41" i="1"/>
  <c r="AJ42" i="1"/>
  <c r="AJ51" i="1" s="1"/>
  <c r="AJ43" i="1"/>
  <c r="AJ52" i="1" s="1"/>
  <c r="P49" i="1"/>
  <c r="Q49" i="1"/>
  <c r="R49" i="1"/>
  <c r="S49" i="1"/>
  <c r="T49" i="1"/>
  <c r="U49" i="1"/>
  <c r="V49" i="1"/>
  <c r="W49" i="1"/>
  <c r="P50" i="1"/>
  <c r="Q50" i="1"/>
  <c r="R50" i="1"/>
  <c r="S50" i="1"/>
  <c r="T50" i="1"/>
  <c r="U50" i="1"/>
  <c r="V50" i="1"/>
  <c r="W50" i="1"/>
  <c r="P51" i="1"/>
  <c r="Q51" i="1"/>
  <c r="R51" i="1"/>
  <c r="S51" i="1"/>
  <c r="T51" i="1"/>
  <c r="U51" i="1"/>
  <c r="V51" i="1"/>
  <c r="W51" i="1"/>
  <c r="P52" i="1"/>
  <c r="Q52" i="1"/>
  <c r="R52" i="1"/>
  <c r="S52" i="1"/>
  <c r="T52" i="1"/>
  <c r="U52" i="1"/>
  <c r="V52" i="1"/>
  <c r="W52" i="1"/>
  <c r="F45" i="11" l="1"/>
  <c r="AJ50" i="1"/>
  <c r="B6" i="1"/>
  <c r="B45" i="11"/>
  <c r="AI45" i="11"/>
  <c r="AI50" i="11"/>
  <c r="AC45" i="11"/>
  <c r="AC50" i="11"/>
  <c r="AG45" i="11"/>
  <c r="AG50" i="11"/>
  <c r="AH50" i="11"/>
  <c r="AH45" i="11"/>
  <c r="Y45" i="11"/>
  <c r="Y50" i="11"/>
  <c r="Z45" i="11"/>
  <c r="Z50" i="11"/>
  <c r="AE45" i="11"/>
  <c r="AE50" i="11"/>
  <c r="AA45" i="11"/>
  <c r="AA50" i="11"/>
  <c r="AF45" i="11"/>
  <c r="AF50" i="11"/>
  <c r="X45" i="11"/>
  <c r="X50" i="11"/>
  <c r="AD50" i="11"/>
  <c r="AD45" i="11"/>
  <c r="AB45" i="11"/>
  <c r="AB50" i="11"/>
  <c r="H45" i="11"/>
  <c r="C60" i="11"/>
  <c r="C67" i="11" s="1"/>
  <c r="D60" i="11" s="1"/>
  <c r="D67" i="11" s="1"/>
  <c r="O45" i="11"/>
  <c r="O53" i="11"/>
  <c r="D70" i="1"/>
  <c r="P45" i="11"/>
  <c r="N45" i="11"/>
  <c r="M45" i="11"/>
  <c r="D45" i="11"/>
  <c r="I45" i="11"/>
  <c r="S45" i="11"/>
  <c r="Q45" i="11"/>
  <c r="AL45" i="11"/>
  <c r="L45" i="11"/>
  <c r="E45" i="11"/>
  <c r="K45" i="11"/>
  <c r="G45" i="11"/>
  <c r="J45" i="11"/>
  <c r="P51" i="11"/>
  <c r="B4" i="11"/>
  <c r="P52" i="11"/>
  <c r="N53" i="11"/>
  <c r="B7" i="11"/>
  <c r="N52" i="11"/>
  <c r="B6" i="11"/>
  <c r="N51" i="11"/>
  <c r="B5" i="11"/>
  <c r="N54" i="11"/>
  <c r="B8" i="11"/>
  <c r="Q51" i="11"/>
  <c r="B65" i="11"/>
  <c r="B52" i="11"/>
  <c r="B59" i="11" s="1"/>
  <c r="B66" i="11" s="1"/>
  <c r="Q52" i="11"/>
  <c r="B8" i="1"/>
  <c r="O51" i="1"/>
  <c r="B7" i="1"/>
  <c r="O50" i="1"/>
  <c r="O49" i="1"/>
  <c r="B5" i="1"/>
  <c r="Q53" i="11"/>
  <c r="S50" i="11"/>
  <c r="S52" i="11"/>
  <c r="S53" i="11"/>
  <c r="R50" i="11"/>
  <c r="P50" i="11"/>
  <c r="Q50" i="11"/>
  <c r="O50" i="11"/>
  <c r="S51" i="11"/>
  <c r="S54" i="11"/>
  <c r="N50" i="11"/>
  <c r="B64" i="11"/>
  <c r="C61" i="11"/>
  <c r="C68" i="11" s="1"/>
  <c r="D61" i="11" s="1"/>
  <c r="D68" i="11" s="1"/>
  <c r="E61" i="11" s="1"/>
  <c r="E68" i="11" s="1"/>
  <c r="F61" i="11" s="1"/>
  <c r="E57" i="1"/>
  <c r="E64" i="1" s="1"/>
  <c r="F57" i="1" s="1"/>
  <c r="E58" i="1"/>
  <c r="E65" i="1" s="1"/>
  <c r="F58" i="1" s="1"/>
  <c r="O52" i="1"/>
  <c r="W48" i="1"/>
  <c r="U48" i="1"/>
  <c r="S48" i="1"/>
  <c r="Q48" i="1"/>
  <c r="O48" i="1"/>
  <c r="AK48" i="1"/>
  <c r="V48" i="1"/>
  <c r="T48" i="1"/>
  <c r="R48" i="1"/>
  <c r="P48" i="1"/>
  <c r="AJ48" i="1"/>
  <c r="E59" i="1"/>
  <c r="E66" i="1" s="1"/>
  <c r="T42" i="11"/>
  <c r="T52" i="11" s="1"/>
  <c r="T40" i="11"/>
  <c r="T41" i="11"/>
  <c r="T51" i="11" s="1"/>
  <c r="T44" i="11"/>
  <c r="T43" i="11"/>
  <c r="T53" i="11" s="1"/>
  <c r="E62" i="1"/>
  <c r="E63" i="1"/>
  <c r="F56" i="1" s="1"/>
  <c r="D68" i="1"/>
  <c r="B9" i="11" l="1"/>
  <c r="B70" i="11"/>
  <c r="E60" i="11"/>
  <c r="E67" i="11" s="1"/>
  <c r="F60" i="11" s="1"/>
  <c r="F67" i="11" s="1"/>
  <c r="E70" i="1"/>
  <c r="B72" i="11"/>
  <c r="B69" i="11" s="1"/>
  <c r="T45" i="11"/>
  <c r="C58" i="11"/>
  <c r="C65" i="11" s="1"/>
  <c r="T54" i="11"/>
  <c r="C59" i="11"/>
  <c r="C66" i="11" s="1"/>
  <c r="D59" i="11" s="1"/>
  <c r="D66" i="11" s="1"/>
  <c r="E59" i="11" s="1"/>
  <c r="E66" i="11" s="1"/>
  <c r="T50" i="11"/>
  <c r="C57" i="11"/>
  <c r="F59" i="1"/>
  <c r="F66" i="1" s="1"/>
  <c r="G59" i="1" s="1"/>
  <c r="F68" i="11"/>
  <c r="G61" i="11" s="1"/>
  <c r="U43" i="11"/>
  <c r="U53" i="11" s="1"/>
  <c r="U44" i="11"/>
  <c r="U54" i="11" s="1"/>
  <c r="U41" i="11"/>
  <c r="U51" i="11" s="1"/>
  <c r="U40" i="11"/>
  <c r="U42" i="11"/>
  <c r="U52" i="11" s="1"/>
  <c r="F64" i="1"/>
  <c r="G57" i="1" s="1"/>
  <c r="F65" i="1"/>
  <c r="G58" i="1" s="1"/>
  <c r="F63" i="1"/>
  <c r="G56" i="1" s="1"/>
  <c r="E68" i="1"/>
  <c r="F55" i="1"/>
  <c r="I1" i="12"/>
  <c r="U50" i="11" l="1"/>
  <c r="U45" i="11"/>
  <c r="D58" i="11"/>
  <c r="D65" i="11" s="1"/>
  <c r="E58" i="11" s="1"/>
  <c r="E65" i="11" s="1"/>
  <c r="F59" i="11"/>
  <c r="F66" i="11" s="1"/>
  <c r="G59" i="11" s="1"/>
  <c r="G66" i="11" s="1"/>
  <c r="C64" i="11"/>
  <c r="G60" i="11"/>
  <c r="G67" i="11" s="1"/>
  <c r="H60" i="11" s="1"/>
  <c r="G68" i="11"/>
  <c r="H61" i="11" s="1"/>
  <c r="V44" i="11"/>
  <c r="V42" i="11"/>
  <c r="V52" i="11" s="1"/>
  <c r="V40" i="11"/>
  <c r="V41" i="11"/>
  <c r="V51" i="11" s="1"/>
  <c r="V43" i="11"/>
  <c r="V53" i="11" s="1"/>
  <c r="G66" i="1"/>
  <c r="H59" i="1" s="1"/>
  <c r="G63" i="1"/>
  <c r="G65" i="1"/>
  <c r="H58" i="1" s="1"/>
  <c r="G64" i="1"/>
  <c r="H57" i="1" s="1"/>
  <c r="F62" i="1"/>
  <c r="F70" i="1" l="1"/>
  <c r="C70" i="11"/>
  <c r="C72" i="11"/>
  <c r="C69" i="11" s="1"/>
  <c r="V45" i="11"/>
  <c r="F58" i="11"/>
  <c r="F65" i="11" s="1"/>
  <c r="G58" i="11" s="1"/>
  <c r="G65" i="11" s="1"/>
  <c r="H58" i="11" s="1"/>
  <c r="H65" i="11" s="1"/>
  <c r="I58" i="11" s="1"/>
  <c r="D57" i="11"/>
  <c r="D64" i="11" s="1"/>
  <c r="H59" i="11"/>
  <c r="H66" i="11" s="1"/>
  <c r="I59" i="11" s="1"/>
  <c r="V50" i="11"/>
  <c r="V54" i="11"/>
  <c r="G55" i="1"/>
  <c r="G62" i="1" s="1"/>
  <c r="H55" i="1" s="1"/>
  <c r="H56" i="1"/>
  <c r="H63" i="1" s="1"/>
  <c r="H68" i="11"/>
  <c r="H67" i="11"/>
  <c r="W41" i="11"/>
  <c r="W51" i="11" s="1"/>
  <c r="W40" i="11"/>
  <c r="W44" i="11"/>
  <c r="W54" i="11" s="1"/>
  <c r="W43" i="11"/>
  <c r="W53" i="11" s="1"/>
  <c r="W42" i="11"/>
  <c r="W52" i="11" s="1"/>
  <c r="H64" i="1"/>
  <c r="H65" i="1"/>
  <c r="H66" i="1"/>
  <c r="F68" i="1"/>
  <c r="D72" i="11" l="1"/>
  <c r="E57" i="11"/>
  <c r="E64" i="11" s="1"/>
  <c r="D70" i="11"/>
  <c r="W50" i="11"/>
  <c r="W45" i="11"/>
  <c r="G70" i="1"/>
  <c r="I61" i="11"/>
  <c r="I68" i="11" s="1"/>
  <c r="J61" i="11" s="1"/>
  <c r="I60" i="11"/>
  <c r="I67" i="11" s="1"/>
  <c r="I66" i="11"/>
  <c r="I65" i="11"/>
  <c r="J58" i="11" s="1"/>
  <c r="AJ43" i="11"/>
  <c r="AJ53" i="11" s="1"/>
  <c r="AJ42" i="11"/>
  <c r="AJ52" i="11" s="1"/>
  <c r="AJ44" i="11"/>
  <c r="AJ40" i="11"/>
  <c r="AJ41" i="11"/>
  <c r="AJ51" i="11" s="1"/>
  <c r="H62" i="1"/>
  <c r="G68" i="1"/>
  <c r="J28" i="1"/>
  <c r="J51" i="1" s="1"/>
  <c r="K29" i="1"/>
  <c r="K52" i="1" s="1"/>
  <c r="M29" i="1"/>
  <c r="M52" i="1" s="1"/>
  <c r="L29" i="1"/>
  <c r="L52" i="1" s="1"/>
  <c r="I27" i="1"/>
  <c r="J26" i="1"/>
  <c r="J49" i="1" s="1"/>
  <c r="J25" i="1"/>
  <c r="J48" i="1" s="1"/>
  <c r="L27" i="1"/>
  <c r="L50" i="1" s="1"/>
  <c r="I29" i="1"/>
  <c r="K27" i="1"/>
  <c r="K50" i="1" s="1"/>
  <c r="M27" i="1"/>
  <c r="M50" i="1" s="1"/>
  <c r="I28" i="1"/>
  <c r="I25" i="1"/>
  <c r="I26" i="1"/>
  <c r="J29" i="1"/>
  <c r="J52" i="1" s="1"/>
  <c r="J27" i="1"/>
  <c r="J50" i="1" s="1"/>
  <c r="K28" i="1"/>
  <c r="K51" i="1" s="1"/>
  <c r="K25" i="1"/>
  <c r="K48" i="1" s="1"/>
  <c r="K26" i="1"/>
  <c r="K49" i="1" s="1"/>
  <c r="M28" i="1"/>
  <c r="M51" i="1" s="1"/>
  <c r="M25" i="1"/>
  <c r="M48" i="1" s="1"/>
  <c r="M26" i="1"/>
  <c r="M49" i="1" s="1"/>
  <c r="L28" i="1"/>
  <c r="L51" i="1" s="1"/>
  <c r="L25" i="1"/>
  <c r="L48" i="1" s="1"/>
  <c r="L26" i="1"/>
  <c r="L49" i="1" s="1"/>
  <c r="D4" i="1" l="1"/>
  <c r="E4" i="1" s="1"/>
  <c r="F57" i="11"/>
  <c r="F64" i="11" s="1"/>
  <c r="H70" i="1"/>
  <c r="E70" i="11"/>
  <c r="E72" i="11"/>
  <c r="AJ50" i="11"/>
  <c r="AJ45" i="11"/>
  <c r="I51" i="1"/>
  <c r="I58" i="1" s="1"/>
  <c r="I65" i="1" s="1"/>
  <c r="J58" i="1" s="1"/>
  <c r="J65" i="1" s="1"/>
  <c r="K58" i="1" s="1"/>
  <c r="D7" i="1"/>
  <c r="E7" i="1" s="1"/>
  <c r="I49" i="1"/>
  <c r="I56" i="1" s="1"/>
  <c r="I63" i="1" s="1"/>
  <c r="D5" i="1"/>
  <c r="E5" i="1" s="1"/>
  <c r="I48" i="1"/>
  <c r="I55" i="1" s="1"/>
  <c r="I62" i="1" s="1"/>
  <c r="I52" i="1"/>
  <c r="I59" i="1" s="1"/>
  <c r="I66" i="1" s="1"/>
  <c r="D8" i="1"/>
  <c r="E8" i="1" s="1"/>
  <c r="I50" i="1"/>
  <c r="I57" i="1" s="1"/>
  <c r="I64" i="1" s="1"/>
  <c r="D6" i="1"/>
  <c r="E6" i="1" s="1"/>
  <c r="J60" i="11"/>
  <c r="J67" i="11" s="1"/>
  <c r="K60" i="11" s="1"/>
  <c r="AJ54" i="11"/>
  <c r="J59" i="11"/>
  <c r="J66" i="11" s="1"/>
  <c r="K59" i="11" s="1"/>
  <c r="J59" i="1"/>
  <c r="J66" i="1" s="1"/>
  <c r="K59" i="1" s="1"/>
  <c r="J65" i="11"/>
  <c r="K58" i="11" s="1"/>
  <c r="J68" i="11"/>
  <c r="K61" i="11" s="1"/>
  <c r="AK42" i="11"/>
  <c r="D6" i="11" s="1"/>
  <c r="AK41" i="11"/>
  <c r="D5" i="11" s="1"/>
  <c r="AK40" i="11"/>
  <c r="AK44" i="11"/>
  <c r="AK43" i="11"/>
  <c r="D7" i="11" s="1"/>
  <c r="C67" i="1"/>
  <c r="H68" i="1"/>
  <c r="F9" i="12"/>
  <c r="D4" i="11" l="1"/>
  <c r="E4" i="11" s="1"/>
  <c r="AK45" i="11"/>
  <c r="J56" i="1"/>
  <c r="J63" i="1" s="1"/>
  <c r="K56" i="1" s="1"/>
  <c r="K63" i="1" s="1"/>
  <c r="L56" i="1" s="1"/>
  <c r="L63" i="1" s="1"/>
  <c r="M56" i="1" s="1"/>
  <c r="M63" i="1" s="1"/>
  <c r="N56" i="1" s="1"/>
  <c r="N63" i="1" s="1"/>
  <c r="F70" i="11"/>
  <c r="F72" i="11"/>
  <c r="I70" i="1"/>
  <c r="J57" i="1"/>
  <c r="J64" i="1" s="1"/>
  <c r="K57" i="1" s="1"/>
  <c r="K64" i="1" s="1"/>
  <c r="L57" i="1" s="1"/>
  <c r="AK54" i="11"/>
  <c r="D8" i="11"/>
  <c r="AK50" i="11"/>
  <c r="AK51" i="11"/>
  <c r="AK52" i="11"/>
  <c r="AK53" i="11"/>
  <c r="K66" i="1"/>
  <c r="L59" i="1" s="1"/>
  <c r="K65" i="1"/>
  <c r="L58" i="1" s="1"/>
  <c r="K66" i="11"/>
  <c r="K67" i="11"/>
  <c r="L60" i="11" s="1"/>
  <c r="K68" i="11"/>
  <c r="L61" i="11" s="1"/>
  <c r="K65" i="11"/>
  <c r="L58" i="11" s="1"/>
  <c r="G57" i="11"/>
  <c r="B8" i="12"/>
  <c r="B6" i="12"/>
  <c r="B7" i="12"/>
  <c r="B5" i="12"/>
  <c r="D67" i="1"/>
  <c r="I68" i="1"/>
  <c r="J55" i="1"/>
  <c r="E9" i="1"/>
  <c r="B9" i="4"/>
  <c r="D9" i="11" l="1"/>
  <c r="H4" i="12"/>
  <c r="B9" i="12"/>
  <c r="O56" i="1"/>
  <c r="O63" i="1" s="1"/>
  <c r="P56" i="1" s="1"/>
  <c r="G7" i="12"/>
  <c r="H7" i="12"/>
  <c r="G5" i="12"/>
  <c r="L59" i="11"/>
  <c r="L66" i="11" s="1"/>
  <c r="M59" i="11" s="1"/>
  <c r="L66" i="1"/>
  <c r="M59" i="1" s="1"/>
  <c r="M66" i="1" s="1"/>
  <c r="N59" i="1" s="1"/>
  <c r="L65" i="1"/>
  <c r="M58" i="1" s="1"/>
  <c r="M65" i="1" s="1"/>
  <c r="N58" i="1" s="1"/>
  <c r="L64" i="1"/>
  <c r="M57" i="1" s="1"/>
  <c r="M64" i="1" s="1"/>
  <c r="N57" i="1" s="1"/>
  <c r="N64" i="1" s="1"/>
  <c r="D69" i="11"/>
  <c r="L68" i="11"/>
  <c r="M61" i="11" s="1"/>
  <c r="L65" i="11"/>
  <c r="M58" i="11" s="1"/>
  <c r="L67" i="11"/>
  <c r="M60" i="11" s="1"/>
  <c r="G64" i="11"/>
  <c r="G70" i="11" s="1"/>
  <c r="H6" i="12"/>
  <c r="H8" i="12"/>
  <c r="G8" i="12"/>
  <c r="G6" i="12"/>
  <c r="H5" i="12"/>
  <c r="E67" i="1"/>
  <c r="J62" i="1"/>
  <c r="H10" i="12"/>
  <c r="F2" i="12"/>
  <c r="F10" i="12" s="1"/>
  <c r="H12" i="12" l="1"/>
  <c r="H11" i="12"/>
  <c r="H13" i="12"/>
  <c r="H14" i="12"/>
  <c r="H15" i="12"/>
  <c r="G72" i="11"/>
  <c r="K55" i="1"/>
  <c r="K62" i="1" s="1"/>
  <c r="K68" i="1" s="1"/>
  <c r="J70" i="1"/>
  <c r="H9" i="12"/>
  <c r="G9" i="12"/>
  <c r="G11" i="12" s="1"/>
  <c r="N65" i="1"/>
  <c r="N66" i="1"/>
  <c r="P63" i="1"/>
  <c r="Q56" i="1" s="1"/>
  <c r="M67" i="11"/>
  <c r="N60" i="11" s="1"/>
  <c r="M66" i="11"/>
  <c r="N59" i="11" s="1"/>
  <c r="M65" i="11"/>
  <c r="N58" i="11" s="1"/>
  <c r="M68" i="11"/>
  <c r="N61" i="11" s="1"/>
  <c r="E69" i="11"/>
  <c r="H57" i="11"/>
  <c r="F67" i="1"/>
  <c r="J68" i="1"/>
  <c r="G14" i="12" l="1"/>
  <c r="G13" i="12"/>
  <c r="G12" i="12"/>
  <c r="G15" i="12"/>
  <c r="K70" i="1"/>
  <c r="O59" i="1"/>
  <c r="O66" i="1" s="1"/>
  <c r="P59" i="1" s="1"/>
  <c r="P66" i="1" s="1"/>
  <c r="Q59" i="1" s="1"/>
  <c r="Q66" i="1" s="1"/>
  <c r="R59" i="1" s="1"/>
  <c r="R66" i="1" s="1"/>
  <c r="S59" i="1" s="1"/>
  <c r="S66" i="1" s="1"/>
  <c r="T59" i="1" s="1"/>
  <c r="T66" i="1" s="1"/>
  <c r="U59" i="1" s="1"/>
  <c r="O58" i="1"/>
  <c r="O65" i="1" s="1"/>
  <c r="P58" i="1" s="1"/>
  <c r="P65" i="1" s="1"/>
  <c r="Q58" i="1" s="1"/>
  <c r="O57" i="1"/>
  <c r="Q63" i="1"/>
  <c r="R56" i="1" s="1"/>
  <c r="L55" i="1"/>
  <c r="N66" i="11"/>
  <c r="O59" i="11" s="1"/>
  <c r="O66" i="11" s="1"/>
  <c r="P59" i="11" s="1"/>
  <c r="N67" i="11"/>
  <c r="O60" i="11" s="1"/>
  <c r="O67" i="11" s="1"/>
  <c r="P60" i="11" s="1"/>
  <c r="N68" i="11"/>
  <c r="O61" i="11" s="1"/>
  <c r="O68" i="11" s="1"/>
  <c r="P61" i="11" s="1"/>
  <c r="N65" i="11"/>
  <c r="O58" i="11" s="1"/>
  <c r="O65" i="11" s="1"/>
  <c r="P58" i="11" s="1"/>
  <c r="F69" i="11"/>
  <c r="H64" i="11"/>
  <c r="H70" i="11" s="1"/>
  <c r="G67" i="1"/>
  <c r="H72" i="11" l="1"/>
  <c r="H67" i="1"/>
  <c r="O64" i="1"/>
  <c r="P57" i="1" s="1"/>
  <c r="P64" i="1" s="1"/>
  <c r="Q57" i="1" s="1"/>
  <c r="Q64" i="1" s="1"/>
  <c r="R57" i="1" s="1"/>
  <c r="R64" i="1" s="1"/>
  <c r="S57" i="1" s="1"/>
  <c r="S64" i="1" s="1"/>
  <c r="T57" i="1" s="1"/>
  <c r="T64" i="1" s="1"/>
  <c r="U57" i="1" s="1"/>
  <c r="R63" i="1"/>
  <c r="S56" i="1" s="1"/>
  <c r="S63" i="1" s="1"/>
  <c r="T56" i="1" s="1"/>
  <c r="T63" i="1" s="1"/>
  <c r="U56" i="1" s="1"/>
  <c r="Q65" i="1"/>
  <c r="R58" i="1" s="1"/>
  <c r="R65" i="1" s="1"/>
  <c r="S58" i="1" s="1"/>
  <c r="S65" i="1" s="1"/>
  <c r="T58" i="1" s="1"/>
  <c r="T65" i="1" s="1"/>
  <c r="U58" i="1" s="1"/>
  <c r="U66" i="1"/>
  <c r="V59" i="1" s="1"/>
  <c r="V66" i="1" s="1"/>
  <c r="W59" i="1" s="1"/>
  <c r="L62" i="1"/>
  <c r="P65" i="11"/>
  <c r="Q58" i="11" s="1"/>
  <c r="Q65" i="11" s="1"/>
  <c r="R58" i="11" s="1"/>
  <c r="R65" i="11" s="1"/>
  <c r="S58" i="11" s="1"/>
  <c r="P67" i="11"/>
  <c r="Q60" i="11" s="1"/>
  <c r="Q67" i="11" s="1"/>
  <c r="R60" i="11" s="1"/>
  <c r="R67" i="11" s="1"/>
  <c r="S60" i="11" s="1"/>
  <c r="P68" i="11"/>
  <c r="Q61" i="11" s="1"/>
  <c r="Q68" i="11" s="1"/>
  <c r="R61" i="11" s="1"/>
  <c r="R68" i="11" s="1"/>
  <c r="S61" i="11" s="1"/>
  <c r="P66" i="11"/>
  <c r="Q59" i="11" s="1"/>
  <c r="Q66" i="11" s="1"/>
  <c r="R59" i="11" s="1"/>
  <c r="R66" i="11" s="1"/>
  <c r="S59" i="11" s="1"/>
  <c r="I57" i="11"/>
  <c r="I64" i="11" s="1"/>
  <c r="I70" i="11" s="1"/>
  <c r="G69" i="11"/>
  <c r="W66" i="1" l="1"/>
  <c r="X59" i="1"/>
  <c r="I72" i="11"/>
  <c r="H69" i="11"/>
  <c r="L68" i="1"/>
  <c r="L70" i="1"/>
  <c r="U63" i="1"/>
  <c r="V56" i="1" s="1"/>
  <c r="V63" i="1" s="1"/>
  <c r="W56" i="1" s="1"/>
  <c r="U64" i="1"/>
  <c r="V57" i="1" s="1"/>
  <c r="V64" i="1" s="1"/>
  <c r="W57" i="1" s="1"/>
  <c r="U65" i="1"/>
  <c r="V58" i="1" s="1"/>
  <c r="V65" i="1" s="1"/>
  <c r="W58" i="1" s="1"/>
  <c r="M55" i="1"/>
  <c r="S65" i="11"/>
  <c r="T58" i="11" s="1"/>
  <c r="S66" i="11"/>
  <c r="T59" i="11" s="1"/>
  <c r="T66" i="11" s="1"/>
  <c r="U59" i="11" s="1"/>
  <c r="U66" i="11" s="1"/>
  <c r="V59" i="11" s="1"/>
  <c r="V66" i="11" s="1"/>
  <c r="W59" i="11" s="1"/>
  <c r="S68" i="11"/>
  <c r="T61" i="11" s="1"/>
  <c r="S67" i="11"/>
  <c r="T60" i="11" s="1"/>
  <c r="T67" i="11" s="1"/>
  <c r="U60" i="11" s="1"/>
  <c r="U67" i="11" s="1"/>
  <c r="V60" i="11" s="1"/>
  <c r="V67" i="11" s="1"/>
  <c r="W60" i="11" s="1"/>
  <c r="J57" i="11"/>
  <c r="C18" i="11"/>
  <c r="D18" i="11" s="1"/>
  <c r="E18" i="11" s="1"/>
  <c r="F18" i="11" s="1"/>
  <c r="G18" i="11" s="1"/>
  <c r="H18" i="11" s="1"/>
  <c r="I18" i="11" s="1"/>
  <c r="J18" i="11" s="1"/>
  <c r="K18" i="11" s="1"/>
  <c r="L18" i="11" s="1"/>
  <c r="M18" i="11" s="1"/>
  <c r="N18" i="11" s="1"/>
  <c r="O18" i="11" s="1"/>
  <c r="P18" i="11" s="1"/>
  <c r="Q18" i="11" s="1"/>
  <c r="R18" i="11" s="1"/>
  <c r="S18" i="11" s="1"/>
  <c r="T18" i="11" s="1"/>
  <c r="U18" i="11" s="1"/>
  <c r="V18" i="11" s="1"/>
  <c r="W18" i="11" s="1"/>
  <c r="AK18" i="11" s="1"/>
  <c r="AL18" i="11" s="1"/>
  <c r="W66" i="11" l="1"/>
  <c r="X59" i="11" s="1"/>
  <c r="X66" i="11" s="1"/>
  <c r="Y59" i="11" s="1"/>
  <c r="Y66" i="11" s="1"/>
  <c r="Z59" i="11" s="1"/>
  <c r="Z66" i="11" s="1"/>
  <c r="AA59" i="11" s="1"/>
  <c r="W63" i="1"/>
  <c r="X56" i="1" s="1"/>
  <c r="X63" i="1" s="1"/>
  <c r="Y56" i="1" s="1"/>
  <c r="W65" i="1"/>
  <c r="X66" i="1"/>
  <c r="Y59" i="1" s="1"/>
  <c r="Y66" i="1" s="1"/>
  <c r="Z59" i="1" s="1"/>
  <c r="W64" i="1"/>
  <c r="M62" i="1"/>
  <c r="M68" i="1" s="1"/>
  <c r="W67" i="11"/>
  <c r="T68" i="11"/>
  <c r="U61" i="11" s="1"/>
  <c r="U68" i="11" s="1"/>
  <c r="V61" i="11" s="1"/>
  <c r="V68" i="11" s="1"/>
  <c r="W61" i="11" s="1"/>
  <c r="T65" i="11"/>
  <c r="U58" i="11" s="1"/>
  <c r="U65" i="11" s="1"/>
  <c r="V58" i="11" s="1"/>
  <c r="V65" i="11" s="1"/>
  <c r="W58" i="11" s="1"/>
  <c r="J64" i="11"/>
  <c r="J70" i="11" s="1"/>
  <c r="AA66" i="11" l="1"/>
  <c r="AB59" i="11" s="1"/>
  <c r="AB66" i="11" s="1"/>
  <c r="AC59" i="11" s="1"/>
  <c r="AC66" i="11" s="1"/>
  <c r="AD59" i="11" s="1"/>
  <c r="AD66" i="11" s="1"/>
  <c r="AE59" i="11" s="1"/>
  <c r="AE66" i="11" s="1"/>
  <c r="AF59" i="11" s="1"/>
  <c r="AF66" i="11" s="1"/>
  <c r="AG59" i="11" s="1"/>
  <c r="AG66" i="11" s="1"/>
  <c r="AH59" i="11" s="1"/>
  <c r="AH66" i="11" s="1"/>
  <c r="AI59" i="11" s="1"/>
  <c r="X60" i="11"/>
  <c r="X67" i="11" s="1"/>
  <c r="Y60" i="11" s="1"/>
  <c r="Y67" i="11" s="1"/>
  <c r="Z60" i="11" s="1"/>
  <c r="Z66" i="1"/>
  <c r="AA59" i="1" s="1"/>
  <c r="AA66" i="1" s="1"/>
  <c r="AB59" i="1" s="1"/>
  <c r="X57" i="1"/>
  <c r="X64" i="1" s="1"/>
  <c r="Y57" i="1" s="1"/>
  <c r="X58" i="1"/>
  <c r="X65" i="1" s="1"/>
  <c r="Y58" i="1" s="1"/>
  <c r="Y65" i="1" s="1"/>
  <c r="Z58" i="1" s="1"/>
  <c r="Y63" i="1"/>
  <c r="Z56" i="1" s="1"/>
  <c r="Z63" i="1" s="1"/>
  <c r="AA56" i="1" s="1"/>
  <c r="AA63" i="1" s="1"/>
  <c r="AB56" i="1" s="1"/>
  <c r="J72" i="11"/>
  <c r="M70" i="1"/>
  <c r="N55" i="1"/>
  <c r="W68" i="11"/>
  <c r="W65" i="11"/>
  <c r="K57" i="11"/>
  <c r="AI66" i="11" l="1"/>
  <c r="AJ59" i="11"/>
  <c r="AJ66" i="11" s="1"/>
  <c r="AK59" i="11" s="1"/>
  <c r="AK66" i="11" s="1"/>
  <c r="AL59" i="11" s="1"/>
  <c r="AL66" i="11" s="1"/>
  <c r="X61" i="11"/>
  <c r="X68" i="11" s="1"/>
  <c r="Y61" i="11" s="1"/>
  <c r="Y68" i="11" s="1"/>
  <c r="Z61" i="11" s="1"/>
  <c r="Z68" i="11" s="1"/>
  <c r="AA61" i="11" s="1"/>
  <c r="X58" i="11"/>
  <c r="X65" i="11" s="1"/>
  <c r="Y58" i="11" s="1"/>
  <c r="Y65" i="11" s="1"/>
  <c r="Z58" i="11" s="1"/>
  <c r="Z65" i="11" s="1"/>
  <c r="AA58" i="11" s="1"/>
  <c r="AA65" i="11" s="1"/>
  <c r="AB58" i="11" s="1"/>
  <c r="AB65" i="11" s="1"/>
  <c r="AC58" i="11" s="1"/>
  <c r="AC65" i="11" s="1"/>
  <c r="AD58" i="11" s="1"/>
  <c r="AD65" i="11" s="1"/>
  <c r="AE58" i="11" s="1"/>
  <c r="Z67" i="11"/>
  <c r="AA60" i="11" s="1"/>
  <c r="AB63" i="1"/>
  <c r="AC56" i="1" s="1"/>
  <c r="AC63" i="1" s="1"/>
  <c r="AD56" i="1" s="1"/>
  <c r="AD63" i="1" s="1"/>
  <c r="AE56" i="1" s="1"/>
  <c r="AE63" i="1" s="1"/>
  <c r="AF56" i="1" s="1"/>
  <c r="Z65" i="1"/>
  <c r="AA58" i="1" s="1"/>
  <c r="AA65" i="1" s="1"/>
  <c r="AB58" i="1" s="1"/>
  <c r="AB66" i="1"/>
  <c r="AC59" i="1" s="1"/>
  <c r="AC66" i="1" s="1"/>
  <c r="AD59" i="1" s="1"/>
  <c r="AD66" i="1" s="1"/>
  <c r="AE59" i="1" s="1"/>
  <c r="Y64" i="1"/>
  <c r="Z57" i="1" s="1"/>
  <c r="Z64" i="1" s="1"/>
  <c r="AA57" i="1" s="1"/>
  <c r="AA64" i="1" s="1"/>
  <c r="AB57" i="1" s="1"/>
  <c r="N62" i="1"/>
  <c r="N70" i="1" s="1"/>
  <c r="K64" i="11"/>
  <c r="K70" i="11" s="1"/>
  <c r="F6" i="11" l="1"/>
  <c r="AA67" i="11"/>
  <c r="AB60" i="11" s="1"/>
  <c r="AB67" i="11" s="1"/>
  <c r="AC60" i="11" s="1"/>
  <c r="AC67" i="11" s="1"/>
  <c r="AD60" i="11" s="1"/>
  <c r="AD67" i="11" s="1"/>
  <c r="AE60" i="11" s="1"/>
  <c r="AE67" i="11" s="1"/>
  <c r="AF60" i="11" s="1"/>
  <c r="AF67" i="11" s="1"/>
  <c r="AG60" i="11" s="1"/>
  <c r="AG67" i="11" s="1"/>
  <c r="AH60" i="11" s="1"/>
  <c r="AH67" i="11" s="1"/>
  <c r="AI60" i="11" s="1"/>
  <c r="AE65" i="11"/>
  <c r="AF58" i="11" s="1"/>
  <c r="AF65" i="11" s="1"/>
  <c r="AG58" i="11" s="1"/>
  <c r="AG65" i="11" s="1"/>
  <c r="AH58" i="11" s="1"/>
  <c r="AH65" i="11" s="1"/>
  <c r="AI58" i="11" s="1"/>
  <c r="AA68" i="11"/>
  <c r="AB61" i="11" s="1"/>
  <c r="AB68" i="11" s="1"/>
  <c r="AC61" i="11" s="1"/>
  <c r="AC68" i="11" s="1"/>
  <c r="AD61" i="11" s="1"/>
  <c r="AF63" i="1"/>
  <c r="AG56" i="1" s="1"/>
  <c r="AE66" i="1"/>
  <c r="AB64" i="1"/>
  <c r="AC57" i="1" s="1"/>
  <c r="AC64" i="1" s="1"/>
  <c r="AD57" i="1" s="1"/>
  <c r="AB65" i="1"/>
  <c r="K72" i="11"/>
  <c r="K69" i="11" s="1"/>
  <c r="N68" i="1"/>
  <c r="O55" i="1"/>
  <c r="O62" i="1" s="1"/>
  <c r="O68" i="1" s="1"/>
  <c r="L57" i="11"/>
  <c r="AI67" i="11" l="1"/>
  <c r="AJ60" i="11"/>
  <c r="AJ67" i="11" s="1"/>
  <c r="AK60" i="11" s="1"/>
  <c r="AK67" i="11" s="1"/>
  <c r="AL60" i="11" s="1"/>
  <c r="AL67" i="11" s="1"/>
  <c r="AI65" i="11"/>
  <c r="AJ58" i="11" s="1"/>
  <c r="AD68" i="11"/>
  <c r="AG63" i="1"/>
  <c r="AH56" i="1" s="1"/>
  <c r="AC58" i="1"/>
  <c r="AC65" i="1" s="1"/>
  <c r="AD58" i="1" s="1"/>
  <c r="AD65" i="1" s="1"/>
  <c r="AE58" i="1" s="1"/>
  <c r="AF59" i="1"/>
  <c r="AD64" i="1"/>
  <c r="AE57" i="1" s="1"/>
  <c r="O70" i="1"/>
  <c r="P55" i="1"/>
  <c r="L64" i="11"/>
  <c r="L70" i="11" s="1"/>
  <c r="G5" i="5"/>
  <c r="G6" i="5"/>
  <c r="G7" i="5"/>
  <c r="G8" i="5"/>
  <c r="G11" i="4"/>
  <c r="AJ65" i="11" l="1"/>
  <c r="AK58" i="11"/>
  <c r="AK65" i="11" s="1"/>
  <c r="AL58" i="11" s="1"/>
  <c r="AL65" i="11" s="1"/>
  <c r="F7" i="11"/>
  <c r="AE61" i="11"/>
  <c r="AE68" i="11" s="1"/>
  <c r="AF61" i="11" s="1"/>
  <c r="AF68" i="11" s="1"/>
  <c r="AG61" i="11" s="1"/>
  <c r="AG68" i="11" s="1"/>
  <c r="AH61" i="11" s="1"/>
  <c r="AH68" i="11" s="1"/>
  <c r="AI61" i="11" s="1"/>
  <c r="AH63" i="1"/>
  <c r="AI56" i="1" s="1"/>
  <c r="AF66" i="1"/>
  <c r="AG59" i="1" s="1"/>
  <c r="AE65" i="1"/>
  <c r="AF58" i="1" s="1"/>
  <c r="AE64" i="1"/>
  <c r="AF57" i="1" s="1"/>
  <c r="L72" i="11"/>
  <c r="P62" i="1"/>
  <c r="Q55" i="1" s="1"/>
  <c r="M57" i="11"/>
  <c r="I4" i="4"/>
  <c r="F31" i="5"/>
  <c r="F21" i="5"/>
  <c r="F14" i="4"/>
  <c r="G12" i="4"/>
  <c r="G13" i="4"/>
  <c r="G15" i="4"/>
  <c r="H12" i="4"/>
  <c r="I5" i="4"/>
  <c r="I12" i="4" s="1"/>
  <c r="H14" i="4"/>
  <c r="I7" i="4"/>
  <c r="I14" i="4" s="1"/>
  <c r="G14" i="4"/>
  <c r="B9" i="1"/>
  <c r="AI63" i="1" l="1"/>
  <c r="AJ56" i="1"/>
  <c r="AJ63" i="1" s="1"/>
  <c r="AK56" i="1" s="1"/>
  <c r="AK63" i="1" s="1"/>
  <c r="AL56" i="1" s="1"/>
  <c r="AL63" i="1" s="1"/>
  <c r="AI68" i="11"/>
  <c r="AJ61" i="11"/>
  <c r="AJ68" i="11" s="1"/>
  <c r="AK61" i="11" s="1"/>
  <c r="AK68" i="11" s="1"/>
  <c r="AL61" i="11" s="1"/>
  <c r="AL68" i="11" s="1"/>
  <c r="F5" i="11"/>
  <c r="I11" i="4"/>
  <c r="C4" i="4" s="1"/>
  <c r="AG66" i="1"/>
  <c r="AH59" i="1" s="1"/>
  <c r="AF64" i="1"/>
  <c r="AG57" i="1" s="1"/>
  <c r="AF65" i="1"/>
  <c r="AG58" i="1" s="1"/>
  <c r="AG65" i="1" s="1"/>
  <c r="AH58" i="1" s="1"/>
  <c r="P70" i="1"/>
  <c r="P68" i="1"/>
  <c r="M64" i="11"/>
  <c r="F15" i="4"/>
  <c r="F12" i="4"/>
  <c r="C5" i="4" s="1"/>
  <c r="C17" i="5" s="1"/>
  <c r="F13" i="4"/>
  <c r="C7" i="4"/>
  <c r="C19" i="5" s="1"/>
  <c r="I8" i="4"/>
  <c r="I15" i="4" s="1"/>
  <c r="H15" i="4"/>
  <c r="I6" i="4"/>
  <c r="I13" i="4" s="1"/>
  <c r="H13" i="4"/>
  <c r="I9" i="4" l="1"/>
  <c r="F5" i="1"/>
  <c r="F8" i="11"/>
  <c r="AH66" i="1"/>
  <c r="AH65" i="1"/>
  <c r="AI58" i="1" s="1"/>
  <c r="AG64" i="1"/>
  <c r="M72" i="11"/>
  <c r="M70" i="11"/>
  <c r="Q62" i="1"/>
  <c r="Q68" i="1" s="1"/>
  <c r="N57" i="11"/>
  <c r="C16" i="5"/>
  <c r="C6" i="4"/>
  <c r="C18" i="5" s="1"/>
  <c r="C8" i="4"/>
  <c r="C20" i="5" s="1"/>
  <c r="AI65" i="1" l="1"/>
  <c r="AJ58" i="1" s="1"/>
  <c r="AJ65" i="1" s="1"/>
  <c r="AK58" i="1" s="1"/>
  <c r="AK65" i="1" s="1"/>
  <c r="AL58" i="1" s="1"/>
  <c r="AL65" i="1" s="1"/>
  <c r="AI59" i="1"/>
  <c r="AH57" i="1"/>
  <c r="AH64" i="1" s="1"/>
  <c r="AI57" i="1" s="1"/>
  <c r="Q70" i="1"/>
  <c r="R55" i="1"/>
  <c r="N64" i="11"/>
  <c r="N70" i="11" s="1"/>
  <c r="C9" i="4"/>
  <c r="D9" i="1"/>
  <c r="AI64" i="1" l="1"/>
  <c r="AJ57" i="1"/>
  <c r="AJ64" i="1" s="1"/>
  <c r="AK57" i="1" s="1"/>
  <c r="AK64" i="1" s="1"/>
  <c r="AL57" i="1" s="1"/>
  <c r="AL64" i="1" s="1"/>
  <c r="F6" i="1" s="1"/>
  <c r="AI66" i="1"/>
  <c r="AJ59" i="1" s="1"/>
  <c r="AJ66" i="1" s="1"/>
  <c r="AK59" i="1" s="1"/>
  <c r="F7" i="1"/>
  <c r="O57" i="11"/>
  <c r="O64" i="11" s="1"/>
  <c r="N72" i="11"/>
  <c r="R62" i="1"/>
  <c r="R70" i="1" s="1"/>
  <c r="C10" i="4"/>
  <c r="AK66" i="1" l="1"/>
  <c r="AL59" i="1"/>
  <c r="AL66" i="1" s="1"/>
  <c r="F8" i="1" s="1"/>
  <c r="P57" i="11"/>
  <c r="P64" i="11" s="1"/>
  <c r="P70" i="11" s="1"/>
  <c r="O70" i="11"/>
  <c r="O72" i="11"/>
  <c r="R68" i="1"/>
  <c r="S55" i="1"/>
  <c r="S62" i="1" s="1"/>
  <c r="S68" i="1" s="1"/>
  <c r="P72" i="11" l="1"/>
  <c r="S70" i="1"/>
  <c r="T55" i="1"/>
  <c r="Q57" i="11"/>
  <c r="C18" i="1"/>
  <c r="D18" i="1" s="1"/>
  <c r="E18" i="1" s="1"/>
  <c r="F18" i="1" s="1"/>
  <c r="G18" i="1" s="1"/>
  <c r="H18" i="1" s="1"/>
  <c r="I18" i="1" s="1"/>
  <c r="J18" i="1" s="1"/>
  <c r="K18" i="1" s="1"/>
  <c r="L18" i="1" s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Z18" i="1" l="1"/>
  <c r="AA18" i="1" s="1"/>
  <c r="AB18" i="1" s="1"/>
  <c r="AC18" i="1" s="1"/>
  <c r="AD18" i="1" s="1"/>
  <c r="AE18" i="1" s="1"/>
  <c r="AF18" i="1" s="1"/>
  <c r="T62" i="1"/>
  <c r="T68" i="1" s="1"/>
  <c r="Q64" i="11"/>
  <c r="R57" i="11" l="1"/>
  <c r="Q70" i="11"/>
  <c r="Q72" i="11"/>
  <c r="T70" i="1"/>
  <c r="U55" i="1"/>
  <c r="R64" i="11"/>
  <c r="G10" i="12"/>
  <c r="F11" i="12"/>
  <c r="F12" i="12" l="1"/>
  <c r="S57" i="11"/>
  <c r="S64" i="11" s="1"/>
  <c r="R70" i="11"/>
  <c r="R72" i="11"/>
  <c r="U62" i="1"/>
  <c r="U68" i="1" s="1"/>
  <c r="F13" i="12"/>
  <c r="F14" i="12" s="1"/>
  <c r="F15" i="12" s="1"/>
  <c r="C4" i="12"/>
  <c r="T57" i="11" l="1"/>
  <c r="T64" i="11" s="1"/>
  <c r="S70" i="11"/>
  <c r="S72" i="11"/>
  <c r="U70" i="1"/>
  <c r="V55" i="1"/>
  <c r="C5" i="12"/>
  <c r="D17" i="5" s="1"/>
  <c r="C8" i="12"/>
  <c r="D20" i="5" s="1"/>
  <c r="F20" i="5" s="1"/>
  <c r="C7" i="12"/>
  <c r="D19" i="5" s="1"/>
  <c r="F19" i="5" s="1"/>
  <c r="C6" i="12"/>
  <c r="D18" i="5" s="1"/>
  <c r="D16" i="5"/>
  <c r="F16" i="5" l="1"/>
  <c r="F18" i="5"/>
  <c r="F17" i="5"/>
  <c r="U57" i="11"/>
  <c r="U64" i="11" s="1"/>
  <c r="T70" i="11"/>
  <c r="T72" i="11"/>
  <c r="V62" i="1"/>
  <c r="V68" i="1" s="1"/>
  <c r="C9" i="12"/>
  <c r="C10" i="12" s="1"/>
  <c r="V57" i="11" l="1"/>
  <c r="U70" i="11"/>
  <c r="U72" i="11"/>
  <c r="V70" i="1"/>
  <c r="W55" i="1"/>
  <c r="V64" i="11"/>
  <c r="G5" i="1"/>
  <c r="C27" i="5" s="1"/>
  <c r="J5" i="5" l="1"/>
  <c r="M5" i="5" s="1"/>
  <c r="C5" i="5"/>
  <c r="W57" i="11"/>
  <c r="V70" i="11"/>
  <c r="V72" i="11"/>
  <c r="W62" i="1"/>
  <c r="W68" i="1" s="1"/>
  <c r="I67" i="1"/>
  <c r="G8" i="1"/>
  <c r="C30" i="5" s="1"/>
  <c r="G6" i="1"/>
  <c r="C28" i="5" s="1"/>
  <c r="G7" i="1"/>
  <c r="C29" i="5" s="1"/>
  <c r="W64" i="11" l="1"/>
  <c r="W70" i="11" s="1"/>
  <c r="X57" i="11"/>
  <c r="X64" i="11" s="1"/>
  <c r="X55" i="1"/>
  <c r="J7" i="5"/>
  <c r="M7" i="5" s="1"/>
  <c r="C7" i="5"/>
  <c r="J6" i="5"/>
  <c r="M6" i="5" s="1"/>
  <c r="C6" i="5"/>
  <c r="J8" i="5"/>
  <c r="M8" i="5" s="1"/>
  <c r="C8" i="5"/>
  <c r="W72" i="11"/>
  <c r="W70" i="1"/>
  <c r="J67" i="1"/>
  <c r="Y57" i="11" l="1"/>
  <c r="X70" i="11"/>
  <c r="X72" i="11"/>
  <c r="X62" i="1"/>
  <c r="Y55" i="1" s="1"/>
  <c r="K67" i="1"/>
  <c r="X69" i="11" l="1"/>
  <c r="Y64" i="11"/>
  <c r="Y70" i="11" s="1"/>
  <c r="Y62" i="1"/>
  <c r="Z55" i="1" s="1"/>
  <c r="Z62" i="1" s="1"/>
  <c r="X70" i="1"/>
  <c r="X68" i="1"/>
  <c r="L67" i="1"/>
  <c r="Y72" i="11" l="1"/>
  <c r="Z57" i="11"/>
  <c r="Y68" i="1"/>
  <c r="Y70" i="1"/>
  <c r="X67" i="1"/>
  <c r="O67" i="1"/>
  <c r="M67" i="1"/>
  <c r="Z64" i="11" l="1"/>
  <c r="Y69" i="11"/>
  <c r="Z72" i="11"/>
  <c r="Y67" i="1"/>
  <c r="AA55" i="1"/>
  <c r="N67" i="1"/>
  <c r="E8" i="11"/>
  <c r="E7" i="11"/>
  <c r="E6" i="11"/>
  <c r="Z70" i="11" l="1"/>
  <c r="AA57" i="11"/>
  <c r="Z69" i="11"/>
  <c r="AA62" i="1"/>
  <c r="AB55" i="1"/>
  <c r="Z68" i="1"/>
  <c r="Z70" i="1"/>
  <c r="I69" i="11"/>
  <c r="G6" i="11"/>
  <c r="D28" i="5" s="1"/>
  <c r="D6" i="5" s="1"/>
  <c r="I18" i="5" s="1"/>
  <c r="G8" i="11"/>
  <c r="D30" i="5" s="1"/>
  <c r="D8" i="5" s="1"/>
  <c r="I20" i="5" s="1"/>
  <c r="G7" i="11"/>
  <c r="D29" i="5" s="1"/>
  <c r="D7" i="5" s="1"/>
  <c r="I19" i="5" s="1"/>
  <c r="E5" i="11"/>
  <c r="E9" i="11" s="1"/>
  <c r="AA64" i="11" l="1"/>
  <c r="AB62" i="1"/>
  <c r="Z67" i="1"/>
  <c r="AA68" i="1"/>
  <c r="AA70" i="1"/>
  <c r="J69" i="11"/>
  <c r="Q67" i="1"/>
  <c r="P67" i="1"/>
  <c r="F30" i="5"/>
  <c r="H8" i="5" s="1"/>
  <c r="K8" i="5"/>
  <c r="N8" i="5" s="1"/>
  <c r="O8" i="5" s="1"/>
  <c r="F29" i="5"/>
  <c r="H7" i="5" s="1"/>
  <c r="K7" i="5"/>
  <c r="N7" i="5" s="1"/>
  <c r="O7" i="5" s="1"/>
  <c r="F28" i="5"/>
  <c r="H6" i="5" s="1"/>
  <c r="K6" i="5"/>
  <c r="N6" i="5" s="1"/>
  <c r="O6" i="5" s="1"/>
  <c r="AA70" i="11" l="1"/>
  <c r="AA72" i="11"/>
  <c r="AB57" i="11"/>
  <c r="AB64" i="11" s="1"/>
  <c r="AA67" i="1"/>
  <c r="AB68" i="1"/>
  <c r="AB70" i="1"/>
  <c r="AC55" i="1"/>
  <c r="L6" i="5"/>
  <c r="L7" i="5"/>
  <c r="L8" i="5"/>
  <c r="G5" i="11"/>
  <c r="AC57" i="11" l="1"/>
  <c r="AB70" i="11"/>
  <c r="AB72" i="11"/>
  <c r="AA69" i="11"/>
  <c r="AC64" i="11"/>
  <c r="AB67" i="1"/>
  <c r="AC62" i="1"/>
  <c r="AD55" i="1" s="1"/>
  <c r="L69" i="11"/>
  <c r="M69" i="11"/>
  <c r="R67" i="1"/>
  <c r="D27" i="5"/>
  <c r="D5" i="5" s="1"/>
  <c r="I17" i="5" s="1"/>
  <c r="AD57" i="11" l="1"/>
  <c r="AD64" i="11" s="1"/>
  <c r="AB69" i="11"/>
  <c r="AE57" i="11"/>
  <c r="AD70" i="11"/>
  <c r="AC70" i="11"/>
  <c r="AC72" i="11"/>
  <c r="AD62" i="1"/>
  <c r="AE55" i="1" s="1"/>
  <c r="AC68" i="1"/>
  <c r="AC70" i="1"/>
  <c r="N69" i="11"/>
  <c r="S67" i="1"/>
  <c r="F27" i="5"/>
  <c r="H5" i="5" s="1"/>
  <c r="K5" i="5"/>
  <c r="N5" i="5" s="1"/>
  <c r="O5" i="5" s="1"/>
  <c r="AC69" i="11" l="1"/>
  <c r="AD72" i="11"/>
  <c r="AE64" i="11"/>
  <c r="AE70" i="11" s="1"/>
  <c r="AE62" i="1"/>
  <c r="AF55" i="1"/>
  <c r="AC67" i="1"/>
  <c r="AD68" i="1"/>
  <c r="AD70" i="1"/>
  <c r="O69" i="11"/>
  <c r="T67" i="1"/>
  <c r="L5" i="5"/>
  <c r="AD69" i="11" l="1"/>
  <c r="AE72" i="11"/>
  <c r="AF57" i="11"/>
  <c r="AD67" i="1"/>
  <c r="AF62" i="1"/>
  <c r="AG55" i="1" s="1"/>
  <c r="AF68" i="1"/>
  <c r="AE68" i="1"/>
  <c r="AE70" i="1"/>
  <c r="P69" i="11"/>
  <c r="U67" i="1"/>
  <c r="AF64" i="11" l="1"/>
  <c r="AF70" i="11" s="1"/>
  <c r="AG57" i="11"/>
  <c r="AE69" i="11"/>
  <c r="AF72" i="11"/>
  <c r="AF70" i="1"/>
  <c r="AG62" i="1"/>
  <c r="AH55" i="1" s="1"/>
  <c r="AE67" i="1"/>
  <c r="Q69" i="11"/>
  <c r="V67" i="1"/>
  <c r="AG64" i="11" l="1"/>
  <c r="AG70" i="11" s="1"/>
  <c r="AH57" i="11"/>
  <c r="AF69" i="11"/>
  <c r="AG72" i="11"/>
  <c r="AH62" i="1"/>
  <c r="AI55" i="1"/>
  <c r="AG70" i="1"/>
  <c r="AG68" i="1"/>
  <c r="AF67" i="1"/>
  <c r="R69" i="11"/>
  <c r="W67" i="1"/>
  <c r="AI62" i="1" l="1"/>
  <c r="AJ55" i="1"/>
  <c r="AJ62" i="1" s="1"/>
  <c r="AJ68" i="1" s="1"/>
  <c r="AI68" i="1"/>
  <c r="AH64" i="11"/>
  <c r="AH70" i="11" s="1"/>
  <c r="AG69" i="11"/>
  <c r="AG67" i="1"/>
  <c r="AH68" i="1"/>
  <c r="AH70" i="1"/>
  <c r="S69" i="11"/>
  <c r="AK55" i="1" l="1"/>
  <c r="AI57" i="11"/>
  <c r="AH72" i="11"/>
  <c r="AI70" i="1"/>
  <c r="AH67" i="1"/>
  <c r="T69" i="11"/>
  <c r="AI64" i="11" l="1"/>
  <c r="AJ57" i="11"/>
  <c r="AH69" i="11"/>
  <c r="AK62" i="1"/>
  <c r="AL55" i="1" s="1"/>
  <c r="AL62" i="1" s="1"/>
  <c r="AJ70" i="1"/>
  <c r="AI67" i="1"/>
  <c r="U69" i="11"/>
  <c r="AJ67" i="1" l="1"/>
  <c r="F4" i="1"/>
  <c r="G4" i="1" s="1"/>
  <c r="AJ64" i="11"/>
  <c r="AK57" i="11" s="1"/>
  <c r="AI70" i="11"/>
  <c r="AI72" i="11"/>
  <c r="AL68" i="1"/>
  <c r="AK70" i="1"/>
  <c r="AK68" i="1"/>
  <c r="V69" i="11"/>
  <c r="F9" i="1" l="1"/>
  <c r="F10" i="1" s="1"/>
  <c r="AL70" i="1"/>
  <c r="AK67" i="1"/>
  <c r="AK64" i="11"/>
  <c r="AL57" i="11" s="1"/>
  <c r="AL64" i="11" s="1"/>
  <c r="AI69" i="11"/>
  <c r="AJ72" i="11"/>
  <c r="AJ70" i="11"/>
  <c r="C26" i="5"/>
  <c r="G9" i="1"/>
  <c r="W69" i="11"/>
  <c r="AL67" i="1" l="1"/>
  <c r="AL70" i="11"/>
  <c r="AK72" i="11"/>
  <c r="AK70" i="11"/>
  <c r="F4" i="11"/>
  <c r="G4" i="11" s="1"/>
  <c r="G9" i="11" s="1"/>
  <c r="J4" i="5"/>
  <c r="M4" i="5" s="1"/>
  <c r="C4" i="5"/>
  <c r="AJ69" i="11"/>
  <c r="AL72" i="11" l="1"/>
  <c r="AL69" i="11" s="1"/>
  <c r="F9" i="11"/>
  <c r="F10" i="11" s="1"/>
  <c r="AK69" i="11"/>
  <c r="D26" i="5" l="1"/>
  <c r="AK18" i="1"/>
  <c r="D4" i="5" l="1"/>
  <c r="K4" i="5"/>
  <c r="N4" i="5" s="1"/>
  <c r="O4" i="5" s="1"/>
  <c r="F26" i="5"/>
  <c r="H4" i="5" l="1"/>
  <c r="F35" i="5"/>
  <c r="G35" i="5" s="1"/>
  <c r="G36" i="5" s="1"/>
  <c r="I16" i="5"/>
  <c r="L4" i="5"/>
</calcChain>
</file>

<file path=xl/comments1.xml><?xml version="1.0" encoding="utf-8"?>
<comments xmlns="http://schemas.openxmlformats.org/spreadsheetml/2006/main">
  <authors>
    <author>Logan, Raysene</author>
  </authors>
  <commentList>
    <comment ref="AJ39" authorId="0">
      <text>
        <r>
          <rPr>
            <b/>
            <sz val="9"/>
            <color indexed="81"/>
            <rFont val="Tahoma"/>
            <family val="2"/>
          </rPr>
          <t>Logan, Raysene:</t>
        </r>
        <r>
          <rPr>
            <sz val="9"/>
            <color indexed="81"/>
            <rFont val="Tahoma"/>
            <family val="2"/>
          </rPr>
          <t xml:space="preserve">
see PCR.2 tab in support file for % calculation, for low income exemption 
(RES only)</t>
        </r>
      </text>
    </comment>
  </commentList>
</comments>
</file>

<file path=xl/comments2.xml><?xml version="1.0" encoding="utf-8"?>
<comments xmlns="http://schemas.openxmlformats.org/spreadsheetml/2006/main">
  <authors>
    <author>Logan, Raysene</author>
  </authors>
  <commentList>
    <comment ref="AJ22" authorId="0">
      <text>
        <r>
          <rPr>
            <b/>
            <sz val="9"/>
            <color indexed="81"/>
            <rFont val="Tahoma"/>
            <family val="2"/>
          </rPr>
          <t>Logan, Raysene:</t>
        </r>
        <r>
          <rPr>
            <sz val="9"/>
            <color indexed="81"/>
            <rFont val="Tahoma"/>
            <family val="2"/>
          </rPr>
          <t xml:space="preserve">
see PCR.2 tab in support file for % calculation, for low income exemption 
(RES only)</t>
        </r>
      </text>
    </comment>
  </commentList>
</comments>
</file>

<file path=xl/sharedStrings.xml><?xml version="1.0" encoding="utf-8"?>
<sst xmlns="http://schemas.openxmlformats.org/spreadsheetml/2006/main" count="245" uniqueCount="112">
  <si>
    <t>RES</t>
  </si>
  <si>
    <t>BUS</t>
  </si>
  <si>
    <t>Low Income</t>
  </si>
  <si>
    <t>Common/General</t>
  </si>
  <si>
    <t>SGS</t>
  </si>
  <si>
    <t>LGS</t>
  </si>
  <si>
    <t>SPS</t>
  </si>
  <si>
    <t>LPS</t>
  </si>
  <si>
    <t>Allocated Program Costs</t>
  </si>
  <si>
    <t>Revenues</t>
  </si>
  <si>
    <t>PCR</t>
  </si>
  <si>
    <t>Program Cost Reconciliation Calculation</t>
  </si>
  <si>
    <t>Allocations</t>
  </si>
  <si>
    <t>Total</t>
  </si>
  <si>
    <t>Billed kWh</t>
  </si>
  <si>
    <t>SOURCE: GL</t>
  </si>
  <si>
    <t>SOURCE: CSS DATA WAREHOUSE</t>
  </si>
  <si>
    <t>PPC</t>
  </si>
  <si>
    <t>Program Cost Calculation</t>
  </si>
  <si>
    <t>Service Class</t>
  </si>
  <si>
    <t>PC ($)</t>
  </si>
  <si>
    <t>PE (kWh)</t>
  </si>
  <si>
    <t>EEIC ($/kWh)</t>
  </si>
  <si>
    <t>1M</t>
  </si>
  <si>
    <t>2M</t>
  </si>
  <si>
    <t>3M</t>
  </si>
  <si>
    <t>4M</t>
  </si>
  <si>
    <t>11M</t>
  </si>
  <si>
    <t>12M</t>
  </si>
  <si>
    <t>PPC ($)</t>
  </si>
  <si>
    <t>PTD ($)</t>
  </si>
  <si>
    <t>PCR ($)</t>
  </si>
  <si>
    <t>TDR ($)</t>
  </si>
  <si>
    <t>PIR ($)</t>
  </si>
  <si>
    <t>FORECASTED</t>
  </si>
  <si>
    <t>Allocated TD-NSB</t>
  </si>
  <si>
    <t>MWh (3-Year Cum.)</t>
  </si>
  <si>
    <t>Percent Allocation</t>
  </si>
  <si>
    <t>TDR</t>
  </si>
  <si>
    <t>TD-NSB Reconciliation Calculation</t>
  </si>
  <si>
    <t>PTD (90%)</t>
  </si>
  <si>
    <t>Interest</t>
  </si>
  <si>
    <t>CHECK</t>
  </si>
  <si>
    <t>INPUTS</t>
  </si>
  <si>
    <t>2. Forecasted program costs by allocation bucket (RES, BUS, Low Income, Common/General)</t>
  </si>
  <si>
    <t>1. Forecasted kWh by Rate Class (Reduced for Opt-Out)</t>
  </si>
  <si>
    <t>Regulatory Asset/(Liability)</t>
  </si>
  <si>
    <t>Starting Balance</t>
  </si>
  <si>
    <t>1. Forecasted BUS/RES savings</t>
  </si>
  <si>
    <t>For CSS</t>
  </si>
  <si>
    <t>Program Cost Rate</t>
  </si>
  <si>
    <t>TD-NSB Rate</t>
  </si>
  <si>
    <t>Projections for 2015 EEIC</t>
  </si>
  <si>
    <t>Effective Period kWh</t>
  </si>
  <si>
    <t>Allocated Actual Program Costs</t>
  </si>
  <si>
    <t>Over/Under</t>
  </si>
  <si>
    <t>Cumulative Over/Under</t>
  </si>
  <si>
    <t>1. Actual monthly program costs by allocation bucket (RES, BUS, Low Income, Common/General)</t>
  </si>
  <si>
    <t>2. Actual montly kWh billed sales by rate class (reduced for opt-out)</t>
  </si>
  <si>
    <t>3. Actual monthly billed revenues by rate class (program cost revenues only)</t>
  </si>
  <si>
    <t>4. Total monthly interest booked</t>
  </si>
  <si>
    <t>5. Actual program cost rate component of the tariff rate</t>
  </si>
  <si>
    <t>6. Forecasted program costs by allocation bucket (RES, BUS, Low Income, Common/General)</t>
  </si>
  <si>
    <t>7. Forecasted kWh billed sales by rate class (reduced for opt-out)</t>
  </si>
  <si>
    <t>1. Actual Program Costs</t>
  </si>
  <si>
    <t>2. Actual KWh - Reduced for Opt-Out</t>
  </si>
  <si>
    <t>3. Actual Revenues - Program Costs Only</t>
  </si>
  <si>
    <t>4. Total Interest</t>
  </si>
  <si>
    <t>1. RES</t>
  </si>
  <si>
    <t>1. BUS</t>
  </si>
  <si>
    <t>2. MWh (3-Year Cum.)</t>
  </si>
  <si>
    <t>1. Actual monthly TD-NSB</t>
  </si>
  <si>
    <t>2. Actual monthly billed revenues by rate class TD-NSB revenues only)</t>
  </si>
  <si>
    <t>4. Actual TD-NSB rate component of the tariff rate</t>
  </si>
  <si>
    <t>5. Total monthly interest booked</t>
  </si>
  <si>
    <t>6. Forecasted TD-NSB</t>
  </si>
  <si>
    <t>1. Actual TD-NSB</t>
  </si>
  <si>
    <t>2. Actual Revenues - TD-NSB Only</t>
  </si>
  <si>
    <t>3. Deemed Savings</t>
  </si>
  <si>
    <t>5. Total Interest</t>
  </si>
  <si>
    <t>4. Current Tariff Rate</t>
  </si>
  <si>
    <t>PI ($)</t>
  </si>
  <si>
    <t>RA ($)</t>
  </si>
  <si>
    <t>8. Forecasted interest for accrued over/under</t>
  </si>
  <si>
    <t>SOURCE: Energy Efficiency Team</t>
  </si>
  <si>
    <t>SOURCE: NSB Monthly Calculation file</t>
  </si>
  <si>
    <t>cumulative check</t>
  </si>
  <si>
    <t>monthly interest check</t>
  </si>
  <si>
    <t>NPC</t>
  </si>
  <si>
    <t>NTD</t>
  </si>
  <si>
    <t>NPI</t>
  </si>
  <si>
    <t>NOA</t>
  </si>
  <si>
    <t>Forecasted Program Costs</t>
  </si>
  <si>
    <t>3. Percent of TD-NSB to be included in rates (i.e. 90%)</t>
  </si>
  <si>
    <t>3.  90% TD-NSB</t>
  </si>
  <si>
    <t>5. Current Tariff Rate</t>
  </si>
  <si>
    <t>Cumulative MWh Savings (deemed)</t>
  </si>
  <si>
    <t>3. Deemed MWh savings by rate class</t>
  </si>
  <si>
    <t>7. Forecasted MWh savings by rate class</t>
  </si>
  <si>
    <t>Forecasted MWh Savings</t>
  </si>
  <si>
    <t>INPUTS (all MWh savings should be deemed values)</t>
  </si>
  <si>
    <t>2. Forecasted MWh savings by allocation bucket (RES, BUS, Low Income)</t>
  </si>
  <si>
    <t>Projections for 2016 EEIC</t>
  </si>
  <si>
    <t>RES excluding low income</t>
  </si>
  <si>
    <t>2. Total</t>
  </si>
  <si>
    <t>3. Low income exemption</t>
  </si>
  <si>
    <t>3. Low income exemption %</t>
  </si>
  <si>
    <t>(Over)/Under</t>
  </si>
  <si>
    <t>2015 MEEIA Rev. Req.</t>
  </si>
  <si>
    <t>change</t>
  </si>
  <si>
    <t>2016 MEEIA Rev. Req.</t>
  </si>
  <si>
    <t>Rounded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</si>
</sst>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&quot;$&quot;* #,##0_);_(&quot;$&quot;* \(#,##0\);_(&quot;$&quot;* &quot;-&quot;??_);_(@_)"/>
    <numFmt numFmtId="166" formatCode="&quot;$&quot;#,##0.00"/>
    <numFmt numFmtId="167" formatCode="_(* #,##0_);_(* \(#,##0\);_(* &quot;-&quot;??_);_(@_)"/>
    <numFmt numFmtId="168" formatCode="0.0%"/>
    <numFmt numFmtId="169" formatCode="0.0000%"/>
    <numFmt numFmtId="170" formatCode="0.000%"/>
    <numFmt numFmtId="171" formatCode="_(&quot;$&quot;* #,##0.000000_);_(&quot;$&quot;* \(#,##0.000000\);_(&quot;$&quot;* &quot;-&quot;??_);_(@_)"/>
    <numFmt numFmtId="172" formatCode="&quot;$&quot;#,##0.000000_);[Red]\(&quot;$&quot;#,##0.000000\)"/>
    <numFmt numFmtId="173" formatCode="0.000000%"/>
    <numFmt numFmtId="174" formatCode="_(&quot;$&quot;* #,##0.000_);_(&quot;$&quot;* \(#,##0.000\);_(&quot;$&quot;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sz val="10"/>
      <color rgb="FF000000"/>
      <name val="Courier New"/>
      <family val="3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0"/>
      <name val="Arial"/>
      <family val="2"/>
    </font>
    <font>
      <u/>
      <sz val="6"/>
      <color indexed="12"/>
      <name val="Arial"/>
      <family val="2"/>
    </font>
    <font>
      <u/>
      <sz val="8.5"/>
      <color indexed="12"/>
      <name val="Arial"/>
      <family val="2"/>
    </font>
    <font>
      <sz val="10"/>
      <name val="MS Sans Serif"/>
      <family val="2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</fills>
  <borders count="5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medium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/>
      <top/>
      <bottom style="thin">
        <color rgb="FF7F7F7F"/>
      </bottom>
      <diagonal/>
    </border>
    <border>
      <left style="medium">
        <color indexed="64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rgb="FF7F7F7F"/>
      </right>
      <top style="thin">
        <color rgb="FF7F7F7F"/>
      </top>
      <bottom/>
      <diagonal/>
    </border>
    <border>
      <left/>
      <right style="medium">
        <color auto="1"/>
      </right>
      <top/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/>
      <bottom/>
      <diagonal/>
    </border>
  </borders>
  <cellStyleXfs count="32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2" applyNumberFormat="0" applyAlignment="0" applyProtection="0"/>
    <xf numFmtId="0" fontId="7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3" fillId="8" borderId="17" applyNumberFormat="0" applyAlignment="0" applyProtection="0"/>
    <xf numFmtId="0" fontId="14" fillId="8" borderId="1" applyNumberFormat="0" applyAlignment="0" applyProtection="0"/>
    <xf numFmtId="0" fontId="1" fillId="9" borderId="18" applyNumberFormat="0" applyFont="0" applyAlignment="0" applyProtection="0"/>
    <xf numFmtId="0" fontId="15" fillId="0" borderId="33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34" applyNumberFormat="0" applyFill="0" applyAlignment="0" applyProtection="0"/>
    <xf numFmtId="0" fontId="19" fillId="0" borderId="35" applyNumberFormat="0" applyFill="0" applyAlignment="0" applyProtection="0"/>
    <xf numFmtId="0" fontId="20" fillId="0" borderId="36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0" borderId="37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1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4" borderId="0" applyNumberFormat="0" applyAlignment="0">
      <alignment horizontal="right"/>
    </xf>
    <xf numFmtId="0" fontId="12" fillId="35" borderId="0" applyNumberFormat="0" applyAlignment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4" borderId="0" applyNumberFormat="0" applyAlignment="0">
      <alignment horizontal="right"/>
    </xf>
    <xf numFmtId="0" fontId="12" fillId="35" borderId="0" applyNumberFormat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1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43" fontId="12" fillId="0" borderId="0" applyFont="0" applyFill="0" applyBorder="0" applyAlignment="0" applyProtection="0"/>
  </cellStyleXfs>
  <cellXfs count="245">
    <xf numFmtId="0" fontId="0" fillId="0" borderId="0" xfId="0"/>
    <xf numFmtId="164" fontId="0" fillId="0" borderId="0" xfId="0" applyNumberFormat="1"/>
    <xf numFmtId="0" fontId="7" fillId="0" borderId="0" xfId="8"/>
    <xf numFmtId="0" fontId="8" fillId="0" borderId="0" xfId="0" applyFont="1"/>
    <xf numFmtId="44" fontId="0" fillId="0" borderId="0" xfId="0" applyNumberFormat="1"/>
    <xf numFmtId="10" fontId="0" fillId="0" borderId="0" xfId="2" applyNumberFormat="1" applyFont="1"/>
    <xf numFmtId="0" fontId="8" fillId="0" borderId="0" xfId="0" applyFont="1" applyAlignment="1">
      <alignment horizontal="center"/>
    </xf>
    <xf numFmtId="44" fontId="8" fillId="0" borderId="0" xfId="0" applyNumberFormat="1" applyFont="1"/>
    <xf numFmtId="166" fontId="0" fillId="0" borderId="0" xfId="0" applyNumberFormat="1"/>
    <xf numFmtId="0" fontId="9" fillId="0" borderId="0" xfId="0" applyFont="1" applyAlignment="1">
      <alignment horizontal="left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7" borderId="4" xfId="0" applyFont="1" applyFill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6" fontId="10" fillId="0" borderId="6" xfId="0" applyNumberFormat="1" applyFont="1" applyBorder="1" applyAlignment="1">
      <alignment vertical="center" wrapText="1"/>
    </xf>
    <xf numFmtId="5" fontId="11" fillId="0" borderId="6" xfId="0" applyNumberFormat="1" applyFont="1" applyBorder="1" applyAlignment="1">
      <alignment horizontal="right" vertical="center" wrapText="1"/>
    </xf>
    <xf numFmtId="6" fontId="11" fillId="0" borderId="6" xfId="0" applyNumberFormat="1" applyFont="1" applyBorder="1" applyAlignment="1">
      <alignment horizontal="right" vertical="center" wrapText="1"/>
    </xf>
    <xf numFmtId="3" fontId="10" fillId="0" borderId="6" xfId="0" applyNumberFormat="1" applyFont="1" applyBorder="1" applyAlignment="1">
      <alignment vertical="center" wrapText="1"/>
    </xf>
    <xf numFmtId="6" fontId="10" fillId="0" borderId="6" xfId="0" applyNumberFormat="1" applyFont="1" applyBorder="1" applyAlignment="1">
      <alignment horizontal="right" vertical="center" wrapText="1"/>
    </xf>
    <xf numFmtId="5" fontId="10" fillId="0" borderId="6" xfId="0" applyNumberFormat="1" applyFont="1" applyBorder="1" applyAlignment="1">
      <alignment vertical="center" wrapText="1"/>
    </xf>
    <xf numFmtId="0" fontId="0" fillId="0" borderId="9" xfId="0" applyBorder="1"/>
    <xf numFmtId="0" fontId="0" fillId="0" borderId="10" xfId="0" applyBorder="1"/>
    <xf numFmtId="44" fontId="0" fillId="0" borderId="9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0" fontId="0" fillId="0" borderId="7" xfId="0" applyBorder="1"/>
    <xf numFmtId="0" fontId="0" fillId="0" borderId="12" xfId="0" applyBorder="1"/>
    <xf numFmtId="0" fontId="7" fillId="0" borderId="12" xfId="8" applyBorder="1"/>
    <xf numFmtId="165" fontId="5" fillId="5" borderId="1" xfId="6" applyNumberFormat="1" applyBorder="1"/>
    <xf numFmtId="0" fontId="0" fillId="0" borderId="0" xfId="0" applyBorder="1"/>
    <xf numFmtId="0" fontId="7" fillId="0" borderId="0" xfId="8" applyBorder="1"/>
    <xf numFmtId="44" fontId="0" fillId="0" borderId="0" xfId="0" applyNumberFormat="1" applyBorder="1"/>
    <xf numFmtId="165" fontId="5" fillId="5" borderId="15" xfId="6" applyNumberFormat="1" applyBorder="1"/>
    <xf numFmtId="165" fontId="5" fillId="5" borderId="16" xfId="6" applyNumberFormat="1" applyBorder="1"/>
    <xf numFmtId="164" fontId="0" fillId="0" borderId="12" xfId="0" applyNumberFormat="1" applyBorder="1"/>
    <xf numFmtId="43" fontId="0" fillId="0" borderId="0" xfId="1" applyFont="1"/>
    <xf numFmtId="43" fontId="6" fillId="6" borderId="2" xfId="1" applyFont="1" applyFill="1" applyBorder="1"/>
    <xf numFmtId="0" fontId="8" fillId="0" borderId="0" xfId="0" applyFont="1" applyAlignment="1">
      <alignment horizontal="right"/>
    </xf>
    <xf numFmtId="6" fontId="0" fillId="0" borderId="0" xfId="0" applyNumberFormat="1"/>
    <xf numFmtId="44" fontId="14" fillId="8" borderId="1" xfId="13" applyNumberFormat="1"/>
    <xf numFmtId="165" fontId="14" fillId="8" borderId="1" xfId="13" applyNumberFormat="1"/>
    <xf numFmtId="0" fontId="8" fillId="0" borderId="9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10" fontId="14" fillId="8" borderId="1" xfId="13" applyNumberFormat="1" applyBorder="1" applyAlignment="1">
      <alignment horizontal="center"/>
    </xf>
    <xf numFmtId="10" fontId="14" fillId="8" borderId="14" xfId="13" applyNumberFormat="1" applyBorder="1" applyAlignment="1">
      <alignment horizontal="center"/>
    </xf>
    <xf numFmtId="165" fontId="14" fillId="8" borderId="1" xfId="13" applyNumberFormat="1" applyBorder="1" applyAlignment="1">
      <alignment horizontal="center"/>
    </xf>
    <xf numFmtId="165" fontId="14" fillId="8" borderId="14" xfId="13" applyNumberFormat="1" applyBorder="1" applyAlignment="1">
      <alignment horizontal="center"/>
    </xf>
    <xf numFmtId="165" fontId="14" fillId="8" borderId="16" xfId="13" applyNumberFormat="1" applyBorder="1" applyAlignment="1">
      <alignment horizontal="center"/>
    </xf>
    <xf numFmtId="165" fontId="14" fillId="8" borderId="22" xfId="13" applyNumberFormat="1" applyBorder="1" applyAlignment="1">
      <alignment horizontal="center"/>
    </xf>
    <xf numFmtId="165" fontId="5" fillId="5" borderId="23" xfId="6" applyNumberFormat="1" applyBorder="1"/>
    <xf numFmtId="0" fontId="8" fillId="0" borderId="1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43" fontId="6" fillId="6" borderId="26" xfId="1" applyFont="1" applyFill="1" applyBorder="1"/>
    <xf numFmtId="0" fontId="7" fillId="0" borderId="9" xfId="8" applyBorder="1" applyAlignment="1">
      <alignment horizontal="right"/>
    </xf>
    <xf numFmtId="165" fontId="14" fillId="8" borderId="27" xfId="13" applyNumberFormat="1" applyBorder="1" applyAlignment="1">
      <alignment horizontal="center"/>
    </xf>
    <xf numFmtId="165" fontId="14" fillId="8" borderId="28" xfId="13" applyNumberFormat="1" applyBorder="1" applyAlignment="1">
      <alignment horizontal="center"/>
    </xf>
    <xf numFmtId="0" fontId="8" fillId="0" borderId="29" xfId="0" applyFont="1" applyBorder="1" applyAlignment="1">
      <alignment horizontal="right"/>
    </xf>
    <xf numFmtId="0" fontId="7" fillId="0" borderId="0" xfId="8" applyAlignment="1">
      <alignment horizontal="right"/>
    </xf>
    <xf numFmtId="167" fontId="5" fillId="5" borderId="1" xfId="6" applyNumberFormat="1"/>
    <xf numFmtId="167" fontId="14" fillId="8" borderId="1" xfId="13" applyNumberFormat="1"/>
    <xf numFmtId="165" fontId="13" fillId="8" borderId="17" xfId="12" applyNumberFormat="1"/>
    <xf numFmtId="165" fontId="5" fillId="5" borderId="16" xfId="6" applyNumberFormat="1" applyBorder="1" applyAlignment="1">
      <alignment horizontal="center"/>
    </xf>
    <xf numFmtId="10" fontId="1" fillId="9" borderId="18" xfId="14" applyNumberFormat="1" applyFont="1" applyAlignment="1">
      <alignment horizontal="center"/>
    </xf>
    <xf numFmtId="0" fontId="0" fillId="0" borderId="0" xfId="0" quotePrefix="1"/>
    <xf numFmtId="165" fontId="5" fillId="5" borderId="24" xfId="11" applyNumberFormat="1" applyFont="1" applyFill="1" applyBorder="1"/>
    <xf numFmtId="0" fontId="8" fillId="0" borderId="19" xfId="0" applyFont="1" applyBorder="1" applyAlignment="1">
      <alignment horizontal="right"/>
    </xf>
    <xf numFmtId="3" fontId="5" fillId="5" borderId="30" xfId="6" applyNumberFormat="1" applyBorder="1" applyAlignment="1">
      <alignment horizontal="center"/>
    </xf>
    <xf numFmtId="3" fontId="5" fillId="5" borderId="31" xfId="6" applyNumberFormat="1" applyBorder="1" applyAlignment="1">
      <alignment horizontal="center"/>
    </xf>
    <xf numFmtId="3" fontId="5" fillId="5" borderId="32" xfId="6" applyNumberFormat="1" applyBorder="1" applyAlignment="1">
      <alignment horizontal="center"/>
    </xf>
    <xf numFmtId="168" fontId="14" fillId="8" borderId="15" xfId="13" applyNumberFormat="1" applyBorder="1" applyAlignment="1">
      <alignment horizontal="center"/>
    </xf>
    <xf numFmtId="168" fontId="14" fillId="8" borderId="16" xfId="13" applyNumberFormat="1" applyBorder="1" applyAlignment="1">
      <alignment horizontal="center"/>
    </xf>
    <xf numFmtId="168" fontId="14" fillId="8" borderId="22" xfId="13" applyNumberFormat="1" applyBorder="1" applyAlignment="1">
      <alignment horizontal="center"/>
    </xf>
    <xf numFmtId="10" fontId="1" fillId="9" borderId="18" xfId="14" applyNumberFormat="1" applyFont="1" applyBorder="1" applyAlignment="1">
      <alignment horizontal="center"/>
    </xf>
    <xf numFmtId="165" fontId="6" fillId="6" borderId="2" xfId="7" applyNumberFormat="1"/>
    <xf numFmtId="3" fontId="5" fillId="5" borderId="13" xfId="6" applyNumberFormat="1" applyBorder="1"/>
    <xf numFmtId="3" fontId="5" fillId="5" borderId="23" xfId="6" applyNumberFormat="1" applyBorder="1"/>
    <xf numFmtId="3" fontId="14" fillId="8" borderId="1" xfId="13" applyNumberFormat="1"/>
    <xf numFmtId="165" fontId="4" fillId="4" borderId="9" xfId="5" applyNumberFormat="1" applyBorder="1"/>
    <xf numFmtId="165" fontId="4" fillId="4" borderId="10" xfId="5" applyNumberFormat="1" applyBorder="1"/>
    <xf numFmtId="165" fontId="0" fillId="0" borderId="9" xfId="0" applyNumberFormat="1" applyBorder="1"/>
    <xf numFmtId="165" fontId="5" fillId="5" borderId="1" xfId="11" applyNumberFormat="1" applyFont="1" applyFill="1" applyBorder="1"/>
    <xf numFmtId="165" fontId="5" fillId="5" borderId="23" xfId="11" applyNumberFormat="1" applyFont="1" applyFill="1" applyBorder="1"/>
    <xf numFmtId="165" fontId="4" fillId="4" borderId="9" xfId="11" applyNumberFormat="1" applyFont="1" applyFill="1" applyBorder="1"/>
    <xf numFmtId="165" fontId="4" fillId="4" borderId="10" xfId="11" applyNumberFormat="1" applyFont="1" applyFill="1" applyBorder="1"/>
    <xf numFmtId="167" fontId="6" fillId="6" borderId="2" xfId="1" applyNumberFormat="1" applyFont="1" applyFill="1" applyBorder="1"/>
    <xf numFmtId="0" fontId="8" fillId="0" borderId="0" xfId="0" applyFont="1" applyFill="1" applyBorder="1" applyAlignment="1">
      <alignment horizontal="right"/>
    </xf>
    <xf numFmtId="168" fontId="14" fillId="8" borderId="1" xfId="13" applyNumberFormat="1" applyBorder="1" applyAlignment="1">
      <alignment horizontal="center"/>
    </xf>
    <xf numFmtId="165" fontId="0" fillId="0" borderId="0" xfId="0" applyNumberFormat="1" applyBorder="1"/>
    <xf numFmtId="0" fontId="10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5" fontId="0" fillId="0" borderId="0" xfId="0" applyNumberFormat="1"/>
    <xf numFmtId="165" fontId="14" fillId="8" borderId="13" xfId="13" applyNumberFormat="1" applyBorder="1"/>
    <xf numFmtId="165" fontId="14" fillId="8" borderId="1" xfId="13" applyNumberFormat="1" applyBorder="1"/>
    <xf numFmtId="170" fontId="0" fillId="0" borderId="0" xfId="2" applyNumberFormat="1" applyFont="1" applyBorder="1"/>
    <xf numFmtId="165" fontId="5" fillId="0" borderId="9" xfId="6" applyNumberFormat="1" applyFill="1" applyBorder="1"/>
    <xf numFmtId="165" fontId="5" fillId="0" borderId="0" xfId="6" applyNumberFormat="1" applyFill="1" applyBorder="1"/>
    <xf numFmtId="37" fontId="5" fillId="0" borderId="0" xfId="6" applyNumberFormat="1" applyFill="1" applyBorder="1"/>
    <xf numFmtId="0" fontId="0" fillId="0" borderId="0" xfId="0" applyFill="1"/>
    <xf numFmtId="3" fontId="16" fillId="0" borderId="0" xfId="13" applyNumberFormat="1" applyFont="1" applyFill="1" applyBorder="1" applyAlignment="1">
      <alignment horizontal="left"/>
    </xf>
    <xf numFmtId="168" fontId="14" fillId="0" borderId="0" xfId="13" applyNumberFormat="1" applyFill="1" applyBorder="1" applyAlignment="1">
      <alignment horizontal="center"/>
    </xf>
    <xf numFmtId="3" fontId="15" fillId="0" borderId="33" xfId="15" applyNumberFormat="1" applyFill="1" applyAlignment="1">
      <alignment horizontal="right"/>
    </xf>
    <xf numFmtId="168" fontId="14" fillId="8" borderId="1" xfId="13" applyNumberFormat="1" applyAlignment="1">
      <alignment horizontal="center"/>
    </xf>
    <xf numFmtId="10" fontId="5" fillId="0" borderId="0" xfId="2" applyNumberFormat="1" applyFont="1" applyFill="1" applyBorder="1"/>
    <xf numFmtId="165" fontId="5" fillId="0" borderId="0" xfId="11" applyNumberFormat="1" applyFont="1" applyFill="1" applyBorder="1"/>
    <xf numFmtId="165" fontId="4" fillId="0" borderId="0" xfId="5" applyNumberFormat="1" applyFill="1" applyBorder="1"/>
    <xf numFmtId="165" fontId="4" fillId="0" borderId="0" xfId="11" applyNumberFormat="1" applyFont="1" applyFill="1" applyBorder="1"/>
    <xf numFmtId="167" fontId="0" fillId="0" borderId="0" xfId="1" applyNumberFormat="1" applyFont="1" applyBorder="1"/>
    <xf numFmtId="167" fontId="0" fillId="0" borderId="9" xfId="1" applyNumberFormat="1" applyFont="1" applyBorder="1"/>
    <xf numFmtId="167" fontId="0" fillId="0" borderId="10" xfId="1" applyNumberFormat="1" applyFont="1" applyBorder="1"/>
    <xf numFmtId="3" fontId="0" fillId="0" borderId="0" xfId="0" applyNumberFormat="1"/>
    <xf numFmtId="165" fontId="14" fillId="8" borderId="14" xfId="13" applyNumberFormat="1" applyBorder="1"/>
    <xf numFmtId="171" fontId="5" fillId="5" borderId="25" xfId="6" applyNumberFormat="1" applyBorder="1"/>
    <xf numFmtId="172" fontId="10" fillId="7" borderId="6" xfId="0" applyNumberFormat="1" applyFont="1" applyFill="1" applyBorder="1" applyAlignment="1">
      <alignment vertical="center" wrapText="1"/>
    </xf>
    <xf numFmtId="0" fontId="0" fillId="0" borderId="38" xfId="0" applyBorder="1"/>
    <xf numFmtId="43" fontId="0" fillId="0" borderId="0" xfId="1" applyFont="1" applyFill="1"/>
    <xf numFmtId="165" fontId="33" fillId="0" borderId="1" xfId="13" applyNumberFormat="1" applyFont="1" applyFill="1"/>
    <xf numFmtId="0" fontId="0" fillId="0" borderId="0" xfId="0"/>
    <xf numFmtId="44" fontId="0" fillId="0" borderId="0" xfId="0" applyNumberFormat="1"/>
    <xf numFmtId="44" fontId="0" fillId="0" borderId="9" xfId="0" applyNumberFormat="1" applyBorder="1"/>
    <xf numFmtId="165" fontId="5" fillId="5" borderId="1" xfId="6" applyNumberFormat="1" applyBorder="1"/>
    <xf numFmtId="165" fontId="5" fillId="5" borderId="23" xfId="6" applyNumberFormat="1" applyBorder="1"/>
    <xf numFmtId="165" fontId="5" fillId="5" borderId="16" xfId="11" applyNumberFormat="1" applyFont="1" applyFill="1" applyBorder="1"/>
    <xf numFmtId="165" fontId="5" fillId="5" borderId="24" xfId="11" applyNumberFormat="1" applyFont="1" applyFill="1" applyBorder="1"/>
    <xf numFmtId="3" fontId="5" fillId="5" borderId="1" xfId="6" applyNumberFormat="1" applyBorder="1"/>
    <xf numFmtId="44" fontId="14" fillId="8" borderId="1" xfId="13" applyNumberFormat="1" applyBorder="1"/>
    <xf numFmtId="3" fontId="5" fillId="5" borderId="23" xfId="6" applyNumberFormat="1" applyBorder="1"/>
    <xf numFmtId="0" fontId="7" fillId="0" borderId="0" xfId="8" applyBorder="1"/>
    <xf numFmtId="44" fontId="7" fillId="0" borderId="0" xfId="8" applyNumberFormat="1" applyBorder="1"/>
    <xf numFmtId="0" fontId="0" fillId="0" borderId="0" xfId="0"/>
    <xf numFmtId="0" fontId="7" fillId="0" borderId="0" xfId="8" applyBorder="1" applyAlignment="1">
      <alignment horizontal="right"/>
    </xf>
    <xf numFmtId="0" fontId="7" fillId="0" borderId="0" xfId="8" applyBorder="1" applyAlignment="1">
      <alignment horizontal="right"/>
    </xf>
    <xf numFmtId="0" fontId="0" fillId="0" borderId="0" xfId="0"/>
    <xf numFmtId="166" fontId="0" fillId="0" borderId="0" xfId="0" applyNumberFormat="1"/>
    <xf numFmtId="165" fontId="5" fillId="5" borderId="13" xfId="6" applyNumberFormat="1" applyBorder="1"/>
    <xf numFmtId="165" fontId="5" fillId="5" borderId="1" xfId="6" applyNumberFormat="1" applyBorder="1"/>
    <xf numFmtId="43" fontId="0" fillId="0" borderId="0" xfId="1" applyFont="1"/>
    <xf numFmtId="165" fontId="5" fillId="5" borderId="15" xfId="11" applyNumberFormat="1" applyFont="1" applyFill="1" applyBorder="1"/>
    <xf numFmtId="165" fontId="5" fillId="5" borderId="16" xfId="11" applyNumberFormat="1" applyFont="1" applyFill="1" applyBorder="1"/>
    <xf numFmtId="165" fontId="5" fillId="5" borderId="24" xfId="11" applyNumberFormat="1" applyFont="1" applyFill="1" applyBorder="1"/>
    <xf numFmtId="8" fontId="0" fillId="0" borderId="0" xfId="0" applyNumberFormat="1"/>
    <xf numFmtId="44" fontId="0" fillId="0" borderId="0" xfId="0" applyNumberFormat="1"/>
    <xf numFmtId="169" fontId="0" fillId="0" borderId="9" xfId="2" applyNumberFormat="1" applyFont="1" applyBorder="1"/>
    <xf numFmtId="169" fontId="0" fillId="0" borderId="0" xfId="2" applyNumberFormat="1" applyFont="1" applyBorder="1"/>
    <xf numFmtId="0" fontId="8" fillId="0" borderId="0" xfId="0" applyFont="1" applyFill="1"/>
    <xf numFmtId="169" fontId="0" fillId="0" borderId="39" xfId="2" applyNumberFormat="1" applyFont="1" applyBorder="1"/>
    <xf numFmtId="167" fontId="0" fillId="0" borderId="0" xfId="1" applyNumberFormat="1" applyFont="1"/>
    <xf numFmtId="165" fontId="14" fillId="8" borderId="41" xfId="13" applyNumberFormat="1" applyBorder="1"/>
    <xf numFmtId="165" fontId="4" fillId="4" borderId="0" xfId="11" applyNumberFormat="1" applyFont="1" applyFill="1" applyBorder="1"/>
    <xf numFmtId="165" fontId="14" fillId="8" borderId="23" xfId="13" applyNumberFormat="1" applyBorder="1"/>
    <xf numFmtId="165" fontId="4" fillId="4" borderId="0" xfId="5" applyNumberFormat="1" applyBorder="1"/>
    <xf numFmtId="44" fontId="0" fillId="0" borderId="38" xfId="0" applyNumberFormat="1" applyBorder="1"/>
    <xf numFmtId="0" fontId="0" fillId="0" borderId="20" xfId="0" applyBorder="1"/>
    <xf numFmtId="0" fontId="0" fillId="0" borderId="21" xfId="0" applyBorder="1"/>
    <xf numFmtId="0" fontId="7" fillId="0" borderId="21" xfId="8" applyBorder="1"/>
    <xf numFmtId="44" fontId="0" fillId="0" borderId="0" xfId="11" applyFont="1"/>
    <xf numFmtId="3" fontId="0" fillId="0" borderId="0" xfId="0" applyNumberFormat="1" applyFill="1"/>
    <xf numFmtId="165" fontId="5" fillId="0" borderId="7" xfId="11" applyNumberFormat="1" applyFont="1" applyFill="1" applyBorder="1"/>
    <xf numFmtId="169" fontId="0" fillId="0" borderId="42" xfId="2" applyNumberFormat="1" applyFont="1" applyBorder="1"/>
    <xf numFmtId="44" fontId="4" fillId="0" borderId="7" xfId="5" applyNumberFormat="1" applyFill="1" applyBorder="1"/>
    <xf numFmtId="165" fontId="4" fillId="0" borderId="12" xfId="11" applyNumberFormat="1" applyFont="1" applyFill="1" applyBorder="1"/>
    <xf numFmtId="165" fontId="4" fillId="0" borderId="8" xfId="11" applyNumberFormat="1" applyFont="1" applyFill="1" applyBorder="1"/>
    <xf numFmtId="44" fontId="14" fillId="8" borderId="14" xfId="13" applyNumberFormat="1" applyBorder="1"/>
    <xf numFmtId="170" fontId="0" fillId="0" borderId="9" xfId="2" applyNumberFormat="1" applyFont="1" applyBorder="1"/>
    <xf numFmtId="170" fontId="0" fillId="0" borderId="10" xfId="2" applyNumberFormat="1" applyFont="1" applyBorder="1"/>
    <xf numFmtId="44" fontId="6" fillId="6" borderId="43" xfId="7" applyNumberFormat="1" applyBorder="1"/>
    <xf numFmtId="44" fontId="6" fillId="6" borderId="2" xfId="7" applyNumberFormat="1" applyBorder="1"/>
    <xf numFmtId="44" fontId="6" fillId="6" borderId="26" xfId="7" applyNumberFormat="1" applyBorder="1"/>
    <xf numFmtId="165" fontId="0" fillId="0" borderId="11" xfId="0" applyNumberFormat="1" applyBorder="1"/>
    <xf numFmtId="165" fontId="0" fillId="0" borderId="40" xfId="0" applyNumberFormat="1" applyBorder="1"/>
    <xf numFmtId="0" fontId="0" fillId="0" borderId="6" xfId="0" applyBorder="1"/>
    <xf numFmtId="165" fontId="5" fillId="0" borderId="12" xfId="11" applyNumberFormat="1" applyFont="1" applyFill="1" applyBorder="1"/>
    <xf numFmtId="165" fontId="5" fillId="0" borderId="8" xfId="11" applyNumberFormat="1" applyFont="1" applyFill="1" applyBorder="1"/>
    <xf numFmtId="165" fontId="6" fillId="6" borderId="43" xfId="7" applyNumberFormat="1" applyBorder="1"/>
    <xf numFmtId="165" fontId="6" fillId="6" borderId="2" xfId="7" applyNumberFormat="1" applyBorder="1"/>
    <xf numFmtId="0" fontId="0" fillId="0" borderId="40" xfId="0" applyBorder="1"/>
    <xf numFmtId="165" fontId="0" fillId="0" borderId="6" xfId="0" applyNumberFormat="1" applyBorder="1"/>
    <xf numFmtId="44" fontId="0" fillId="0" borderId="0" xfId="0" applyNumberFormat="1" applyFill="1"/>
    <xf numFmtId="44" fontId="0" fillId="0" borderId="44" xfId="0" applyNumberFormat="1" applyBorder="1"/>
    <xf numFmtId="165" fontId="5" fillId="5" borderId="24" xfId="6" applyNumberFormat="1" applyBorder="1"/>
    <xf numFmtId="165" fontId="33" fillId="0" borderId="23" xfId="13" applyNumberFormat="1" applyFont="1" applyFill="1" applyBorder="1"/>
    <xf numFmtId="3" fontId="14" fillId="8" borderId="25" xfId="13" applyNumberFormat="1" applyBorder="1" applyAlignment="1">
      <alignment horizontal="right"/>
    </xf>
    <xf numFmtId="44" fontId="8" fillId="0" borderId="10" xfId="0" applyNumberFormat="1" applyFont="1" applyBorder="1"/>
    <xf numFmtId="165" fontId="33" fillId="0" borderId="13" xfId="13" applyNumberFormat="1" applyFont="1" applyFill="1" applyBorder="1"/>
    <xf numFmtId="165" fontId="33" fillId="0" borderId="1" xfId="13" applyNumberFormat="1" applyFont="1" applyFill="1" applyBorder="1"/>
    <xf numFmtId="165" fontId="33" fillId="0" borderId="14" xfId="13" applyNumberFormat="1" applyFont="1" applyFill="1" applyBorder="1"/>
    <xf numFmtId="0" fontId="0" fillId="0" borderId="8" xfId="0" applyBorder="1"/>
    <xf numFmtId="165" fontId="6" fillId="6" borderId="26" xfId="7" applyNumberFormat="1" applyBorder="1"/>
    <xf numFmtId="0" fontId="0" fillId="0" borderId="11" xfId="0" applyBorder="1"/>
    <xf numFmtId="10" fontId="5" fillId="0" borderId="9" xfId="2" applyNumberFormat="1" applyFont="1" applyFill="1" applyBorder="1"/>
    <xf numFmtId="173" fontId="0" fillId="0" borderId="0" xfId="0" applyNumberFormat="1" applyBorder="1"/>
    <xf numFmtId="0" fontId="0" fillId="0" borderId="0" xfId="0" applyFont="1"/>
    <xf numFmtId="0" fontId="8" fillId="0" borderId="19" xfId="0" applyFont="1" applyFill="1" applyBorder="1" applyAlignment="1">
      <alignment horizontal="right"/>
    </xf>
    <xf numFmtId="0" fontId="8" fillId="0" borderId="0" xfId="0" applyFont="1" applyFill="1" applyAlignment="1">
      <alignment horizontal="right"/>
    </xf>
    <xf numFmtId="167" fontId="4" fillId="4" borderId="9" xfId="1" applyNumberFormat="1" applyFont="1" applyFill="1" applyBorder="1"/>
    <xf numFmtId="167" fontId="4" fillId="4" borderId="0" xfId="1" applyNumberFormat="1" applyFont="1" applyFill="1" applyBorder="1"/>
    <xf numFmtId="44" fontId="14" fillId="8" borderId="13" xfId="13" applyNumberFormat="1" applyBorder="1"/>
    <xf numFmtId="43" fontId="33" fillId="0" borderId="13" xfId="1" applyFont="1" applyFill="1" applyBorder="1"/>
    <xf numFmtId="167" fontId="5" fillId="5" borderId="13" xfId="6" applyNumberFormat="1" applyBorder="1"/>
    <xf numFmtId="173" fontId="0" fillId="0" borderId="42" xfId="0" applyNumberFormat="1" applyBorder="1"/>
    <xf numFmtId="173" fontId="0" fillId="0" borderId="38" xfId="0" applyNumberFormat="1" applyBorder="1"/>
    <xf numFmtId="173" fontId="0" fillId="0" borderId="45" xfId="0" applyNumberFormat="1" applyBorder="1"/>
    <xf numFmtId="165" fontId="14" fillId="8" borderId="46" xfId="13" applyNumberFormat="1" applyBorder="1"/>
    <xf numFmtId="44" fontId="6" fillId="6" borderId="47" xfId="7" applyNumberFormat="1" applyBorder="1"/>
    <xf numFmtId="165" fontId="6" fillId="6" borderId="47" xfId="7" applyNumberFormat="1" applyBorder="1"/>
    <xf numFmtId="44" fontId="6" fillId="6" borderId="48" xfId="7" applyNumberFormat="1" applyBorder="1"/>
    <xf numFmtId="165" fontId="6" fillId="6" borderId="48" xfId="7" applyNumberFormat="1" applyBorder="1"/>
    <xf numFmtId="44" fontId="6" fillId="6" borderId="49" xfId="7" applyNumberFormat="1" applyBorder="1"/>
    <xf numFmtId="165" fontId="6" fillId="6" borderId="49" xfId="7" applyNumberFormat="1" applyBorder="1"/>
    <xf numFmtId="165" fontId="14" fillId="8" borderId="50" xfId="13" applyNumberFormat="1" applyBorder="1"/>
    <xf numFmtId="0" fontId="14" fillId="8" borderId="23" xfId="13" applyNumberFormat="1" applyBorder="1"/>
    <xf numFmtId="8" fontId="0" fillId="0" borderId="0" xfId="1" applyNumberFormat="1" applyFont="1" applyFill="1"/>
    <xf numFmtId="44" fontId="14" fillId="8" borderId="23" xfId="13" applyNumberFormat="1" applyBorder="1"/>
    <xf numFmtId="44" fontId="14" fillId="8" borderId="41" xfId="13" applyNumberFormat="1" applyBorder="1"/>
    <xf numFmtId="0" fontId="0" fillId="0" borderId="51" xfId="0" applyBorder="1"/>
    <xf numFmtId="170" fontId="0" fillId="0" borderId="51" xfId="2" applyNumberFormat="1" applyFont="1" applyBorder="1"/>
    <xf numFmtId="10" fontId="6" fillId="6" borderId="2" xfId="1" applyNumberFormat="1" applyFont="1" applyFill="1" applyBorder="1"/>
    <xf numFmtId="10" fontId="6" fillId="6" borderId="26" xfId="1" applyNumberFormat="1" applyFont="1" applyFill="1" applyBorder="1"/>
    <xf numFmtId="170" fontId="0" fillId="0" borderId="10" xfId="2" applyNumberFormat="1" applyFont="1" applyFill="1" applyBorder="1"/>
    <xf numFmtId="167" fontId="4" fillId="4" borderId="9" xfId="11" applyNumberFormat="1" applyFont="1" applyFill="1" applyBorder="1"/>
    <xf numFmtId="167" fontId="4" fillId="4" borderId="0" xfId="11" applyNumberFormat="1" applyFont="1" applyFill="1" applyBorder="1"/>
    <xf numFmtId="167" fontId="4" fillId="4" borderId="10" xfId="11" applyNumberFormat="1" applyFont="1" applyFill="1" applyBorder="1"/>
    <xf numFmtId="167" fontId="4" fillId="4" borderId="6" xfId="11" applyNumberFormat="1" applyFont="1" applyFill="1" applyBorder="1"/>
    <xf numFmtId="165" fontId="4" fillId="4" borderId="6" xfId="5" applyNumberFormat="1" applyBorder="1"/>
    <xf numFmtId="0" fontId="8" fillId="0" borderId="0" xfId="0" applyFont="1" applyAlignment="1">
      <alignment horizontal="center"/>
    </xf>
    <xf numFmtId="167" fontId="0" fillId="0" borderId="0" xfId="0" applyNumberFormat="1"/>
    <xf numFmtId="3" fontId="10" fillId="0" borderId="6" xfId="0" applyNumberFormat="1" applyFont="1" applyFill="1" applyBorder="1" applyAlignment="1">
      <alignment vertical="center" wrapText="1"/>
    </xf>
    <xf numFmtId="10" fontId="5" fillId="5" borderId="1" xfId="2" applyNumberFormat="1" applyFont="1" applyFill="1" applyBorder="1"/>
    <xf numFmtId="174" fontId="0" fillId="0" borderId="0" xfId="11" applyNumberFormat="1" applyFont="1"/>
    <xf numFmtId="174" fontId="0" fillId="0" borderId="0" xfId="0" applyNumberFormat="1"/>
    <xf numFmtId="168" fontId="0" fillId="0" borderId="0" xfId="2" applyNumberFormat="1" applyFont="1"/>
    <xf numFmtId="167" fontId="4" fillId="4" borderId="10" xfId="1" applyNumberFormat="1" applyFont="1" applyFill="1" applyBorder="1"/>
    <xf numFmtId="0" fontId="10" fillId="0" borderId="0" xfId="0" applyFont="1" applyFill="1" applyBorder="1" applyAlignment="1">
      <alignment vertical="center" wrapText="1"/>
    </xf>
    <xf numFmtId="172" fontId="0" fillId="0" borderId="0" xfId="0" applyNumberFormat="1"/>
    <xf numFmtId="165" fontId="0" fillId="0" borderId="0" xfId="1" applyNumberFormat="1" applyFont="1" applyFill="1"/>
    <xf numFmtId="166" fontId="0" fillId="0" borderId="0" xfId="0" applyNumberFormat="1" applyFill="1"/>
    <xf numFmtId="4" fontId="0" fillId="0" borderId="0" xfId="0" applyNumberFormat="1" applyFill="1"/>
    <xf numFmtId="8" fontId="0" fillId="0" borderId="0" xfId="0" applyNumberFormat="1" applyFill="1"/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3" borderId="20" xfId="4" applyBorder="1" applyAlignment="1">
      <alignment horizontal="center"/>
    </xf>
    <xf numFmtId="0" fontId="3" fillId="3" borderId="21" xfId="4" applyBorder="1" applyAlignment="1">
      <alignment horizontal="center"/>
    </xf>
    <xf numFmtId="0" fontId="3" fillId="3" borderId="4" xfId="4" applyBorder="1" applyAlignment="1">
      <alignment horizontal="center"/>
    </xf>
    <xf numFmtId="0" fontId="8" fillId="0" borderId="0" xfId="0" applyFont="1" applyAlignment="1">
      <alignment horizontal="center"/>
    </xf>
  </cellXfs>
  <cellStyles count="326">
    <cellStyle name="20% - Accent1" xfId="24" builtinId="30" customBuiltin="1"/>
    <cellStyle name="20% - Accent1 2" xfId="57"/>
    <cellStyle name="20% - Accent2" xfId="28" builtinId="34" customBuiltin="1"/>
    <cellStyle name="20% - Accent2 2" xfId="59"/>
    <cellStyle name="20% - Accent3" xfId="32" builtinId="38" customBuiltin="1"/>
    <cellStyle name="20% - Accent3 2" xfId="61"/>
    <cellStyle name="20% - Accent4" xfId="36" builtinId="42" customBuiltin="1"/>
    <cellStyle name="20% - Accent4 2" xfId="63"/>
    <cellStyle name="20% - Accent5" xfId="40" builtinId="46" customBuiltin="1"/>
    <cellStyle name="20% - Accent5 2" xfId="65"/>
    <cellStyle name="20% - Accent6" xfId="44" builtinId="50" customBuiltin="1"/>
    <cellStyle name="20% - Accent6 2" xfId="67"/>
    <cellStyle name="40% - Accent1" xfId="25" builtinId="31" customBuiltin="1"/>
    <cellStyle name="40% - Accent1 2" xfId="58"/>
    <cellStyle name="40% - Accent2" xfId="29" builtinId="35" customBuiltin="1"/>
    <cellStyle name="40% - Accent2 2" xfId="60"/>
    <cellStyle name="40% - Accent3" xfId="33" builtinId="39" customBuiltin="1"/>
    <cellStyle name="40% - Accent3 2" xfId="62"/>
    <cellStyle name="40% - Accent4" xfId="37" builtinId="43" customBuiltin="1"/>
    <cellStyle name="40% - Accent4 2" xfId="64"/>
    <cellStyle name="40% - Accent5" xfId="41" builtinId="47" customBuiltin="1"/>
    <cellStyle name="40% - Accent5 2" xfId="66"/>
    <cellStyle name="40% - Accent6" xfId="45" builtinId="51" customBuiltin="1"/>
    <cellStyle name="40% - Accent6 2" xfId="68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4" builtinId="27" customBuiltin="1"/>
    <cellStyle name="Calculation" xfId="13" builtinId="22" customBuiltin="1"/>
    <cellStyle name="Check Cell" xfId="7" builtinId="23" customBuiltin="1"/>
    <cellStyle name="Comma" xfId="1" builtinId="3"/>
    <cellStyle name="Comma 2" xfId="71"/>
    <cellStyle name="Comma 2 2" xfId="285"/>
    <cellStyle name="Comma 2 2 2" xfId="49"/>
    <cellStyle name="Comma 2 3" xfId="325"/>
    <cellStyle name="Comma 3" xfId="69"/>
    <cellStyle name="Comma 3 2" xfId="9"/>
    <cellStyle name="Comma 3 3" xfId="322"/>
    <cellStyle name="Comma 4" xfId="195"/>
    <cellStyle name="Comma 4 2" xfId="321"/>
    <cellStyle name="Comma 4 3" xfId="308"/>
    <cellStyle name="Comma 5" xfId="55"/>
    <cellStyle name="Comma 5 2" xfId="307"/>
    <cellStyle name="Comma 6" xfId="312"/>
    <cellStyle name="Comma 7" xfId="318"/>
    <cellStyle name="Comma 8" xfId="306"/>
    <cellStyle name="Comma 9" xfId="311"/>
    <cellStyle name="Currency" xfId="11" builtinId="4"/>
    <cellStyle name="Currency [0] 2" xfId="117"/>
    <cellStyle name="Currency [0] 2 2" xfId="206"/>
    <cellStyle name="Currency 10" xfId="196"/>
    <cellStyle name="Currency 11" xfId="115"/>
    <cellStyle name="Currency 12" xfId="200"/>
    <cellStyle name="Currency 13" xfId="53"/>
    <cellStyle name="Currency 13 2" xfId="291"/>
    <cellStyle name="Currency 14" xfId="288"/>
    <cellStyle name="Currency 15" xfId="292"/>
    <cellStyle name="Currency 16" xfId="294"/>
    <cellStyle name="Currency 17" xfId="295"/>
    <cellStyle name="Currency 18" xfId="296"/>
    <cellStyle name="Currency 19" xfId="297"/>
    <cellStyle name="Currency 2" xfId="72"/>
    <cellStyle name="Currency 2 2" xfId="114"/>
    <cellStyle name="Currency 2 2 2" xfId="205"/>
    <cellStyle name="Currency 2 3" xfId="283"/>
    <cellStyle name="Currency 20" xfId="298"/>
    <cellStyle name="Currency 21" xfId="299"/>
    <cellStyle name="Currency 22" xfId="300"/>
    <cellStyle name="Currency 23" xfId="320"/>
    <cellStyle name="Currency 3" xfId="70"/>
    <cellStyle name="Currency 3 2" xfId="282"/>
    <cellStyle name="Currency 3 3" xfId="316"/>
    <cellStyle name="Currency 4" xfId="118"/>
    <cellStyle name="Currency 4 2" xfId="207"/>
    <cellStyle name="Currency 4 2 2" xfId="47"/>
    <cellStyle name="Currency 4 3" xfId="284"/>
    <cellStyle name="Currency 5" xfId="119"/>
    <cellStyle name="Currency 5 2" xfId="208"/>
    <cellStyle name="Currency 6" xfId="120"/>
    <cellStyle name="Currency 6 2" xfId="209"/>
    <cellStyle name="Currency 7" xfId="121"/>
    <cellStyle name="Currency 7 2" xfId="210"/>
    <cellStyle name="Currency 8" xfId="197"/>
    <cellStyle name="Currency 8 2" xfId="315"/>
    <cellStyle name="Currency 9" xfId="198"/>
    <cellStyle name="Currency 9 2" xfId="313"/>
    <cellStyle name="Data Field" xfId="122"/>
    <cellStyle name="Data Field 2" xfId="211"/>
    <cellStyle name="Data Name" xfId="123"/>
    <cellStyle name="Data Name 2" xfId="212"/>
    <cellStyle name="Explanatory Text" xfId="8" builtinId="53" customBuiltin="1"/>
    <cellStyle name="Followed Hyperlink" xfId="290" builtinId="9" customBuiltin="1"/>
    <cellStyle name="Good" xfId="3" builtinId="26" customBuiltin="1"/>
    <cellStyle name="Heading 1" xfId="17" builtinId="16" customBuiltin="1"/>
    <cellStyle name="Heading 2" xfId="18" builtinId="17" customBuiltin="1"/>
    <cellStyle name="Heading 3" xfId="19" builtinId="18" customBuiltin="1"/>
    <cellStyle name="Heading 4" xfId="20" builtinId="19" customBuiltin="1"/>
    <cellStyle name="Hyperlink" xfId="289" builtinId="8" customBuiltin="1"/>
    <cellStyle name="Hyperlink 2" xfId="124"/>
    <cellStyle name="Hyperlink 3" xfId="125"/>
    <cellStyle name="Hyperlink 4" xfId="303"/>
    <cellStyle name="Hyperlink 5" xfId="301"/>
    <cellStyle name="Input" xfId="6" builtinId="20" customBuiltin="1"/>
    <cellStyle name="Linked Cell" xfId="15" builtinId="24" customBuiltin="1"/>
    <cellStyle name="Neutral" xfId="5" builtinId="28" customBuiltin="1"/>
    <cellStyle name="Normal" xfId="0" builtinId="0"/>
    <cellStyle name="Normal 10" xfId="126"/>
    <cellStyle name="Normal 10 2" xfId="127"/>
    <cellStyle name="Normal 10 2 2" xfId="214"/>
    <cellStyle name="Normal 10 3" xfId="213"/>
    <cellStyle name="Normal 11" xfId="128"/>
    <cellStyle name="Normal 11 2" xfId="215"/>
    <cellStyle name="Normal 12" xfId="129"/>
    <cellStyle name="Normal 12 2" xfId="216"/>
    <cellStyle name="Normal 13" xfId="130"/>
    <cellStyle name="Normal 13 2" xfId="217"/>
    <cellStyle name="Normal 14" xfId="131"/>
    <cellStyle name="Normal 14 2" xfId="218"/>
    <cellStyle name="Normal 15" xfId="132"/>
    <cellStyle name="Normal 16" xfId="133"/>
    <cellStyle name="Normal 16 2" xfId="219"/>
    <cellStyle name="Normal 17" xfId="51"/>
    <cellStyle name="Normal 18" xfId="134"/>
    <cellStyle name="Normal 18 2" xfId="220"/>
    <cellStyle name="Normal 19" xfId="135"/>
    <cellStyle name="Normal 19 2" xfId="221"/>
    <cellStyle name="Normal 2" xfId="54"/>
    <cellStyle name="Normal 2 2" xfId="74"/>
    <cellStyle name="Normal 2 2 10" xfId="317"/>
    <cellStyle name="Normal 2 2 2" xfId="75"/>
    <cellStyle name="Normal 2 2 3" xfId="76"/>
    <cellStyle name="Normal 2 2 4" xfId="77"/>
    <cellStyle name="Normal 2 2 5" xfId="78"/>
    <cellStyle name="Normal 2 2 6" xfId="79"/>
    <cellStyle name="Normal 2 2 7" xfId="80"/>
    <cellStyle name="Normal 2 2 8" xfId="81"/>
    <cellStyle name="Normal 2 2 9" xfId="82"/>
    <cellStyle name="Normal 2 3" xfId="83"/>
    <cellStyle name="Normal 2 3 2" xfId="324"/>
    <cellStyle name="Normal 2 4" xfId="84"/>
    <cellStyle name="Normal 2 4 2" xfId="85"/>
    <cellStyle name="Normal 2 5" xfId="113"/>
    <cellStyle name="Normal 2 5 2" xfId="204"/>
    <cellStyle name="Normal 2 6" xfId="50"/>
    <cellStyle name="Normal 2 6 2" xfId="73"/>
    <cellStyle name="Normal 2 7" xfId="302"/>
    <cellStyle name="Normal 26" xfId="109"/>
    <cellStyle name="Normal 26 2" xfId="202"/>
    <cellStyle name="Normal 27" xfId="110"/>
    <cellStyle name="Normal 27 2" xfId="203"/>
    <cellStyle name="Normal 28" xfId="136"/>
    <cellStyle name="Normal 28 2" xfId="222"/>
    <cellStyle name="Normal 3" xfId="86"/>
    <cellStyle name="Normal 3 2" xfId="87"/>
    <cellStyle name="Normal 3 2 10" xfId="48"/>
    <cellStyle name="Normal 3 2 2" xfId="88"/>
    <cellStyle name="Normal 3 2 3" xfId="89"/>
    <cellStyle name="Normal 3 2 4" xfId="90"/>
    <cellStyle name="Normal 3 2 5" xfId="91"/>
    <cellStyle name="Normal 3 2 6" xfId="92"/>
    <cellStyle name="Normal 3 2 7" xfId="93"/>
    <cellStyle name="Normal 3 2 8" xfId="94"/>
    <cellStyle name="Normal 3 2 9" xfId="95"/>
    <cellStyle name="Normal 3 3" xfId="111"/>
    <cellStyle name="Normal 3 4" xfId="323"/>
    <cellStyle name="Normal 3 40" xfId="112"/>
    <cellStyle name="Normal 33" xfId="280"/>
    <cellStyle name="Normal 35" xfId="304"/>
    <cellStyle name="Normal 36" xfId="137"/>
    <cellStyle name="Normal 36 2" xfId="223"/>
    <cellStyle name="Normal 37" xfId="138"/>
    <cellStyle name="Normal 37 2" xfId="224"/>
    <cellStyle name="Normal 38" xfId="139"/>
    <cellStyle name="Normal 38 2" xfId="225"/>
    <cellStyle name="Normal 39" xfId="140"/>
    <cellStyle name="Normal 39 2" xfId="226"/>
    <cellStyle name="Normal 4" xfId="10"/>
    <cellStyle name="Normal 4 2" xfId="97"/>
    <cellStyle name="Normal 4 3" xfId="96"/>
    <cellStyle name="Normal 4 4" xfId="281"/>
    <cellStyle name="Normal 40" xfId="141"/>
    <cellStyle name="Normal 40 2" xfId="227"/>
    <cellStyle name="Normal 41" xfId="142"/>
    <cellStyle name="Normal 41 2" xfId="228"/>
    <cellStyle name="Normal 42" xfId="143"/>
    <cellStyle name="Normal 42 2" xfId="229"/>
    <cellStyle name="Normal 43" xfId="144"/>
    <cellStyle name="Normal 43 2" xfId="230"/>
    <cellStyle name="Normal 44" xfId="145"/>
    <cellStyle name="Normal 44 2" xfId="231"/>
    <cellStyle name="Normal 45" xfId="146"/>
    <cellStyle name="Normal 45 2" xfId="232"/>
    <cellStyle name="Normal 46" xfId="147"/>
    <cellStyle name="Normal 46 2" xfId="233"/>
    <cellStyle name="Normal 47" xfId="148"/>
    <cellStyle name="Normal 47 2" xfId="234"/>
    <cellStyle name="Normal 48" xfId="149"/>
    <cellStyle name="Normal 48 2" xfId="235"/>
    <cellStyle name="Normal 49" xfId="150"/>
    <cellStyle name="Normal 49 2" xfId="236"/>
    <cellStyle name="Normal 5" xfId="98"/>
    <cellStyle name="Normal 5 2" xfId="99"/>
    <cellStyle name="Normal 5 3" xfId="100"/>
    <cellStyle name="Normal 5 4" xfId="101"/>
    <cellStyle name="Normal 5 5" xfId="319"/>
    <cellStyle name="Normal 50" xfId="151"/>
    <cellStyle name="Normal 50 2" xfId="237"/>
    <cellStyle name="Normal 51" xfId="152"/>
    <cellStyle name="Normal 51 2" xfId="238"/>
    <cellStyle name="Normal 52" xfId="153"/>
    <cellStyle name="Normal 52 2" xfId="239"/>
    <cellStyle name="Normal 53" xfId="154"/>
    <cellStyle name="Normal 53 2" xfId="240"/>
    <cellStyle name="Normal 54" xfId="155"/>
    <cellStyle name="Normal 54 2" xfId="241"/>
    <cellStyle name="Normal 55" xfId="156"/>
    <cellStyle name="Normal 55 2" xfId="242"/>
    <cellStyle name="Normal 56" xfId="157"/>
    <cellStyle name="Normal 56 2" xfId="243"/>
    <cellStyle name="Normal 57" xfId="158"/>
    <cellStyle name="Normal 57 2" xfId="244"/>
    <cellStyle name="Normal 58" xfId="159"/>
    <cellStyle name="Normal 58 2" xfId="245"/>
    <cellStyle name="Normal 59" xfId="160"/>
    <cellStyle name="Normal 59 2" xfId="246"/>
    <cellStyle name="Normal 6" xfId="102"/>
    <cellStyle name="Normal 6 2" xfId="103"/>
    <cellStyle name="Normal 6 3" xfId="104"/>
    <cellStyle name="Normal 6 4" xfId="310"/>
    <cellStyle name="Normal 60" xfId="161"/>
    <cellStyle name="Normal 60 2" xfId="247"/>
    <cellStyle name="Normal 61" xfId="162"/>
    <cellStyle name="Normal 61 2" xfId="248"/>
    <cellStyle name="Normal 62" xfId="163"/>
    <cellStyle name="Normal 62 2" xfId="249"/>
    <cellStyle name="Normal 63" xfId="164"/>
    <cellStyle name="Normal 63 2" xfId="250"/>
    <cellStyle name="Normal 64" xfId="165"/>
    <cellStyle name="Normal 64 2" xfId="251"/>
    <cellStyle name="Normal 65" xfId="166"/>
    <cellStyle name="Normal 65 2" xfId="252"/>
    <cellStyle name="Normal 66" xfId="167"/>
    <cellStyle name="Normal 66 2" xfId="253"/>
    <cellStyle name="Normal 67" xfId="168"/>
    <cellStyle name="Normal 67 2" xfId="254"/>
    <cellStyle name="Normal 69" xfId="169"/>
    <cellStyle name="Normal 69 2" xfId="255"/>
    <cellStyle name="Normal 7" xfId="105"/>
    <cellStyle name="Normal 7 2" xfId="309"/>
    <cellStyle name="Normal 70" xfId="170"/>
    <cellStyle name="Normal 70 2" xfId="256"/>
    <cellStyle name="Normal 71" xfId="171"/>
    <cellStyle name="Normal 71 2" xfId="257"/>
    <cellStyle name="Normal 72" xfId="172"/>
    <cellStyle name="Normal 72 2" xfId="258"/>
    <cellStyle name="Normal 73" xfId="173"/>
    <cellStyle name="Normal 73 2" xfId="259"/>
    <cellStyle name="Normal 74" xfId="174"/>
    <cellStyle name="Normal 74 2" xfId="260"/>
    <cellStyle name="Normal 75" xfId="175"/>
    <cellStyle name="Normal 75 2" xfId="261"/>
    <cellStyle name="Normal 76" xfId="176"/>
    <cellStyle name="Normal 76 2" xfId="262"/>
    <cellStyle name="Normal 77" xfId="177"/>
    <cellStyle name="Normal 77 2" xfId="263"/>
    <cellStyle name="Normal 78" xfId="178"/>
    <cellStyle name="Normal 78 2" xfId="264"/>
    <cellStyle name="Normal 79" xfId="179"/>
    <cellStyle name="Normal 79 2" xfId="265"/>
    <cellStyle name="Normal 8" xfId="106"/>
    <cellStyle name="Normal 80" xfId="180"/>
    <cellStyle name="Normal 80 2" xfId="266"/>
    <cellStyle name="Normal 81" xfId="181"/>
    <cellStyle name="Normal 81 2" xfId="267"/>
    <cellStyle name="Normal 82" xfId="182"/>
    <cellStyle name="Normal 82 2" xfId="268"/>
    <cellStyle name="Normal 83" xfId="183"/>
    <cellStyle name="Normal 83 2" xfId="269"/>
    <cellStyle name="Normal 84" xfId="184"/>
    <cellStyle name="Normal 84 2" xfId="270"/>
    <cellStyle name="Normal 85" xfId="185"/>
    <cellStyle name="Normal 85 2" xfId="271"/>
    <cellStyle name="Normal 86" xfId="186"/>
    <cellStyle name="Normal 86 2" xfId="272"/>
    <cellStyle name="Normal 87" xfId="187"/>
    <cellStyle name="Normal 87 2" xfId="273"/>
    <cellStyle name="Normal 9" xfId="107"/>
    <cellStyle name="Normal 9 2" xfId="108"/>
    <cellStyle name="Normal 9 2 2" xfId="201"/>
    <cellStyle name="Note" xfId="14" builtinId="10" customBuiltin="1"/>
    <cellStyle name="Note 2" xfId="56"/>
    <cellStyle name="Output" xfId="12" builtinId="21" customBuiltin="1"/>
    <cellStyle name="Percent" xfId="2" builtinId="5"/>
    <cellStyle name="Percent 10" xfId="116"/>
    <cellStyle name="Percent 11" xfId="52"/>
    <cellStyle name="Percent 11 2" xfId="293"/>
    <cellStyle name="Percent 2" xfId="188"/>
    <cellStyle name="Percent 2 2" xfId="274"/>
    <cellStyle name="Percent 3" xfId="189"/>
    <cellStyle name="Percent 3 2" xfId="275"/>
    <cellStyle name="Percent 3 3" xfId="286"/>
    <cellStyle name="Percent 3 4" xfId="314"/>
    <cellStyle name="Percent 4" xfId="190"/>
    <cellStyle name="Percent 4 2" xfId="276"/>
    <cellStyle name="Percent 4 3" xfId="287"/>
    <cellStyle name="Percent 5" xfId="191"/>
    <cellStyle name="Percent 5 2" xfId="277"/>
    <cellStyle name="Percent 6" xfId="192"/>
    <cellStyle name="Percent 6 2" xfId="278"/>
    <cellStyle name="Percent 7" xfId="193"/>
    <cellStyle name="Percent 7 2" xfId="305"/>
    <cellStyle name="Percent 8" xfId="194"/>
    <cellStyle name="Percent 8 2" xfId="279"/>
    <cellStyle name="Percent 9" xfId="199"/>
    <cellStyle name="Title" xfId="16" builtinId="15" customBuiltin="1"/>
    <cellStyle name="Total" xfId="22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9"/>
  <sheetViews>
    <sheetView tabSelected="1" view="pageLayout" zoomScaleNormal="100" workbookViewId="0">
      <selection activeCell="I23" sqref="I23"/>
    </sheetView>
  </sheetViews>
  <sheetFormatPr defaultRowHeight="15" x14ac:dyDescent="0.25"/>
  <cols>
    <col min="1" max="1" width="25.28515625" customWidth="1"/>
    <col min="2" max="2" width="20.42578125" customWidth="1"/>
    <col min="3" max="3" width="15.140625" customWidth="1"/>
    <col min="4" max="4" width="16.140625" customWidth="1"/>
    <col min="5" max="5" width="12.7109375" customWidth="1"/>
    <col min="6" max="9" width="17.7109375" customWidth="1"/>
  </cols>
  <sheetData>
    <row r="1" spans="1:19" ht="15.75" thickBot="1" x14ac:dyDescent="0.3">
      <c r="A1" s="9" t="s">
        <v>102</v>
      </c>
    </row>
    <row r="2" spans="1:19" ht="15.75" thickBot="1" x14ac:dyDescent="0.3">
      <c r="B2" s="240" t="s">
        <v>18</v>
      </c>
      <c r="C2" s="240"/>
      <c r="E2" s="237" t="s">
        <v>12</v>
      </c>
      <c r="F2" s="238"/>
      <c r="G2" s="238"/>
      <c r="H2" s="238"/>
      <c r="I2" s="239"/>
      <c r="K2" s="3" t="s">
        <v>43</v>
      </c>
    </row>
    <row r="3" spans="1:19" x14ac:dyDescent="0.25">
      <c r="B3" s="89" t="s">
        <v>53</v>
      </c>
      <c r="C3" s="6" t="s">
        <v>17</v>
      </c>
      <c r="E3" s="25"/>
      <c r="F3" s="50" t="s">
        <v>0</v>
      </c>
      <c r="G3" s="50" t="s">
        <v>1</v>
      </c>
      <c r="H3" s="50" t="s">
        <v>2</v>
      </c>
      <c r="I3" s="51" t="s">
        <v>3</v>
      </c>
      <c r="K3" s="143" t="s">
        <v>45</v>
      </c>
      <c r="L3" s="97"/>
      <c r="M3" s="97"/>
      <c r="N3" s="97"/>
      <c r="O3" s="97"/>
      <c r="P3" s="97"/>
      <c r="Q3" s="97"/>
      <c r="R3" s="97"/>
      <c r="S3" s="97"/>
    </row>
    <row r="4" spans="1:19" x14ac:dyDescent="0.25">
      <c r="A4" s="37" t="s">
        <v>68</v>
      </c>
      <c r="B4" s="58">
        <v>13064127610.3936</v>
      </c>
      <c r="C4" s="60">
        <f>SUM(F11:I11)</f>
        <v>56768.304608687155</v>
      </c>
      <c r="D4" s="90"/>
      <c r="E4" s="41"/>
      <c r="F4" s="62">
        <v>1</v>
      </c>
      <c r="G4" s="62">
        <v>0</v>
      </c>
      <c r="H4" s="43">
        <f>IFERROR(B4/SUM($B$4:$B$8),0)</f>
        <v>0.44006437681152832</v>
      </c>
      <c r="I4" s="44">
        <f>H4</f>
        <v>0.44006437681152832</v>
      </c>
      <c r="K4" s="143" t="s">
        <v>44</v>
      </c>
      <c r="L4" s="97"/>
      <c r="M4" s="97"/>
      <c r="N4" s="97"/>
      <c r="O4" s="97"/>
      <c r="P4" s="97"/>
      <c r="Q4" s="97"/>
      <c r="R4" s="97"/>
      <c r="S4" s="97"/>
    </row>
    <row r="5" spans="1:19" x14ac:dyDescent="0.25">
      <c r="A5" s="37" t="s">
        <v>4</v>
      </c>
      <c r="B5" s="58">
        <v>3396051760.52248</v>
      </c>
      <c r="C5" s="60">
        <f>SUM(F12:I12)</f>
        <v>129166.01674267217</v>
      </c>
      <c r="D5" s="90"/>
      <c r="E5" s="41"/>
      <c r="F5" s="62">
        <v>0</v>
      </c>
      <c r="G5" s="43">
        <f>IFERROR(B5/SUM($B$5:$B$8),0)</f>
        <v>0.20430171040812228</v>
      </c>
      <c r="H5" s="43">
        <f t="shared" ref="H5:H7" si="0">IFERROR(B5/SUM($B$4:$B$8),0)</f>
        <v>0.11439580553584262</v>
      </c>
      <c r="I5" s="44">
        <f t="shared" ref="I5:I8" si="1">H5</f>
        <v>0.11439580553584262</v>
      </c>
      <c r="K5" s="143" t="s">
        <v>106</v>
      </c>
    </row>
    <row r="6" spans="1:19" x14ac:dyDescent="0.25">
      <c r="A6" s="37" t="s">
        <v>5</v>
      </c>
      <c r="B6" s="58">
        <v>7907123573.1217804</v>
      </c>
      <c r="C6" s="60">
        <f>SUM(F13:I13)</f>
        <v>300740.89791702549</v>
      </c>
      <c r="D6" s="90"/>
      <c r="E6" s="41"/>
      <c r="F6" s="62">
        <v>0</v>
      </c>
      <c r="G6" s="43">
        <f>IFERROR(B6/SUM($B$5:$B$8),0)</f>
        <v>0.47568146315550536</v>
      </c>
      <c r="H6" s="43">
        <f t="shared" si="0"/>
        <v>0.26635099651118194</v>
      </c>
      <c r="I6" s="44">
        <f t="shared" si="1"/>
        <v>0.26635099651118194</v>
      </c>
    </row>
    <row r="7" spans="1:19" x14ac:dyDescent="0.25">
      <c r="A7" s="37" t="s">
        <v>6</v>
      </c>
      <c r="B7" s="58">
        <v>3360750217.86868</v>
      </c>
      <c r="C7" s="60">
        <f>SUM(F14:I14)</f>
        <v>127823.35179790662</v>
      </c>
      <c r="D7" s="90"/>
      <c r="E7" s="41"/>
      <c r="F7" s="62">
        <v>0</v>
      </c>
      <c r="G7" s="43">
        <f t="shared" ref="G7:G8" si="2">IFERROR(B7/SUM($B$5:$B$8),0)</f>
        <v>0.20217801911812056</v>
      </c>
      <c r="H7" s="43">
        <f t="shared" si="0"/>
        <v>0.11320667512991558</v>
      </c>
      <c r="I7" s="44">
        <f t="shared" si="1"/>
        <v>0.11320667512991558</v>
      </c>
    </row>
    <row r="8" spans="1:19" ht="15.75" thickBot="1" x14ac:dyDescent="0.3">
      <c r="A8" s="37" t="s">
        <v>7</v>
      </c>
      <c r="B8" s="58">
        <v>1958802441.01524</v>
      </c>
      <c r="C8" s="60">
        <f>SUM(F15:I15)</f>
        <v>74501.428933708623</v>
      </c>
      <c r="D8" s="90"/>
      <c r="E8" s="41"/>
      <c r="F8" s="62">
        <v>0</v>
      </c>
      <c r="G8" s="43">
        <f t="shared" si="2"/>
        <v>0.11783880731825187</v>
      </c>
      <c r="H8" s="43">
        <f>IFERROR(B8/SUM($B$4:$B$8),0)</f>
        <v>6.5982146011531601E-2</v>
      </c>
      <c r="I8" s="44">
        <f t="shared" si="1"/>
        <v>6.5982146011531601E-2</v>
      </c>
    </row>
    <row r="9" spans="1:19" ht="16.5" thickTop="1" thickBot="1" x14ac:dyDescent="0.3">
      <c r="A9" s="37" t="s">
        <v>13</v>
      </c>
      <c r="B9" s="59">
        <f>SUM(B4:B8)</f>
        <v>29686855602.92178</v>
      </c>
      <c r="C9" s="40">
        <f>SUM(C4:C8)</f>
        <v>689000.00000000012</v>
      </c>
      <c r="D9" s="4"/>
      <c r="E9" s="53" t="s">
        <v>42</v>
      </c>
      <c r="F9" s="215">
        <f>1-SUM(F4:F8)</f>
        <v>0</v>
      </c>
      <c r="G9" s="215">
        <f>(1-SUM(G4:G8))</f>
        <v>-2.2204460492503131E-16</v>
      </c>
      <c r="H9" s="215">
        <f>1-SUM(H4:H8)</f>
        <v>0</v>
      </c>
      <c r="I9" s="216">
        <f>1-SUM(I4:I8)</f>
        <v>0</v>
      </c>
    </row>
    <row r="10" spans="1:19" ht="16.5" thickTop="1" thickBot="1" x14ac:dyDescent="0.3">
      <c r="B10" s="57" t="s">
        <v>42</v>
      </c>
      <c r="C10" s="36">
        <f>SUM(F10:I10)-C9</f>
        <v>0</v>
      </c>
      <c r="D10" s="4"/>
      <c r="E10" s="56" t="s">
        <v>104</v>
      </c>
      <c r="F10" s="61">
        <v>0</v>
      </c>
      <c r="G10" s="61">
        <v>560000</v>
      </c>
      <c r="H10" s="61">
        <v>0</v>
      </c>
      <c r="I10" s="61">
        <v>129000</v>
      </c>
      <c r="J10" s="2" t="s">
        <v>92</v>
      </c>
    </row>
    <row r="11" spans="1:19" ht="15.75" thickTop="1" x14ac:dyDescent="0.25">
      <c r="D11" s="4"/>
      <c r="E11" s="41" t="s">
        <v>0</v>
      </c>
      <c r="F11" s="54">
        <f>F4*F$10</f>
        <v>0</v>
      </c>
      <c r="G11" s="54">
        <f t="shared" ref="F11:I15" si="3">G4*G$10</f>
        <v>0</v>
      </c>
      <c r="H11" s="54">
        <f>H4*H$10</f>
        <v>0</v>
      </c>
      <c r="I11" s="55">
        <f t="shared" si="3"/>
        <v>56768.304608687155</v>
      </c>
    </row>
    <row r="12" spans="1:19" x14ac:dyDescent="0.25">
      <c r="D12" s="4"/>
      <c r="E12" s="41" t="s">
        <v>4</v>
      </c>
      <c r="F12" s="45">
        <f t="shared" si="3"/>
        <v>0</v>
      </c>
      <c r="G12" s="45">
        <f t="shared" si="3"/>
        <v>114408.95782854847</v>
      </c>
      <c r="H12" s="45">
        <f t="shared" si="3"/>
        <v>0</v>
      </c>
      <c r="I12" s="46">
        <f t="shared" si="3"/>
        <v>14757.058914123698</v>
      </c>
    </row>
    <row r="13" spans="1:19" x14ac:dyDescent="0.25">
      <c r="B13" s="109"/>
      <c r="C13" s="109"/>
      <c r="D13" s="4"/>
      <c r="E13" s="41" t="s">
        <v>5</v>
      </c>
      <c r="F13" s="45">
        <f t="shared" si="3"/>
        <v>0</v>
      </c>
      <c r="G13" s="45">
        <f t="shared" si="3"/>
        <v>266381.61936708301</v>
      </c>
      <c r="H13" s="45">
        <f t="shared" si="3"/>
        <v>0</v>
      </c>
      <c r="I13" s="46">
        <f t="shared" si="3"/>
        <v>34359.278549942472</v>
      </c>
    </row>
    <row r="14" spans="1:19" x14ac:dyDescent="0.25">
      <c r="A14" s="37" t="s">
        <v>105</v>
      </c>
      <c r="B14" s="226">
        <v>2.9499999999999998E-2</v>
      </c>
      <c r="D14" s="4"/>
      <c r="E14" s="41" t="s">
        <v>6</v>
      </c>
      <c r="F14" s="45">
        <f t="shared" si="3"/>
        <v>0</v>
      </c>
      <c r="G14" s="45">
        <f t="shared" si="3"/>
        <v>113219.69070614751</v>
      </c>
      <c r="H14" s="45">
        <f t="shared" si="3"/>
        <v>0</v>
      </c>
      <c r="I14" s="46">
        <f t="shared" si="3"/>
        <v>14603.66109175911</v>
      </c>
    </row>
    <row r="15" spans="1:19" ht="15.75" thickBot="1" x14ac:dyDescent="0.3">
      <c r="A15" s="37" t="s">
        <v>103</v>
      </c>
      <c r="B15" s="59">
        <f>B4*(1-B14)</f>
        <v>12678735845.88699</v>
      </c>
      <c r="C15" s="224"/>
      <c r="D15" s="4"/>
      <c r="E15" s="42" t="s">
        <v>7</v>
      </c>
      <c r="F15" s="47">
        <f t="shared" si="3"/>
        <v>0</v>
      </c>
      <c r="G15" s="47">
        <f t="shared" si="3"/>
        <v>65989.732098221051</v>
      </c>
      <c r="H15" s="47">
        <f t="shared" si="3"/>
        <v>0</v>
      </c>
      <c r="I15" s="48">
        <f t="shared" si="3"/>
        <v>8511.6968354875771</v>
      </c>
    </row>
    <row r="16" spans="1:19" x14ac:dyDescent="0.25">
      <c r="C16" s="5"/>
    </row>
    <row r="18" spans="1:32" x14ac:dyDescent="0.25">
      <c r="H18" s="4"/>
      <c r="I18" s="4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20" spans="1:32" x14ac:dyDescent="0.25">
      <c r="A20" s="63"/>
    </row>
    <row r="31" spans="1:32" x14ac:dyDescent="0.25">
      <c r="C31" s="2"/>
    </row>
    <row r="45" spans="2:4" x14ac:dyDescent="0.25">
      <c r="B45" s="8"/>
      <c r="C45" s="8"/>
      <c r="D45" s="8"/>
    </row>
    <row r="49" spans="2:4" x14ac:dyDescent="0.25">
      <c r="B49" s="8"/>
      <c r="C49" s="8"/>
      <c r="D49" s="8"/>
    </row>
  </sheetData>
  <mergeCells count="2">
    <mergeCell ref="E2:I2"/>
    <mergeCell ref="B2:C2"/>
  </mergeCells>
  <pageMargins left="0.7" right="0.7" top="0.75" bottom="0.75" header="0.3" footer="0.3"/>
  <pageSetup orientation="portrait" r:id="rId1"/>
  <headerFooter>
    <oddHeader>&amp;RSCHEDULE WRD-2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S80"/>
  <sheetViews>
    <sheetView tabSelected="1" view="pageLayout" topLeftCell="AB23" zoomScaleNormal="90" workbookViewId="0">
      <selection activeCell="I23" sqref="I23"/>
    </sheetView>
  </sheetViews>
  <sheetFormatPr defaultRowHeight="15" x14ac:dyDescent="0.25"/>
  <cols>
    <col min="1" max="1" width="17.5703125" customWidth="1"/>
    <col min="2" max="2" width="19.7109375" customWidth="1"/>
    <col min="3" max="3" width="15.28515625" bestFit="1" customWidth="1"/>
    <col min="4" max="4" width="15.140625" customWidth="1"/>
    <col min="5" max="5" width="16.140625" customWidth="1"/>
    <col min="6" max="6" width="15" bestFit="1" customWidth="1"/>
    <col min="7" max="7" width="16" customWidth="1"/>
    <col min="8" max="8" width="15" bestFit="1" customWidth="1"/>
    <col min="9" max="11" width="16" bestFit="1" customWidth="1"/>
    <col min="12" max="12" width="17.28515625" bestFit="1" customWidth="1"/>
    <col min="13" max="13" width="17.42578125" customWidth="1"/>
    <col min="14" max="23" width="17.28515625" customWidth="1"/>
    <col min="24" max="35" width="17.28515625" style="131" customWidth="1"/>
    <col min="36" max="36" width="16.42578125" customWidth="1"/>
    <col min="37" max="37" width="17.28515625" customWidth="1"/>
    <col min="38" max="38" width="16.85546875" customWidth="1"/>
    <col min="39" max="39" width="13.85546875" bestFit="1" customWidth="1"/>
    <col min="40" max="40" width="10.85546875" bestFit="1" customWidth="1"/>
    <col min="42" max="42" width="12.7109375" bestFit="1" customWidth="1"/>
  </cols>
  <sheetData>
    <row r="2" spans="1:38" x14ac:dyDescent="0.25">
      <c r="B2" s="3" t="s">
        <v>11</v>
      </c>
      <c r="I2" s="3" t="s">
        <v>43</v>
      </c>
      <c r="O2" s="3"/>
    </row>
    <row r="3" spans="1:38" x14ac:dyDescent="0.25">
      <c r="B3" s="6" t="s">
        <v>9</v>
      </c>
      <c r="C3" s="6" t="s">
        <v>14</v>
      </c>
      <c r="D3" s="6" t="s">
        <v>8</v>
      </c>
      <c r="E3" s="6" t="s">
        <v>107</v>
      </c>
      <c r="F3" s="6" t="s">
        <v>41</v>
      </c>
      <c r="G3" s="6" t="s">
        <v>10</v>
      </c>
      <c r="I3" s="143" t="s">
        <v>57</v>
      </c>
      <c r="J3" s="97"/>
      <c r="K3" s="97"/>
      <c r="L3" s="97"/>
      <c r="M3" s="97"/>
      <c r="N3" s="97"/>
      <c r="O3" s="3"/>
    </row>
    <row r="4" spans="1:38" x14ac:dyDescent="0.25">
      <c r="A4" t="s">
        <v>0</v>
      </c>
      <c r="B4" s="40">
        <f>SUM(B39:AL39)</f>
        <v>75883892.403053477</v>
      </c>
      <c r="C4" s="76">
        <f>SUM(B32:AL32)</f>
        <v>41621314167.800003</v>
      </c>
      <c r="D4" s="40">
        <f>SUM(B25:AL25)</f>
        <v>65653610.566921584</v>
      </c>
      <c r="E4" s="40">
        <f>D4-B4</f>
        <v>-10230281.836131893</v>
      </c>
      <c r="F4" s="39">
        <f>SUM(B62:AL62)</f>
        <v>-55279.27999206532</v>
      </c>
      <c r="G4" s="60">
        <f>E4+F4</f>
        <v>-10285561.116123958</v>
      </c>
      <c r="I4" s="143" t="s">
        <v>58</v>
      </c>
      <c r="J4" s="97"/>
      <c r="K4" s="97"/>
      <c r="L4" s="97"/>
      <c r="M4" s="97"/>
      <c r="N4" s="97"/>
      <c r="O4" s="3"/>
    </row>
    <row r="5" spans="1:38" x14ac:dyDescent="0.25">
      <c r="A5" t="s">
        <v>4</v>
      </c>
      <c r="B5" s="40">
        <f>SUM(B40:AL40)</f>
        <v>14601828.619046999</v>
      </c>
      <c r="C5" s="76">
        <f>SUM(B33:AL33)</f>
        <v>10695618573.5</v>
      </c>
      <c r="D5" s="40">
        <f>SUM(B26:AL26)</f>
        <v>13783851.124356771</v>
      </c>
      <c r="E5" s="40">
        <f>D5-B5</f>
        <v>-817977.49469022825</v>
      </c>
      <c r="F5" s="39">
        <f>SUM(B63:AL63)</f>
        <v>-17109.992454138541</v>
      </c>
      <c r="G5" s="60">
        <f t="shared" ref="G5:G8" si="0">E5+F5</f>
        <v>-835087.48714436684</v>
      </c>
      <c r="I5" s="143" t="s">
        <v>59</v>
      </c>
      <c r="J5" s="97"/>
      <c r="K5" s="97"/>
      <c r="L5" s="97"/>
      <c r="M5" s="97"/>
      <c r="N5" s="97"/>
      <c r="O5" s="3"/>
    </row>
    <row r="6" spans="1:38" x14ac:dyDescent="0.25">
      <c r="A6" t="s">
        <v>5</v>
      </c>
      <c r="B6" s="40">
        <f>SUM(B41:AL41)</f>
        <v>33639588.209968805</v>
      </c>
      <c r="C6" s="76">
        <f>SUM(B34:AL34)</f>
        <v>24454951609.600002</v>
      </c>
      <c r="D6" s="40">
        <f>SUM(B27:AL27)</f>
        <v>31998358.089962903</v>
      </c>
      <c r="E6" s="40">
        <f>D6-B6</f>
        <v>-1641230.1200059019</v>
      </c>
      <c r="F6" s="39">
        <f>SUM(B64:AL64)</f>
        <v>-37627.573913501372</v>
      </c>
      <c r="G6" s="60">
        <f t="shared" si="0"/>
        <v>-1678857.6939194032</v>
      </c>
      <c r="I6" s="143" t="s">
        <v>60</v>
      </c>
      <c r="J6" s="97"/>
      <c r="K6" s="97"/>
      <c r="L6" s="97"/>
      <c r="M6" s="97"/>
      <c r="N6" s="97"/>
      <c r="O6" s="3"/>
    </row>
    <row r="7" spans="1:38" x14ac:dyDescent="0.25">
      <c r="A7" t="s">
        <v>6</v>
      </c>
      <c r="B7" s="40">
        <f>SUM(B42:AL42)</f>
        <v>14262427.576217201</v>
      </c>
      <c r="C7" s="76">
        <f>SUM(B35:AL35)</f>
        <v>10374393045.4</v>
      </c>
      <c r="D7" s="40">
        <f>SUM(B28:AL28)</f>
        <v>13653293.54850065</v>
      </c>
      <c r="E7" s="40">
        <f>D7-B7</f>
        <v>-609134.02771655098</v>
      </c>
      <c r="F7" s="39">
        <f>SUM(B65:AL65)</f>
        <v>-15400.904867990186</v>
      </c>
      <c r="G7" s="60">
        <f t="shared" si="0"/>
        <v>-624534.93258454115</v>
      </c>
      <c r="I7" s="143" t="s">
        <v>61</v>
      </c>
      <c r="J7" s="97"/>
      <c r="K7" s="97"/>
      <c r="L7" s="97"/>
      <c r="M7" s="97"/>
      <c r="N7" s="97"/>
      <c r="O7" s="3"/>
    </row>
    <row r="8" spans="1:38" ht="15.75" thickBot="1" x14ac:dyDescent="0.3">
      <c r="A8" t="s">
        <v>7</v>
      </c>
      <c r="B8" s="40">
        <f>SUM(B43:AL43)</f>
        <v>8503752.3515374996</v>
      </c>
      <c r="C8" s="76">
        <f>SUM(B36:AL36)</f>
        <v>6529810518.5</v>
      </c>
      <c r="D8" s="40">
        <f>SUM(B29:AL29)</f>
        <v>8264013.640258085</v>
      </c>
      <c r="E8" s="40">
        <f>D8-B8</f>
        <v>-239738.71127941459</v>
      </c>
      <c r="F8" s="39">
        <f>SUM(B66:AL66)</f>
        <v>-9872.7079106044876</v>
      </c>
      <c r="G8" s="60">
        <f t="shared" si="0"/>
        <v>-249611.41919001908</v>
      </c>
      <c r="I8" s="143" t="s">
        <v>62</v>
      </c>
      <c r="J8" s="97"/>
      <c r="K8" s="97"/>
      <c r="L8" s="97"/>
      <c r="M8" s="97"/>
      <c r="N8" s="97"/>
      <c r="O8" s="3"/>
    </row>
    <row r="9" spans="1:38" ht="16.5" thickTop="1" thickBot="1" x14ac:dyDescent="0.3">
      <c r="B9" s="73">
        <f t="shared" ref="B9:G9" si="1">SUM(B4:B8)</f>
        <v>146891489.15982398</v>
      </c>
      <c r="C9" s="76">
        <f>SUM(C4:C8)</f>
        <v>93676087914.800003</v>
      </c>
      <c r="D9" s="73">
        <f t="shared" si="1"/>
        <v>133353126.96999998</v>
      </c>
      <c r="E9" s="73">
        <f>SUM(E4:E8)</f>
        <v>-13538362.189823989</v>
      </c>
      <c r="F9" s="39">
        <f t="shared" si="1"/>
        <v>-135290.45913829992</v>
      </c>
      <c r="G9" s="73">
        <f t="shared" si="1"/>
        <v>-13673652.648962289</v>
      </c>
      <c r="I9" s="143" t="s">
        <v>63</v>
      </c>
      <c r="J9" s="97"/>
      <c r="K9" s="97"/>
      <c r="L9" s="97"/>
      <c r="M9" s="97"/>
      <c r="N9" s="97"/>
      <c r="O9" s="3"/>
    </row>
    <row r="10" spans="1:38" ht="16.5" thickTop="1" thickBot="1" x14ac:dyDescent="0.3">
      <c r="F10" s="36">
        <f>F9-SUM(B45:AL45)</f>
        <v>-0.56246629456290975</v>
      </c>
      <c r="I10" s="143" t="s">
        <v>83</v>
      </c>
      <c r="J10" s="97"/>
      <c r="K10" s="97"/>
      <c r="L10" s="97"/>
      <c r="M10" s="97"/>
      <c r="N10" s="97"/>
    </row>
    <row r="11" spans="1:38" ht="15.75" thickTop="1" x14ac:dyDescent="0.25">
      <c r="E11" s="4"/>
      <c r="G11" s="3"/>
    </row>
    <row r="12" spans="1:38" x14ac:dyDescent="0.25"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</row>
    <row r="13" spans="1:38" x14ac:dyDescent="0.25"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</row>
    <row r="14" spans="1:38" x14ac:dyDescent="0.25"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Q14" s="4"/>
      <c r="AJ14" s="140"/>
      <c r="AK14" s="140"/>
      <c r="AL14" s="140"/>
    </row>
    <row r="15" spans="1:38" x14ac:dyDescent="0.25"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140"/>
      <c r="AK15" s="140"/>
      <c r="AL15" s="140"/>
    </row>
    <row r="16" spans="1:38" ht="15.75" thickBot="1" x14ac:dyDescent="0.3"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Q16" s="4"/>
      <c r="R16" s="5"/>
    </row>
    <row r="17" spans="1:45" ht="15.75" thickBot="1" x14ac:dyDescent="0.3">
      <c r="A17" t="s">
        <v>64</v>
      </c>
      <c r="B17" s="25"/>
      <c r="C17" s="26"/>
      <c r="D17" s="27" t="s">
        <v>15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41" t="s">
        <v>34</v>
      </c>
      <c r="AK17" s="242"/>
      <c r="AL17" s="243"/>
    </row>
    <row r="18" spans="1:45" x14ac:dyDescent="0.25">
      <c r="B18" s="23">
        <v>41275</v>
      </c>
      <c r="C18" s="34">
        <f t="shared" ref="C18:M18" si="2">EDATE(B18,1)</f>
        <v>41306</v>
      </c>
      <c r="D18" s="34">
        <f t="shared" si="2"/>
        <v>41334</v>
      </c>
      <c r="E18" s="34">
        <f t="shared" si="2"/>
        <v>41365</v>
      </c>
      <c r="F18" s="34">
        <f t="shared" si="2"/>
        <v>41395</v>
      </c>
      <c r="G18" s="34">
        <f t="shared" si="2"/>
        <v>41426</v>
      </c>
      <c r="H18" s="34">
        <f t="shared" si="2"/>
        <v>41456</v>
      </c>
      <c r="I18" s="34">
        <f t="shared" si="2"/>
        <v>41487</v>
      </c>
      <c r="J18" s="34">
        <f t="shared" si="2"/>
        <v>41518</v>
      </c>
      <c r="K18" s="34">
        <f t="shared" si="2"/>
        <v>41548</v>
      </c>
      <c r="L18" s="34">
        <f t="shared" si="2"/>
        <v>41579</v>
      </c>
      <c r="M18" s="34">
        <f t="shared" si="2"/>
        <v>41609</v>
      </c>
      <c r="N18" s="34">
        <f t="shared" ref="N18" si="3">EDATE(M18,1)</f>
        <v>41640</v>
      </c>
      <c r="O18" s="34">
        <f t="shared" ref="O18" si="4">EDATE(N18,1)</f>
        <v>41671</v>
      </c>
      <c r="P18" s="34">
        <f t="shared" ref="P18" si="5">EDATE(O18,1)</f>
        <v>41699</v>
      </c>
      <c r="Q18" s="34">
        <f t="shared" ref="Q18" si="6">EDATE(P18,1)</f>
        <v>41730</v>
      </c>
      <c r="R18" s="34">
        <f t="shared" ref="R18" si="7">EDATE(Q18,1)</f>
        <v>41760</v>
      </c>
      <c r="S18" s="34">
        <f t="shared" ref="S18" si="8">EDATE(R18,1)</f>
        <v>41791</v>
      </c>
      <c r="T18" s="34">
        <f t="shared" ref="T18" si="9">EDATE(S18,1)</f>
        <v>41821</v>
      </c>
      <c r="U18" s="34">
        <f t="shared" ref="U18" si="10">EDATE(T18,1)</f>
        <v>41852</v>
      </c>
      <c r="V18" s="34">
        <f t="shared" ref="V18" si="11">EDATE(U18,1)</f>
        <v>41883</v>
      </c>
      <c r="W18" s="34">
        <f t="shared" ref="W18" si="12">EDATE(V18,1)</f>
        <v>41913</v>
      </c>
      <c r="X18" s="34">
        <f>EDATE(W18,1)</f>
        <v>41944</v>
      </c>
      <c r="Y18" s="34">
        <f>EDATE(X18,1)</f>
        <v>41974</v>
      </c>
      <c r="Z18" s="34">
        <f t="shared" ref="Z18" si="13">EDATE(Y18,1)</f>
        <v>42005</v>
      </c>
      <c r="AA18" s="34">
        <f t="shared" ref="AA18" si="14">EDATE(Z18,1)</f>
        <v>42036</v>
      </c>
      <c r="AB18" s="34">
        <f t="shared" ref="AB18" si="15">EDATE(AA18,1)</f>
        <v>42064</v>
      </c>
      <c r="AC18" s="34">
        <f t="shared" ref="AC18" si="16">EDATE(AB18,1)</f>
        <v>42095</v>
      </c>
      <c r="AD18" s="34">
        <f t="shared" ref="AD18" si="17">EDATE(AC18,1)</f>
        <v>42125</v>
      </c>
      <c r="AE18" s="34">
        <f t="shared" ref="AE18" si="18">EDATE(AD18,1)</f>
        <v>42156</v>
      </c>
      <c r="AF18" s="34">
        <f t="shared" ref="AF18" si="19">EDATE(AE18,1)</f>
        <v>42186</v>
      </c>
      <c r="AG18" s="34">
        <f t="shared" ref="AG18" si="20">EDATE(AF18,1)</f>
        <v>42217</v>
      </c>
      <c r="AH18" s="34">
        <f t="shared" ref="AH18" si="21">EDATE(AG18,1)</f>
        <v>42248</v>
      </c>
      <c r="AI18" s="34">
        <f t="shared" ref="AI18" si="22">EDATE(AH18,1)</f>
        <v>42278</v>
      </c>
      <c r="AJ18" s="23">
        <f>EDATE(AI18,1)</f>
        <v>42309</v>
      </c>
      <c r="AK18" s="34">
        <f t="shared" ref="AK18" si="23">EDATE(AJ18,1)</f>
        <v>42339</v>
      </c>
      <c r="AL18" s="24">
        <f>EDATE(AK18,1)</f>
        <v>42370</v>
      </c>
      <c r="AM18" s="1"/>
      <c r="AN18" s="1"/>
      <c r="AO18" s="1"/>
      <c r="AP18" s="1"/>
      <c r="AQ18" s="1"/>
      <c r="AR18" s="1"/>
      <c r="AS18" s="1"/>
    </row>
    <row r="19" spans="1:45" x14ac:dyDescent="0.25">
      <c r="A19" s="97" t="s">
        <v>0</v>
      </c>
      <c r="B19" s="133">
        <v>640336.91</v>
      </c>
      <c r="C19" s="28">
        <v>605792.67000000004</v>
      </c>
      <c r="D19" s="28">
        <v>725594.4</v>
      </c>
      <c r="E19" s="28">
        <v>1367115.04</v>
      </c>
      <c r="F19" s="28">
        <v>1340454.52</v>
      </c>
      <c r="G19" s="28">
        <v>1257873.68</v>
      </c>
      <c r="H19" s="28">
        <v>1886442.46</v>
      </c>
      <c r="I19" s="28">
        <v>1893239.29</v>
      </c>
      <c r="J19" s="80">
        <v>1662824.19</v>
      </c>
      <c r="K19" s="81">
        <v>1735871.67</v>
      </c>
      <c r="L19" s="81">
        <v>1631684.65</v>
      </c>
      <c r="M19" s="81">
        <v>2380008.86</v>
      </c>
      <c r="N19" s="81">
        <v>1580368.48</v>
      </c>
      <c r="O19" s="81">
        <v>948470.21</v>
      </c>
      <c r="P19" s="81">
        <v>1909458.73</v>
      </c>
      <c r="Q19" s="81">
        <v>1679720.34</v>
      </c>
      <c r="R19" s="81">
        <v>1653932.58</v>
      </c>
      <c r="S19" s="81">
        <v>1750116.82</v>
      </c>
      <c r="T19" s="81">
        <v>2305893.67</v>
      </c>
      <c r="U19" s="81">
        <v>1706083.4</v>
      </c>
      <c r="V19" s="81">
        <v>1874106.46</v>
      </c>
      <c r="W19" s="81">
        <v>1430822.27</v>
      </c>
      <c r="X19" s="81">
        <v>1516273.7</v>
      </c>
      <c r="Y19" s="81">
        <v>1403931.73</v>
      </c>
      <c r="Z19" s="81">
        <v>1494199.3</v>
      </c>
      <c r="AA19" s="81">
        <v>820979.3</v>
      </c>
      <c r="AB19" s="81">
        <v>1130195.58</v>
      </c>
      <c r="AC19" s="81">
        <v>1125021.22</v>
      </c>
      <c r="AD19" s="81">
        <v>1606968.75</v>
      </c>
      <c r="AE19" s="81">
        <v>1600135.89</v>
      </c>
      <c r="AF19" s="81">
        <v>1727761.82</v>
      </c>
      <c r="AG19" s="81">
        <v>1954657.27</v>
      </c>
      <c r="AH19" s="81">
        <v>2166706.5699999998</v>
      </c>
      <c r="AI19" s="81">
        <v>1995474.27</v>
      </c>
      <c r="AJ19" s="82">
        <v>2091167.32</v>
      </c>
      <c r="AK19" s="147">
        <v>1644030.33</v>
      </c>
      <c r="AL19" s="83">
        <v>0</v>
      </c>
      <c r="AM19" s="97"/>
    </row>
    <row r="20" spans="1:45" x14ac:dyDescent="0.25">
      <c r="A20" s="97" t="s">
        <v>1</v>
      </c>
      <c r="B20" s="133">
        <v>454317.08</v>
      </c>
      <c r="C20" s="28">
        <v>441494.74</v>
      </c>
      <c r="D20" s="28">
        <v>363891.08</v>
      </c>
      <c r="E20" s="28">
        <v>478379.47</v>
      </c>
      <c r="F20" s="28">
        <v>1014139.54</v>
      </c>
      <c r="G20" s="28">
        <v>880519.27</v>
      </c>
      <c r="H20" s="28">
        <v>685802</v>
      </c>
      <c r="I20" s="28">
        <v>941967.8</v>
      </c>
      <c r="J20" s="80">
        <v>1061098.22</v>
      </c>
      <c r="K20" s="81">
        <v>1064918.6200000001</v>
      </c>
      <c r="L20" s="81">
        <v>1187326.81</v>
      </c>
      <c r="M20" s="81">
        <v>1557118.31</v>
      </c>
      <c r="N20" s="81">
        <v>1285282.6100000001</v>
      </c>
      <c r="O20" s="81">
        <v>704898.97</v>
      </c>
      <c r="P20" s="81">
        <v>1071660.74</v>
      </c>
      <c r="Q20" s="81">
        <v>1231470.79</v>
      </c>
      <c r="R20" s="81">
        <v>1340055.01</v>
      </c>
      <c r="S20" s="81">
        <v>1462923.21</v>
      </c>
      <c r="T20" s="81">
        <v>1457191.33</v>
      </c>
      <c r="U20" s="81">
        <v>962381.44</v>
      </c>
      <c r="V20" s="81">
        <v>1685137.8</v>
      </c>
      <c r="W20" s="81">
        <v>1704041.3</v>
      </c>
      <c r="X20" s="81">
        <v>1249845.8899999999</v>
      </c>
      <c r="Y20" s="81">
        <v>1408910.99</v>
      </c>
      <c r="Z20" s="81">
        <v>499495.6</v>
      </c>
      <c r="AA20" s="81">
        <v>125198.28</v>
      </c>
      <c r="AB20" s="81">
        <v>1548555.72</v>
      </c>
      <c r="AC20" s="81">
        <v>2331289.4900000002</v>
      </c>
      <c r="AD20" s="81">
        <v>2460819.39</v>
      </c>
      <c r="AE20" s="81">
        <v>1093236.6200000001</v>
      </c>
      <c r="AF20" s="81">
        <v>2579809.7599999998</v>
      </c>
      <c r="AG20" s="81">
        <v>3267917.18</v>
      </c>
      <c r="AH20" s="81">
        <v>1771960.78</v>
      </c>
      <c r="AI20" s="81">
        <v>2248123.36</v>
      </c>
      <c r="AJ20" s="82">
        <v>4218038</v>
      </c>
      <c r="AK20" s="147">
        <v>7041434</v>
      </c>
      <c r="AL20" s="83">
        <v>560000</v>
      </c>
      <c r="AM20" s="97"/>
    </row>
    <row r="21" spans="1:45" x14ac:dyDescent="0.25">
      <c r="A21" s="97" t="s">
        <v>2</v>
      </c>
      <c r="B21" s="133">
        <v>235758.09</v>
      </c>
      <c r="C21" s="28">
        <v>-28991</v>
      </c>
      <c r="D21" s="28">
        <v>286168.24</v>
      </c>
      <c r="E21" s="28">
        <v>211438.67</v>
      </c>
      <c r="F21" s="28">
        <v>450933.86</v>
      </c>
      <c r="G21" s="28">
        <v>315229.05</v>
      </c>
      <c r="H21" s="28">
        <v>458117.56</v>
      </c>
      <c r="I21" s="28">
        <v>544491.86</v>
      </c>
      <c r="J21" s="80">
        <v>328255.31</v>
      </c>
      <c r="K21" s="81">
        <v>363224.71</v>
      </c>
      <c r="L21" s="81">
        <v>87690.63</v>
      </c>
      <c r="M21" s="81">
        <v>566570.68000000005</v>
      </c>
      <c r="N21" s="81">
        <v>51784.59</v>
      </c>
      <c r="O21" s="81">
        <v>89170.16</v>
      </c>
      <c r="P21" s="81">
        <v>324702.73</v>
      </c>
      <c r="Q21" s="81">
        <v>300887.17</v>
      </c>
      <c r="R21" s="81">
        <v>745939.39</v>
      </c>
      <c r="S21" s="81">
        <v>349645.84</v>
      </c>
      <c r="T21" s="81">
        <v>239961.74</v>
      </c>
      <c r="U21" s="81">
        <v>293319.15000000002</v>
      </c>
      <c r="V21" s="81">
        <v>274898.46999999997</v>
      </c>
      <c r="W21" s="81">
        <v>199271.42</v>
      </c>
      <c r="X21" s="81">
        <v>378119.27</v>
      </c>
      <c r="Y21" s="81">
        <v>291747.94</v>
      </c>
      <c r="Z21" s="81">
        <v>123912.14</v>
      </c>
      <c r="AA21" s="81">
        <v>216855.29</v>
      </c>
      <c r="AB21" s="81">
        <v>251094.53</v>
      </c>
      <c r="AC21" s="81">
        <v>361607.5</v>
      </c>
      <c r="AD21" s="81">
        <v>249977.02</v>
      </c>
      <c r="AE21" s="81">
        <v>277986.64</v>
      </c>
      <c r="AF21" s="81">
        <v>208381.81</v>
      </c>
      <c r="AG21" s="81">
        <v>566874.24</v>
      </c>
      <c r="AH21" s="81">
        <v>137225.85999999999</v>
      </c>
      <c r="AI21" s="81">
        <v>519908.85</v>
      </c>
      <c r="AJ21" s="82">
        <v>229000</v>
      </c>
      <c r="AK21" s="147">
        <v>105619</v>
      </c>
      <c r="AL21" s="83">
        <v>0</v>
      </c>
      <c r="AM21" s="97"/>
    </row>
    <row r="22" spans="1:45" x14ac:dyDescent="0.25">
      <c r="A22" s="97" t="s">
        <v>3</v>
      </c>
      <c r="B22" s="133">
        <v>865428.28</v>
      </c>
      <c r="C22" s="28">
        <v>171869.96</v>
      </c>
      <c r="D22" s="28">
        <v>354913.49</v>
      </c>
      <c r="E22" s="28">
        <v>386342.84</v>
      </c>
      <c r="F22" s="28">
        <v>380502.59</v>
      </c>
      <c r="G22" s="28">
        <v>-16107.38</v>
      </c>
      <c r="H22" s="28">
        <v>105209.38</v>
      </c>
      <c r="I22" s="28">
        <v>27748.39</v>
      </c>
      <c r="J22" s="80">
        <v>414401.51</v>
      </c>
      <c r="K22" s="81">
        <v>127275.37</v>
      </c>
      <c r="L22" s="81">
        <v>85742.61</v>
      </c>
      <c r="M22" s="81">
        <v>451975.95</v>
      </c>
      <c r="N22" s="81">
        <v>62184.959999999999</v>
      </c>
      <c r="O22" s="81">
        <v>143949.34</v>
      </c>
      <c r="P22" s="81">
        <v>508860.08</v>
      </c>
      <c r="Q22" s="81">
        <v>268166.68</v>
      </c>
      <c r="R22" s="81">
        <v>251429.09</v>
      </c>
      <c r="S22" s="81">
        <v>666062.1</v>
      </c>
      <c r="T22" s="81">
        <v>138502.54999999999</v>
      </c>
      <c r="U22" s="81">
        <v>93177.83</v>
      </c>
      <c r="V22" s="81">
        <v>216933.59</v>
      </c>
      <c r="W22" s="81">
        <v>149469.74</v>
      </c>
      <c r="X22" s="81">
        <v>206545.07</v>
      </c>
      <c r="Y22" s="81">
        <v>-49617.5</v>
      </c>
      <c r="Z22" s="81">
        <v>173814.38</v>
      </c>
      <c r="AA22" s="81">
        <v>-75961.320000000007</v>
      </c>
      <c r="AB22" s="81">
        <v>132147.6</v>
      </c>
      <c r="AC22" s="81">
        <v>162665.41</v>
      </c>
      <c r="AD22" s="81">
        <v>447141.26</v>
      </c>
      <c r="AE22" s="81">
        <v>468305.88</v>
      </c>
      <c r="AF22" s="81">
        <v>83029.36</v>
      </c>
      <c r="AG22" s="81">
        <v>309109.94</v>
      </c>
      <c r="AH22" s="81">
        <v>243045.93</v>
      </c>
      <c r="AI22" s="81">
        <v>-20337.95</v>
      </c>
      <c r="AJ22" s="82">
        <v>732556</v>
      </c>
      <c r="AK22" s="147">
        <v>2266500</v>
      </c>
      <c r="AL22" s="83">
        <v>129000</v>
      </c>
      <c r="AM22" s="97"/>
    </row>
    <row r="23" spans="1:45" x14ac:dyDescent="0.25">
      <c r="B23" s="7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87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0"/>
      <c r="AK23" s="29"/>
      <c r="AL23" s="21"/>
    </row>
    <row r="24" spans="1:45" x14ac:dyDescent="0.25">
      <c r="A24" t="s">
        <v>54</v>
      </c>
      <c r="B24" s="79"/>
      <c r="C24" s="29"/>
      <c r="D24" s="30"/>
      <c r="E24" s="29"/>
      <c r="F24" s="29"/>
      <c r="G24" s="29"/>
      <c r="H24" s="29"/>
      <c r="I24" s="29"/>
      <c r="J24" s="29"/>
      <c r="K24" s="29"/>
      <c r="L24" s="113"/>
      <c r="M24" s="113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0"/>
      <c r="AK24" s="29"/>
      <c r="AL24" s="21"/>
    </row>
    <row r="25" spans="1:45" x14ac:dyDescent="0.25">
      <c r="A25" t="s">
        <v>0</v>
      </c>
      <c r="B25" s="91">
        <f>B19+((B32/SUM(B$32:B$36))*B$21)+((B32/SUM(B$32:B$36))*B$22)</f>
        <v>1182830.8068197027</v>
      </c>
      <c r="C25" s="92">
        <f t="shared" ref="C25:J25" si="24">C19+((C32/SUM(C$32:C$36))*C$21)+((C32/SUM(C$32:C$36))*C$22)</f>
        <v>673451.15918707824</v>
      </c>
      <c r="D25" s="92">
        <f t="shared" si="24"/>
        <v>1031884.8972029432</v>
      </c>
      <c r="E25" s="92">
        <f t="shared" si="24"/>
        <v>1626816.2657540797</v>
      </c>
      <c r="F25" s="92">
        <f t="shared" si="24"/>
        <v>1657638.9306104169</v>
      </c>
      <c r="G25" s="92">
        <f t="shared" si="24"/>
        <v>1376174.2199289829</v>
      </c>
      <c r="H25" s="92">
        <f t="shared" si="24"/>
        <v>2138702.9711479857</v>
      </c>
      <c r="I25" s="92">
        <f t="shared" si="24"/>
        <v>2138822.2701681196</v>
      </c>
      <c r="J25" s="92">
        <f t="shared" si="24"/>
        <v>1989535.2165768305</v>
      </c>
      <c r="K25" s="92">
        <f t="shared" ref="K25:AK25" si="25">K19+((K32/SUM(K$32:K$36))*K$21)+((K32/SUM(K$32:K$36))*K$22)</f>
        <v>1921928.5570319619</v>
      </c>
      <c r="L25" s="92">
        <f t="shared" si="25"/>
        <v>1699134.7375723612</v>
      </c>
      <c r="M25" s="92">
        <f t="shared" si="25"/>
        <v>2858289.694727309</v>
      </c>
      <c r="N25" s="92">
        <f t="shared" si="25"/>
        <v>1638791.7944975337</v>
      </c>
      <c r="O25" s="92">
        <f t="shared" si="25"/>
        <v>1068297.1374583873</v>
      </c>
      <c r="P25" s="92">
        <f t="shared" si="25"/>
        <v>2314647.3920329078</v>
      </c>
      <c r="Q25" s="92">
        <f t="shared" si="25"/>
        <v>1920182.7605450749</v>
      </c>
      <c r="R25" s="92">
        <f t="shared" si="25"/>
        <v>2038309.4572863849</v>
      </c>
      <c r="S25" s="92">
        <f t="shared" si="25"/>
        <v>2179449.8747106222</v>
      </c>
      <c r="T25" s="92">
        <f t="shared" si="25"/>
        <v>2477266.4369231663</v>
      </c>
      <c r="U25" s="92">
        <f t="shared" si="25"/>
        <v>1876057.8884449312</v>
      </c>
      <c r="V25" s="92">
        <f t="shared" si="25"/>
        <v>2092575.7097152637</v>
      </c>
      <c r="W25" s="148">
        <f>W19+((W32/SUM(W$32:W$36))*W$21)+((W32/SUM(W$32:W$36))*W$22)</f>
        <v>1560145.999993769</v>
      </c>
      <c r="X25" s="209">
        <f>X19+((X32/SUM(X$32:X$36))*X$21)+((X32/SUM(X$32:X$36))*X$22)</f>
        <v>1749220.2137090203</v>
      </c>
      <c r="Y25" s="148">
        <f t="shared" ref="Y25:AF25" si="26">Y19+((Y32/SUM(Y$32:Y$36))*Y$21)+((Y32/SUM(Y$32:Y$36))*Y$22)</f>
        <v>1520683.535891383</v>
      </c>
      <c r="Z25" s="148">
        <f t="shared" si="26"/>
        <v>1644216.6654295195</v>
      </c>
      <c r="AA25" s="148">
        <f t="shared" si="26"/>
        <v>890877.25800171844</v>
      </c>
      <c r="AB25" s="148">
        <f t="shared" si="26"/>
        <v>1318994.1437801148</v>
      </c>
      <c r="AC25" s="148">
        <f t="shared" si="26"/>
        <v>1331649.8069687816</v>
      </c>
      <c r="AD25" s="148">
        <f t="shared" si="26"/>
        <v>1862544.1723414517</v>
      </c>
      <c r="AE25" s="148">
        <f t="shared" si="26"/>
        <v>1905721.8164084041</v>
      </c>
      <c r="AF25" s="148">
        <f t="shared" si="26"/>
        <v>1856017.0299372207</v>
      </c>
      <c r="AG25" s="148">
        <f t="shared" ref="AG25:AH25" si="27">AG19+((AG32/SUM(AG$32:AG$36))*AG$21)+((AG32/SUM(AG$32:AG$36))*AG$22)</f>
        <v>2358683.3953865026</v>
      </c>
      <c r="AH25" s="148">
        <f t="shared" si="27"/>
        <v>2327926.4303733185</v>
      </c>
      <c r="AI25" s="211">
        <f>AI19+((AI32/SUM(AI$32:AI$36))*AI$21)+((AI32/SUM(AI$32:AI$36))*AI$22)</f>
        <v>2175974.4841961623</v>
      </c>
      <c r="AJ25" s="195">
        <f>AJ19+((AJ32/SUM(AJ$32:AJ$36))*AJ$21)+((AJ32/SUM(AJ$32:AJ$36))*AJ$22)</f>
        <v>2459460.6262809313</v>
      </c>
      <c r="AK25" s="148">
        <f t="shared" si="25"/>
        <v>2724798.5564885205</v>
      </c>
      <c r="AL25" s="110">
        <f t="shared" ref="AL25" si="28">AL19+((AL32/SUM(AL$32:AL$36))*AL$21)+((AL32/SUM(AL$32:AL$36))*AL$22)</f>
        <v>65908.25339272483</v>
      </c>
    </row>
    <row r="26" spans="1:45" x14ac:dyDescent="0.25">
      <c r="A26" t="s">
        <v>4</v>
      </c>
      <c r="B26" s="91">
        <f>((B33/SUM(B$33:B$36))*B$20)+((B33/SUM(B$32:B$36))*B$21)+((B33/SUM(B$32:B$36))*B$22)</f>
        <v>218701.22353031725</v>
      </c>
      <c r="C26" s="92">
        <f t="shared" ref="C26:J29" si="29">((C33/SUM(C$33:C$36))*C$20)+((C33/SUM(C$32:C$36))*C$21)+((C33/SUM(C$32:C$36))*C$22)</f>
        <v>109353.55843061513</v>
      </c>
      <c r="D26" s="92">
        <f t="shared" si="29"/>
        <v>150660.46067254461</v>
      </c>
      <c r="E26" s="92">
        <f t="shared" si="29"/>
        <v>165743.61325093571</v>
      </c>
      <c r="F26" s="92">
        <f t="shared" si="29"/>
        <v>282238.15926398174</v>
      </c>
      <c r="G26" s="92">
        <f t="shared" si="29"/>
        <v>200725.46765268498</v>
      </c>
      <c r="H26" s="92">
        <f t="shared" si="29"/>
        <v>202221.06054023554</v>
      </c>
      <c r="I26" s="92">
        <f t="shared" si="29"/>
        <v>247783.0951496099</v>
      </c>
      <c r="J26" s="92">
        <f t="shared" si="29"/>
        <v>290557.2399642347</v>
      </c>
      <c r="K26" s="92">
        <f t="shared" ref="K26:AK26" si="30">((K33/SUM(K$33:K$36))*K$20)+((K33/SUM(K$32:K$36))*K$21)+((K33/SUM(K$32:K$36))*K$22)</f>
        <v>254816.81965584939</v>
      </c>
      <c r="L26" s="92">
        <f t="shared" si="30"/>
        <v>241890.41455800884</v>
      </c>
      <c r="M26" s="92">
        <f t="shared" si="30"/>
        <v>439538.22192422178</v>
      </c>
      <c r="N26" s="92">
        <f t="shared" si="30"/>
        <v>303499.14185924432</v>
      </c>
      <c r="O26" s="92">
        <f t="shared" si="30"/>
        <v>190370.21693946052</v>
      </c>
      <c r="P26" s="92">
        <f t="shared" si="30"/>
        <v>334294.35269502847</v>
      </c>
      <c r="Q26" s="92">
        <f t="shared" si="30"/>
        <v>317142.33751496958</v>
      </c>
      <c r="R26" s="92">
        <f t="shared" si="30"/>
        <v>379541.28378360759</v>
      </c>
      <c r="S26" s="92">
        <f t="shared" si="30"/>
        <v>407870.425084271</v>
      </c>
      <c r="T26" s="92">
        <f t="shared" si="30"/>
        <v>344585.95632689714</v>
      </c>
      <c r="U26" s="92">
        <f t="shared" si="30"/>
        <v>237847.34431834004</v>
      </c>
      <c r="V26" s="92">
        <f t="shared" si="30"/>
        <v>396665.12996191182</v>
      </c>
      <c r="W26" s="148">
        <f t="shared" si="30"/>
        <v>359445.39580071764</v>
      </c>
      <c r="X26" s="148">
        <f t="shared" ref="X26:AF26" si="31">((X33/SUM(X$33:X$36))*X$20)+((X33/SUM(X$32:X$36))*X$21)+((X33/SUM(X$32:X$36))*X$22)</f>
        <v>309163.88866315433</v>
      </c>
      <c r="Y26" s="148">
        <f t="shared" si="31"/>
        <v>338018.03228774131</v>
      </c>
      <c r="Z26" s="148">
        <f t="shared" si="31"/>
        <v>147110.14032137621</v>
      </c>
      <c r="AA26" s="148">
        <f t="shared" si="31"/>
        <v>44714.243270813051</v>
      </c>
      <c r="AB26" s="148">
        <f t="shared" si="31"/>
        <v>397337.76686085749</v>
      </c>
      <c r="AC26" s="148">
        <f t="shared" si="31"/>
        <v>512059.49554576911</v>
      </c>
      <c r="AD26" s="148">
        <f t="shared" si="31"/>
        <v>552826.27213325293</v>
      </c>
      <c r="AE26" s="148">
        <f t="shared" si="31"/>
        <v>300990.30043195578</v>
      </c>
      <c r="AF26" s="148">
        <f t="shared" si="31"/>
        <v>551645.79696237133</v>
      </c>
      <c r="AG26" s="148">
        <f t="shared" ref="AG26:AI26" si="32">((AG33/SUM(AG$33:AG$36))*AG$20)+((AG33/SUM(AG$32:AG$36))*AG$21)+((AG33/SUM(AG$32:AG$36))*AG$22)</f>
        <v>789903.99778618535</v>
      </c>
      <c r="AH26" s="148">
        <f t="shared" si="32"/>
        <v>399209.84150454827</v>
      </c>
      <c r="AI26" s="148">
        <f t="shared" si="32"/>
        <v>477502.93579084857</v>
      </c>
      <c r="AJ26" s="91">
        <f t="shared" si="30"/>
        <v>947379.38311784936</v>
      </c>
      <c r="AK26" s="148">
        <f t="shared" si="30"/>
        <v>1798163.5325154373</v>
      </c>
      <c r="AL26" s="110">
        <f t="shared" ref="AL26" si="33">((AL33/SUM(AL$33:AL$36))*AL$20)+((AL33/SUM(AL$32:AL$36))*AL$21)+((AL33/SUM(AL$32:AL$36))*AL$22)</f>
        <v>142334.5782869253</v>
      </c>
    </row>
    <row r="27" spans="1:45" x14ac:dyDescent="0.25">
      <c r="A27" t="s">
        <v>5</v>
      </c>
      <c r="B27" s="91">
        <f>((B34/SUM(B$33:B$36))*B$20)+((B34/SUM(B$32:B$36))*B$21)+((B34/SUM(B$32:B$36))*B$22)</f>
        <v>460498.46546721482</v>
      </c>
      <c r="C27" s="92">
        <f t="shared" si="29"/>
        <v>233124.21686089033</v>
      </c>
      <c r="D27" s="92">
        <f t="shared" si="29"/>
        <v>321203.26765085687</v>
      </c>
      <c r="E27" s="92">
        <f t="shared" si="29"/>
        <v>376099.84502405778</v>
      </c>
      <c r="F27" s="92">
        <f t="shared" si="29"/>
        <v>691298.86499693571</v>
      </c>
      <c r="G27" s="92">
        <f t="shared" si="29"/>
        <v>488319.42696941958</v>
      </c>
      <c r="H27" s="92">
        <f t="shared" si="29"/>
        <v>457276.58481639356</v>
      </c>
      <c r="I27" s="92">
        <f t="shared" si="29"/>
        <v>575866.04963054252</v>
      </c>
      <c r="J27" s="92">
        <f t="shared" si="29"/>
        <v>679940.19228483376</v>
      </c>
      <c r="K27" s="92">
        <f t="shared" ref="K27:AK27" si="34">((K34/SUM(K$33:K$36))*K$20)+((K34/SUM(K$32:K$36))*K$21)+((K34/SUM(K$32:K$36))*K$22)</f>
        <v>622142.75104189571</v>
      </c>
      <c r="L27" s="92">
        <f t="shared" si="34"/>
        <v>585411.69172217778</v>
      </c>
      <c r="M27" s="92">
        <f t="shared" si="34"/>
        <v>954702.03809950047</v>
      </c>
      <c r="N27" s="92">
        <f t="shared" si="34"/>
        <v>616958.4561296975</v>
      </c>
      <c r="O27" s="92">
        <f t="shared" si="34"/>
        <v>381952.40385901119</v>
      </c>
      <c r="P27" s="92">
        <f t="shared" si="34"/>
        <v>704641.13874529453</v>
      </c>
      <c r="Q27" s="92">
        <f t="shared" si="34"/>
        <v>732396.30283903889</v>
      </c>
      <c r="R27" s="92">
        <f t="shared" si="34"/>
        <v>942035.14878152695</v>
      </c>
      <c r="S27" s="92">
        <f t="shared" si="34"/>
        <v>991529.40961601795</v>
      </c>
      <c r="T27" s="92">
        <f t="shared" si="34"/>
        <v>798082.41324313241</v>
      </c>
      <c r="U27" s="92">
        <f t="shared" si="34"/>
        <v>559363.11049524497</v>
      </c>
      <c r="V27" s="92">
        <f t="shared" si="34"/>
        <v>949457.10874680302</v>
      </c>
      <c r="W27" s="148">
        <f t="shared" si="34"/>
        <v>913116.23279312463</v>
      </c>
      <c r="X27" s="148">
        <f t="shared" ref="X27:AF27" si="35">((X34/SUM(X$33:X$36))*X$20)+((X34/SUM(X$32:X$36))*X$21)+((X34/SUM(X$32:X$36))*X$22)</f>
        <v>752709.71735380159</v>
      </c>
      <c r="Y27" s="148">
        <f t="shared" si="35"/>
        <v>731911.73256886075</v>
      </c>
      <c r="Z27" s="148">
        <f t="shared" si="35"/>
        <v>309837.32998355973</v>
      </c>
      <c r="AA27" s="148">
        <f t="shared" si="35"/>
        <v>94173.775968937654</v>
      </c>
      <c r="AB27" s="148">
        <f t="shared" si="35"/>
        <v>832357.96620217804</v>
      </c>
      <c r="AC27" s="148">
        <f t="shared" si="35"/>
        <v>1254764.0169254823</v>
      </c>
      <c r="AD27" s="148">
        <f t="shared" si="35"/>
        <v>1399717.86381023</v>
      </c>
      <c r="AE27" s="148">
        <f t="shared" si="35"/>
        <v>749706.15409612132</v>
      </c>
      <c r="AF27" s="148">
        <f t="shared" si="35"/>
        <v>1293671.7837675265</v>
      </c>
      <c r="AG27" s="148">
        <f t="shared" ref="AG27:AI27" si="36">((AG34/SUM(AG$33:AG$36))*AG$20)+((AG34/SUM(AG$32:AG$36))*AG$21)+((AG34/SUM(AG$32:AG$36))*AG$22)</f>
        <v>1820830.9744477742</v>
      </c>
      <c r="AH27" s="148">
        <f t="shared" si="36"/>
        <v>956516.46632737527</v>
      </c>
      <c r="AI27" s="148">
        <f t="shared" si="36"/>
        <v>1222972.8585759378</v>
      </c>
      <c r="AJ27" s="91">
        <f t="shared" si="34"/>
        <v>2281537.8883892046</v>
      </c>
      <c r="AK27" s="148">
        <f t="shared" si="34"/>
        <v>3965911.8119902816</v>
      </c>
      <c r="AL27" s="110">
        <f t="shared" ref="AL27" si="37">((AL34/SUM(AL$33:AL$36))*AL$20)+((AL34/SUM(AL$32:AL$36))*AL$21)+((AL34/SUM(AL$32:AL$36))*AL$22)</f>
        <v>296322.62974202423</v>
      </c>
    </row>
    <row r="28" spans="1:45" x14ac:dyDescent="0.25">
      <c r="A28" t="s">
        <v>6</v>
      </c>
      <c r="B28" s="91">
        <f>((B35/SUM(B$33:B$36))*B$20)+((B35/SUM(B$32:B$36))*B$21)+((B35/SUM(B$32:B$36))*B$22)</f>
        <v>184598.19260187683</v>
      </c>
      <c r="C28" s="92">
        <f t="shared" si="29"/>
        <v>99287.232963136747</v>
      </c>
      <c r="D28" s="92">
        <f t="shared" si="29"/>
        <v>136844.13695851929</v>
      </c>
      <c r="E28" s="92">
        <f t="shared" si="29"/>
        <v>156595.44920564248</v>
      </c>
      <c r="F28" s="92">
        <f t="shared" si="29"/>
        <v>303223.12063806644</v>
      </c>
      <c r="G28" s="92">
        <f t="shared" si="29"/>
        <v>207938.15865219798</v>
      </c>
      <c r="H28" s="92">
        <f t="shared" si="29"/>
        <v>190989.65106572097</v>
      </c>
      <c r="I28" s="92">
        <f t="shared" si="29"/>
        <v>241742.8387510782</v>
      </c>
      <c r="J28" s="92">
        <f t="shared" si="29"/>
        <v>287297.98213486333</v>
      </c>
      <c r="K28" s="92">
        <f t="shared" ref="K28:AK28" si="38">((K35/SUM(K$33:K$36))*K$20)+((K35/SUM(K$32:K$36))*K$21)+((K35/SUM(K$32:K$36))*K$22)</f>
        <v>271710.80107959319</v>
      </c>
      <c r="L28" s="92">
        <f t="shared" si="38"/>
        <v>254908.72145887165</v>
      </c>
      <c r="M28" s="92">
        <f t="shared" si="38"/>
        <v>397308.52165398211</v>
      </c>
      <c r="N28" s="92">
        <f t="shared" si="38"/>
        <v>240914.93188050282</v>
      </c>
      <c r="O28" s="92">
        <f t="shared" si="38"/>
        <v>157837.41407360605</v>
      </c>
      <c r="P28" s="92">
        <f t="shared" si="38"/>
        <v>303146.57682593592</v>
      </c>
      <c r="Q28" s="92">
        <f t="shared" si="38"/>
        <v>331197.34549752902</v>
      </c>
      <c r="R28" s="92">
        <f t="shared" si="38"/>
        <v>407093.55714498728</v>
      </c>
      <c r="S28" s="92">
        <f t="shared" si="38"/>
        <v>420660.45975022117</v>
      </c>
      <c r="T28" s="92">
        <f t="shared" si="38"/>
        <v>333923.50975154073</v>
      </c>
      <c r="U28" s="92">
        <f t="shared" si="38"/>
        <v>246760.32768483044</v>
      </c>
      <c r="V28" s="92">
        <f t="shared" si="38"/>
        <v>388144.44771520904</v>
      </c>
      <c r="W28" s="148">
        <f t="shared" si="38"/>
        <v>413972.12820370728</v>
      </c>
      <c r="X28" s="148">
        <f t="shared" ref="X28:AF28" si="39">((X35/SUM(X$33:X$36))*X$20)+((X35/SUM(X$32:X$36))*X$21)+((X35/SUM(X$32:X$36))*X$22)</f>
        <v>342208.28196861362</v>
      </c>
      <c r="Y28" s="148">
        <f t="shared" si="39"/>
        <v>307207.60267222434</v>
      </c>
      <c r="Z28" s="148">
        <f t="shared" si="39"/>
        <v>124626.06935148942</v>
      </c>
      <c r="AA28" s="148">
        <f t="shared" si="39"/>
        <v>38205.379719658216</v>
      </c>
      <c r="AB28" s="148">
        <f t="shared" si="39"/>
        <v>341995.15316154907</v>
      </c>
      <c r="AC28" s="148">
        <f t="shared" si="39"/>
        <v>584794.51971538516</v>
      </c>
      <c r="AD28" s="148">
        <f t="shared" si="39"/>
        <v>621765.40201349463</v>
      </c>
      <c r="AE28" s="148">
        <f t="shared" si="39"/>
        <v>310413.69005877082</v>
      </c>
      <c r="AF28" s="148">
        <f t="shared" si="39"/>
        <v>582407.2824629473</v>
      </c>
      <c r="AG28" s="148">
        <f t="shared" ref="AG28:AI28" si="40">((AG35/SUM(AG$33:AG$36))*AG$20)+((AG35/SUM(AG$32:AG$36))*AG$21)+((AG35/SUM(AG$32:AG$36))*AG$22)</f>
        <v>727096.75048700371</v>
      </c>
      <c r="AH28" s="148">
        <f t="shared" si="40"/>
        <v>406475.03474013763</v>
      </c>
      <c r="AI28" s="148">
        <f t="shared" si="40"/>
        <v>530393.79198728129</v>
      </c>
      <c r="AJ28" s="91">
        <f t="shared" si="38"/>
        <v>991948.23995569302</v>
      </c>
      <c r="AK28" s="148">
        <f t="shared" si="38"/>
        <v>1648953.8041874762</v>
      </c>
      <c r="AL28" s="110">
        <f t="shared" ref="AL28" si="41">((AL35/SUM(AL$33:AL$36))*AL$20)+((AL35/SUM(AL$32:AL$36))*AL$21)+((AL35/SUM(AL$32:AL$36))*AL$22)</f>
        <v>118707.04032730462</v>
      </c>
    </row>
    <row r="29" spans="1:45" x14ac:dyDescent="0.25">
      <c r="A29" t="s">
        <v>7</v>
      </c>
      <c r="B29" s="91">
        <f>((B36/SUM(B$33:B$36))*B$20)+((B36/SUM(B$32:B$36))*B$21)+((B36/SUM(B$32:B$36))*B$22)</f>
        <v>149211.67158088839</v>
      </c>
      <c r="C29" s="92">
        <f t="shared" si="29"/>
        <v>74950.202558279649</v>
      </c>
      <c r="D29" s="92">
        <f t="shared" si="29"/>
        <v>89974.447515136053</v>
      </c>
      <c r="E29" s="92">
        <f t="shared" si="29"/>
        <v>118020.84676528435</v>
      </c>
      <c r="F29" s="92">
        <f t="shared" si="29"/>
        <v>251631.43449059944</v>
      </c>
      <c r="G29" s="92">
        <f t="shared" si="29"/>
        <v>164357.34679671444</v>
      </c>
      <c r="H29" s="92">
        <f t="shared" si="29"/>
        <v>146381.13242966429</v>
      </c>
      <c r="I29" s="92">
        <f t="shared" si="29"/>
        <v>203233.08630065012</v>
      </c>
      <c r="J29" s="92">
        <f t="shared" si="29"/>
        <v>219248.59903923754</v>
      </c>
      <c r="K29" s="92">
        <f t="shared" ref="K29:AK29" si="42">((K36/SUM(K$33:K$36))*K$20)+((K36/SUM(K$32:K$36))*K$21)+((K36/SUM(K$32:K$36))*K$22)</f>
        <v>220691.44119069993</v>
      </c>
      <c r="L29" s="92">
        <f t="shared" si="42"/>
        <v>211099.13468858023</v>
      </c>
      <c r="M29" s="92">
        <f t="shared" si="42"/>
        <v>305835.32359498658</v>
      </c>
      <c r="N29" s="92">
        <f t="shared" si="42"/>
        <v>179456.31563302164</v>
      </c>
      <c r="O29" s="92">
        <f t="shared" si="42"/>
        <v>88031.507669534825</v>
      </c>
      <c r="P29" s="92">
        <f t="shared" si="42"/>
        <v>157952.81970083324</v>
      </c>
      <c r="Q29" s="92">
        <f t="shared" si="42"/>
        <v>179326.23360338763</v>
      </c>
      <c r="R29" s="92">
        <f t="shared" si="42"/>
        <v>224376.62300349338</v>
      </c>
      <c r="S29" s="92">
        <f t="shared" si="42"/>
        <v>229237.80083886764</v>
      </c>
      <c r="T29" s="92">
        <f t="shared" si="42"/>
        <v>187690.97375526332</v>
      </c>
      <c r="U29" s="92">
        <f t="shared" si="42"/>
        <v>134933.1490566532</v>
      </c>
      <c r="V29" s="92">
        <f t="shared" si="42"/>
        <v>224233.92386081262</v>
      </c>
      <c r="W29" s="148">
        <f t="shared" si="42"/>
        <v>236924.97320868145</v>
      </c>
      <c r="X29" s="148">
        <f t="shared" ref="X29:AF29" si="43">((X36/SUM(X$33:X$36))*X$20)+((X36/SUM(X$32:X$36))*X$21)+((X36/SUM(X$32:X$36))*X$22)</f>
        <v>197481.82830541008</v>
      </c>
      <c r="Y29" s="148">
        <f t="shared" si="43"/>
        <v>157152.25657979064</v>
      </c>
      <c r="Z29" s="148">
        <f t="shared" si="43"/>
        <v>65631.21491405509</v>
      </c>
      <c r="AA29" s="148">
        <f t="shared" si="43"/>
        <v>19100.893038872688</v>
      </c>
      <c r="AB29" s="148">
        <f t="shared" si="43"/>
        <v>171308.39999530069</v>
      </c>
      <c r="AC29" s="148">
        <f t="shared" si="43"/>
        <v>297315.7808445819</v>
      </c>
      <c r="AD29" s="148">
        <f t="shared" si="43"/>
        <v>328052.70970157051</v>
      </c>
      <c r="AE29" s="148">
        <f t="shared" si="43"/>
        <v>172833.06900474778</v>
      </c>
      <c r="AF29" s="148">
        <f t="shared" si="43"/>
        <v>315240.85686993407</v>
      </c>
      <c r="AG29" s="148">
        <f t="shared" ref="AG29:AI29" si="44">((AG36/SUM(AG$33:AG$36))*AG$20)+((AG36/SUM(AG$32:AG$36))*AG$21)+((AG36/SUM(AG$32:AG$36))*AG$22)</f>
        <v>402043.51189253415</v>
      </c>
      <c r="AH29" s="148">
        <f t="shared" si="44"/>
        <v>228811.36705462018</v>
      </c>
      <c r="AI29" s="148">
        <f t="shared" si="44"/>
        <v>336324.45944977005</v>
      </c>
      <c r="AJ29" s="91">
        <f t="shared" si="42"/>
        <v>590435.18225632177</v>
      </c>
      <c r="AK29" s="148">
        <f t="shared" si="42"/>
        <v>919755.62481828453</v>
      </c>
      <c r="AL29" s="110">
        <f t="shared" ref="AL29" si="45">((AL36/SUM(AL$33:AL$36))*AL$20)+((AL36/SUM(AL$32:AL$36))*AL$21)+((AL36/SUM(AL$32:AL$36))*AL$22)</f>
        <v>65727.498251021025</v>
      </c>
    </row>
    <row r="30" spans="1:45" x14ac:dyDescent="0.25">
      <c r="B30" s="7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0"/>
      <c r="AK30" s="29"/>
      <c r="AL30" s="21"/>
    </row>
    <row r="31" spans="1:45" x14ac:dyDescent="0.25">
      <c r="A31" t="s">
        <v>65</v>
      </c>
      <c r="B31" s="79"/>
      <c r="C31" s="29"/>
      <c r="D31" s="30" t="s">
        <v>16</v>
      </c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0"/>
      <c r="AK31" s="29"/>
      <c r="AL31" s="21"/>
    </row>
    <row r="32" spans="1:45" x14ac:dyDescent="0.25">
      <c r="A32" s="97" t="s">
        <v>0</v>
      </c>
      <c r="B32" s="197">
        <v>1465786917</v>
      </c>
      <c r="C32" s="123">
        <v>1258624559</v>
      </c>
      <c r="D32" s="123">
        <v>1240891627</v>
      </c>
      <c r="E32" s="123">
        <v>1035032782</v>
      </c>
      <c r="F32" s="123">
        <v>807815978</v>
      </c>
      <c r="G32" s="123">
        <v>944347001</v>
      </c>
      <c r="H32" s="123">
        <v>1271891590</v>
      </c>
      <c r="I32" s="123">
        <v>1167342435</v>
      </c>
      <c r="J32" s="123">
        <v>1279101600</v>
      </c>
      <c r="K32" s="125">
        <v>889369457</v>
      </c>
      <c r="L32" s="75">
        <v>847264579</v>
      </c>
      <c r="M32" s="75">
        <v>1279609957</v>
      </c>
      <c r="N32" s="75">
        <v>1638413028</v>
      </c>
      <c r="O32" s="75">
        <v>1541079708</v>
      </c>
      <c r="P32" s="75">
        <v>1287246250</v>
      </c>
      <c r="Q32" s="75">
        <v>925234299</v>
      </c>
      <c r="R32" s="75">
        <v>790501119</v>
      </c>
      <c r="S32" s="75">
        <v>1029996190</v>
      </c>
      <c r="T32" s="75">
        <v>1248568727</v>
      </c>
      <c r="U32" s="75">
        <v>1150716602</v>
      </c>
      <c r="V32" s="75">
        <v>1229322682</v>
      </c>
      <c r="W32" s="125">
        <v>785555738</v>
      </c>
      <c r="X32" s="125">
        <v>849992194</v>
      </c>
      <c r="Y32" s="125">
        <v>1279405271</v>
      </c>
      <c r="Z32" s="125">
        <v>1492543707</v>
      </c>
      <c r="AA32" s="125">
        <v>1325969845</v>
      </c>
      <c r="AB32" s="125">
        <v>1307749393</v>
      </c>
      <c r="AC32" s="125">
        <v>830259747</v>
      </c>
      <c r="AD32" s="125">
        <v>722025042</v>
      </c>
      <c r="AE32" s="125">
        <v>941397349</v>
      </c>
      <c r="AF32" s="125">
        <v>1205725340</v>
      </c>
      <c r="AG32" s="125">
        <v>1301031443</v>
      </c>
      <c r="AH32" s="125">
        <v>1102427782</v>
      </c>
      <c r="AI32" s="125">
        <v>655448567</v>
      </c>
      <c r="AJ32" s="218">
        <v>798876088.79999995</v>
      </c>
      <c r="AK32" s="219">
        <v>1160967676</v>
      </c>
      <c r="AL32" s="220">
        <v>1533781898</v>
      </c>
      <c r="AM32" s="155"/>
      <c r="AN32" s="109"/>
      <c r="AP32" s="109"/>
    </row>
    <row r="33" spans="1:42" x14ac:dyDescent="0.25">
      <c r="A33" s="97" t="s">
        <v>4</v>
      </c>
      <c r="B33" s="197">
        <v>325901588</v>
      </c>
      <c r="C33" s="123">
        <v>296136287</v>
      </c>
      <c r="D33" s="123">
        <v>292478502</v>
      </c>
      <c r="E33" s="123">
        <v>273528114</v>
      </c>
      <c r="F33" s="123">
        <v>241856477</v>
      </c>
      <c r="G33" s="123">
        <v>272986921</v>
      </c>
      <c r="H33" s="123">
        <v>318157752</v>
      </c>
      <c r="I33" s="123">
        <v>303270886</v>
      </c>
      <c r="J33" s="123">
        <v>320343747</v>
      </c>
      <c r="K33" s="125">
        <v>270802461</v>
      </c>
      <c r="L33" s="75">
        <v>248994298</v>
      </c>
      <c r="M33" s="75">
        <v>302915000</v>
      </c>
      <c r="N33" s="75">
        <v>352594842</v>
      </c>
      <c r="O33" s="75">
        <v>339012831</v>
      </c>
      <c r="P33" s="75">
        <v>303288040</v>
      </c>
      <c r="Q33" s="75">
        <v>257023625</v>
      </c>
      <c r="R33" s="75">
        <v>244988768</v>
      </c>
      <c r="S33" s="75">
        <v>279984334</v>
      </c>
      <c r="T33" s="75">
        <v>312394516</v>
      </c>
      <c r="U33" s="75">
        <v>295738280</v>
      </c>
      <c r="V33" s="75">
        <v>311541080</v>
      </c>
      <c r="W33" s="125">
        <v>249069162</v>
      </c>
      <c r="X33" s="125">
        <v>247740861</v>
      </c>
      <c r="Y33" s="125">
        <v>302691750</v>
      </c>
      <c r="Z33" s="125">
        <v>334036440</v>
      </c>
      <c r="AA33" s="125">
        <v>306946461</v>
      </c>
      <c r="AB33" s="125">
        <v>307030879</v>
      </c>
      <c r="AC33" s="125">
        <v>246725474</v>
      </c>
      <c r="AD33" s="125">
        <v>237598172</v>
      </c>
      <c r="AE33" s="125">
        <v>266398876</v>
      </c>
      <c r="AF33" s="125">
        <v>308472355</v>
      </c>
      <c r="AG33" s="125">
        <v>320995500</v>
      </c>
      <c r="AH33" s="125">
        <v>300334967</v>
      </c>
      <c r="AI33" s="125">
        <v>215508871</v>
      </c>
      <c r="AJ33" s="218">
        <v>253392680.40000001</v>
      </c>
      <c r="AK33" s="219">
        <v>299344172.5</v>
      </c>
      <c r="AL33" s="220">
        <v>335393603.60000002</v>
      </c>
      <c r="AM33" s="155"/>
      <c r="AN33" s="109"/>
      <c r="AP33" s="109"/>
    </row>
    <row r="34" spans="1:42" x14ac:dyDescent="0.25">
      <c r="A34" s="97" t="s">
        <v>5</v>
      </c>
      <c r="B34" s="197">
        <v>686220126</v>
      </c>
      <c r="C34" s="123">
        <v>631314984</v>
      </c>
      <c r="D34" s="123">
        <v>623554781</v>
      </c>
      <c r="E34" s="123">
        <v>620680817</v>
      </c>
      <c r="F34" s="123">
        <v>592390159</v>
      </c>
      <c r="G34" s="123">
        <v>664115114</v>
      </c>
      <c r="H34" s="123">
        <v>719440843</v>
      </c>
      <c r="I34" s="123">
        <v>704823737</v>
      </c>
      <c r="J34" s="123">
        <v>749644335</v>
      </c>
      <c r="K34" s="125">
        <v>661172164</v>
      </c>
      <c r="L34" s="75">
        <v>602604173</v>
      </c>
      <c r="M34" s="75">
        <v>657948623</v>
      </c>
      <c r="N34" s="75">
        <v>716761069</v>
      </c>
      <c r="O34" s="75">
        <v>680183948</v>
      </c>
      <c r="P34" s="75">
        <v>639284595</v>
      </c>
      <c r="Q34" s="75">
        <v>593560463</v>
      </c>
      <c r="R34" s="75">
        <v>608070954</v>
      </c>
      <c r="S34" s="75">
        <v>680639449</v>
      </c>
      <c r="T34" s="75">
        <v>723525044</v>
      </c>
      <c r="U34" s="75">
        <v>695509486</v>
      </c>
      <c r="V34" s="75">
        <v>745704300</v>
      </c>
      <c r="W34" s="125">
        <v>632722237</v>
      </c>
      <c r="X34" s="125">
        <v>603165377</v>
      </c>
      <c r="Y34" s="125">
        <v>655419599</v>
      </c>
      <c r="Z34" s="125">
        <v>703533818</v>
      </c>
      <c r="AA34" s="125">
        <v>646467549</v>
      </c>
      <c r="AB34" s="125">
        <v>643179731</v>
      </c>
      <c r="AC34" s="125">
        <v>604582572</v>
      </c>
      <c r="AD34" s="125">
        <v>601582129</v>
      </c>
      <c r="AE34" s="125">
        <v>663545890</v>
      </c>
      <c r="AF34" s="125">
        <v>723402560</v>
      </c>
      <c r="AG34" s="125">
        <v>739936183</v>
      </c>
      <c r="AH34" s="125">
        <v>719609868</v>
      </c>
      <c r="AI34" s="125">
        <v>551957863</v>
      </c>
      <c r="AJ34" s="218">
        <v>610235995.5</v>
      </c>
      <c r="AK34" s="219">
        <v>660213917.20000005</v>
      </c>
      <c r="AL34" s="220">
        <v>698247156.89999998</v>
      </c>
      <c r="AM34" s="155"/>
      <c r="AN34" s="109"/>
      <c r="AP34" s="109"/>
    </row>
    <row r="35" spans="1:42" x14ac:dyDescent="0.25">
      <c r="A35" s="97" t="s">
        <v>6</v>
      </c>
      <c r="B35" s="197">
        <v>275082339</v>
      </c>
      <c r="C35" s="123">
        <v>268876047</v>
      </c>
      <c r="D35" s="123">
        <v>265656749</v>
      </c>
      <c r="E35" s="123">
        <v>258430820</v>
      </c>
      <c r="F35" s="123">
        <v>259838981</v>
      </c>
      <c r="G35" s="123">
        <v>282796191</v>
      </c>
      <c r="H35" s="123">
        <v>300487189</v>
      </c>
      <c r="I35" s="123">
        <v>295877993</v>
      </c>
      <c r="J35" s="123">
        <v>316750366</v>
      </c>
      <c r="K35" s="125">
        <v>288756267</v>
      </c>
      <c r="L35" s="75">
        <v>262394929</v>
      </c>
      <c r="M35" s="75">
        <v>273811707</v>
      </c>
      <c r="N35" s="75">
        <v>279886664</v>
      </c>
      <c r="O35" s="75">
        <v>281078151</v>
      </c>
      <c r="P35" s="75">
        <v>275029268</v>
      </c>
      <c r="Q35" s="75">
        <v>268414312</v>
      </c>
      <c r="R35" s="75">
        <v>262773388</v>
      </c>
      <c r="S35" s="75">
        <v>288764106</v>
      </c>
      <c r="T35" s="75">
        <v>302728162</v>
      </c>
      <c r="U35" s="75">
        <v>306820642</v>
      </c>
      <c r="V35" s="75">
        <v>304848930</v>
      </c>
      <c r="W35" s="125">
        <v>286852168</v>
      </c>
      <c r="X35" s="125">
        <v>274220171</v>
      </c>
      <c r="Y35" s="125">
        <v>275101320</v>
      </c>
      <c r="Z35" s="125">
        <v>282982862</v>
      </c>
      <c r="AA35" s="125">
        <v>262265561</v>
      </c>
      <c r="AB35" s="125">
        <v>264266529</v>
      </c>
      <c r="AC35" s="125">
        <v>281771369</v>
      </c>
      <c r="AD35" s="125">
        <v>267227392</v>
      </c>
      <c r="AE35" s="125">
        <v>274739279</v>
      </c>
      <c r="AF35" s="125">
        <v>325673733</v>
      </c>
      <c r="AG35" s="125">
        <v>295472343</v>
      </c>
      <c r="AH35" s="125">
        <v>305800743</v>
      </c>
      <c r="AI35" s="125">
        <v>239379821</v>
      </c>
      <c r="AJ35" s="218">
        <v>265313376.90000001</v>
      </c>
      <c r="AK35" s="219">
        <v>274504906.30000001</v>
      </c>
      <c r="AL35" s="220">
        <v>279718270.19999999</v>
      </c>
      <c r="AM35" s="155"/>
      <c r="AN35" s="109"/>
      <c r="AP35" s="109"/>
    </row>
    <row r="36" spans="1:42" x14ac:dyDescent="0.25">
      <c r="A36" s="97" t="s">
        <v>7</v>
      </c>
      <c r="B36" s="197">
        <v>222350474</v>
      </c>
      <c r="C36" s="123">
        <v>202969844</v>
      </c>
      <c r="D36" s="123">
        <v>174668201</v>
      </c>
      <c r="E36" s="123">
        <v>194770821</v>
      </c>
      <c r="F36" s="123">
        <v>215628859</v>
      </c>
      <c r="G36" s="123">
        <v>223526225</v>
      </c>
      <c r="H36" s="123">
        <v>230303866</v>
      </c>
      <c r="I36" s="123">
        <v>248744484</v>
      </c>
      <c r="J36" s="123">
        <v>241724893</v>
      </c>
      <c r="K36" s="125">
        <v>234536266</v>
      </c>
      <c r="L36" s="75">
        <v>217298734</v>
      </c>
      <c r="M36" s="75">
        <v>210771447</v>
      </c>
      <c r="N36" s="75">
        <v>208486162</v>
      </c>
      <c r="O36" s="75">
        <v>156767225</v>
      </c>
      <c r="P36" s="75">
        <v>143302454</v>
      </c>
      <c r="Q36" s="75">
        <v>145332468</v>
      </c>
      <c r="R36" s="75">
        <v>144832077</v>
      </c>
      <c r="S36" s="75">
        <v>157361233</v>
      </c>
      <c r="T36" s="75">
        <v>170156763</v>
      </c>
      <c r="U36" s="75">
        <v>167775249</v>
      </c>
      <c r="V36" s="75">
        <v>176113486</v>
      </c>
      <c r="W36" s="125">
        <v>164171541</v>
      </c>
      <c r="X36" s="125">
        <v>158247195</v>
      </c>
      <c r="Y36" s="125">
        <v>140728266</v>
      </c>
      <c r="Z36" s="125">
        <v>149025875</v>
      </c>
      <c r="AA36" s="125">
        <v>131120446</v>
      </c>
      <c r="AB36" s="125">
        <v>132373444</v>
      </c>
      <c r="AC36" s="125">
        <v>143255574</v>
      </c>
      <c r="AD36" s="125">
        <v>140993162</v>
      </c>
      <c r="AE36" s="125">
        <v>152970163</v>
      </c>
      <c r="AF36" s="125">
        <v>176278130</v>
      </c>
      <c r="AG36" s="125">
        <v>163379548</v>
      </c>
      <c r="AH36" s="125">
        <v>172140181</v>
      </c>
      <c r="AI36" s="125">
        <v>151791537</v>
      </c>
      <c r="AJ36" s="218">
        <v>157921901.30000001</v>
      </c>
      <c r="AK36" s="219">
        <v>153113708.19999999</v>
      </c>
      <c r="AL36" s="220">
        <v>154878616</v>
      </c>
      <c r="AM36" s="155"/>
      <c r="AN36" s="109"/>
      <c r="AP36" s="109"/>
    </row>
    <row r="37" spans="1:42" x14ac:dyDescent="0.25">
      <c r="B37" s="7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0"/>
      <c r="AK37" s="29"/>
      <c r="AL37" s="21"/>
    </row>
    <row r="38" spans="1:42" x14ac:dyDescent="0.25">
      <c r="A38" t="s">
        <v>66</v>
      </c>
      <c r="B38" s="79"/>
      <c r="C38" s="29"/>
      <c r="D38" s="30" t="s">
        <v>15</v>
      </c>
      <c r="E38" s="29"/>
      <c r="F38" s="29"/>
      <c r="G38" s="29"/>
      <c r="H38" s="29"/>
      <c r="I38" s="29"/>
      <c r="J38" s="29"/>
      <c r="K38" s="29"/>
      <c r="L38" s="29"/>
      <c r="M38" s="29"/>
      <c r="N38" s="87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0"/>
      <c r="AK38" s="29"/>
      <c r="AL38" s="21"/>
      <c r="AM38" s="3" t="s">
        <v>95</v>
      </c>
      <c r="AN38" s="97"/>
    </row>
    <row r="39" spans="1:42" x14ac:dyDescent="0.25">
      <c r="A39" s="97" t="str">
        <f>A32</f>
        <v>RES</v>
      </c>
      <c r="B39" s="133">
        <v>1107718.26</v>
      </c>
      <c r="C39" s="119">
        <v>2380405.9</v>
      </c>
      <c r="D39" s="119">
        <v>2356565.5</v>
      </c>
      <c r="E39" s="119">
        <v>1966252.23</v>
      </c>
      <c r="F39" s="119">
        <v>1534586.76</v>
      </c>
      <c r="G39" s="119">
        <v>1794220.79</v>
      </c>
      <c r="H39" s="119">
        <v>2416344.7400000002</v>
      </c>
      <c r="I39" s="119">
        <v>2217668.92</v>
      </c>
      <c r="J39" s="119">
        <v>2430216.25</v>
      </c>
      <c r="K39" s="120">
        <v>1689802.53</v>
      </c>
      <c r="L39" s="120">
        <v>1609769.97</v>
      </c>
      <c r="M39" s="120">
        <v>2431206.77</v>
      </c>
      <c r="N39" s="120">
        <v>3044849.46</v>
      </c>
      <c r="O39" s="120">
        <v>2230405.09</v>
      </c>
      <c r="P39" s="120">
        <v>1862851.87</v>
      </c>
      <c r="Q39" s="120">
        <v>1338973.0900000001</v>
      </c>
      <c r="R39" s="120">
        <v>1144195.04</v>
      </c>
      <c r="S39" s="120">
        <v>1490607.79</v>
      </c>
      <c r="T39" s="120">
        <v>1806740.8</v>
      </c>
      <c r="U39" s="120">
        <v>1665154.39</v>
      </c>
      <c r="V39" s="120">
        <v>1778880.4</v>
      </c>
      <c r="W39" s="120">
        <v>1136699.8999999999</v>
      </c>
      <c r="X39" s="120">
        <v>1229932.0900000001</v>
      </c>
      <c r="Y39" s="120">
        <v>1851286.59</v>
      </c>
      <c r="Z39" s="120">
        <v>2263861.69</v>
      </c>
      <c r="AA39" s="120">
        <v>2941083.49</v>
      </c>
      <c r="AB39" s="120">
        <v>2901686.48</v>
      </c>
      <c r="AC39" s="120">
        <v>1842230.14</v>
      </c>
      <c r="AD39" s="120">
        <v>1607800.44</v>
      </c>
      <c r="AE39" s="120">
        <v>2161450.6800000002</v>
      </c>
      <c r="AF39" s="120">
        <v>2768455.86</v>
      </c>
      <c r="AG39" s="120">
        <v>2987357.54</v>
      </c>
      <c r="AH39" s="120">
        <v>2531327.56</v>
      </c>
      <c r="AI39" s="120">
        <v>1839642.53</v>
      </c>
      <c r="AJ39" s="91">
        <f>AJ32*$AM39*(1-PPC!$B$14)</f>
        <v>1720411.2128363075</v>
      </c>
      <c r="AK39" s="148">
        <f>AK32*$AM39*(1-PPC!$B$14)</f>
        <v>2500189.748489202</v>
      </c>
      <c r="AL39" s="110">
        <f>AL32*$AM39*(1-PPC!$B$14)</f>
        <v>3303059.9017279712</v>
      </c>
      <c r="AM39" s="111">
        <v>2.2190000000000001E-3</v>
      </c>
      <c r="AN39" s="97"/>
    </row>
    <row r="40" spans="1:42" x14ac:dyDescent="0.25">
      <c r="A40" s="97" t="str">
        <f t="shared" ref="A40:A43" si="46">A33</f>
        <v>SGS</v>
      </c>
      <c r="B40" s="133">
        <v>176763.5</v>
      </c>
      <c r="C40" s="119">
        <v>413162.14</v>
      </c>
      <c r="D40" s="119">
        <v>409279.32</v>
      </c>
      <c r="E40" s="119">
        <v>383011.01</v>
      </c>
      <c r="F40" s="119">
        <v>338501.79</v>
      </c>
      <c r="G40" s="119">
        <v>382263.59</v>
      </c>
      <c r="H40" s="119">
        <v>445771.36</v>
      </c>
      <c r="I40" s="119">
        <v>424587.09</v>
      </c>
      <c r="J40" s="119">
        <v>448775.32</v>
      </c>
      <c r="K40" s="120">
        <v>378895.44</v>
      </c>
      <c r="L40" s="120">
        <v>348301.35</v>
      </c>
      <c r="M40" s="120">
        <v>423743.49</v>
      </c>
      <c r="N40" s="120">
        <v>479839.49</v>
      </c>
      <c r="O40" s="120">
        <v>311953.64</v>
      </c>
      <c r="P40" s="120">
        <v>279047.90999999997</v>
      </c>
      <c r="Q40" s="120">
        <v>236596.04</v>
      </c>
      <c r="R40" s="120">
        <v>225457.33</v>
      </c>
      <c r="S40" s="120">
        <v>257574.43</v>
      </c>
      <c r="T40" s="120">
        <v>287416.02</v>
      </c>
      <c r="U40" s="120">
        <v>272268.46999999997</v>
      </c>
      <c r="V40" s="120">
        <v>286665.2</v>
      </c>
      <c r="W40" s="120">
        <v>229160.71</v>
      </c>
      <c r="X40" s="120">
        <v>227951.17</v>
      </c>
      <c r="Y40" s="120">
        <v>278490.44</v>
      </c>
      <c r="Z40" s="120">
        <v>331838.53000000003</v>
      </c>
      <c r="AA40" s="120">
        <v>563692.72</v>
      </c>
      <c r="AB40" s="120">
        <v>564096.18999999994</v>
      </c>
      <c r="AC40" s="120">
        <v>453395.77</v>
      </c>
      <c r="AD40" s="120">
        <v>429276.49</v>
      </c>
      <c r="AE40" s="120">
        <v>497419.58</v>
      </c>
      <c r="AF40" s="120">
        <v>567374.80000000005</v>
      </c>
      <c r="AG40" s="120">
        <v>589954.59</v>
      </c>
      <c r="AH40" s="120">
        <v>551970.88</v>
      </c>
      <c r="AI40" s="120">
        <v>474949.04</v>
      </c>
      <c r="AJ40" s="91">
        <f t="shared" ref="AJ40:AL40" si="47">AJ33*$AM40</f>
        <v>465735.7465752</v>
      </c>
      <c r="AK40" s="148">
        <f t="shared" si="47"/>
        <v>550194.58905499999</v>
      </c>
      <c r="AL40" s="110">
        <f t="shared" si="47"/>
        <v>616453.4434168</v>
      </c>
      <c r="AM40" s="111">
        <v>1.838E-3</v>
      </c>
      <c r="AN40" s="97"/>
    </row>
    <row r="41" spans="1:42" x14ac:dyDescent="0.25">
      <c r="A41" s="97" t="str">
        <f t="shared" si="46"/>
        <v>LGS</v>
      </c>
      <c r="B41" s="133">
        <v>346914.24</v>
      </c>
      <c r="C41" s="119">
        <v>878081.19</v>
      </c>
      <c r="D41" s="119">
        <v>872674.48</v>
      </c>
      <c r="E41" s="119">
        <v>867208.47</v>
      </c>
      <c r="F41" s="119">
        <v>829232.74</v>
      </c>
      <c r="G41" s="119">
        <v>930044.46</v>
      </c>
      <c r="H41" s="119">
        <v>1007202.71</v>
      </c>
      <c r="I41" s="119">
        <v>986634.58</v>
      </c>
      <c r="J41" s="119">
        <v>1049361.68</v>
      </c>
      <c r="K41" s="120">
        <v>925531.64</v>
      </c>
      <c r="L41" s="120">
        <v>840413.16</v>
      </c>
      <c r="M41" s="120">
        <v>921008.11</v>
      </c>
      <c r="N41" s="120">
        <v>980504.73</v>
      </c>
      <c r="O41" s="120">
        <v>638225.65</v>
      </c>
      <c r="P41" s="120">
        <v>596176.12</v>
      </c>
      <c r="Q41" s="120">
        <v>553536.92000000004</v>
      </c>
      <c r="R41" s="120">
        <v>567096.05000000005</v>
      </c>
      <c r="S41" s="120">
        <v>634633.59</v>
      </c>
      <c r="T41" s="120">
        <v>674676.81</v>
      </c>
      <c r="U41" s="120">
        <v>650087.44999999995</v>
      </c>
      <c r="V41" s="120">
        <v>695339.29</v>
      </c>
      <c r="W41" s="120">
        <v>589990.03</v>
      </c>
      <c r="X41" s="120">
        <v>562437.71</v>
      </c>
      <c r="Y41" s="120">
        <v>611174.01</v>
      </c>
      <c r="Z41" s="120">
        <v>696073.5</v>
      </c>
      <c r="AA41" s="120">
        <v>1191333.69</v>
      </c>
      <c r="AB41" s="120">
        <v>1191658.25</v>
      </c>
      <c r="AC41" s="120">
        <v>1119585.45</v>
      </c>
      <c r="AD41" s="120">
        <v>1114044.69</v>
      </c>
      <c r="AE41" s="120">
        <v>1228925.96</v>
      </c>
      <c r="AF41" s="120">
        <v>1339425.54</v>
      </c>
      <c r="AG41" s="120">
        <v>1370295.17</v>
      </c>
      <c r="AH41" s="120">
        <v>1332203.95</v>
      </c>
      <c r="AI41" s="120">
        <v>1199860.52</v>
      </c>
      <c r="AJ41" s="91">
        <f t="shared" ref="AJ41:AL41" si="48">AJ34*$AM41</f>
        <v>1130767.2996614999</v>
      </c>
      <c r="AK41" s="148">
        <f t="shared" si="48"/>
        <v>1223376.3885716002</v>
      </c>
      <c r="AL41" s="110">
        <f t="shared" si="48"/>
        <v>1293851.9817357</v>
      </c>
      <c r="AM41" s="111">
        <v>1.853E-3</v>
      </c>
      <c r="AN41" s="97"/>
    </row>
    <row r="42" spans="1:42" x14ac:dyDescent="0.25">
      <c r="A42" s="97" t="str">
        <f t="shared" si="46"/>
        <v>SPS</v>
      </c>
      <c r="B42" s="133">
        <v>111929.55</v>
      </c>
      <c r="C42" s="119">
        <v>367450.68</v>
      </c>
      <c r="D42" s="119">
        <v>371919.28</v>
      </c>
      <c r="E42" s="119">
        <v>361803.21</v>
      </c>
      <c r="F42" s="119">
        <v>363774.61</v>
      </c>
      <c r="G42" s="119">
        <v>395914.62</v>
      </c>
      <c r="H42" s="119">
        <v>420682.15</v>
      </c>
      <c r="I42" s="119">
        <v>414229.21</v>
      </c>
      <c r="J42" s="119">
        <v>443450.42</v>
      </c>
      <c r="K42" s="120">
        <v>404258.7</v>
      </c>
      <c r="L42" s="120">
        <v>367352.94</v>
      </c>
      <c r="M42" s="120">
        <v>383336.4</v>
      </c>
      <c r="N42" s="120">
        <v>387055.86</v>
      </c>
      <c r="O42" s="120">
        <v>281373.17</v>
      </c>
      <c r="P42" s="120">
        <v>256969.51</v>
      </c>
      <c r="Q42" s="120">
        <v>251235.75</v>
      </c>
      <c r="R42" s="120">
        <v>245955.65</v>
      </c>
      <c r="S42" s="120">
        <v>270283.28000000003</v>
      </c>
      <c r="T42" s="120">
        <v>283353.57</v>
      </c>
      <c r="U42" s="120">
        <v>286970.59000000003</v>
      </c>
      <c r="V42" s="120">
        <v>285338.65000000002</v>
      </c>
      <c r="W42" s="120">
        <v>268493.68</v>
      </c>
      <c r="X42" s="120">
        <v>256670.07999999999</v>
      </c>
      <c r="Y42" s="120">
        <v>257494.85</v>
      </c>
      <c r="Z42" s="120">
        <v>285843.36</v>
      </c>
      <c r="AA42" s="120">
        <v>453228.32</v>
      </c>
      <c r="AB42" s="120">
        <v>491007.15</v>
      </c>
      <c r="AC42" s="120">
        <v>520746.29</v>
      </c>
      <c r="AD42" s="120">
        <v>490261.1</v>
      </c>
      <c r="AE42" s="120">
        <v>510465.61</v>
      </c>
      <c r="AF42" s="120">
        <v>605101.71</v>
      </c>
      <c r="AG42" s="120">
        <v>548987.65</v>
      </c>
      <c r="AH42" s="120">
        <v>567912.06999999995</v>
      </c>
      <c r="AI42" s="120">
        <v>528878.99</v>
      </c>
      <c r="AJ42" s="91">
        <f t="shared" ref="AJ42:AL42" si="49">AJ35*$AM42</f>
        <v>492952.25428020005</v>
      </c>
      <c r="AK42" s="148">
        <f t="shared" si="49"/>
        <v>510030.11590540002</v>
      </c>
      <c r="AL42" s="110">
        <f t="shared" si="49"/>
        <v>519716.54603159998</v>
      </c>
      <c r="AM42" s="111">
        <v>1.8580000000000001E-3</v>
      </c>
      <c r="AN42" s="97"/>
    </row>
    <row r="43" spans="1:42" x14ac:dyDescent="0.25">
      <c r="A43" s="97" t="str">
        <f t="shared" si="46"/>
        <v>LPS</v>
      </c>
      <c r="B43" s="133">
        <v>41788.94</v>
      </c>
      <c r="C43" s="119">
        <v>285047.94</v>
      </c>
      <c r="D43" s="119">
        <v>253563.47</v>
      </c>
      <c r="E43" s="119">
        <v>281056.7</v>
      </c>
      <c r="F43" s="119">
        <v>312400.05</v>
      </c>
      <c r="G43" s="119">
        <v>321763.07</v>
      </c>
      <c r="H43" s="119">
        <v>331321.96999999997</v>
      </c>
      <c r="I43" s="119">
        <v>358377.12</v>
      </c>
      <c r="J43" s="119">
        <v>273390.28000000003</v>
      </c>
      <c r="K43" s="120">
        <v>328350.77</v>
      </c>
      <c r="L43" s="120">
        <v>304218.23</v>
      </c>
      <c r="M43" s="120">
        <v>298776.55</v>
      </c>
      <c r="N43" s="120">
        <v>283191.44</v>
      </c>
      <c r="O43" s="120">
        <v>156101.65</v>
      </c>
      <c r="P43" s="120">
        <v>115931.68</v>
      </c>
      <c r="Q43" s="120">
        <v>117573.95</v>
      </c>
      <c r="R43" s="120">
        <v>117169.12</v>
      </c>
      <c r="S43" s="120">
        <v>127305.31</v>
      </c>
      <c r="T43" s="120">
        <v>137656.84</v>
      </c>
      <c r="U43" s="120">
        <v>135730.12</v>
      </c>
      <c r="V43" s="120">
        <v>142475.79999999999</v>
      </c>
      <c r="W43" s="120">
        <v>132814.78</v>
      </c>
      <c r="X43" s="120">
        <v>128022</v>
      </c>
      <c r="Y43" s="120">
        <v>113849.14</v>
      </c>
      <c r="Z43" s="120">
        <v>126059.33</v>
      </c>
      <c r="AA43" s="120">
        <v>177939.42</v>
      </c>
      <c r="AB43" s="120">
        <v>241581.54</v>
      </c>
      <c r="AC43" s="120">
        <v>261441.4</v>
      </c>
      <c r="AD43" s="120">
        <v>257312.48</v>
      </c>
      <c r="AE43" s="120">
        <v>279170.5</v>
      </c>
      <c r="AF43" s="120">
        <v>321707.65000000002</v>
      </c>
      <c r="AG43" s="120">
        <v>298167.67999999999</v>
      </c>
      <c r="AH43" s="120">
        <v>308517.84000000003</v>
      </c>
      <c r="AI43" s="120">
        <v>283684.13</v>
      </c>
      <c r="AJ43" s="91">
        <f t="shared" ref="AJ43:AL43" si="50">AJ36*$AM43</f>
        <v>288207.46987250005</v>
      </c>
      <c r="AK43" s="148">
        <f t="shared" si="50"/>
        <v>279432.51746499998</v>
      </c>
      <c r="AL43" s="110">
        <f t="shared" si="50"/>
        <v>282653.4742</v>
      </c>
      <c r="AM43" s="111">
        <v>1.825E-3</v>
      </c>
      <c r="AN43" s="97"/>
    </row>
    <row r="44" spans="1:42" x14ac:dyDescent="0.25">
      <c r="A44" s="97"/>
      <c r="B44" s="79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118"/>
      <c r="AK44" s="31"/>
      <c r="AL44" s="21"/>
    </row>
    <row r="45" spans="1:42" ht="15.75" thickBot="1" x14ac:dyDescent="0.3">
      <c r="A45" s="97" t="s">
        <v>67</v>
      </c>
      <c r="B45" s="136">
        <v>451.8</v>
      </c>
      <c r="C45" s="121">
        <v>-3539.64</v>
      </c>
      <c r="D45" s="121">
        <v>-2786.78</v>
      </c>
      <c r="E45" s="121">
        <v>-8344.27</v>
      </c>
      <c r="F45" s="121">
        <v>-4809.13</v>
      </c>
      <c r="G45" s="121">
        <v>14362.8</v>
      </c>
      <c r="H45" s="121">
        <v>-575.25</v>
      </c>
      <c r="I45" s="121">
        <v>-4466.7700000000004</v>
      </c>
      <c r="J45" s="121">
        <v>-4966.68</v>
      </c>
      <c r="K45" s="122">
        <v>-3641.2</v>
      </c>
      <c r="L45" s="64">
        <v>-3294</v>
      </c>
      <c r="M45" s="64">
        <v>-4489.34</v>
      </c>
      <c r="N45" s="64">
        <v>-6850.11</v>
      </c>
      <c r="O45" s="64">
        <v>-6269.88</v>
      </c>
      <c r="P45" s="64">
        <v>-4461.57</v>
      </c>
      <c r="Q45" s="64">
        <v>-3933.08</v>
      </c>
      <c r="R45" s="64">
        <v>-3219.69</v>
      </c>
      <c r="S45" s="64">
        <v>-2935.88</v>
      </c>
      <c r="T45" s="64">
        <v>-2619.09</v>
      </c>
      <c r="U45" s="64">
        <v>-2726.19</v>
      </c>
      <c r="V45" s="64">
        <v>-2121.98</v>
      </c>
      <c r="W45" s="138">
        <v>-1929.38</v>
      </c>
      <c r="X45" s="138">
        <v>-2021.16</v>
      </c>
      <c r="Y45" s="138">
        <v>-2572.4699999999998</v>
      </c>
      <c r="Z45" s="138">
        <v>-3701.6</v>
      </c>
      <c r="AA45" s="138">
        <v>-4814.8500000000004</v>
      </c>
      <c r="AB45" s="138">
        <v>-5344.04</v>
      </c>
      <c r="AC45" s="138">
        <v>-3978.35</v>
      </c>
      <c r="AD45" s="138">
        <v>-1065.24</v>
      </c>
      <c r="AE45" s="138">
        <v>-2569.27</v>
      </c>
      <c r="AF45" s="138">
        <v>-6440.12</v>
      </c>
      <c r="AG45" s="138">
        <v>-7617.08</v>
      </c>
      <c r="AH45" s="138">
        <v>-8109.64</v>
      </c>
      <c r="AI45" s="138">
        <v>-7763.87</v>
      </c>
      <c r="AJ45" s="218">
        <v>-6358.9581359869435</v>
      </c>
      <c r="AK45" s="219">
        <v>-3700.874506590746</v>
      </c>
      <c r="AL45" s="221">
        <v>-6067.0640294276391</v>
      </c>
      <c r="AM45" s="97"/>
    </row>
    <row r="46" spans="1:42" x14ac:dyDescent="0.25">
      <c r="B46" s="156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1"/>
      <c r="AJ46" s="158"/>
      <c r="AK46" s="159"/>
      <c r="AL46" s="160"/>
    </row>
    <row r="47" spans="1:42" x14ac:dyDescent="0.25">
      <c r="A47" t="s">
        <v>55</v>
      </c>
      <c r="B47" s="7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1"/>
      <c r="AJ47" s="20"/>
      <c r="AK47" s="29"/>
      <c r="AL47" s="21"/>
    </row>
    <row r="48" spans="1:42" x14ac:dyDescent="0.25">
      <c r="A48" t="s">
        <v>0</v>
      </c>
      <c r="B48" s="91">
        <f>B25-B39</f>
        <v>75112.546819702722</v>
      </c>
      <c r="C48" s="92">
        <f>C25-C39</f>
        <v>-1706954.7408129217</v>
      </c>
      <c r="D48" s="92">
        <f t="shared" ref="D48:J48" si="51">D25-D39</f>
        <v>-1324680.6027970568</v>
      </c>
      <c r="E48" s="92">
        <f t="shared" si="51"/>
        <v>-339435.9642459203</v>
      </c>
      <c r="F48" s="92">
        <f t="shared" si="51"/>
        <v>123052.17061041691</v>
      </c>
      <c r="G48" s="92">
        <f t="shared" si="51"/>
        <v>-418046.57007101714</v>
      </c>
      <c r="H48" s="92">
        <f t="shared" si="51"/>
        <v>-277641.76885201456</v>
      </c>
      <c r="I48" s="92">
        <f t="shared" si="51"/>
        <v>-78846.64983188035</v>
      </c>
      <c r="J48" s="92">
        <f t="shared" si="51"/>
        <v>-440681.03342316952</v>
      </c>
      <c r="K48" s="92">
        <f t="shared" ref="K48:AK48" si="52">K25-K39</f>
        <v>232126.02703196183</v>
      </c>
      <c r="L48" s="92">
        <f t="shared" si="52"/>
        <v>89364.767572361277</v>
      </c>
      <c r="M48" s="92">
        <f t="shared" si="52"/>
        <v>427082.92472730903</v>
      </c>
      <c r="N48" s="92">
        <f t="shared" si="52"/>
        <v>-1406057.6655024663</v>
      </c>
      <c r="O48" s="92">
        <f t="shared" si="52"/>
        <v>-1162107.9525416126</v>
      </c>
      <c r="P48" s="92">
        <f t="shared" si="52"/>
        <v>451795.5220329077</v>
      </c>
      <c r="Q48" s="92">
        <f t="shared" si="52"/>
        <v>581209.67054507486</v>
      </c>
      <c r="R48" s="92">
        <f t="shared" si="52"/>
        <v>894114.41728638485</v>
      </c>
      <c r="S48" s="92">
        <f t="shared" si="52"/>
        <v>688842.08471062221</v>
      </c>
      <c r="T48" s="92">
        <f t="shared" si="52"/>
        <v>670525.63692316622</v>
      </c>
      <c r="U48" s="92">
        <f t="shared" si="52"/>
        <v>210903.49844493135</v>
      </c>
      <c r="V48" s="92">
        <f t="shared" si="52"/>
        <v>313695.30971526378</v>
      </c>
      <c r="W48" s="148">
        <f t="shared" si="52"/>
        <v>423446.09999376908</v>
      </c>
      <c r="X48" s="92">
        <f>X25-X39</f>
        <v>519288.1237090202</v>
      </c>
      <c r="Y48" s="92">
        <f t="shared" ref="Y48:AF48" si="53">Y25-Y39</f>
        <v>-330603.05410861713</v>
      </c>
      <c r="Z48" s="92">
        <f t="shared" si="53"/>
        <v>-619645.02457048045</v>
      </c>
      <c r="AA48" s="92">
        <f t="shared" si="53"/>
        <v>-2050206.2319982818</v>
      </c>
      <c r="AB48" s="92">
        <f t="shared" si="53"/>
        <v>-1582692.3362198852</v>
      </c>
      <c r="AC48" s="92">
        <f t="shared" si="53"/>
        <v>-510580.33303121827</v>
      </c>
      <c r="AD48" s="92">
        <f t="shared" si="53"/>
        <v>254743.7323414518</v>
      </c>
      <c r="AE48" s="92">
        <f t="shared" si="53"/>
        <v>-255728.86359159602</v>
      </c>
      <c r="AF48" s="92">
        <f t="shared" si="53"/>
        <v>-912438.83006277913</v>
      </c>
      <c r="AG48" s="92">
        <f t="shared" ref="AG48:AI48" si="54">AG25-AG39</f>
        <v>-628674.14461349742</v>
      </c>
      <c r="AH48" s="92">
        <f t="shared" si="54"/>
        <v>-203401.12962668156</v>
      </c>
      <c r="AI48" s="146">
        <f t="shared" si="54"/>
        <v>336331.95419616229</v>
      </c>
      <c r="AJ48" s="91">
        <f t="shared" si="52"/>
        <v>739049.41344462382</v>
      </c>
      <c r="AK48" s="92">
        <f t="shared" si="52"/>
        <v>224608.80799931847</v>
      </c>
      <c r="AL48" s="110">
        <f t="shared" ref="AL48" si="55">AL25-AL39</f>
        <v>-3237151.6483352464</v>
      </c>
    </row>
    <row r="49" spans="1:38" x14ac:dyDescent="0.25">
      <c r="A49" t="s">
        <v>4</v>
      </c>
      <c r="B49" s="91">
        <f t="shared" ref="B49:J52" si="56">B26-B40</f>
        <v>41937.723530317249</v>
      </c>
      <c r="C49" s="92">
        <f t="shared" si="56"/>
        <v>-303808.5815693849</v>
      </c>
      <c r="D49" s="92">
        <f t="shared" si="56"/>
        <v>-258618.8593274554</v>
      </c>
      <c r="E49" s="92">
        <f t="shared" si="56"/>
        <v>-217267.3967490643</v>
      </c>
      <c r="F49" s="92">
        <f t="shared" si="56"/>
        <v>-56263.63073601824</v>
      </c>
      <c r="G49" s="92">
        <f t="shared" si="56"/>
        <v>-181538.12234731505</v>
      </c>
      <c r="H49" s="92">
        <f t="shared" si="56"/>
        <v>-243550.29945976444</v>
      </c>
      <c r="I49" s="92">
        <f t="shared" si="56"/>
        <v>-176803.99485039013</v>
      </c>
      <c r="J49" s="92">
        <f t="shared" si="56"/>
        <v>-158218.08003576531</v>
      </c>
      <c r="K49" s="92">
        <f t="shared" ref="K49:AK49" si="57">K26-K40</f>
        <v>-124078.62034415061</v>
      </c>
      <c r="L49" s="92">
        <f t="shared" si="57"/>
        <v>-106410.93544199114</v>
      </c>
      <c r="M49" s="92">
        <f t="shared" si="57"/>
        <v>15794.731924221793</v>
      </c>
      <c r="N49" s="92">
        <f t="shared" si="57"/>
        <v>-176340.34814075567</v>
      </c>
      <c r="O49" s="92">
        <f t="shared" si="57"/>
        <v>-121583.4230605395</v>
      </c>
      <c r="P49" s="92">
        <f t="shared" si="57"/>
        <v>55246.442695028498</v>
      </c>
      <c r="Q49" s="92">
        <f t="shared" si="57"/>
        <v>80546.29751496957</v>
      </c>
      <c r="R49" s="92">
        <f t="shared" si="57"/>
        <v>154083.95378360761</v>
      </c>
      <c r="S49" s="92">
        <f t="shared" si="57"/>
        <v>150295.99508427101</v>
      </c>
      <c r="T49" s="92">
        <f t="shared" si="57"/>
        <v>57169.936326897121</v>
      </c>
      <c r="U49" s="92">
        <f t="shared" si="57"/>
        <v>-34421.125681659934</v>
      </c>
      <c r="V49" s="92">
        <f t="shared" si="57"/>
        <v>109999.92996191181</v>
      </c>
      <c r="W49" s="148">
        <f t="shared" si="57"/>
        <v>130284.68580071765</v>
      </c>
      <c r="X49" s="92">
        <f t="shared" ref="X49:AF49" si="58">X26-X40</f>
        <v>81212.718663154315</v>
      </c>
      <c r="Y49" s="92">
        <f t="shared" si="58"/>
        <v>59527.59228774131</v>
      </c>
      <c r="Z49" s="92">
        <f t="shared" si="58"/>
        <v>-184728.38967862382</v>
      </c>
      <c r="AA49" s="92">
        <f t="shared" si="58"/>
        <v>-518978.47672918695</v>
      </c>
      <c r="AB49" s="92">
        <f t="shared" si="58"/>
        <v>-166758.42313914245</v>
      </c>
      <c r="AC49" s="92">
        <f t="shared" si="58"/>
        <v>58663.725545769092</v>
      </c>
      <c r="AD49" s="92">
        <f t="shared" si="58"/>
        <v>123549.78213325294</v>
      </c>
      <c r="AE49" s="92">
        <f t="shared" si="58"/>
        <v>-196429.27956804424</v>
      </c>
      <c r="AF49" s="92">
        <f t="shared" si="58"/>
        <v>-15729.003037628718</v>
      </c>
      <c r="AG49" s="92">
        <f t="shared" ref="AG49:AI49" si="59">AG26-AG40</f>
        <v>199949.40778618539</v>
      </c>
      <c r="AH49" s="92">
        <f t="shared" si="59"/>
        <v>-152761.03849545174</v>
      </c>
      <c r="AI49" s="146">
        <f t="shared" si="59"/>
        <v>2553.89579084859</v>
      </c>
      <c r="AJ49" s="91">
        <f t="shared" si="57"/>
        <v>481643.63654264936</v>
      </c>
      <c r="AK49" s="92">
        <f t="shared" si="57"/>
        <v>1247968.9434604375</v>
      </c>
      <c r="AL49" s="110">
        <f t="shared" ref="AL49" si="60">AL26-AL40</f>
        <v>-474118.86512987467</v>
      </c>
    </row>
    <row r="50" spans="1:38" x14ac:dyDescent="0.25">
      <c r="A50" t="s">
        <v>5</v>
      </c>
      <c r="B50" s="91">
        <f t="shared" si="56"/>
        <v>113584.22546721483</v>
      </c>
      <c r="C50" s="92">
        <f t="shared" si="56"/>
        <v>-644956.97313910956</v>
      </c>
      <c r="D50" s="92">
        <f t="shared" si="56"/>
        <v>-551471.21234914311</v>
      </c>
      <c r="E50" s="92">
        <f t="shared" si="56"/>
        <v>-491108.62497594219</v>
      </c>
      <c r="F50" s="92">
        <f t="shared" si="56"/>
        <v>-137933.87500306428</v>
      </c>
      <c r="G50" s="92">
        <f t="shared" si="56"/>
        <v>-441725.03303058038</v>
      </c>
      <c r="H50" s="92">
        <f t="shared" si="56"/>
        <v>-549926.1251836064</v>
      </c>
      <c r="I50" s="92">
        <f t="shared" si="56"/>
        <v>-410768.53036945744</v>
      </c>
      <c r="J50" s="92">
        <f t="shared" si="56"/>
        <v>-369421.48771516618</v>
      </c>
      <c r="K50" s="92">
        <f t="shared" ref="K50:AK50" si="61">K27-K41</f>
        <v>-303388.8889581043</v>
      </c>
      <c r="L50" s="92">
        <f t="shared" si="61"/>
        <v>-255001.46827782225</v>
      </c>
      <c r="M50" s="92">
        <f t="shared" si="61"/>
        <v>33693.928099500481</v>
      </c>
      <c r="N50" s="92">
        <f t="shared" si="61"/>
        <v>-363546.27387030248</v>
      </c>
      <c r="O50" s="92">
        <f t="shared" si="61"/>
        <v>-256273.24614098883</v>
      </c>
      <c r="P50" s="92">
        <f t="shared" si="61"/>
        <v>108465.01874529454</v>
      </c>
      <c r="Q50" s="92">
        <f t="shared" si="61"/>
        <v>178859.38283903885</v>
      </c>
      <c r="R50" s="92">
        <f t="shared" si="61"/>
        <v>374939.0987815269</v>
      </c>
      <c r="S50" s="92">
        <f t="shared" si="61"/>
        <v>356895.81961601798</v>
      </c>
      <c r="T50" s="92">
        <f t="shared" si="61"/>
        <v>123405.60324313235</v>
      </c>
      <c r="U50" s="92">
        <f t="shared" si="61"/>
        <v>-90724.339504754986</v>
      </c>
      <c r="V50" s="92">
        <f t="shared" si="61"/>
        <v>254117.81874680298</v>
      </c>
      <c r="W50" s="148">
        <f t="shared" si="61"/>
        <v>323126.2027931246</v>
      </c>
      <c r="X50" s="92">
        <f t="shared" ref="X50:AF50" si="62">X27-X41</f>
        <v>190272.00735380163</v>
      </c>
      <c r="Y50" s="92">
        <f t="shared" si="62"/>
        <v>120737.72256886074</v>
      </c>
      <c r="Z50" s="92">
        <f t="shared" si="62"/>
        <v>-386236.17001644027</v>
      </c>
      <c r="AA50" s="92">
        <f t="shared" si="62"/>
        <v>-1097159.9140310623</v>
      </c>
      <c r="AB50" s="92">
        <f t="shared" si="62"/>
        <v>-359300.28379782196</v>
      </c>
      <c r="AC50" s="92">
        <f t="shared" si="62"/>
        <v>135178.56692548236</v>
      </c>
      <c r="AD50" s="92">
        <f t="shared" si="62"/>
        <v>285673.1738102301</v>
      </c>
      <c r="AE50" s="92">
        <f t="shared" si="62"/>
        <v>-479219.80590387865</v>
      </c>
      <c r="AF50" s="92">
        <f t="shared" si="62"/>
        <v>-45753.756232473534</v>
      </c>
      <c r="AG50" s="92">
        <f t="shared" ref="AG50:AI50" si="63">AG27-AG41</f>
        <v>450535.80444777431</v>
      </c>
      <c r="AH50" s="92">
        <f t="shared" si="63"/>
        <v>-375687.48367262469</v>
      </c>
      <c r="AI50" s="146">
        <f t="shared" si="63"/>
        <v>23112.338575937785</v>
      </c>
      <c r="AJ50" s="91">
        <f t="shared" si="61"/>
        <v>1150770.5887277047</v>
      </c>
      <c r="AK50" s="92">
        <f t="shared" si="61"/>
        <v>2742535.4234186811</v>
      </c>
      <c r="AL50" s="110">
        <f t="shared" ref="AL50" si="64">AL27-AL41</f>
        <v>-997529.35199367581</v>
      </c>
    </row>
    <row r="51" spans="1:38" x14ac:dyDescent="0.25">
      <c r="A51" t="s">
        <v>6</v>
      </c>
      <c r="B51" s="91">
        <f t="shared" si="56"/>
        <v>72668.642601876825</v>
      </c>
      <c r="C51" s="92">
        <f t="shared" si="56"/>
        <v>-268163.44703686325</v>
      </c>
      <c r="D51" s="92">
        <f t="shared" si="56"/>
        <v>-235075.14304148074</v>
      </c>
      <c r="E51" s="92">
        <f t="shared" si="56"/>
        <v>-205207.76079435754</v>
      </c>
      <c r="F51" s="92">
        <f t="shared" si="56"/>
        <v>-60551.489361933549</v>
      </c>
      <c r="G51" s="92">
        <f t="shared" si="56"/>
        <v>-187976.46134780202</v>
      </c>
      <c r="H51" s="92">
        <f t="shared" si="56"/>
        <v>-229692.49893427905</v>
      </c>
      <c r="I51" s="92">
        <f t="shared" si="56"/>
        <v>-172486.37124892182</v>
      </c>
      <c r="J51" s="92">
        <f t="shared" si="56"/>
        <v>-156152.43786513666</v>
      </c>
      <c r="K51" s="92">
        <f t="shared" ref="K51:AK51" si="65">K28-K42</f>
        <v>-132547.89892040682</v>
      </c>
      <c r="L51" s="92">
        <f t="shared" si="65"/>
        <v>-112444.21854112836</v>
      </c>
      <c r="M51" s="92">
        <f t="shared" si="65"/>
        <v>13972.121653982089</v>
      </c>
      <c r="N51" s="92">
        <f t="shared" si="65"/>
        <v>-146140.92811949717</v>
      </c>
      <c r="O51" s="92">
        <f t="shared" si="65"/>
        <v>-123535.75592639393</v>
      </c>
      <c r="P51" s="92">
        <f t="shared" si="65"/>
        <v>46177.066825935908</v>
      </c>
      <c r="Q51" s="92">
        <f t="shared" si="65"/>
        <v>79961.595497529022</v>
      </c>
      <c r="R51" s="92">
        <f t="shared" si="65"/>
        <v>161137.90714498729</v>
      </c>
      <c r="S51" s="92">
        <f t="shared" si="65"/>
        <v>150377.17975022114</v>
      </c>
      <c r="T51" s="92">
        <f t="shared" si="65"/>
        <v>50569.939751540718</v>
      </c>
      <c r="U51" s="92">
        <f t="shared" si="65"/>
        <v>-40210.262315169588</v>
      </c>
      <c r="V51" s="92">
        <f t="shared" si="65"/>
        <v>102805.79771520902</v>
      </c>
      <c r="W51" s="148">
        <f t="shared" si="65"/>
        <v>145478.44820370729</v>
      </c>
      <c r="X51" s="92">
        <f t="shared" ref="X51:AF51" si="66">X28-X42</f>
        <v>85538.201968613634</v>
      </c>
      <c r="Y51" s="92">
        <f t="shared" si="66"/>
        <v>49712.752672224335</v>
      </c>
      <c r="Z51" s="92">
        <f t="shared" si="66"/>
        <v>-161217.29064851056</v>
      </c>
      <c r="AA51" s="92">
        <f t="shared" si="66"/>
        <v>-415022.94028034178</v>
      </c>
      <c r="AB51" s="92">
        <f t="shared" si="66"/>
        <v>-149011.99683845096</v>
      </c>
      <c r="AC51" s="92">
        <f t="shared" si="66"/>
        <v>64048.229715385183</v>
      </c>
      <c r="AD51" s="92">
        <f t="shared" si="66"/>
        <v>131504.30201349466</v>
      </c>
      <c r="AE51" s="92">
        <f t="shared" si="66"/>
        <v>-200051.91994122916</v>
      </c>
      <c r="AF51" s="92">
        <f t="shared" si="66"/>
        <v>-22694.427537052659</v>
      </c>
      <c r="AG51" s="92">
        <f t="shared" ref="AG51:AI51" si="67">AG28-AG42</f>
        <v>178109.10048700368</v>
      </c>
      <c r="AH51" s="92">
        <f t="shared" si="67"/>
        <v>-161437.03525986231</v>
      </c>
      <c r="AI51" s="146">
        <f t="shared" si="67"/>
        <v>1514.801987281302</v>
      </c>
      <c r="AJ51" s="91">
        <f t="shared" si="65"/>
        <v>498995.98567549296</v>
      </c>
      <c r="AK51" s="92">
        <f t="shared" si="65"/>
        <v>1138923.6882820763</v>
      </c>
      <c r="AL51" s="110">
        <f t="shared" ref="AL51" si="68">AL28-AL42</f>
        <v>-401009.50570429536</v>
      </c>
    </row>
    <row r="52" spans="1:38" x14ac:dyDescent="0.25">
      <c r="A52" t="s">
        <v>7</v>
      </c>
      <c r="B52" s="91">
        <f t="shared" si="56"/>
        <v>107422.73158088839</v>
      </c>
      <c r="C52" s="92">
        <f t="shared" si="56"/>
        <v>-210097.73744172035</v>
      </c>
      <c r="D52" s="92">
        <f t="shared" si="56"/>
        <v>-163589.02248486393</v>
      </c>
      <c r="E52" s="92">
        <f t="shared" si="56"/>
        <v>-163035.85323471564</v>
      </c>
      <c r="F52" s="92">
        <f t="shared" si="56"/>
        <v>-60768.615509400552</v>
      </c>
      <c r="G52" s="92">
        <f t="shared" si="56"/>
        <v>-157405.72320328557</v>
      </c>
      <c r="H52" s="92">
        <f t="shared" si="56"/>
        <v>-184940.83757033569</v>
      </c>
      <c r="I52" s="92">
        <f t="shared" si="56"/>
        <v>-155144.03369934988</v>
      </c>
      <c r="J52" s="92">
        <f t="shared" si="56"/>
        <v>-54141.680960762489</v>
      </c>
      <c r="K52" s="92">
        <f t="shared" ref="K52:AK52" si="69">K29-K43</f>
        <v>-107659.32880930009</v>
      </c>
      <c r="L52" s="92">
        <f t="shared" si="69"/>
        <v>-93119.095311419747</v>
      </c>
      <c r="M52" s="92">
        <f t="shared" si="69"/>
        <v>7058.7735949865892</v>
      </c>
      <c r="N52" s="92">
        <f t="shared" si="69"/>
        <v>-103735.12436697836</v>
      </c>
      <c r="O52" s="92">
        <f t="shared" si="69"/>
        <v>-68070.142330465169</v>
      </c>
      <c r="P52" s="92">
        <f t="shared" si="69"/>
        <v>42021.139700833242</v>
      </c>
      <c r="Q52" s="92">
        <f t="shared" si="69"/>
        <v>61752.283603387637</v>
      </c>
      <c r="R52" s="92">
        <f t="shared" si="69"/>
        <v>107207.50300349339</v>
      </c>
      <c r="S52" s="92">
        <f t="shared" si="69"/>
        <v>101932.49083886764</v>
      </c>
      <c r="T52" s="92">
        <f t="shared" si="69"/>
        <v>50034.133755263319</v>
      </c>
      <c r="U52" s="92">
        <f t="shared" si="69"/>
        <v>-796.97094334679423</v>
      </c>
      <c r="V52" s="92">
        <f t="shared" si="69"/>
        <v>81758.12386081263</v>
      </c>
      <c r="W52" s="148">
        <f t="shared" si="69"/>
        <v>104110.19320868145</v>
      </c>
      <c r="X52" s="92">
        <f t="shared" ref="X52:AF52" si="70">X29-X43</f>
        <v>69459.828305410076</v>
      </c>
      <c r="Y52" s="92">
        <f t="shared" si="70"/>
        <v>43303.116579790643</v>
      </c>
      <c r="Z52" s="92">
        <f t="shared" si="70"/>
        <v>-60428.115085944912</v>
      </c>
      <c r="AA52" s="92">
        <f t="shared" si="70"/>
        <v>-158838.52696112733</v>
      </c>
      <c r="AB52" s="92">
        <f t="shared" si="70"/>
        <v>-70273.140004699322</v>
      </c>
      <c r="AC52" s="92">
        <f t="shared" si="70"/>
        <v>35874.380844581901</v>
      </c>
      <c r="AD52" s="92">
        <f t="shared" si="70"/>
        <v>70740.229701570497</v>
      </c>
      <c r="AE52" s="92">
        <f t="shared" si="70"/>
        <v>-106337.43099525222</v>
      </c>
      <c r="AF52" s="92">
        <f t="shared" si="70"/>
        <v>-6466.7931300659548</v>
      </c>
      <c r="AG52" s="92">
        <f t="shared" ref="AG52:AI52" si="71">AG29-AG43</f>
        <v>103875.83189253416</v>
      </c>
      <c r="AH52" s="92">
        <f t="shared" si="71"/>
        <v>-79706.47294537985</v>
      </c>
      <c r="AI52" s="146">
        <f t="shared" si="71"/>
        <v>52640.329449770041</v>
      </c>
      <c r="AJ52" s="91">
        <f t="shared" si="69"/>
        <v>302227.71238382172</v>
      </c>
      <c r="AK52" s="92">
        <f t="shared" si="69"/>
        <v>640323.10735328449</v>
      </c>
      <c r="AL52" s="110">
        <f t="shared" ref="AL52" si="72">AL29-AL43</f>
        <v>-216925.97594897897</v>
      </c>
    </row>
    <row r="53" spans="1:38" x14ac:dyDescent="0.25">
      <c r="B53" s="7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13"/>
      <c r="Y53" s="213"/>
      <c r="Z53" s="213"/>
      <c r="AA53" s="213"/>
      <c r="AB53" s="213"/>
      <c r="AC53" s="213"/>
      <c r="AD53" s="213"/>
      <c r="AE53" s="213"/>
      <c r="AF53" s="213"/>
      <c r="AG53" s="213"/>
      <c r="AH53" s="213"/>
      <c r="AI53" s="21"/>
      <c r="AJ53" s="20"/>
      <c r="AK53" s="29"/>
      <c r="AL53" s="21"/>
    </row>
    <row r="54" spans="1:38" x14ac:dyDescent="0.25">
      <c r="A54" t="s">
        <v>56</v>
      </c>
      <c r="B54" s="7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13"/>
      <c r="Y54" s="213"/>
      <c r="Z54" s="213"/>
      <c r="AA54" s="213"/>
      <c r="AB54" s="213"/>
      <c r="AC54" s="213"/>
      <c r="AD54" s="213"/>
      <c r="AE54" s="213"/>
      <c r="AF54" s="213"/>
      <c r="AG54" s="213"/>
      <c r="AH54" s="213"/>
      <c r="AI54" s="21"/>
      <c r="AJ54" s="20"/>
      <c r="AK54" s="29"/>
      <c r="AL54" s="21"/>
    </row>
    <row r="55" spans="1:38" x14ac:dyDescent="0.25">
      <c r="A55" t="s">
        <v>0</v>
      </c>
      <c r="B55" s="91">
        <f>B48</f>
        <v>75112.546819702722</v>
      </c>
      <c r="C55" s="92">
        <f>B55+C48+B62</f>
        <v>-1631791.9130910337</v>
      </c>
      <c r="D55" s="92">
        <f t="shared" ref="D55:J55" si="73">C55+D48+C62</f>
        <v>-2956472.5158880902</v>
      </c>
      <c r="E55" s="92">
        <f t="shared" si="73"/>
        <v>-3296130.2155727018</v>
      </c>
      <c r="F55" s="92">
        <f t="shared" si="73"/>
        <v>-3173347.3442944479</v>
      </c>
      <c r="G55" s="92">
        <f t="shared" si="73"/>
        <v>-3591631.9154162868</v>
      </c>
      <c r="H55" s="92">
        <f t="shared" si="73"/>
        <v>-3870790.9661779422</v>
      </c>
      <c r="I55" s="92">
        <f t="shared" si="73"/>
        <v>-3949863.4121495164</v>
      </c>
      <c r="J55" s="92">
        <f t="shared" si="73"/>
        <v>-4392190.221994414</v>
      </c>
      <c r="K55" s="92">
        <f t="shared" ref="K55:AK55" si="74">J55+K48+J62</f>
        <v>-4161894.2742216163</v>
      </c>
      <c r="L55" s="92">
        <f t="shared" si="74"/>
        <v>-4073755.5278692907</v>
      </c>
      <c r="M55" s="92">
        <f t="shared" si="74"/>
        <v>-3647717.4976713061</v>
      </c>
      <c r="N55" s="92">
        <f t="shared" si="74"/>
        <v>-5055101.4124606345</v>
      </c>
      <c r="O55" s="92">
        <f t="shared" si="74"/>
        <v>-6219589.6563917473</v>
      </c>
      <c r="P55" s="92">
        <f t="shared" si="74"/>
        <v>-5770188.5571677489</v>
      </c>
      <c r="Q55" s="92">
        <f>P55+Q48+P62</f>
        <v>-5190630.3386301873</v>
      </c>
      <c r="R55" s="92">
        <f t="shared" si="74"/>
        <v>-4297913.1741480827</v>
      </c>
      <c r="S55" s="92">
        <f t="shared" si="74"/>
        <v>-3610141.860780885</v>
      </c>
      <c r="T55" s="92">
        <f t="shared" si="74"/>
        <v>-2940539.619925966</v>
      </c>
      <c r="U55" s="92">
        <f t="shared" si="74"/>
        <v>-2730367.5488556456</v>
      </c>
      <c r="V55" s="92">
        <f t="shared" si="74"/>
        <v>-2417382.0004600133</v>
      </c>
      <c r="W55" s="148">
        <f t="shared" si="74"/>
        <v>-1994468.7015315706</v>
      </c>
      <c r="X55" s="92">
        <f t="shared" ref="X55:X59" si="75">W55+X48+W62</f>
        <v>-1475633.1144606418</v>
      </c>
      <c r="Y55" s="92">
        <f t="shared" ref="Y55:Y59" si="76">X55+Y48+X62</f>
        <v>-1806630.7024466009</v>
      </c>
      <c r="Z55" s="92">
        <f>Y55+Z48+Y62</f>
        <v>-2426885.7253350834</v>
      </c>
      <c r="AA55" s="92">
        <f t="shared" ref="AA55:AA59" si="77">Z55+AA48+Z62</f>
        <v>-4478086.38589375</v>
      </c>
      <c r="AB55" s="92">
        <f t="shared" ref="AB55:AB59" si="78">AA55+AB48+AA62</f>
        <v>-6062402.6068480136</v>
      </c>
      <c r="AC55" s="92">
        <f t="shared" ref="AC55:AC59" si="79">AB55+AC48+AB62</f>
        <v>-6575058.3276316542</v>
      </c>
      <c r="AD55" s="92">
        <f t="shared" ref="AD55:AD59" si="80">AC55+AD48+AC62</f>
        <v>-6321966.7485506935</v>
      </c>
      <c r="AE55" s="92">
        <f t="shared" ref="AE55:AE59" si="81">AD55+AE48+AD62</f>
        <v>-6578145.4622228937</v>
      </c>
      <c r="AF55" s="92">
        <f t="shared" ref="AF55:AF59" si="82">AE55+AF48+AE62</f>
        <v>-7491626.9721957389</v>
      </c>
      <c r="AG55" s="92">
        <f t="shared" ref="AG55:AG59" si="83">AF55+AG48+AF62</f>
        <v>-8123103.7531886017</v>
      </c>
      <c r="AH55" s="92">
        <f t="shared" ref="AH55:AH59" si="84">AG55+AH48+AG62</f>
        <v>-8330162.2967416495</v>
      </c>
      <c r="AI55" s="146">
        <f t="shared" ref="AI55:AI59" si="85">AH55+AI48+AH62</f>
        <v>-7997604.7390821408</v>
      </c>
      <c r="AJ55" s="91">
        <f>AI55+AJ48+AI62</f>
        <v>-7262105.4757105373</v>
      </c>
      <c r="AK55" s="92">
        <f t="shared" si="74"/>
        <v>-7040720.3284353958</v>
      </c>
      <c r="AL55" s="110">
        <f>AK55+AL48+AK62</f>
        <v>-10280997.364258969</v>
      </c>
    </row>
    <row r="56" spans="1:38" x14ac:dyDescent="0.25">
      <c r="A56" t="s">
        <v>4</v>
      </c>
      <c r="B56" s="91">
        <f t="shared" ref="B56:B59" si="86">B49</f>
        <v>41937.723530317249</v>
      </c>
      <c r="C56" s="92">
        <f t="shared" ref="C56:J59" si="87">B56+C49+B63</f>
        <v>-261842.78461240354</v>
      </c>
      <c r="D56" s="92">
        <f t="shared" si="87"/>
        <v>-520461.64393985894</v>
      </c>
      <c r="E56" s="92">
        <f t="shared" si="87"/>
        <v>-737768.07531221875</v>
      </c>
      <c r="F56" s="92">
        <f t="shared" si="87"/>
        <v>-794091.98292960343</v>
      </c>
      <c r="G56" s="92">
        <f t="shared" si="87"/>
        <v>-975689.66217563825</v>
      </c>
      <c r="H56" s="92">
        <f t="shared" si="87"/>
        <v>-1219652.140920114</v>
      </c>
      <c r="I56" s="92">
        <f t="shared" si="87"/>
        <v>-1396527.2821453912</v>
      </c>
      <c r="J56" s="92">
        <f t="shared" si="87"/>
        <v>-1555327.248548717</v>
      </c>
      <c r="K56" s="92">
        <f t="shared" ref="K56:AL56" si="88">J56+K49+J63</f>
        <v>-1680053.9219130962</v>
      </c>
      <c r="L56" s="92">
        <f t="shared" si="88"/>
        <v>-1786959.7718395393</v>
      </c>
      <c r="M56" s="92">
        <f t="shared" si="88"/>
        <v>-1771623.3846728622</v>
      </c>
      <c r="N56" s="92">
        <f t="shared" si="88"/>
        <v>-1948607.8655492286</v>
      </c>
      <c r="O56" s="92">
        <f t="shared" si="88"/>
        <v>-2071108.8279715793</v>
      </c>
      <c r="P56" s="92">
        <f t="shared" si="88"/>
        <v>-2016659.7224790675</v>
      </c>
      <c r="Q56" s="92">
        <f t="shared" si="88"/>
        <v>-1936690.6013794204</v>
      </c>
      <c r="R56" s="92">
        <f t="shared" si="88"/>
        <v>-1783127.9804970715</v>
      </c>
      <c r="S56" s="92">
        <f t="shared" si="88"/>
        <v>-1633276.2294600415</v>
      </c>
      <c r="T56" s="92">
        <f t="shared" si="88"/>
        <v>-1576524.0498049886</v>
      </c>
      <c r="U56" s="92">
        <f t="shared" si="88"/>
        <v>-1611337.318765027</v>
      </c>
      <c r="V56" s="92">
        <f t="shared" si="88"/>
        <v>-1501756.2572819092</v>
      </c>
      <c r="W56" s="148">
        <f t="shared" si="88"/>
        <v>-1371802.5648176142</v>
      </c>
      <c r="X56" s="92">
        <f t="shared" si="75"/>
        <v>-1290901.1024405728</v>
      </c>
      <c r="Y56" s="92">
        <f t="shared" si="76"/>
        <v>-1231718.6530018363</v>
      </c>
      <c r="Z56" s="92">
        <f t="shared" ref="Z56:Z59" si="89">Y56+Z49+Y63</f>
        <v>-1416862.9252986207</v>
      </c>
      <c r="AA56" s="92">
        <f t="shared" si="77"/>
        <v>-1936421.9686957635</v>
      </c>
      <c r="AB56" s="92">
        <f t="shared" si="78"/>
        <v>-2103882.594919729</v>
      </c>
      <c r="AC56" s="92">
        <f t="shared" si="79"/>
        <v>-2045939.1072817983</v>
      </c>
      <c r="AD56" s="92">
        <f t="shared" si="80"/>
        <v>-1922903.4202026767</v>
      </c>
      <c r="AE56" s="92">
        <f t="shared" si="81"/>
        <v>-2119469.5271684243</v>
      </c>
      <c r="AF56" s="92">
        <f t="shared" si="82"/>
        <v>-2135534.480255906</v>
      </c>
      <c r="AG56" s="92">
        <f t="shared" si="83"/>
        <v>-1936383.9812576205</v>
      </c>
      <c r="AH56" s="92">
        <f t="shared" si="84"/>
        <v>-2090016.8734133267</v>
      </c>
      <c r="AI56" s="146">
        <f t="shared" si="85"/>
        <v>-2088409.9642678215</v>
      </c>
      <c r="AJ56" s="91">
        <f t="shared" ref="AJ56:AJ59" si="90">AI56+AJ49+AI63</f>
        <v>-1607693.3763889938</v>
      </c>
      <c r="AK56" s="92">
        <f t="shared" si="88"/>
        <v>-360438.09069782437</v>
      </c>
      <c r="AL56" s="110">
        <f t="shared" si="88"/>
        <v>-834716.95489688998</v>
      </c>
    </row>
    <row r="57" spans="1:38" x14ac:dyDescent="0.25">
      <c r="A57" t="s">
        <v>5</v>
      </c>
      <c r="B57" s="91">
        <f t="shared" si="86"/>
        <v>113584.22546721483</v>
      </c>
      <c r="C57" s="92">
        <f t="shared" si="87"/>
        <v>-531296.71353948524</v>
      </c>
      <c r="D57" s="92">
        <f t="shared" si="87"/>
        <v>-1082767.9258886282</v>
      </c>
      <c r="E57" s="92">
        <f t="shared" si="87"/>
        <v>-1573957.758459012</v>
      </c>
      <c r="F57" s="92">
        <f t="shared" si="87"/>
        <v>-1712020.2284342053</v>
      </c>
      <c r="G57" s="92">
        <f t="shared" si="87"/>
        <v>-2153873.6629819185</v>
      </c>
      <c r="H57" s="92">
        <f t="shared" si="87"/>
        <v>-2704709.6902995571</v>
      </c>
      <c r="I57" s="92">
        <f t="shared" si="87"/>
        <v>-3115635.9954009484</v>
      </c>
      <c r="J57" s="92">
        <f t="shared" si="87"/>
        <v>-3486355.664780865</v>
      </c>
      <c r="K57" s="92">
        <f t="shared" ref="K57:AL57" si="91">J57+K50+J64</f>
        <v>-3791197.2019326282</v>
      </c>
      <c r="L57" s="92">
        <f t="shared" si="91"/>
        <v>-4047315.4905601889</v>
      </c>
      <c r="M57" s="92">
        <f t="shared" si="91"/>
        <v>-4014659.6752746766</v>
      </c>
      <c r="N57" s="92">
        <f t="shared" si="91"/>
        <v>-4379665.6124919141</v>
      </c>
      <c r="O57" s="92">
        <f t="shared" si="91"/>
        <v>-4638001.1081301356</v>
      </c>
      <c r="P57" s="92">
        <f t="shared" si="91"/>
        <v>-4531321.6309164492</v>
      </c>
      <c r="Q57" s="92">
        <f t="shared" si="91"/>
        <v>-4353759.1312086852</v>
      </c>
      <c r="R57" s="92">
        <f t="shared" si="91"/>
        <v>-3979992.0099632903</v>
      </c>
      <c r="S57" s="92">
        <f t="shared" si="91"/>
        <v>-3624087.7556066546</v>
      </c>
      <c r="T57" s="92">
        <f t="shared" si="91"/>
        <v>-3501609.1154895048</v>
      </c>
      <c r="U57" s="92">
        <f t="shared" si="91"/>
        <v>-3593204.4423276391</v>
      </c>
      <c r="V57" s="92">
        <f t="shared" si="91"/>
        <v>-3340020.6800699565</v>
      </c>
      <c r="W57" s="148">
        <f t="shared" si="91"/>
        <v>-3017630.6317514721</v>
      </c>
      <c r="X57" s="92">
        <f t="shared" si="75"/>
        <v>-2828043.3122145538</v>
      </c>
      <c r="Y57" s="92">
        <f t="shared" si="76"/>
        <v>-2708061.711802566</v>
      </c>
      <c r="Z57" s="92">
        <f t="shared" si="89"/>
        <v>-3095212.2430589697</v>
      </c>
      <c r="AA57" s="92">
        <f t="shared" si="77"/>
        <v>-4193640.4357826868</v>
      </c>
      <c r="AB57" s="92">
        <f t="shared" si="78"/>
        <v>-4554461.4559170362</v>
      </c>
      <c r="AC57" s="92">
        <f t="shared" si="79"/>
        <v>-4420842.0519402185</v>
      </c>
      <c r="AD57" s="92">
        <f t="shared" si="80"/>
        <v>-4136279.7289006249</v>
      </c>
      <c r="AE57" s="92">
        <f t="shared" si="81"/>
        <v>-4615793.8586824127</v>
      </c>
      <c r="AF57" s="92">
        <f t="shared" si="82"/>
        <v>-4662279.2490134472</v>
      </c>
      <c r="AG57" s="92">
        <f t="shared" si="83"/>
        <v>-4213487.6148884268</v>
      </c>
      <c r="AH57" s="92">
        <f t="shared" si="84"/>
        <v>-4591072.2143371757</v>
      </c>
      <c r="AI57" s="146">
        <f t="shared" si="85"/>
        <v>-4570040.090581554</v>
      </c>
      <c r="AJ57" s="91">
        <f t="shared" si="90"/>
        <v>-3421298.1502667917</v>
      </c>
      <c r="AK57" s="124">
        <f t="shared" si="91"/>
        <v>-680281.44679917756</v>
      </c>
      <c r="AL57" s="161">
        <f t="shared" si="91"/>
        <v>-1678112.77686089</v>
      </c>
    </row>
    <row r="58" spans="1:38" x14ac:dyDescent="0.25">
      <c r="A58" t="s">
        <v>6</v>
      </c>
      <c r="B58" s="91">
        <f t="shared" si="86"/>
        <v>72668.642601876825</v>
      </c>
      <c r="C58" s="92">
        <f t="shared" si="87"/>
        <v>-195446.15950061393</v>
      </c>
      <c r="D58" s="92">
        <f t="shared" si="87"/>
        <v>-430521.30254209467</v>
      </c>
      <c r="E58" s="92">
        <f t="shared" si="87"/>
        <v>-635761.35243414284</v>
      </c>
      <c r="F58" s="92">
        <f t="shared" si="87"/>
        <v>-696364.78455817257</v>
      </c>
      <c r="G58" s="92">
        <f t="shared" si="87"/>
        <v>-884393.47326481657</v>
      </c>
      <c r="H58" s="92">
        <f t="shared" si="87"/>
        <v>-1114459.5834848818</v>
      </c>
      <c r="I58" s="92">
        <f t="shared" si="87"/>
        <v>-1287010.9648761735</v>
      </c>
      <c r="J58" s="92">
        <f t="shared" si="87"/>
        <v>-1443699.6573100085</v>
      </c>
      <c r="K58" s="92">
        <f t="shared" ref="K58:AL58" si="92">J58+K51+J65</f>
        <v>-1576849.0977542945</v>
      </c>
      <c r="L58" s="92">
        <f t="shared" si="92"/>
        <v>-1689757.8284447622</v>
      </c>
      <c r="M58" s="92">
        <f t="shared" si="92"/>
        <v>-1676219.1198168555</v>
      </c>
      <c r="N58" s="92">
        <f t="shared" si="92"/>
        <v>-1822969.4932713327</v>
      </c>
      <c r="O58" s="92">
        <f t="shared" si="92"/>
        <v>-1947363.6293238821</v>
      </c>
      <c r="P58" s="92">
        <f t="shared" si="92"/>
        <v>-1901936.2601707664</v>
      </c>
      <c r="Q58" s="92">
        <f t="shared" si="92"/>
        <v>-1822519.0067556326</v>
      </c>
      <c r="R58" s="92">
        <f t="shared" si="92"/>
        <v>-1661871.6989457763</v>
      </c>
      <c r="S58" s="92">
        <f t="shared" si="92"/>
        <v>-1511908.5537559513</v>
      </c>
      <c r="T58" s="92">
        <f t="shared" si="92"/>
        <v>-1461725.3274544426</v>
      </c>
      <c r="U58" s="92">
        <f t="shared" si="92"/>
        <v>-1502299.1781094589</v>
      </c>
      <c r="V58" s="92">
        <f t="shared" si="92"/>
        <v>-1399883.9043175154</v>
      </c>
      <c r="W58" s="148">
        <f t="shared" si="92"/>
        <v>-1254713.9963591693</v>
      </c>
      <c r="X58" s="92">
        <f t="shared" si="75"/>
        <v>-1169460.4837683546</v>
      </c>
      <c r="Y58" s="92">
        <f t="shared" si="76"/>
        <v>-1120060.4048729234</v>
      </c>
      <c r="Z58" s="92">
        <f t="shared" si="89"/>
        <v>-1281655.8773834535</v>
      </c>
      <c r="AA58" s="92">
        <f t="shared" si="77"/>
        <v>-1697203.9825678326</v>
      </c>
      <c r="AB58" s="92">
        <f t="shared" si="78"/>
        <v>-1846831.4350721454</v>
      </c>
      <c r="AC58" s="92">
        <f t="shared" si="79"/>
        <v>-1783415.4450131643</v>
      </c>
      <c r="AD58" s="92">
        <f t="shared" si="80"/>
        <v>-1652359.2722017947</v>
      </c>
      <c r="AE58" s="92">
        <f t="shared" si="81"/>
        <v>-1852528.7685209697</v>
      </c>
      <c r="AF58" s="92">
        <f t="shared" si="82"/>
        <v>-1875516.8342180247</v>
      </c>
      <c r="AG58" s="92">
        <f t="shared" si="83"/>
        <v>-1698109.3692674942</v>
      </c>
      <c r="AH58" s="92">
        <f t="shared" si="84"/>
        <v>-1860310.9754406868</v>
      </c>
      <c r="AI58" s="146">
        <f t="shared" si="85"/>
        <v>-1859639.0803563776</v>
      </c>
      <c r="AJ58" s="91">
        <f t="shared" si="90"/>
        <v>-1361468.5915680532</v>
      </c>
      <c r="AK58" s="92">
        <f t="shared" si="92"/>
        <v>-223149.26146288833</v>
      </c>
      <c r="AL58" s="110">
        <f t="shared" si="92"/>
        <v>-624257.82349626254</v>
      </c>
    </row>
    <row r="59" spans="1:38" x14ac:dyDescent="0.25">
      <c r="A59" t="s">
        <v>7</v>
      </c>
      <c r="B59" s="91">
        <f t="shared" si="86"/>
        <v>107422.73158088839</v>
      </c>
      <c r="C59" s="92">
        <f t="shared" si="87"/>
        <v>-102603.09627864123</v>
      </c>
      <c r="D59" s="92">
        <f t="shared" si="87"/>
        <v>-266192.11876350513</v>
      </c>
      <c r="E59" s="92">
        <f t="shared" si="87"/>
        <v>-429247.93640712806</v>
      </c>
      <c r="F59" s="92">
        <f t="shared" si="87"/>
        <v>-490051.62218834629</v>
      </c>
      <c r="G59" s="92">
        <f t="shared" si="87"/>
        <v>-647494.099263296</v>
      </c>
      <c r="H59" s="92">
        <f t="shared" si="87"/>
        <v>-832708.47017628711</v>
      </c>
      <c r="I59" s="92">
        <f t="shared" si="87"/>
        <v>-987901.0785363972</v>
      </c>
      <c r="J59" s="92">
        <f t="shared" si="87"/>
        <v>-1042454.3849465498</v>
      </c>
      <c r="K59" s="92">
        <f t="shared" ref="K59:AL59" si="93">J59+K52+J66</f>
        <v>-1150548.0697495774</v>
      </c>
      <c r="L59" s="92">
        <f t="shared" si="93"/>
        <v>-1244006.0963877542</v>
      </c>
      <c r="M59" s="92">
        <f t="shared" si="93"/>
        <v>-1237266.4030997888</v>
      </c>
      <c r="N59" s="92">
        <f t="shared" si="93"/>
        <v>-1341451.3769098276</v>
      </c>
      <c r="O59" s="92">
        <f t="shared" si="93"/>
        <v>-1410153.167332262</v>
      </c>
      <c r="P59" s="92">
        <f t="shared" si="93"/>
        <v>-1368674.9095729161</v>
      </c>
      <c r="Q59" s="92">
        <f t="shared" si="93"/>
        <v>-1307314.3464314602</v>
      </c>
      <c r="R59" s="92">
        <f t="shared" si="93"/>
        <v>-1200458.7561085969</v>
      </c>
      <c r="S59" s="92">
        <f t="shared" si="93"/>
        <v>-1098825.3445630793</v>
      </c>
      <c r="T59" s="92">
        <f t="shared" si="93"/>
        <v>-1049072.2665230727</v>
      </c>
      <c r="U59" s="92">
        <f t="shared" si="93"/>
        <v>-1050130.1828277677</v>
      </c>
      <c r="V59" s="92">
        <f t="shared" si="93"/>
        <v>-968645.0411830896</v>
      </c>
      <c r="W59" s="148">
        <f t="shared" si="93"/>
        <v>-864748.34137750592</v>
      </c>
      <c r="X59" s="92">
        <f t="shared" si="75"/>
        <v>-795484.72086763626</v>
      </c>
      <c r="Y59" s="92">
        <f t="shared" si="76"/>
        <v>-752394.28972314438</v>
      </c>
      <c r="Z59" s="92">
        <f t="shared" si="89"/>
        <v>-813076.44635204761</v>
      </c>
      <c r="AA59" s="92">
        <f t="shared" si="77"/>
        <v>-972248.1354524499</v>
      </c>
      <c r="AB59" s="92">
        <f t="shared" si="78"/>
        <v>-1042873.8409883016</v>
      </c>
      <c r="AC59" s="92">
        <f t="shared" si="79"/>
        <v>-1007356.474967259</v>
      </c>
      <c r="AD59" s="92">
        <f t="shared" si="80"/>
        <v>-936869.36960339965</v>
      </c>
      <c r="AE59" s="92">
        <f t="shared" si="81"/>
        <v>-1043273.4651000949</v>
      </c>
      <c r="AF59" s="92">
        <f t="shared" si="82"/>
        <v>-1049905.6240295358</v>
      </c>
      <c r="AG59" s="92">
        <f t="shared" si="83"/>
        <v>-946422.56445571512</v>
      </c>
      <c r="AH59" s="92">
        <f t="shared" si="84"/>
        <v>-1026555.1625833702</v>
      </c>
      <c r="AI59" s="146">
        <f t="shared" si="85"/>
        <v>-974379.96527776669</v>
      </c>
      <c r="AJ59" s="91">
        <f t="shared" si="90"/>
        <v>-672584.78178449837</v>
      </c>
      <c r="AK59" s="92">
        <f t="shared" si="93"/>
        <v>-32560.23593682265</v>
      </c>
      <c r="AL59" s="110">
        <f t="shared" si="93"/>
        <v>-249500.66542880106</v>
      </c>
    </row>
    <row r="60" spans="1:38" x14ac:dyDescent="0.25">
      <c r="B60" s="7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"/>
      <c r="AJ60" s="20"/>
      <c r="AK60" s="29"/>
      <c r="AL60" s="21"/>
    </row>
    <row r="61" spans="1:38" x14ac:dyDescent="0.25">
      <c r="A61" t="s">
        <v>41</v>
      </c>
      <c r="B61" s="157">
        <f>0.803289%/12</f>
        <v>6.6940750000000007E-4</v>
      </c>
      <c r="C61" s="142">
        <f>0%/12</f>
        <v>0</v>
      </c>
      <c r="D61" s="142">
        <f>0.09%/12</f>
        <v>7.4999999999999993E-5</v>
      </c>
      <c r="E61" s="142">
        <f>0.098042%/12</f>
        <v>8.1701666666666678E-5</v>
      </c>
      <c r="F61" s="142">
        <f>0.09%/12</f>
        <v>7.4999999999999993E-5</v>
      </c>
      <c r="G61" s="142">
        <f>0.506939%/12</f>
        <v>4.2244916666666667E-4</v>
      </c>
      <c r="H61" s="142">
        <f t="shared" ref="H61" si="94">0.07%/12</f>
        <v>5.833333333333334E-5</v>
      </c>
      <c r="I61" s="142">
        <f>0.5%/12</f>
        <v>4.1666666666666669E-4</v>
      </c>
      <c r="J61" s="142">
        <f>0.5%/12</f>
        <v>4.1666666666666669E-4</v>
      </c>
      <c r="K61" s="142">
        <f>0.353499%/12</f>
        <v>2.945825E-4</v>
      </c>
      <c r="L61" s="142">
        <f>0.307793%/12</f>
        <v>2.5649416666666665E-4</v>
      </c>
      <c r="M61" s="93">
        <f>0.4363%/12</f>
        <v>3.6358333333333338E-4</v>
      </c>
      <c r="N61" s="93">
        <f>0.565043%/12</f>
        <v>4.7086916666666664E-4</v>
      </c>
      <c r="O61" s="93">
        <f>0.461977%/12</f>
        <v>3.8498083333333337E-4</v>
      </c>
      <c r="P61" s="93">
        <f>0.343445%/12</f>
        <v>2.8620416666666666E-4</v>
      </c>
      <c r="Q61" s="93">
        <f>0.323025%/12</f>
        <v>2.691875E-4</v>
      </c>
      <c r="R61" s="93">
        <f>0.298965%/12</f>
        <v>2.4913749999999998E-4</v>
      </c>
      <c r="S61" s="93">
        <f>0.306934%/12</f>
        <v>2.5577833333333334E-4</v>
      </c>
      <c r="T61" s="93">
        <f>0.298487%/12</f>
        <v>2.4873916666666668E-4</v>
      </c>
      <c r="U61" s="93">
        <f>0.311941%/12</f>
        <v>2.5995083333333339E-4</v>
      </c>
      <c r="V61" s="93">
        <f>0.264485%/12</f>
        <v>2.2040416666666669E-4</v>
      </c>
      <c r="W61" s="93">
        <f>0.272275%/12</f>
        <v>2.2689583333333332E-4</v>
      </c>
      <c r="X61" s="214">
        <f>0.320839%/12</f>
        <v>2.6736583333333331E-4</v>
      </c>
      <c r="Y61" s="214">
        <f>0.405173%/12</f>
        <v>3.3764416666666664E-4</v>
      </c>
      <c r="Z61" s="214">
        <f>0.491706%/12</f>
        <v>4.0975499999999998E-4</v>
      </c>
      <c r="AA61" s="214">
        <f>0.435155%/12</f>
        <v>3.6262916666666669E-4</v>
      </c>
      <c r="AB61" s="214">
        <f>0.410805%/12</f>
        <v>3.4233749999999997E-4</v>
      </c>
      <c r="AC61" s="214">
        <f>0.301531%/12</f>
        <v>2.512758333333333E-4</v>
      </c>
      <c r="AD61" s="214">
        <f>0.085388%/12</f>
        <v>7.1156666666666662E-5</v>
      </c>
      <c r="AE61" s="214">
        <f>0.190208%/12</f>
        <v>1.5850666666666666E-4</v>
      </c>
      <c r="AF61" s="214">
        <f>0.448923%/12</f>
        <v>3.7410250000000003E-4</v>
      </c>
      <c r="AG61" s="214">
        <f>0.540298%/12</f>
        <v>4.5024833333333326E-4</v>
      </c>
      <c r="AH61" s="214">
        <f>0.54372%/12</f>
        <v>4.5309999999999995E-4</v>
      </c>
      <c r="AI61" s="217">
        <f>0.532682%/12</f>
        <v>4.439016666666666E-4</v>
      </c>
      <c r="AJ61" s="162">
        <f>AI61</f>
        <v>4.439016666666666E-4</v>
      </c>
      <c r="AK61" s="93">
        <f>AJ61</f>
        <v>4.439016666666666E-4</v>
      </c>
      <c r="AL61" s="163">
        <f>AK61</f>
        <v>4.439016666666666E-4</v>
      </c>
    </row>
    <row r="62" spans="1:38" x14ac:dyDescent="0.25">
      <c r="A62" t="s">
        <v>0</v>
      </c>
      <c r="B62" s="91">
        <f>B55*B$61</f>
        <v>50.280902185210152</v>
      </c>
      <c r="C62" s="92">
        <f t="shared" ref="C62:J62" si="95">C55*C$61</f>
        <v>0</v>
      </c>
      <c r="D62" s="92">
        <f t="shared" si="95"/>
        <v>-221.73543869160676</v>
      </c>
      <c r="E62" s="92">
        <f t="shared" si="95"/>
        <v>-269.29933216264908</v>
      </c>
      <c r="F62" s="92">
        <f t="shared" si="95"/>
        <v>-238.00105082208358</v>
      </c>
      <c r="G62" s="92">
        <f t="shared" si="95"/>
        <v>-1517.2819096410142</v>
      </c>
      <c r="H62" s="92">
        <f t="shared" si="95"/>
        <v>-225.79613969371331</v>
      </c>
      <c r="I62" s="92">
        <f t="shared" si="95"/>
        <v>-1645.7764217289653</v>
      </c>
      <c r="J62" s="92">
        <f t="shared" si="95"/>
        <v>-1830.0792591643392</v>
      </c>
      <c r="K62" s="92">
        <f t="shared" ref="K62:AK62" si="96">K55*K$61</f>
        <v>-1226.0212200358892</v>
      </c>
      <c r="L62" s="124">
        <f t="shared" si="96"/>
        <v>-1044.8945293245604</v>
      </c>
      <c r="M62" s="124">
        <f t="shared" si="96"/>
        <v>-1326.2492868616591</v>
      </c>
      <c r="N62" s="124">
        <f t="shared" si="96"/>
        <v>-2380.2913895008282</v>
      </c>
      <c r="O62" s="124">
        <f t="shared" si="96"/>
        <v>-2394.4228089090752</v>
      </c>
      <c r="P62" s="124">
        <f t="shared" si="96"/>
        <v>-1651.4520075137311</v>
      </c>
      <c r="Q62" s="124">
        <f t="shared" si="96"/>
        <v>-1397.2528042800136</v>
      </c>
      <c r="R62" s="124">
        <f t="shared" si="96"/>
        <v>-1070.7713434243178</v>
      </c>
      <c r="S62" s="124">
        <f t="shared" si="96"/>
        <v>-923.3960682474335</v>
      </c>
      <c r="T62" s="124">
        <f t="shared" si="96"/>
        <v>-731.42737461070158</v>
      </c>
      <c r="U62" s="124">
        <f t="shared" si="96"/>
        <v>-709.76131963131593</v>
      </c>
      <c r="V62" s="124">
        <f t="shared" si="96"/>
        <v>-532.80106532638888</v>
      </c>
      <c r="W62" s="211">
        <f t="shared" si="96"/>
        <v>-452.53663809125698</v>
      </c>
      <c r="X62" s="124">
        <f t="shared" ref="X62:AF62" si="97">X55*X$61</f>
        <v>-394.53387734203153</v>
      </c>
      <c r="Y62" s="124">
        <f t="shared" si="97"/>
        <v>-609.99831800199718</v>
      </c>
      <c r="Z62" s="124">
        <f>Z55*Z$61</f>
        <v>-994.4285603846771</v>
      </c>
      <c r="AA62" s="124">
        <f t="shared" si="97"/>
        <v>-1623.8847343779958</v>
      </c>
      <c r="AB62" s="124">
        <f t="shared" si="97"/>
        <v>-2075.3877524218315</v>
      </c>
      <c r="AC62" s="124">
        <f t="shared" si="97"/>
        <v>-1652.1532604909166</v>
      </c>
      <c r="AD62" s="124">
        <f t="shared" si="97"/>
        <v>-449.85008060437218</v>
      </c>
      <c r="AE62" s="124">
        <f t="shared" si="97"/>
        <v>-1042.67991006541</v>
      </c>
      <c r="AF62" s="124">
        <f t="shared" si="97"/>
        <v>-2802.6363793658566</v>
      </c>
      <c r="AG62" s="124">
        <f t="shared" ref="AG62:AI62" si="98">AG55*AG$61</f>
        <v>-3657.4139263669122</v>
      </c>
      <c r="AH62" s="124">
        <f t="shared" si="98"/>
        <v>-3774.3965366536409</v>
      </c>
      <c r="AI62" s="212">
        <f t="shared" si="98"/>
        <v>-3550.1500730197936</v>
      </c>
      <c r="AJ62" s="91">
        <f>AJ55*AJ$61</f>
        <v>-3223.6607241770334</v>
      </c>
      <c r="AK62" s="92">
        <f t="shared" si="96"/>
        <v>-3125.3874883263525</v>
      </c>
      <c r="AL62" s="110">
        <f t="shared" ref="AL62" si="99">AL55*AL$61</f>
        <v>-4563.7518649901631</v>
      </c>
    </row>
    <row r="63" spans="1:38" x14ac:dyDescent="0.25">
      <c r="A63" t="s">
        <v>4</v>
      </c>
      <c r="B63" s="91">
        <f t="shared" ref="B63:J66" si="100">B56*B$61</f>
        <v>28.073426664120849</v>
      </c>
      <c r="C63" s="92">
        <f t="shared" si="100"/>
        <v>0</v>
      </c>
      <c r="D63" s="92">
        <f t="shared" si="100"/>
        <v>-39.034623295489418</v>
      </c>
      <c r="E63" s="92">
        <f t="shared" si="100"/>
        <v>-60.27688136646713</v>
      </c>
      <c r="F63" s="92">
        <f t="shared" si="100"/>
        <v>-59.556898719720252</v>
      </c>
      <c r="G63" s="92">
        <f t="shared" si="100"/>
        <v>-412.17928471137992</v>
      </c>
      <c r="H63" s="92">
        <f t="shared" si="100"/>
        <v>-71.146374887006658</v>
      </c>
      <c r="I63" s="92">
        <f t="shared" si="100"/>
        <v>-581.88636756057974</v>
      </c>
      <c r="J63" s="92">
        <f t="shared" si="100"/>
        <v>-648.05302022863214</v>
      </c>
      <c r="K63" s="92">
        <f t="shared" ref="K63:AK63" si="101">K56*K$61</f>
        <v>-494.91448445196465</v>
      </c>
      <c r="L63" s="124">
        <f t="shared" si="101"/>
        <v>-458.34475754483941</v>
      </c>
      <c r="M63" s="124">
        <f t="shared" si="101"/>
        <v>-644.13273561064159</v>
      </c>
      <c r="N63" s="124">
        <f t="shared" si="101"/>
        <v>-917.53936181127722</v>
      </c>
      <c r="O63" s="124">
        <f t="shared" si="101"/>
        <v>-797.33720251652198</v>
      </c>
      <c r="P63" s="124">
        <f t="shared" si="101"/>
        <v>-577.1764153223528</v>
      </c>
      <c r="Q63" s="124">
        <f t="shared" si="101"/>
        <v>-521.33290125882274</v>
      </c>
      <c r="R63" s="124">
        <f t="shared" si="101"/>
        <v>-444.24404724108911</v>
      </c>
      <c r="S63" s="124">
        <f t="shared" si="101"/>
        <v>-417.75667184424032</v>
      </c>
      <c r="T63" s="124">
        <f t="shared" si="101"/>
        <v>-392.14327837845138</v>
      </c>
      <c r="U63" s="124">
        <f t="shared" si="101"/>
        <v>-418.86847879406781</v>
      </c>
      <c r="V63" s="124">
        <f t="shared" si="101"/>
        <v>-330.99333642267152</v>
      </c>
      <c r="W63" s="211">
        <f t="shared" si="101"/>
        <v>-311.25628611309656</v>
      </c>
      <c r="X63" s="124">
        <f t="shared" ref="X63:AF63" si="102">X56*X$61</f>
        <v>-345.14284900494243</v>
      </c>
      <c r="Y63" s="124">
        <f t="shared" si="102"/>
        <v>-415.88261816059412</v>
      </c>
      <c r="Z63" s="124">
        <f t="shared" si="102"/>
        <v>-580.56666795573631</v>
      </c>
      <c r="AA63" s="124">
        <f t="shared" si="102"/>
        <v>-702.2030848231708</v>
      </c>
      <c r="AB63" s="124">
        <f t="shared" si="102"/>
        <v>-720.23790783833272</v>
      </c>
      <c r="AC63" s="124">
        <f t="shared" si="102"/>
        <v>-514.09505413148986</v>
      </c>
      <c r="AD63" s="124">
        <f t="shared" si="102"/>
        <v>-136.82739770355514</v>
      </c>
      <c r="AE63" s="124">
        <f t="shared" si="102"/>
        <v>-335.95004985304303</v>
      </c>
      <c r="AF63" s="124">
        <f t="shared" si="102"/>
        <v>-798.90878789993508</v>
      </c>
      <c r="AG63" s="124">
        <f t="shared" ref="AG63:AI63" si="103">AG56*AG$61</f>
        <v>-871.85366025460803</v>
      </c>
      <c r="AH63" s="124">
        <f t="shared" si="103"/>
        <v>-946.98664534357818</v>
      </c>
      <c r="AI63" s="212">
        <f t="shared" si="103"/>
        <v>-927.04866382175965</v>
      </c>
      <c r="AJ63" s="91">
        <f t="shared" si="101"/>
        <v>-713.65776926803494</v>
      </c>
      <c r="AK63" s="92">
        <f t="shared" si="101"/>
        <v>-159.99906919091538</v>
      </c>
      <c r="AL63" s="110">
        <f t="shared" ref="AL63" si="104">AL56*AL$61</f>
        <v>-370.53224747365425</v>
      </c>
    </row>
    <row r="64" spans="1:38" x14ac:dyDescent="0.25">
      <c r="A64" t="s">
        <v>5</v>
      </c>
      <c r="B64" s="91">
        <f t="shared" si="100"/>
        <v>76.034132409444624</v>
      </c>
      <c r="C64" s="92">
        <f t="shared" si="100"/>
        <v>0</v>
      </c>
      <c r="D64" s="92">
        <f t="shared" si="100"/>
        <v>-81.207594441647117</v>
      </c>
      <c r="E64" s="92">
        <f t="shared" si="100"/>
        <v>-128.59497212903207</v>
      </c>
      <c r="F64" s="92">
        <f t="shared" si="100"/>
        <v>-128.40151713256537</v>
      </c>
      <c r="G64" s="92">
        <f t="shared" si="100"/>
        <v>-909.90213403199232</v>
      </c>
      <c r="H64" s="92">
        <f t="shared" si="100"/>
        <v>-157.77473193414085</v>
      </c>
      <c r="I64" s="92">
        <f t="shared" si="100"/>
        <v>-1298.1816647503952</v>
      </c>
      <c r="J64" s="92">
        <f t="shared" si="100"/>
        <v>-1452.6481936586938</v>
      </c>
      <c r="K64" s="92">
        <f t="shared" ref="K64:AK64" si="105">K57*K$61</f>
        <v>-1116.8203497383183</v>
      </c>
      <c r="L64" s="124">
        <f t="shared" si="105"/>
        <v>-1038.1128139883267</v>
      </c>
      <c r="M64" s="124">
        <f t="shared" si="105"/>
        <v>-1459.6633469352846</v>
      </c>
      <c r="N64" s="124">
        <f>N57*N$61</f>
        <v>-2062.2494972327236</v>
      </c>
      <c r="O64" s="124">
        <f>O57*O$61</f>
        <v>-1785.5415316088631</v>
      </c>
      <c r="P64" s="124">
        <f t="shared" si="105"/>
        <v>-1296.8831312750833</v>
      </c>
      <c r="Q64" s="124">
        <f t="shared" si="105"/>
        <v>-1171.9775361322379</v>
      </c>
      <c r="R64" s="124">
        <f t="shared" si="105"/>
        <v>-991.5652593822291</v>
      </c>
      <c r="S64" s="124">
        <f t="shared" si="105"/>
        <v>-926.96312598281077</v>
      </c>
      <c r="T64" s="124">
        <f t="shared" si="105"/>
        <v>-870.98733337926319</v>
      </c>
      <c r="U64" s="124">
        <f t="shared" si="105"/>
        <v>-934.0564891201052</v>
      </c>
      <c r="V64" s="124">
        <f t="shared" si="105"/>
        <v>-736.15447464025215</v>
      </c>
      <c r="W64" s="211">
        <f t="shared" si="105"/>
        <v>-684.68781688344336</v>
      </c>
      <c r="X64" s="124">
        <f t="shared" ref="X64:AF64" si="106">X57*X$61</f>
        <v>-756.12215687300431</v>
      </c>
      <c r="Y64" s="124">
        <f t="shared" si="106"/>
        <v>-914.36123996348419</v>
      </c>
      <c r="Z64" s="124">
        <f t="shared" si="106"/>
        <v>-1268.278692654628</v>
      </c>
      <c r="AA64" s="124">
        <f t="shared" si="106"/>
        <v>-1520.7363365275125</v>
      </c>
      <c r="AB64" s="124">
        <f t="shared" si="106"/>
        <v>-1559.1629486649981</v>
      </c>
      <c r="AC64" s="124">
        <f t="shared" si="106"/>
        <v>-1110.8507706363216</v>
      </c>
      <c r="AD64" s="124">
        <f t="shared" si="106"/>
        <v>-294.32387790947212</v>
      </c>
      <c r="AE64" s="124">
        <f t="shared" si="106"/>
        <v>-731.6340985602202</v>
      </c>
      <c r="AF64" s="124">
        <f t="shared" si="106"/>
        <v>-1744.1703227540534</v>
      </c>
      <c r="AG64" s="124">
        <f t="shared" ref="AG64:AI64" si="107">AG57*AG$61</f>
        <v>-1897.1157761241557</v>
      </c>
      <c r="AH64" s="124">
        <f t="shared" si="107"/>
        <v>-2080.2148203161742</v>
      </c>
      <c r="AI64" s="212">
        <f t="shared" si="107"/>
        <v>-2028.6484129426358</v>
      </c>
      <c r="AJ64" s="91">
        <f t="shared" si="105"/>
        <v>-1518.7199510670123</v>
      </c>
      <c r="AK64" s="92">
        <f t="shared" si="105"/>
        <v>-301.97806803656619</v>
      </c>
      <c r="AL64" s="110">
        <f t="shared" ref="AL64" si="108">AL57*AL$61</f>
        <v>-744.91705850317703</v>
      </c>
    </row>
    <row r="65" spans="1:38" x14ac:dyDescent="0.25">
      <c r="A65" t="s">
        <v>6</v>
      </c>
      <c r="B65" s="91">
        <f t="shared" si="100"/>
        <v>48.644934372515863</v>
      </c>
      <c r="C65" s="92">
        <f t="shared" si="100"/>
        <v>0</v>
      </c>
      <c r="D65" s="92">
        <f t="shared" si="100"/>
        <v>-32.289097690657094</v>
      </c>
      <c r="E65" s="92">
        <f t="shared" si="100"/>
        <v>-51.942762096123531</v>
      </c>
      <c r="F65" s="92">
        <f t="shared" si="100"/>
        <v>-52.227358841862937</v>
      </c>
      <c r="G65" s="92">
        <f t="shared" si="100"/>
        <v>-373.61128578616069</v>
      </c>
      <c r="H65" s="92">
        <f t="shared" si="100"/>
        <v>-65.010142369951438</v>
      </c>
      <c r="I65" s="92">
        <f t="shared" si="100"/>
        <v>-536.25456869840571</v>
      </c>
      <c r="J65" s="92">
        <f t="shared" si="100"/>
        <v>-601.54152387917031</v>
      </c>
      <c r="K65" s="92">
        <f t="shared" ref="K65:AK65" si="109">K58*K$61</f>
        <v>-464.51214933920448</v>
      </c>
      <c r="L65" s="124">
        <f t="shared" si="109"/>
        <v>-433.41302607541553</v>
      </c>
      <c r="M65" s="124">
        <f t="shared" si="109"/>
        <v>-609.44533498007843</v>
      </c>
      <c r="N65" s="124">
        <f t="shared" si="109"/>
        <v>-858.380126155428</v>
      </c>
      <c r="O65" s="124">
        <f t="shared" si="109"/>
        <v>-749.69767282013265</v>
      </c>
      <c r="P65" s="124">
        <f t="shared" si="109"/>
        <v>-544.34208239529073</v>
      </c>
      <c r="Q65" s="124">
        <f t="shared" si="109"/>
        <v>-490.59933513103186</v>
      </c>
      <c r="R65" s="124">
        <f t="shared" si="109"/>
        <v>-414.0345603961033</v>
      </c>
      <c r="S65" s="124">
        <f t="shared" si="109"/>
        <v>-386.71345003210763</v>
      </c>
      <c r="T65" s="124">
        <f t="shared" si="109"/>
        <v>-363.58833984657855</v>
      </c>
      <c r="U65" s="124">
        <f t="shared" si="109"/>
        <v>-390.5239232655357</v>
      </c>
      <c r="V65" s="124">
        <f t="shared" si="109"/>
        <v>-308.54024536118175</v>
      </c>
      <c r="W65" s="211">
        <f t="shared" si="109"/>
        <v>-284.68937779891064</v>
      </c>
      <c r="X65" s="124">
        <f t="shared" ref="X65:AF65" si="110">X58*X$61</f>
        <v>-312.67377679312926</v>
      </c>
      <c r="Y65" s="124">
        <f t="shared" si="110"/>
        <v>-378.18186201964744</v>
      </c>
      <c r="Z65" s="124">
        <f t="shared" si="110"/>
        <v>-525.16490403725697</v>
      </c>
      <c r="AA65" s="124">
        <f t="shared" si="110"/>
        <v>-615.45566586192103</v>
      </c>
      <c r="AB65" s="124">
        <f t="shared" si="110"/>
        <v>-632.23965640401047</v>
      </c>
      <c r="AC65" s="124">
        <f t="shared" si="110"/>
        <v>-448.12920212522033</v>
      </c>
      <c r="AD65" s="124">
        <f t="shared" si="110"/>
        <v>-117.57637794563902</v>
      </c>
      <c r="AE65" s="124">
        <f t="shared" si="110"/>
        <v>-293.6381600023638</v>
      </c>
      <c r="AF65" s="124">
        <f t="shared" si="110"/>
        <v>-701.63553647304866</v>
      </c>
      <c r="AG65" s="124">
        <f t="shared" ref="AG65:AI65" si="111">AG58*AG$61</f>
        <v>-764.57091333040705</v>
      </c>
      <c r="AH65" s="124">
        <f t="shared" si="111"/>
        <v>-842.90690297217509</v>
      </c>
      <c r="AI65" s="212">
        <f t="shared" si="111"/>
        <v>-825.49688716866319</v>
      </c>
      <c r="AJ65" s="91">
        <f t="shared" si="109"/>
        <v>-604.358176911378</v>
      </c>
      <c r="AK65" s="92">
        <f t="shared" si="109"/>
        <v>-99.056329078811885</v>
      </c>
      <c r="AL65" s="110">
        <f t="shared" ref="AL65" si="112">AL58*AL$61</f>
        <v>-277.10908827969672</v>
      </c>
    </row>
    <row r="66" spans="1:38" ht="15.75" thickBot="1" x14ac:dyDescent="0.3">
      <c r="A66" t="s">
        <v>7</v>
      </c>
      <c r="B66" s="91">
        <f t="shared" si="100"/>
        <v>71.909582190733545</v>
      </c>
      <c r="C66" s="92">
        <f t="shared" si="100"/>
        <v>0</v>
      </c>
      <c r="D66" s="92">
        <f t="shared" si="100"/>
        <v>-19.964408907262882</v>
      </c>
      <c r="E66" s="92">
        <f t="shared" si="100"/>
        <v>-35.070271817689715</v>
      </c>
      <c r="F66" s="92">
        <f t="shared" si="100"/>
        <v>-36.753871664125967</v>
      </c>
      <c r="G66" s="92">
        <f t="shared" si="100"/>
        <v>-273.53334265536336</v>
      </c>
      <c r="H66" s="92">
        <f t="shared" si="100"/>
        <v>-48.574660760283422</v>
      </c>
      <c r="I66" s="92">
        <f t="shared" si="100"/>
        <v>-411.6254493901655</v>
      </c>
      <c r="J66" s="92">
        <f t="shared" si="100"/>
        <v>-434.35599372772913</v>
      </c>
      <c r="K66" s="92">
        <f t="shared" ref="K66:AK66" si="113">K59*K$61</f>
        <v>-338.93132675700491</v>
      </c>
      <c r="L66" s="124">
        <f t="shared" si="113"/>
        <v>-319.08030702123</v>
      </c>
      <c r="M66" s="124">
        <f t="shared" si="113"/>
        <v>-449.84944306036493</v>
      </c>
      <c r="N66" s="124">
        <f t="shared" si="113"/>
        <v>-631.64809196938302</v>
      </c>
      <c r="O66" s="124">
        <f t="shared" si="113"/>
        <v>-542.88194148721368</v>
      </c>
      <c r="P66" s="124">
        <f t="shared" si="113"/>
        <v>-391.7204619318918</v>
      </c>
      <c r="Q66" s="124">
        <f t="shared" si="113"/>
        <v>-351.91268063001871</v>
      </c>
      <c r="R66" s="124">
        <f t="shared" si="113"/>
        <v>-299.07929335000551</v>
      </c>
      <c r="S66" s="124">
        <f t="shared" si="113"/>
        <v>-281.05571525677016</v>
      </c>
      <c r="T66" s="124">
        <f t="shared" si="113"/>
        <v>-260.94536134806037</v>
      </c>
      <c r="U66" s="124">
        <f t="shared" si="113"/>
        <v>-272.98221613456394</v>
      </c>
      <c r="V66" s="124">
        <f t="shared" si="113"/>
        <v>-213.49340309775789</v>
      </c>
      <c r="W66" s="211">
        <f t="shared" si="113"/>
        <v>-196.207795540467</v>
      </c>
      <c r="X66" s="124">
        <f t="shared" ref="X66:AF66" si="114">X59*X$61</f>
        <v>-212.68543529870962</v>
      </c>
      <c r="Y66" s="124">
        <f t="shared" si="114"/>
        <v>-254.04154295832964</v>
      </c>
      <c r="Z66" s="124">
        <f t="shared" si="114"/>
        <v>-333.16213927498325</v>
      </c>
      <c r="AA66" s="124">
        <f t="shared" si="114"/>
        <v>-352.56553115234237</v>
      </c>
      <c r="AB66" s="124">
        <f t="shared" si="114"/>
        <v>-357.01482353933267</v>
      </c>
      <c r="AC66" s="124">
        <f t="shared" si="114"/>
        <v>-253.12433771112711</v>
      </c>
      <c r="AD66" s="124">
        <f t="shared" si="114"/>
        <v>-66.664501443079232</v>
      </c>
      <c r="AE66" s="124">
        <f t="shared" si="114"/>
        <v>-165.36579937479902</v>
      </c>
      <c r="AF66" s="124">
        <f t="shared" si="114"/>
        <v>-392.77231871350943</v>
      </c>
      <c r="AG66" s="124">
        <f t="shared" ref="AG66:AI66" si="115">AG59*AG$61</f>
        <v>-426.12518227524492</v>
      </c>
      <c r="AH66" s="124">
        <f t="shared" si="115"/>
        <v>-465.13214416652499</v>
      </c>
      <c r="AI66" s="212">
        <f t="shared" si="115"/>
        <v>-432.52889055340938</v>
      </c>
      <c r="AJ66" s="91">
        <f t="shared" si="113"/>
        <v>-298.56150560877506</v>
      </c>
      <c r="AK66" s="92">
        <f t="shared" si="113"/>
        <v>-14.453542999415466</v>
      </c>
      <c r="AL66" s="110">
        <f t="shared" ref="AL66" si="116">AL59*AL$61</f>
        <v>-110.75376121828715</v>
      </c>
    </row>
    <row r="67" spans="1:38" ht="16.5" thickTop="1" thickBot="1" x14ac:dyDescent="0.3">
      <c r="A67" s="130" t="s">
        <v>86</v>
      </c>
      <c r="B67" s="172">
        <f>SUM(B62:B66)+SUM(B55:B59)-B70</f>
        <v>0</v>
      </c>
      <c r="C67" s="173">
        <f t="shared" ref="C67:J67" si="117">SUM(C62:C66)+SUM(C55:C59)-C70</f>
        <v>0</v>
      </c>
      <c r="D67" s="173">
        <f t="shared" si="117"/>
        <v>0</v>
      </c>
      <c r="E67" s="173">
        <f t="shared" si="117"/>
        <v>0</v>
      </c>
      <c r="F67" s="173">
        <f t="shared" si="117"/>
        <v>0</v>
      </c>
      <c r="G67" s="173">
        <f t="shared" si="117"/>
        <v>0</v>
      </c>
      <c r="H67" s="173">
        <f>SUM(H62:H66)+SUM(H55:H59)-H70</f>
        <v>0</v>
      </c>
      <c r="I67" s="173">
        <f t="shared" si="117"/>
        <v>0</v>
      </c>
      <c r="J67" s="173">
        <f t="shared" si="117"/>
        <v>0</v>
      </c>
      <c r="K67" s="173">
        <f t="shared" ref="K67" si="118">SUM(K62:K66)+SUM(K55:K59)-K70</f>
        <v>0</v>
      </c>
      <c r="L67" s="165">
        <f t="shared" ref="L67" si="119">SUM(L62:L66)+SUM(L55:L59)-L70</f>
        <v>0</v>
      </c>
      <c r="M67" s="165">
        <f t="shared" ref="M67" si="120">SUM(M62:M66)+SUM(M55:M59)-M70</f>
        <v>0</v>
      </c>
      <c r="N67" s="165">
        <f t="shared" ref="N67" si="121">SUM(N62:N66)+SUM(N55:N59)-N70</f>
        <v>0</v>
      </c>
      <c r="O67" s="165">
        <f>SUM(O62:O66)+SUM(O55:O59)-O70</f>
        <v>0</v>
      </c>
      <c r="P67" s="165">
        <f t="shared" ref="P67" si="122">SUM(P62:P66)+SUM(P55:P59)-P70</f>
        <v>0</v>
      </c>
      <c r="Q67" s="165">
        <f>SUM(Q62:Q66)+SUM(Q55:Q59)-Q70</f>
        <v>0</v>
      </c>
      <c r="R67" s="165">
        <f t="shared" ref="R67" si="123">SUM(R62:R66)+SUM(R55:R59)-R70</f>
        <v>0</v>
      </c>
      <c r="S67" s="165">
        <f t="shared" ref="S67" si="124">SUM(S62:S66)+SUM(S55:S59)-S70</f>
        <v>0</v>
      </c>
      <c r="T67" s="165">
        <f t="shared" ref="T67" si="125">SUM(T62:T66)+SUM(T55:T59)-T70</f>
        <v>0</v>
      </c>
      <c r="U67" s="165">
        <f t="shared" ref="U67" si="126">SUM(U62:U66)+SUM(U55:U59)-U70</f>
        <v>0</v>
      </c>
      <c r="V67" s="165">
        <f t="shared" ref="V67" si="127">SUM(V62:V66)+SUM(V55:V59)-V70</f>
        <v>0</v>
      </c>
      <c r="W67" s="204">
        <f t="shared" ref="W67:AF67" si="128">SUM(W62:W66)+SUM(W55:W59)-W70</f>
        <v>0</v>
      </c>
      <c r="X67" s="204">
        <f t="shared" si="128"/>
        <v>0</v>
      </c>
      <c r="Y67" s="204">
        <f t="shared" si="128"/>
        <v>0</v>
      </c>
      <c r="Z67" s="204">
        <f t="shared" si="128"/>
        <v>0</v>
      </c>
      <c r="AA67" s="204">
        <f t="shared" si="128"/>
        <v>0</v>
      </c>
      <c r="AB67" s="204">
        <f t="shared" si="128"/>
        <v>0</v>
      </c>
      <c r="AC67" s="204">
        <f t="shared" si="128"/>
        <v>0</v>
      </c>
      <c r="AD67" s="204">
        <f t="shared" si="128"/>
        <v>0</v>
      </c>
      <c r="AE67" s="204">
        <f t="shared" si="128"/>
        <v>0</v>
      </c>
      <c r="AF67" s="204">
        <f t="shared" si="128"/>
        <v>0</v>
      </c>
      <c r="AG67" s="204">
        <f t="shared" ref="AG67:AH67" si="129">SUM(AG62:AG66)+SUM(AG55:AG59)-AG70</f>
        <v>0</v>
      </c>
      <c r="AH67" s="204">
        <f t="shared" si="129"/>
        <v>0</v>
      </c>
      <c r="AI67" s="204">
        <f>SUM(AI62:AI66)+SUM(AI55:AI59)-AI70</f>
        <v>0</v>
      </c>
      <c r="AJ67" s="164">
        <f>SUM(AJ62:AJ66)+SUM(AJ55:AJ59)-AJ70</f>
        <v>0</v>
      </c>
      <c r="AK67" s="165">
        <f t="shared" ref="AK67:AL67" si="130">SUM(AK62:AK66)+SUM(AK55:AK59)-AK70</f>
        <v>7.4505805969238281E-9</v>
      </c>
      <c r="AL67" s="166">
        <f t="shared" si="130"/>
        <v>0</v>
      </c>
    </row>
    <row r="68" spans="1:38" ht="16.5" thickTop="1" thickBot="1" x14ac:dyDescent="0.3">
      <c r="A68" s="130" t="s">
        <v>87</v>
      </c>
      <c r="B68" s="172">
        <f>SUM(B62:B66)-B45</f>
        <v>-176.85702217797495</v>
      </c>
      <c r="C68" s="173">
        <f>SUM(C62:C66)-C45</f>
        <v>3539.64</v>
      </c>
      <c r="D68" s="173">
        <f t="shared" ref="D68:J68" si="131">SUM(D62:D66)-D45</f>
        <v>2392.5488369733366</v>
      </c>
      <c r="E68" s="173">
        <f t="shared" si="131"/>
        <v>7799.0857804280386</v>
      </c>
      <c r="F68" s="173">
        <f t="shared" si="131"/>
        <v>4294.1893028196419</v>
      </c>
      <c r="G68" s="173">
        <f>SUM(G62:G66)-G45</f>
        <v>-17849.307956825909</v>
      </c>
      <c r="H68" s="173">
        <f t="shared" si="131"/>
        <v>6.9479503549043784</v>
      </c>
      <c r="I68" s="173">
        <f t="shared" si="131"/>
        <v>-6.9544721285110427</v>
      </c>
      <c r="J68" s="173">
        <f t="shared" si="131"/>
        <v>2.0093414350412786E-3</v>
      </c>
      <c r="K68" s="173">
        <f t="shared" ref="K68:AK68" si="132">SUM(K62:K66)-K45</f>
        <v>4.6967761818450526E-4</v>
      </c>
      <c r="L68" s="173">
        <f t="shared" si="132"/>
        <v>0.15456604562814391</v>
      </c>
      <c r="M68" s="165">
        <f t="shared" si="132"/>
        <v>-1.4744802865607198E-4</v>
      </c>
      <c r="N68" s="165">
        <f t="shared" si="132"/>
        <v>1.5333303590523428E-3</v>
      </c>
      <c r="O68" s="165">
        <f t="shared" si="132"/>
        <v>-1.1573418059924734E-3</v>
      </c>
      <c r="P68" s="165">
        <f t="shared" si="132"/>
        <v>-4.0984383504110156E-3</v>
      </c>
      <c r="Q68" s="165">
        <f>SUM(Q62:Q66)-Q45</f>
        <v>4.7425678753825196E-3</v>
      </c>
      <c r="R68" s="165">
        <f t="shared" si="132"/>
        <v>-4.5037937447887089E-3</v>
      </c>
      <c r="S68" s="165">
        <f t="shared" si="132"/>
        <v>-5.0313633623773057E-3</v>
      </c>
      <c r="T68" s="165">
        <f t="shared" si="132"/>
        <v>-1.6875630549293419E-3</v>
      </c>
      <c r="U68" s="165">
        <f t="shared" si="132"/>
        <v>-2.4269455884677882E-3</v>
      </c>
      <c r="V68" s="165">
        <f t="shared" si="132"/>
        <v>-2.5248482520510152E-3</v>
      </c>
      <c r="W68" s="204">
        <f t="shared" si="132"/>
        <v>2.0855728253081907E-3</v>
      </c>
      <c r="X68" s="204">
        <f t="shared" ref="X68:AF68" si="133">SUM(X62:X66)-X45</f>
        <v>1.9046881830036E-3</v>
      </c>
      <c r="Y68" s="204">
        <f t="shared" si="133"/>
        <v>4.418895947310375E-3</v>
      </c>
      <c r="Z68" s="204">
        <f t="shared" si="133"/>
        <v>-9.6430728126506438E-4</v>
      </c>
      <c r="AA68" s="204">
        <f t="shared" si="133"/>
        <v>4.6472570575133432E-3</v>
      </c>
      <c r="AB68" s="204">
        <f t="shared" si="133"/>
        <v>-3.0888685050740605E-3</v>
      </c>
      <c r="AC68" s="204">
        <f t="shared" si="133"/>
        <v>-2.6250950759276748E-3</v>
      </c>
      <c r="AD68" s="204">
        <f t="shared" si="133"/>
        <v>-2.2356061176651565E-3</v>
      </c>
      <c r="AE68" s="204">
        <f t="shared" si="133"/>
        <v>1.9821441642307036E-3</v>
      </c>
      <c r="AF68" s="204">
        <f t="shared" si="133"/>
        <v>-3.3452064044467988E-3</v>
      </c>
      <c r="AG68" s="204">
        <f t="shared" ref="AG68:AH68" si="134">SUM(AG62:AG66)-AG45</f>
        <v>5.4164867196959676E-4</v>
      </c>
      <c r="AH68" s="204">
        <f t="shared" si="134"/>
        <v>2.9505479069484863E-3</v>
      </c>
      <c r="AI68" s="204">
        <f>SUM(AI62:AI66)-AI45</f>
        <v>-2.9275062615852221E-3</v>
      </c>
      <c r="AJ68" s="164">
        <f>SUM(AJ62:AJ66)-AJ45</f>
        <v>8.9547093011788093E-6</v>
      </c>
      <c r="AK68" s="165">
        <f t="shared" si="132"/>
        <v>8.9586851572676096E-6</v>
      </c>
      <c r="AL68" s="166">
        <f t="shared" ref="AL68" si="135">SUM(AL62:AL66)-AL45</f>
        <v>8.96266101335641E-6</v>
      </c>
    </row>
    <row r="69" spans="1:38" ht="15.75" thickTop="1" x14ac:dyDescent="0.25">
      <c r="B69" s="7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13"/>
      <c r="Y69" s="213"/>
      <c r="Z69" s="213"/>
      <c r="AA69" s="213"/>
      <c r="AB69" s="213"/>
      <c r="AC69" s="213"/>
      <c r="AD69" s="213"/>
      <c r="AE69" s="213"/>
      <c r="AF69" s="213"/>
      <c r="AG69" s="213"/>
      <c r="AH69" s="213"/>
      <c r="AI69" s="21"/>
      <c r="AJ69" s="20"/>
      <c r="AK69" s="29"/>
      <c r="AL69" s="21"/>
    </row>
    <row r="70" spans="1:38" x14ac:dyDescent="0.25">
      <c r="A70" t="s">
        <v>46</v>
      </c>
      <c r="B70" s="91">
        <f>(SUM(B19:B22)-SUM(B39:B43))+SUM(B62:B66)+A72</f>
        <v>411000.81297782238</v>
      </c>
      <c r="C70" s="92">
        <f>(SUM(C19:C22)-SUM(C39:C43))+SUM(C62:C66)+B70</f>
        <v>-2722980.6670221779</v>
      </c>
      <c r="D70" s="92">
        <f t="shared" ref="D70:AL70" si="136">(SUM(D19:D22)-SUM(D39:D43))+SUM(D62:D66)+C70</f>
        <v>-5256809.7381852046</v>
      </c>
      <c r="E70" s="92">
        <f t="shared" si="136"/>
        <v>-6673410.5224047769</v>
      </c>
      <c r="F70" s="92">
        <f t="shared" si="136"/>
        <v>-6866390.9031019574</v>
      </c>
      <c r="G70" s="92">
        <f t="shared" si="136"/>
        <v>-8256569.3210587827</v>
      </c>
      <c r="H70" s="92">
        <f>(SUM(H19:H22)-SUM(H39:H43))+SUM(H62:H66)+G70</f>
        <v>-9742889.1531084273</v>
      </c>
      <c r="I70" s="92">
        <f t="shared" si="136"/>
        <v>-10741412.457580555</v>
      </c>
      <c r="J70" s="92">
        <f t="shared" si="136"/>
        <v>-11924993.855571214</v>
      </c>
      <c r="K70" s="92">
        <f t="shared" si="136"/>
        <v>-12364183.765101537</v>
      </c>
      <c r="L70" s="92">
        <f t="shared" si="136"/>
        <v>-12845088.560535492</v>
      </c>
      <c r="M70" s="92">
        <f t="shared" si="136"/>
        <v>-12351975.420682941</v>
      </c>
      <c r="N70" s="92">
        <f t="shared" si="136"/>
        <v>-14554645.86914961</v>
      </c>
      <c r="O70" s="92">
        <f t="shared" si="136"/>
        <v>-16292486.270306952</v>
      </c>
      <c r="P70" s="92">
        <f t="shared" si="136"/>
        <v>-15593242.654405391</v>
      </c>
      <c r="Q70" s="92">
        <f t="shared" si="136"/>
        <v>-14614846.499662824</v>
      </c>
      <c r="R70" s="92">
        <f t="shared" si="136"/>
        <v>-12926583.314166619</v>
      </c>
      <c r="S70" s="92">
        <f t="shared" si="136"/>
        <v>-11481175.629197981</v>
      </c>
      <c r="T70" s="92">
        <f t="shared" si="136"/>
        <v>-10532089.470885543</v>
      </c>
      <c r="U70" s="92">
        <f t="shared" si="136"/>
        <v>-10490064.863312488</v>
      </c>
      <c r="V70" s="92">
        <f t="shared" si="136"/>
        <v>-9629809.8658373374</v>
      </c>
      <c r="W70" s="148">
        <f t="shared" si="136"/>
        <v>-8505293.6137517635</v>
      </c>
      <c r="X70" s="92">
        <f t="shared" ref="X70" si="137">(SUM(X19:X22)-SUM(X39:X43))+SUM(X62:X66)+W70</f>
        <v>-7561543.8918470759</v>
      </c>
      <c r="Y70" s="92">
        <f t="shared" ref="Y70" si="138">(SUM(Y19:Y22)-SUM(Y39:Y43))+SUM(Y62:Y66)+X70</f>
        <v>-7621438.2274281802</v>
      </c>
      <c r="Z70" s="92">
        <f t="shared" ref="Z70" si="139">(SUM(Z19:Z22)-SUM(Z39:Z43))+SUM(Z62:Z66)+Y70</f>
        <v>-9037394.8183924872</v>
      </c>
      <c r="AA70" s="92">
        <f t="shared" ref="AA70" si="140">(SUM(AA19:AA22)-SUM(AA39:AA43))+SUM(AA62:AA66)+Z70</f>
        <v>-13282415.753745232</v>
      </c>
      <c r="AB70" s="92">
        <f t="shared" ref="AB70" si="141">(SUM(AB19:AB22)-SUM(AB39:AB43))+SUM(AB62:AB66)+AA70</f>
        <v>-15615795.976834102</v>
      </c>
      <c r="AC70" s="92">
        <f t="shared" ref="AC70" si="142">(SUM(AC19:AC22)-SUM(AC39:AC43))+SUM(AC62:AC66)+AB70</f>
        <v>-15836589.759459198</v>
      </c>
      <c r="AD70" s="92">
        <f t="shared" ref="AD70" si="143">(SUM(AD19:AD22)-SUM(AD39:AD43))+SUM(AD62:AD66)+AC70</f>
        <v>-14971443.781694803</v>
      </c>
      <c r="AE70" s="92">
        <f t="shared" ref="AE70" si="144">(SUM(AE19:AE22)-SUM(AE39:AE43))+SUM(AE62:AE66)+AD70</f>
        <v>-16211780.349712659</v>
      </c>
      <c r="AF70" s="92">
        <f t="shared" ref="AF70" si="145">(SUM(AF19:AF22)-SUM(AF39:AF43))+SUM(AF62:AF66)+AE70</f>
        <v>-17221303.283057865</v>
      </c>
      <c r="AG70" s="92">
        <f t="shared" ref="AG70" si="146">(SUM(AG19:AG22)-SUM(AG39:AG43))+SUM(AG62:AG66)+AF70</f>
        <v>-16925124.362516217</v>
      </c>
      <c r="AH70" s="92">
        <f t="shared" ref="AH70" si="147">(SUM(AH19:AH22)-SUM(AH39:AH43))+SUM(AH62:AH66)+AG70</f>
        <v>-17906227.159565669</v>
      </c>
      <c r="AI70" s="146">
        <f>(SUM(AI19:AI22)-SUM(AI39:AI43))+SUM(AI62:AI66)+AH70</f>
        <v>-17497837.712493174</v>
      </c>
      <c r="AJ70" s="91">
        <f>(SUM(AJ19:AJ22)-SUM(AJ39:AJ43))+SUM(AJ62:AJ66)+AI70</f>
        <v>-14331509.333845913</v>
      </c>
      <c r="AK70" s="92">
        <f t="shared" si="136"/>
        <v>-8340850.2378297485</v>
      </c>
      <c r="AL70" s="110">
        <f t="shared" si="136"/>
        <v>-13673652.648962285</v>
      </c>
    </row>
    <row r="71" spans="1:38" x14ac:dyDescent="0.25">
      <c r="A71" t="s">
        <v>47</v>
      </c>
      <c r="B71" s="7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1"/>
      <c r="AJ71" s="20"/>
      <c r="AK71" s="29"/>
      <c r="AL71" s="21"/>
    </row>
    <row r="72" spans="1:38" ht="15.75" thickBot="1" x14ac:dyDescent="0.3">
      <c r="A72" s="49">
        <v>0</v>
      </c>
      <c r="B72" s="167"/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68"/>
      <c r="O72" s="168"/>
      <c r="P72" s="168"/>
      <c r="Q72" s="168"/>
      <c r="R72" s="168"/>
      <c r="S72" s="168"/>
      <c r="T72" s="168"/>
      <c r="U72" s="168"/>
      <c r="V72" s="168"/>
      <c r="W72" s="168"/>
      <c r="X72" s="168"/>
      <c r="Y72" s="168"/>
      <c r="Z72" s="168"/>
      <c r="AA72" s="168"/>
      <c r="AB72" s="168"/>
      <c r="AC72" s="168"/>
      <c r="AD72" s="168"/>
      <c r="AE72" s="168"/>
      <c r="AF72" s="168"/>
      <c r="AG72" s="168"/>
      <c r="AH72" s="168"/>
      <c r="AI72" s="175"/>
      <c r="AJ72" s="167"/>
      <c r="AK72" s="168"/>
      <c r="AL72" s="169"/>
    </row>
    <row r="73" spans="1:38" x14ac:dyDescent="0.25">
      <c r="B73" s="90"/>
    </row>
    <row r="74" spans="1:38" s="97" customFormat="1" x14ac:dyDescent="0.25">
      <c r="B74" s="233"/>
      <c r="C74" s="114"/>
      <c r="D74" s="114"/>
      <c r="E74" s="114"/>
      <c r="F74" s="114"/>
      <c r="G74" s="114"/>
      <c r="H74" s="114"/>
      <c r="I74" s="114"/>
      <c r="J74" s="114"/>
      <c r="K74" s="114"/>
    </row>
    <row r="75" spans="1:38" s="97" customFormat="1" x14ac:dyDescent="0.25"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  <c r="AA75" s="114"/>
      <c r="AB75" s="114"/>
      <c r="AC75" s="114"/>
      <c r="AD75" s="114"/>
      <c r="AE75" s="114"/>
      <c r="AF75" s="114"/>
      <c r="AG75" s="114"/>
      <c r="AH75" s="114"/>
      <c r="AI75" s="114"/>
      <c r="AJ75" s="210"/>
      <c r="AK75" s="210"/>
      <c r="AL75" s="210"/>
    </row>
    <row r="76" spans="1:38" s="97" customFormat="1" x14ac:dyDescent="0.25">
      <c r="C76" s="234"/>
      <c r="D76" s="234"/>
      <c r="E76" s="234"/>
      <c r="F76" s="234"/>
      <c r="G76" s="234"/>
      <c r="H76" s="234"/>
    </row>
    <row r="77" spans="1:38" s="97" customFormat="1" x14ac:dyDescent="0.25"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  <c r="R77" s="176"/>
      <c r="S77" s="176"/>
      <c r="T77" s="176"/>
      <c r="U77" s="176"/>
      <c r="V77" s="176"/>
      <c r="W77" s="176"/>
      <c r="X77" s="176"/>
      <c r="Y77" s="176"/>
      <c r="Z77" s="176"/>
      <c r="AA77" s="176"/>
      <c r="AB77" s="176"/>
      <c r="AC77" s="176"/>
      <c r="AD77" s="176"/>
      <c r="AE77" s="176"/>
      <c r="AF77" s="176"/>
      <c r="AG77" s="176"/>
      <c r="AH77" s="176"/>
      <c r="AI77" s="176"/>
      <c r="AJ77" s="176"/>
      <c r="AK77" s="176"/>
      <c r="AL77" s="176"/>
    </row>
    <row r="80" spans="1:38" x14ac:dyDescent="0.25">
      <c r="C80" s="8"/>
      <c r="D80" s="8"/>
      <c r="E80" s="8"/>
      <c r="F80" s="8"/>
      <c r="G80" s="8"/>
      <c r="H80" s="8"/>
    </row>
  </sheetData>
  <mergeCells count="1">
    <mergeCell ref="AJ17:AL17"/>
  </mergeCells>
  <pageMargins left="0.7" right="0.7" top="0.75" bottom="0.75" header="0.3" footer="0.3"/>
  <pageSetup orientation="portrait" r:id="rId1"/>
  <headerFooter>
    <oddHeader>&amp;RSCHEDULE WRD-2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7"/>
  <sheetViews>
    <sheetView tabSelected="1" view="pageLayout" zoomScaleNormal="100" workbookViewId="0">
      <selection activeCell="I23" sqref="I23"/>
    </sheetView>
  </sheetViews>
  <sheetFormatPr defaultRowHeight="15" x14ac:dyDescent="0.25"/>
  <cols>
    <col min="1" max="1" width="17.5703125" customWidth="1"/>
    <col min="2" max="2" width="19.28515625" customWidth="1"/>
    <col min="3" max="3" width="15.140625" customWidth="1"/>
    <col min="4" max="4" width="16.140625" customWidth="1"/>
    <col min="5" max="5" width="14.28515625" bestFit="1" customWidth="1"/>
    <col min="6" max="6" width="15.5703125" customWidth="1"/>
    <col min="7" max="7" width="17" bestFit="1" customWidth="1"/>
    <col min="8" max="8" width="14.28515625" bestFit="1" customWidth="1"/>
    <col min="9" max="9" width="15.85546875" customWidth="1"/>
    <col min="10" max="10" width="13.85546875" bestFit="1" customWidth="1"/>
  </cols>
  <sheetData>
    <row r="1" spans="1:12" ht="16.5" thickTop="1" thickBot="1" x14ac:dyDescent="0.3">
      <c r="A1" s="9" t="s">
        <v>52</v>
      </c>
      <c r="D1" s="97"/>
      <c r="E1" s="191" t="s">
        <v>70</v>
      </c>
      <c r="F1" s="66">
        <v>599118</v>
      </c>
      <c r="G1" s="67">
        <v>488212</v>
      </c>
      <c r="H1" s="68">
        <v>18883</v>
      </c>
      <c r="I1" s="84">
        <f>SUM(F1:H1)</f>
        <v>1106213</v>
      </c>
    </row>
    <row r="2" spans="1:12" ht="16.5" thickTop="1" thickBot="1" x14ac:dyDescent="0.3">
      <c r="B2" s="240" t="s">
        <v>18</v>
      </c>
      <c r="C2" s="240"/>
      <c r="E2" s="65" t="s">
        <v>37</v>
      </c>
      <c r="F2" s="69">
        <f>F1/SUM($F$1:$H$1)</f>
        <v>0.54159370754095282</v>
      </c>
      <c r="G2" s="70">
        <f>G1/SUM($F$1:$H$1)</f>
        <v>0.44133634300085067</v>
      </c>
      <c r="H2" s="71">
        <f>H1/SUM($F$1:$H$1)</f>
        <v>1.7069949458196568E-2</v>
      </c>
      <c r="K2" s="3" t="s">
        <v>100</v>
      </c>
      <c r="L2" s="97"/>
    </row>
    <row r="3" spans="1:12" x14ac:dyDescent="0.25">
      <c r="B3" s="192" t="s">
        <v>99</v>
      </c>
      <c r="C3" s="6" t="s">
        <v>40</v>
      </c>
      <c r="E3" s="25"/>
      <c r="F3" s="50" t="s">
        <v>0</v>
      </c>
      <c r="G3" s="50" t="s">
        <v>1</v>
      </c>
      <c r="H3" s="51" t="s">
        <v>2</v>
      </c>
      <c r="I3" s="6"/>
      <c r="K3" s="143" t="s">
        <v>48</v>
      </c>
      <c r="L3" s="97"/>
    </row>
    <row r="4" spans="1:12" x14ac:dyDescent="0.25">
      <c r="A4" s="37" t="s">
        <v>68</v>
      </c>
      <c r="B4" s="58">
        <v>0</v>
      </c>
      <c r="C4" s="60">
        <f>SUM(F11:I11)</f>
        <v>0</v>
      </c>
      <c r="D4" s="4"/>
      <c r="E4" s="41"/>
      <c r="F4" s="72">
        <v>1</v>
      </c>
      <c r="G4" s="72">
        <v>0</v>
      </c>
      <c r="H4" s="44" t="e">
        <f>B4/SUM($B$4:$B$8)</f>
        <v>#DIV/0!</v>
      </c>
      <c r="I4" s="5"/>
      <c r="K4" s="143" t="s">
        <v>101</v>
      </c>
      <c r="L4" s="97"/>
    </row>
    <row r="5" spans="1:12" x14ac:dyDescent="0.25">
      <c r="A5" s="37" t="s">
        <v>4</v>
      </c>
      <c r="B5" s="59">
        <f>$B$12*TDR!AN30</f>
        <v>0</v>
      </c>
      <c r="C5" s="60">
        <f>SUM(F12:I12)</f>
        <v>0</v>
      </c>
      <c r="E5" s="41"/>
      <c r="F5" s="72">
        <v>0</v>
      </c>
      <c r="G5" s="43" t="e">
        <f>B5/SUM($B$5:$B$8)</f>
        <v>#DIV/0!</v>
      </c>
      <c r="H5" s="44" t="e">
        <f t="shared" ref="H5:H8" si="0">B5/SUM($B$4:$B$8)</f>
        <v>#DIV/0!</v>
      </c>
      <c r="I5" s="5"/>
      <c r="K5" s="3" t="s">
        <v>93</v>
      </c>
    </row>
    <row r="6" spans="1:12" x14ac:dyDescent="0.25">
      <c r="A6" s="37" t="s">
        <v>5</v>
      </c>
      <c r="B6" s="59">
        <f>$B$12*TDR!AN31</f>
        <v>0</v>
      </c>
      <c r="C6" s="60">
        <f>SUM(F13:I13)</f>
        <v>0</v>
      </c>
      <c r="D6" s="4"/>
      <c r="E6" s="41"/>
      <c r="F6" s="72">
        <v>0</v>
      </c>
      <c r="G6" s="43" t="e">
        <f t="shared" ref="G6:G8" si="1">B6/SUM($B$5:$B$8)</f>
        <v>#DIV/0!</v>
      </c>
      <c r="H6" s="44" t="e">
        <f t="shared" si="0"/>
        <v>#DIV/0!</v>
      </c>
      <c r="K6" s="3"/>
    </row>
    <row r="7" spans="1:12" x14ac:dyDescent="0.25">
      <c r="A7" s="37" t="s">
        <v>6</v>
      </c>
      <c r="B7" s="59">
        <f>$B$12*TDR!AN32</f>
        <v>0</v>
      </c>
      <c r="C7" s="60">
        <f>SUM(F14:I14)</f>
        <v>0</v>
      </c>
      <c r="D7" s="4"/>
      <c r="E7" s="41"/>
      <c r="F7" s="72">
        <v>0</v>
      </c>
      <c r="G7" s="43" t="e">
        <f t="shared" si="1"/>
        <v>#DIV/0!</v>
      </c>
      <c r="H7" s="44" t="e">
        <f t="shared" si="0"/>
        <v>#DIV/0!</v>
      </c>
      <c r="K7" s="3"/>
    </row>
    <row r="8" spans="1:12" ht="15.75" thickBot="1" x14ac:dyDescent="0.3">
      <c r="A8" s="37" t="s">
        <v>7</v>
      </c>
      <c r="B8" s="59">
        <f>$B$12*TDR!AN33</f>
        <v>0</v>
      </c>
      <c r="C8" s="60">
        <f>SUM(F15:I15)</f>
        <v>0</v>
      </c>
      <c r="D8" s="4"/>
      <c r="E8" s="41"/>
      <c r="F8" s="72">
        <v>0</v>
      </c>
      <c r="G8" s="43" t="e">
        <f t="shared" si="1"/>
        <v>#DIV/0!</v>
      </c>
      <c r="H8" s="44" t="e">
        <f t="shared" si="0"/>
        <v>#DIV/0!</v>
      </c>
    </row>
    <row r="9" spans="1:12" ht="16.5" thickTop="1" thickBot="1" x14ac:dyDescent="0.3">
      <c r="A9" s="37" t="s">
        <v>13</v>
      </c>
      <c r="B9" s="59">
        <f>SUM(B4:B8)</f>
        <v>0</v>
      </c>
      <c r="C9" s="40">
        <f>SUM(C4:C8)</f>
        <v>0</v>
      </c>
      <c r="D9" s="4"/>
      <c r="E9" s="53" t="s">
        <v>42</v>
      </c>
      <c r="F9" s="36">
        <f>1-SUM(F4:F8)</f>
        <v>0</v>
      </c>
      <c r="G9" s="36" t="e">
        <f t="shared" ref="G9:H9" si="2">1-SUM(G4:G8)</f>
        <v>#DIV/0!</v>
      </c>
      <c r="H9" s="52" t="e">
        <f t="shared" si="2"/>
        <v>#DIV/0!</v>
      </c>
      <c r="I9" s="6" t="s">
        <v>94</v>
      </c>
    </row>
    <row r="10" spans="1:12" ht="16.5" thickTop="1" thickBot="1" x14ac:dyDescent="0.3">
      <c r="B10" s="57"/>
      <c r="C10" s="36">
        <f>C9-E30</f>
        <v>0</v>
      </c>
      <c r="D10" s="4"/>
      <c r="E10" s="56" t="s">
        <v>13</v>
      </c>
      <c r="F10" s="47">
        <f>F2*$I$10</f>
        <v>0</v>
      </c>
      <c r="G10" s="47">
        <f>G2*$I$10</f>
        <v>0</v>
      </c>
      <c r="H10" s="48">
        <f>H2*$I$10</f>
        <v>0</v>
      </c>
      <c r="I10" s="80">
        <f>0*0.9</f>
        <v>0</v>
      </c>
    </row>
    <row r="11" spans="1:12" ht="15.75" thickTop="1" x14ac:dyDescent="0.25">
      <c r="D11" s="4"/>
      <c r="E11" s="41" t="s">
        <v>0</v>
      </c>
      <c r="F11" s="54">
        <f>F4*F10</f>
        <v>0</v>
      </c>
      <c r="G11" s="54">
        <f>IFERROR(G4*G$9,0)</f>
        <v>0</v>
      </c>
      <c r="H11" s="55">
        <f>IFERROR(H4*H$10,0)</f>
        <v>0</v>
      </c>
    </row>
    <row r="12" spans="1:12" x14ac:dyDescent="0.25">
      <c r="A12" s="85" t="s">
        <v>69</v>
      </c>
      <c r="B12" s="58">
        <v>0</v>
      </c>
      <c r="D12" s="4"/>
      <c r="E12" s="41" t="s">
        <v>4</v>
      </c>
      <c r="F12" s="45">
        <f t="shared" ref="F12:F15" si="3">F5*F11</f>
        <v>0</v>
      </c>
      <c r="G12" s="54">
        <f t="shared" ref="G12:G15" si="4">IFERROR(G5*G$9,0)</f>
        <v>0</v>
      </c>
      <c r="H12" s="55">
        <f t="shared" ref="H12:H15" si="5">IFERROR(H5*H$10,0)</f>
        <v>0</v>
      </c>
      <c r="I12" s="145"/>
      <c r="J12" s="132"/>
    </row>
    <row r="13" spans="1:12" x14ac:dyDescent="0.25">
      <c r="D13" s="4"/>
      <c r="E13" s="41" t="s">
        <v>5</v>
      </c>
      <c r="F13" s="45">
        <f t="shared" si="3"/>
        <v>0</v>
      </c>
      <c r="G13" s="54">
        <f t="shared" si="4"/>
        <v>0</v>
      </c>
      <c r="H13" s="55">
        <f t="shared" si="5"/>
        <v>0</v>
      </c>
      <c r="I13" s="4"/>
    </row>
    <row r="14" spans="1:12" x14ac:dyDescent="0.25">
      <c r="D14" s="4"/>
      <c r="E14" s="41" t="s">
        <v>6</v>
      </c>
      <c r="F14" s="45">
        <f t="shared" si="3"/>
        <v>0</v>
      </c>
      <c r="G14" s="54">
        <f t="shared" si="4"/>
        <v>0</v>
      </c>
      <c r="H14" s="55">
        <f t="shared" si="5"/>
        <v>0</v>
      </c>
      <c r="I14" s="4"/>
    </row>
    <row r="15" spans="1:12" ht="15.75" thickBot="1" x14ac:dyDescent="0.3">
      <c r="D15" s="4"/>
      <c r="E15" s="42" t="s">
        <v>7</v>
      </c>
      <c r="F15" s="47">
        <f t="shared" si="3"/>
        <v>0</v>
      </c>
      <c r="G15" s="47">
        <f t="shared" si="4"/>
        <v>0</v>
      </c>
      <c r="H15" s="48">
        <f t="shared" si="5"/>
        <v>0</v>
      </c>
      <c r="I15" s="4"/>
    </row>
    <row r="16" spans="1:12" x14ac:dyDescent="0.25">
      <c r="F16" s="38"/>
      <c r="G16" s="38"/>
      <c r="H16" s="38"/>
    </row>
    <row r="18" spans="10:32" x14ac:dyDescent="0.25"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27" spans="10:32" x14ac:dyDescent="0.25">
      <c r="J27" s="154"/>
    </row>
    <row r="53" spans="2:4" x14ac:dyDescent="0.25">
      <c r="B53" s="8"/>
      <c r="C53" s="8"/>
      <c r="D53" s="8"/>
    </row>
    <row r="57" spans="2:4" x14ac:dyDescent="0.25">
      <c r="B57" s="8"/>
      <c r="C57" s="8"/>
      <c r="D57" s="8"/>
    </row>
  </sheetData>
  <mergeCells count="1">
    <mergeCell ref="B2:C2"/>
  </mergeCells>
  <pageMargins left="0.7" right="0.7" top="0.75" bottom="0.75" header="0.3" footer="0.3"/>
  <pageSetup orientation="portrait" r:id="rId1"/>
  <headerFooter>
    <oddHeader>&amp;RSCHEDULE WRD-2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W87"/>
  <sheetViews>
    <sheetView tabSelected="1" view="pageLayout" zoomScaleNormal="100" workbookViewId="0">
      <selection activeCell="I23" sqref="I23"/>
    </sheetView>
  </sheetViews>
  <sheetFormatPr defaultRowHeight="15" x14ac:dyDescent="0.25"/>
  <cols>
    <col min="1" max="1" width="17.5703125" customWidth="1"/>
    <col min="2" max="2" width="15.140625" customWidth="1"/>
    <col min="3" max="3" width="14.5703125" customWidth="1"/>
    <col min="4" max="4" width="15.140625" customWidth="1"/>
    <col min="5" max="5" width="16.140625" customWidth="1"/>
    <col min="6" max="6" width="14.28515625" bestFit="1" customWidth="1"/>
    <col min="7" max="7" width="16" customWidth="1"/>
    <col min="8" max="9" width="14.28515625" bestFit="1" customWidth="1"/>
    <col min="10" max="10" width="15.5703125" customWidth="1"/>
    <col min="11" max="11" width="14" customWidth="1"/>
    <col min="12" max="12" width="17" bestFit="1" customWidth="1"/>
    <col min="13" max="23" width="17.28515625" customWidth="1"/>
    <col min="24" max="35" width="17.28515625" style="131" customWidth="1"/>
    <col min="36" max="39" width="17.28515625" customWidth="1"/>
  </cols>
  <sheetData>
    <row r="2" spans="1:38" x14ac:dyDescent="0.25">
      <c r="B2" s="3" t="s">
        <v>39</v>
      </c>
      <c r="I2" s="3" t="s">
        <v>43</v>
      </c>
    </row>
    <row r="3" spans="1:38" x14ac:dyDescent="0.25">
      <c r="B3" s="6" t="s">
        <v>9</v>
      </c>
      <c r="C3" s="6" t="s">
        <v>96</v>
      </c>
      <c r="D3" s="6" t="s">
        <v>35</v>
      </c>
      <c r="E3" s="223" t="s">
        <v>107</v>
      </c>
      <c r="F3" s="6" t="s">
        <v>41</v>
      </c>
      <c r="G3" s="6" t="s">
        <v>38</v>
      </c>
      <c r="I3" s="143" t="s">
        <v>71</v>
      </c>
      <c r="J3" s="97"/>
      <c r="K3" s="97"/>
      <c r="L3" s="97"/>
      <c r="N3" s="6"/>
    </row>
    <row r="4" spans="1:38" x14ac:dyDescent="0.25">
      <c r="A4" s="37" t="s">
        <v>0</v>
      </c>
      <c r="B4" s="40">
        <f>SUM(B22:AL22)</f>
        <v>92196980.625072196</v>
      </c>
      <c r="C4" s="76">
        <f>SUM(B29:AL29)</f>
        <v>618002</v>
      </c>
      <c r="D4" s="40">
        <f>SUM(B40:AL40)</f>
        <v>89180128.050515562</v>
      </c>
      <c r="E4" s="40">
        <f>D4-B4</f>
        <v>-3016852.5745566338</v>
      </c>
      <c r="F4" s="40">
        <f>SUM(B64:AL64)</f>
        <v>-126374.84972814281</v>
      </c>
      <c r="G4" s="60">
        <f>E4+F4</f>
        <v>-3143227.4242847767</v>
      </c>
      <c r="I4" s="143" t="s">
        <v>72</v>
      </c>
      <c r="J4" s="97"/>
      <c r="K4" s="97"/>
      <c r="L4" s="97"/>
    </row>
    <row r="5" spans="1:38" x14ac:dyDescent="0.25">
      <c r="A5" s="37" t="s">
        <v>4</v>
      </c>
      <c r="B5" s="40">
        <f>SUM(B23:AL23)</f>
        <v>6389181.4225305011</v>
      </c>
      <c r="C5" s="76">
        <f>SUM(B30:AL30)</f>
        <v>59348.000000000102</v>
      </c>
      <c r="D5" s="40">
        <f>SUM(B41:AL41)</f>
        <v>8903842.3878941797</v>
      </c>
      <c r="E5" s="40">
        <f t="shared" ref="E5:E8" si="0">D5-B5</f>
        <v>2514660.9653636785</v>
      </c>
      <c r="F5" s="40">
        <f>SUM(B65:AL65)</f>
        <v>56583.256690372189</v>
      </c>
      <c r="G5" s="60">
        <f t="shared" ref="G5:G8" si="1">E5+F5</f>
        <v>2571244.2220540508</v>
      </c>
      <c r="I5" s="143" t="s">
        <v>97</v>
      </c>
      <c r="J5" s="97"/>
      <c r="K5" s="97"/>
      <c r="L5" s="97"/>
    </row>
    <row r="6" spans="1:38" x14ac:dyDescent="0.25">
      <c r="A6" s="37" t="s">
        <v>5</v>
      </c>
      <c r="B6" s="40">
        <f>SUM(B24:AL24)</f>
        <v>30822693.059015997</v>
      </c>
      <c r="C6" s="76">
        <f>SUM(B31:AL31)</f>
        <v>259757.00000000012</v>
      </c>
      <c r="D6" s="40">
        <f>SUM(B42:AL42)</f>
        <v>39469906.74711626</v>
      </c>
      <c r="E6" s="40">
        <f t="shared" si="0"/>
        <v>8647213.6881002635</v>
      </c>
      <c r="F6" s="40">
        <f>SUM(B66:AL66)</f>
        <v>143135.89842840008</v>
      </c>
      <c r="G6" s="60">
        <f t="shared" si="1"/>
        <v>8790349.5865286645</v>
      </c>
      <c r="I6" s="143" t="s">
        <v>73</v>
      </c>
      <c r="J6" s="97"/>
      <c r="K6" s="97"/>
      <c r="L6" s="97"/>
    </row>
    <row r="7" spans="1:38" x14ac:dyDescent="0.25">
      <c r="A7" s="37" t="s">
        <v>6</v>
      </c>
      <c r="B7" s="40">
        <f>SUM(B25:AL25)</f>
        <v>9842538.8692737985</v>
      </c>
      <c r="C7" s="76">
        <f>SUM(B32:AL32)</f>
        <v>103409.0000000001</v>
      </c>
      <c r="D7" s="40">
        <f>SUM(B43:AL43)</f>
        <v>15195300.483817872</v>
      </c>
      <c r="E7" s="40">
        <f t="shared" si="0"/>
        <v>5352761.6145440731</v>
      </c>
      <c r="F7" s="40">
        <f>SUM(B67:AL67)</f>
        <v>15488.362861518459</v>
      </c>
      <c r="G7" s="60">
        <f t="shared" si="1"/>
        <v>5368249.9774055919</v>
      </c>
      <c r="I7" s="143" t="s">
        <v>74</v>
      </c>
      <c r="J7" s="97"/>
      <c r="K7" s="97"/>
      <c r="L7" s="97"/>
    </row>
    <row r="8" spans="1:38" ht="15.75" thickBot="1" x14ac:dyDescent="0.3">
      <c r="A8" s="37" t="s">
        <v>7</v>
      </c>
      <c r="B8" s="40">
        <f>SUM(B26:AL26)</f>
        <v>6297744.6617799997</v>
      </c>
      <c r="C8" s="76">
        <f>SUM(B33:AL33)</f>
        <v>64767.000000000102</v>
      </c>
      <c r="D8" s="40">
        <f>SUM(B44:AL44)</f>
        <v>9258264.8264313005</v>
      </c>
      <c r="E8" s="40">
        <f t="shared" si="0"/>
        <v>2960520.1646513008</v>
      </c>
      <c r="F8" s="40">
        <f>SUM(B68:AL68)</f>
        <v>-14237.623208322564</v>
      </c>
      <c r="G8" s="60">
        <f t="shared" si="1"/>
        <v>2946282.5414429782</v>
      </c>
      <c r="I8" s="3" t="s">
        <v>75</v>
      </c>
    </row>
    <row r="9" spans="1:38" ht="16.5" thickTop="1" thickBot="1" x14ac:dyDescent="0.3">
      <c r="B9" s="73">
        <f>SUM(B4:B8)</f>
        <v>145549138.63767251</v>
      </c>
      <c r="C9" s="76">
        <f>SUM(C4:C8)</f>
        <v>1105283.0000000005</v>
      </c>
      <c r="D9" s="73">
        <f>SUM(D4:D8)</f>
        <v>162007442.49577519</v>
      </c>
      <c r="E9" s="73">
        <f>SUM(E4:E8)</f>
        <v>16458303.858102683</v>
      </c>
      <c r="F9" s="40">
        <f t="shared" ref="F9" si="2">SUM(F4:F8)</f>
        <v>74595.045043825347</v>
      </c>
      <c r="G9" s="73">
        <f>SUM(G4:G8)</f>
        <v>16532898.903146509</v>
      </c>
      <c r="I9" s="3" t="s">
        <v>98</v>
      </c>
      <c r="O9" s="5"/>
    </row>
    <row r="10" spans="1:38" ht="16.5" thickTop="1" thickBot="1" x14ac:dyDescent="0.3">
      <c r="F10" s="36">
        <f>F9-SUM(B47:AL47)</f>
        <v>-4.1694479441503063E-3</v>
      </c>
      <c r="I10" s="143" t="s">
        <v>83</v>
      </c>
      <c r="J10" s="97"/>
      <c r="K10" s="97"/>
      <c r="L10" s="97"/>
    </row>
    <row r="11" spans="1:38" ht="15.75" thickTop="1" x14ac:dyDescent="0.25">
      <c r="E11" s="4"/>
      <c r="F11" s="4"/>
    </row>
    <row r="12" spans="1:38" x14ac:dyDescent="0.25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35"/>
      <c r="AK12" s="35"/>
    </row>
    <row r="13" spans="1:38" x14ac:dyDescent="0.25"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35"/>
      <c r="AK13" s="35"/>
    </row>
    <row r="14" spans="1:38" x14ac:dyDescent="0.25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35"/>
      <c r="AK14" s="135"/>
      <c r="AL14" s="135"/>
    </row>
    <row r="15" spans="1:38" x14ac:dyDescent="0.25"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35"/>
      <c r="AK15" s="35"/>
    </row>
    <row r="16" spans="1:38" ht="15.75" thickBot="1" x14ac:dyDescent="0.3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35"/>
      <c r="AK16" s="35"/>
    </row>
    <row r="17" spans="1:49" ht="15.75" thickBot="1" x14ac:dyDescent="0.3">
      <c r="B17" s="151"/>
      <c r="C17" s="152"/>
      <c r="D17" s="153" t="s">
        <v>85</v>
      </c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241" t="s">
        <v>34</v>
      </c>
      <c r="AK17" s="242"/>
      <c r="AL17" s="243"/>
    </row>
    <row r="18" spans="1:49" x14ac:dyDescent="0.25">
      <c r="A18" t="s">
        <v>76</v>
      </c>
      <c r="B18" s="23">
        <v>41275</v>
      </c>
      <c r="C18" s="34">
        <f t="shared" ref="C18:K18" si="3">EDATE(B18,1)</f>
        <v>41306</v>
      </c>
      <c r="D18" s="34">
        <f t="shared" si="3"/>
        <v>41334</v>
      </c>
      <c r="E18" s="34">
        <f t="shared" si="3"/>
        <v>41365</v>
      </c>
      <c r="F18" s="34">
        <f t="shared" si="3"/>
        <v>41395</v>
      </c>
      <c r="G18" s="34">
        <f t="shared" si="3"/>
        <v>41426</v>
      </c>
      <c r="H18" s="34">
        <f t="shared" si="3"/>
        <v>41456</v>
      </c>
      <c r="I18" s="34">
        <f t="shared" si="3"/>
        <v>41487</v>
      </c>
      <c r="J18" s="34">
        <f t="shared" si="3"/>
        <v>41518</v>
      </c>
      <c r="K18" s="34">
        <f t="shared" si="3"/>
        <v>41548</v>
      </c>
      <c r="L18" s="34">
        <f t="shared" ref="L18" si="4">EDATE(K18,1)</f>
        <v>41579</v>
      </c>
      <c r="M18" s="34">
        <f t="shared" ref="M18" si="5">EDATE(L18,1)</f>
        <v>41609</v>
      </c>
      <c r="N18" s="34">
        <f t="shared" ref="N18" si="6">EDATE(M18,1)</f>
        <v>41640</v>
      </c>
      <c r="O18" s="34">
        <f t="shared" ref="O18" si="7">EDATE(N18,1)</f>
        <v>41671</v>
      </c>
      <c r="P18" s="34">
        <f t="shared" ref="P18" si="8">EDATE(O18,1)</f>
        <v>41699</v>
      </c>
      <c r="Q18" s="34">
        <f t="shared" ref="Q18" si="9">EDATE(P18,1)</f>
        <v>41730</v>
      </c>
      <c r="R18" s="34">
        <f t="shared" ref="R18" si="10">EDATE(Q18,1)</f>
        <v>41760</v>
      </c>
      <c r="S18" s="34">
        <f t="shared" ref="S18" si="11">EDATE(R18,1)</f>
        <v>41791</v>
      </c>
      <c r="T18" s="34">
        <f t="shared" ref="T18" si="12">EDATE(S18,1)</f>
        <v>41821</v>
      </c>
      <c r="U18" s="34">
        <f t="shared" ref="U18" si="13">EDATE(T18,1)</f>
        <v>41852</v>
      </c>
      <c r="V18" s="34">
        <f t="shared" ref="V18" si="14">EDATE(U18,1)</f>
        <v>41883</v>
      </c>
      <c r="W18" s="34">
        <f t="shared" ref="W18" si="15">EDATE(V18,1)</f>
        <v>41913</v>
      </c>
      <c r="X18" s="34">
        <f t="shared" ref="X18" si="16">EDATE(W18,1)</f>
        <v>41944</v>
      </c>
      <c r="Y18" s="34">
        <f t="shared" ref="Y18" si="17">EDATE(X18,1)</f>
        <v>41974</v>
      </c>
      <c r="Z18" s="34">
        <f t="shared" ref="Z18" si="18">EDATE(Y18,1)</f>
        <v>42005</v>
      </c>
      <c r="AA18" s="34">
        <f t="shared" ref="AA18" si="19">EDATE(Z18,1)</f>
        <v>42036</v>
      </c>
      <c r="AB18" s="34">
        <f t="shared" ref="AB18" si="20">EDATE(AA18,1)</f>
        <v>42064</v>
      </c>
      <c r="AC18" s="34">
        <f t="shared" ref="AC18" si="21">EDATE(AB18,1)</f>
        <v>42095</v>
      </c>
      <c r="AD18" s="34">
        <f t="shared" ref="AD18" si="22">EDATE(AC18,1)</f>
        <v>42125</v>
      </c>
      <c r="AE18" s="34">
        <f t="shared" ref="AE18" si="23">EDATE(AD18,1)</f>
        <v>42156</v>
      </c>
      <c r="AF18" s="34">
        <f t="shared" ref="AF18" si="24">EDATE(AE18,1)</f>
        <v>42186</v>
      </c>
      <c r="AG18" s="34">
        <f t="shared" ref="AG18" si="25">EDATE(AF18,1)</f>
        <v>42217</v>
      </c>
      <c r="AH18" s="34">
        <f t="shared" ref="AH18" si="26">EDATE(AG18,1)</f>
        <v>42248</v>
      </c>
      <c r="AI18" s="34">
        <f t="shared" ref="AI18" si="27">EDATE(AH18,1)</f>
        <v>42278</v>
      </c>
      <c r="AJ18" s="23">
        <f>EDATE(AI18,1)</f>
        <v>42309</v>
      </c>
      <c r="AK18" s="34">
        <f t="shared" ref="AK18" si="28">EDATE(AJ18,1)</f>
        <v>42339</v>
      </c>
      <c r="AL18" s="24">
        <f t="shared" ref="AL18" si="29">EDATE(AK18,1)</f>
        <v>42370</v>
      </c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1:49" x14ac:dyDescent="0.25">
      <c r="A19" t="s">
        <v>13</v>
      </c>
      <c r="B19" s="133">
        <v>-317741.14</v>
      </c>
      <c r="C19" s="134">
        <v>1019567.37</v>
      </c>
      <c r="D19" s="134">
        <v>1178656.3799999999</v>
      </c>
      <c r="E19" s="134">
        <v>1462879.64</v>
      </c>
      <c r="F19" s="134">
        <v>3433939.67</v>
      </c>
      <c r="G19" s="134">
        <v>2346012.9</v>
      </c>
      <c r="H19" s="134">
        <v>3687760.97</v>
      </c>
      <c r="I19" s="134">
        <v>2735167.93</v>
      </c>
      <c r="J19" s="80">
        <v>4479801.6900000004</v>
      </c>
      <c r="K19" s="80">
        <v>7082385.5</v>
      </c>
      <c r="L19" s="80">
        <v>4938505.47</v>
      </c>
      <c r="M19" s="80">
        <v>5095234.7</v>
      </c>
      <c r="N19" s="80">
        <v>2389801.65</v>
      </c>
      <c r="O19" s="80">
        <v>3574073.61</v>
      </c>
      <c r="P19" s="80">
        <v>3199891.14</v>
      </c>
      <c r="Q19" s="80">
        <v>3729139.92</v>
      </c>
      <c r="R19" s="80">
        <v>4264770.67</v>
      </c>
      <c r="S19" s="80">
        <v>4565038.71</v>
      </c>
      <c r="T19" s="80">
        <v>4816229.07</v>
      </c>
      <c r="U19" s="80">
        <v>5892743.0199999996</v>
      </c>
      <c r="V19" s="80">
        <v>4527945.4000000004</v>
      </c>
      <c r="W19" s="81">
        <v>4170502.86</v>
      </c>
      <c r="X19" s="81">
        <v>5419401.3600000003</v>
      </c>
      <c r="Y19" s="81">
        <v>5540123.7699999996</v>
      </c>
      <c r="Z19" s="81">
        <v>3442983.51</v>
      </c>
      <c r="AA19" s="81">
        <v>3192263.38</v>
      </c>
      <c r="AB19" s="81">
        <v>4175686.06</v>
      </c>
      <c r="AC19" s="81">
        <v>5414629.6699999999</v>
      </c>
      <c r="AD19" s="81">
        <v>5051606.72</v>
      </c>
      <c r="AE19" s="81">
        <v>4614929.4000000004</v>
      </c>
      <c r="AF19" s="81">
        <v>6642766.4400000004</v>
      </c>
      <c r="AG19" s="81">
        <v>5059683.01</v>
      </c>
      <c r="AH19" s="81">
        <v>7063883.6600000001</v>
      </c>
      <c r="AI19" s="81">
        <v>7726186.9900000002</v>
      </c>
      <c r="AJ19" s="77">
        <v>8619510.1027483754</v>
      </c>
      <c r="AK19" s="149">
        <v>11952963.893026751</v>
      </c>
      <c r="AL19" s="78">
        <v>-181482.59999998441</v>
      </c>
      <c r="AM19" s="97"/>
    </row>
    <row r="20" spans="1:49" x14ac:dyDescent="0.25">
      <c r="B20" s="20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79"/>
      <c r="AK20" s="87"/>
      <c r="AL20" s="21"/>
    </row>
    <row r="21" spans="1:49" x14ac:dyDescent="0.25">
      <c r="A21" t="s">
        <v>77</v>
      </c>
      <c r="B21" s="20"/>
      <c r="C21" s="29"/>
      <c r="D21" s="30" t="s">
        <v>15</v>
      </c>
      <c r="E21" s="29"/>
      <c r="F21" s="29"/>
      <c r="G21" s="29"/>
      <c r="H21" s="29"/>
      <c r="I21" s="29"/>
      <c r="J21" s="29"/>
      <c r="K21" s="29"/>
      <c r="L21" s="29"/>
      <c r="M21" s="29"/>
      <c r="N21" s="87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79"/>
      <c r="AK21" s="87"/>
      <c r="AL21" s="21"/>
      <c r="AM21" s="3" t="s">
        <v>80</v>
      </c>
    </row>
    <row r="22" spans="1:49" x14ac:dyDescent="0.25">
      <c r="A22" t="s">
        <v>0</v>
      </c>
      <c r="B22" s="133">
        <v>816215.33</v>
      </c>
      <c r="C22" s="134">
        <v>1754106.03</v>
      </c>
      <c r="D22" s="134">
        <v>1736547.72</v>
      </c>
      <c r="E22" s="134">
        <v>1448951.69</v>
      </c>
      <c r="F22" s="134">
        <v>1130882.8600000001</v>
      </c>
      <c r="G22" s="134">
        <v>1322188.51</v>
      </c>
      <c r="H22" s="134">
        <v>1780601.04</v>
      </c>
      <c r="I22" s="134">
        <v>1634214.86</v>
      </c>
      <c r="J22" s="134">
        <v>1790818.91</v>
      </c>
      <c r="K22" s="134">
        <v>1245252.4099999999</v>
      </c>
      <c r="L22" s="134">
        <v>1186284.1200000001</v>
      </c>
      <c r="M22" s="134">
        <v>1791546.15</v>
      </c>
      <c r="N22" s="134">
        <v>2387799.9900000002</v>
      </c>
      <c r="O22" s="134">
        <v>3120050.2</v>
      </c>
      <c r="P22" s="134">
        <v>2606540.6</v>
      </c>
      <c r="Q22" s="134">
        <v>1873553.01</v>
      </c>
      <c r="R22" s="134">
        <v>1600693.42</v>
      </c>
      <c r="S22" s="134">
        <v>2085677.23</v>
      </c>
      <c r="T22" s="134">
        <v>2528428.0699999998</v>
      </c>
      <c r="U22" s="134">
        <v>2330344.02</v>
      </c>
      <c r="V22" s="134">
        <v>2489463.16</v>
      </c>
      <c r="W22" s="120">
        <v>1590762.46</v>
      </c>
      <c r="X22" s="120">
        <v>1721241.87</v>
      </c>
      <c r="Y22" s="120">
        <v>2590801.0099999998</v>
      </c>
      <c r="Z22" s="120">
        <v>3206285.66</v>
      </c>
      <c r="AA22" s="120">
        <v>4490167.43</v>
      </c>
      <c r="AB22" s="120">
        <v>4430260.12</v>
      </c>
      <c r="AC22" s="120">
        <v>2812674.63</v>
      </c>
      <c r="AD22" s="120">
        <v>2454624.1</v>
      </c>
      <c r="AE22" s="120">
        <v>3298523.78</v>
      </c>
      <c r="AF22" s="120">
        <v>4224922.91</v>
      </c>
      <c r="AG22" s="120">
        <v>4558951.4800000004</v>
      </c>
      <c r="AH22" s="120">
        <v>3862995.08</v>
      </c>
      <c r="AI22" s="120">
        <v>2807380.93</v>
      </c>
      <c r="AJ22" s="77">
        <f>PCR!AJ32*TDR!$AM22*(1-PPC!$B$14)</f>
        <v>2626747.7192831947</v>
      </c>
      <c r="AK22" s="149">
        <f>PCR!AK32*TDR!$AM22*(1-PPC!$B$14)</f>
        <v>3817324.4109425042</v>
      </c>
      <c r="AL22" s="78">
        <f>PCR!AL32*TDR!$AM22*(1-PPC!$B$14)</f>
        <v>5043157.704846492</v>
      </c>
      <c r="AM22" s="111">
        <v>3.388E-3</v>
      </c>
      <c r="AN22" s="176"/>
    </row>
    <row r="23" spans="1:49" x14ac:dyDescent="0.25">
      <c r="A23" t="s">
        <v>4</v>
      </c>
      <c r="B23" s="133">
        <v>25218.97</v>
      </c>
      <c r="C23" s="134">
        <v>58999.11</v>
      </c>
      <c r="D23" s="134">
        <v>58441.97</v>
      </c>
      <c r="E23" s="134">
        <v>54691.28</v>
      </c>
      <c r="F23" s="134">
        <v>48331.37</v>
      </c>
      <c r="G23" s="134">
        <v>54583.05</v>
      </c>
      <c r="H23" s="134">
        <v>63696.88</v>
      </c>
      <c r="I23" s="134">
        <v>60628.78</v>
      </c>
      <c r="J23" s="134">
        <v>64083.38</v>
      </c>
      <c r="K23" s="134">
        <v>54100.39</v>
      </c>
      <c r="L23" s="134">
        <v>49728.07</v>
      </c>
      <c r="M23" s="134">
        <v>60510.37</v>
      </c>
      <c r="N23" s="134">
        <v>94584.45</v>
      </c>
      <c r="O23" s="134">
        <v>350769.76</v>
      </c>
      <c r="P23" s="134">
        <v>313677.5</v>
      </c>
      <c r="Q23" s="134">
        <v>265733.78000000003</v>
      </c>
      <c r="R23" s="134">
        <v>253559.23</v>
      </c>
      <c r="S23" s="134">
        <v>289888.46000000002</v>
      </c>
      <c r="T23" s="134">
        <v>323303.31</v>
      </c>
      <c r="U23" s="134">
        <v>306030.25</v>
      </c>
      <c r="V23" s="134">
        <v>322433.43</v>
      </c>
      <c r="W23" s="120">
        <v>257746.51</v>
      </c>
      <c r="X23" s="120">
        <v>256306.4</v>
      </c>
      <c r="Y23" s="120">
        <v>313249.65000000002</v>
      </c>
      <c r="Z23" s="120">
        <v>334009.45</v>
      </c>
      <c r="AA23" s="120">
        <v>183488.15</v>
      </c>
      <c r="AB23" s="120">
        <v>183362.24</v>
      </c>
      <c r="AC23" s="120">
        <v>147357.4</v>
      </c>
      <c r="AD23" s="120">
        <v>139511.26999999999</v>
      </c>
      <c r="AE23" s="120">
        <v>161615.29</v>
      </c>
      <c r="AF23" s="120">
        <v>183995.59</v>
      </c>
      <c r="AG23" s="120">
        <v>191670.88</v>
      </c>
      <c r="AH23" s="120">
        <v>179416.2</v>
      </c>
      <c r="AI23" s="120">
        <v>154244.72</v>
      </c>
      <c r="AJ23" s="77">
        <f>PCR!AJ33*TDR!$AM23</f>
        <v>151275.43019879999</v>
      </c>
      <c r="AK23" s="149">
        <f>PCR!AK33*TDR!$AM23</f>
        <v>178708.4709825</v>
      </c>
      <c r="AL23" s="78">
        <f>PCR!AL33*TDR!$AM23</f>
        <v>200229.98134920001</v>
      </c>
      <c r="AM23" s="111">
        <v>5.9699999999999998E-4</v>
      </c>
      <c r="AN23" s="176"/>
    </row>
    <row r="24" spans="1:49" x14ac:dyDescent="0.25">
      <c r="A24" t="s">
        <v>5</v>
      </c>
      <c r="B24" s="133">
        <v>173455.69</v>
      </c>
      <c r="C24" s="134">
        <v>439040.55</v>
      </c>
      <c r="D24" s="134">
        <v>436337.21</v>
      </c>
      <c r="E24" s="134">
        <v>433604.83</v>
      </c>
      <c r="F24" s="134">
        <v>414616.35</v>
      </c>
      <c r="G24" s="134">
        <v>465022.2</v>
      </c>
      <c r="H24" s="134">
        <v>503684.97</v>
      </c>
      <c r="I24" s="134">
        <v>493318.13</v>
      </c>
      <c r="J24" s="134">
        <v>524681.42000000004</v>
      </c>
      <c r="K24" s="134">
        <v>462766.7</v>
      </c>
      <c r="L24" s="134">
        <v>420207.97</v>
      </c>
      <c r="M24" s="134">
        <v>460503.55</v>
      </c>
      <c r="N24" s="134">
        <v>535350.63</v>
      </c>
      <c r="O24" s="134">
        <v>972808.34</v>
      </c>
      <c r="P24" s="134">
        <v>919496.39</v>
      </c>
      <c r="Q24" s="134">
        <v>853750.54</v>
      </c>
      <c r="R24" s="134">
        <v>875453.68</v>
      </c>
      <c r="S24" s="134">
        <v>978819.32</v>
      </c>
      <c r="T24" s="134">
        <v>1040883.85</v>
      </c>
      <c r="U24" s="134">
        <v>1000278.3</v>
      </c>
      <c r="V24" s="134">
        <v>1072482.3899999999</v>
      </c>
      <c r="W24" s="120">
        <v>909964.79</v>
      </c>
      <c r="X24" s="120">
        <v>867469.68</v>
      </c>
      <c r="Y24" s="120">
        <v>942770.15</v>
      </c>
      <c r="Z24" s="120">
        <v>1023655.11</v>
      </c>
      <c r="AA24" s="120">
        <v>1103140.6399999999</v>
      </c>
      <c r="AB24" s="120">
        <v>1099547.52</v>
      </c>
      <c r="AC24" s="120">
        <v>1033238.52</v>
      </c>
      <c r="AD24" s="120">
        <v>1028073.83</v>
      </c>
      <c r="AE24" s="120">
        <v>1134089</v>
      </c>
      <c r="AF24" s="120">
        <v>1236312.54</v>
      </c>
      <c r="AG24" s="120">
        <v>1264548.03</v>
      </c>
      <c r="AH24" s="120">
        <v>1229396.04</v>
      </c>
      <c r="AI24" s="120">
        <v>1107452.21</v>
      </c>
      <c r="AJ24" s="77">
        <f>PCR!AJ34*TDR!$AM24</f>
        <v>1043503.5523049999</v>
      </c>
      <c r="AK24" s="149">
        <f>PCR!AK34*TDR!$AM24</f>
        <v>1128965.7984120001</v>
      </c>
      <c r="AL24" s="78">
        <f>PCR!AL34*TDR!$AM24</f>
        <v>1194002.638299</v>
      </c>
      <c r="AM24" s="111">
        <v>1.7099999999999999E-3</v>
      </c>
      <c r="AN24" s="176"/>
    </row>
    <row r="25" spans="1:49" x14ac:dyDescent="0.25">
      <c r="A25" t="s">
        <v>6</v>
      </c>
      <c r="B25" s="133">
        <v>63959.55</v>
      </c>
      <c r="C25" s="134">
        <v>209971.93</v>
      </c>
      <c r="D25" s="134">
        <v>212525.23</v>
      </c>
      <c r="E25" s="134">
        <v>206744.69</v>
      </c>
      <c r="F25" s="134">
        <v>207871.2</v>
      </c>
      <c r="G25" s="134">
        <v>226236.95</v>
      </c>
      <c r="H25" s="134">
        <v>240389.75</v>
      </c>
      <c r="I25" s="134">
        <v>236702.41</v>
      </c>
      <c r="J25" s="134">
        <v>253400.3</v>
      </c>
      <c r="K25" s="134">
        <v>231004.99</v>
      </c>
      <c r="L25" s="134">
        <v>209915.92</v>
      </c>
      <c r="M25" s="134">
        <v>219049.36</v>
      </c>
      <c r="N25" s="134">
        <v>226869.33</v>
      </c>
      <c r="O25" s="134">
        <v>294222.69</v>
      </c>
      <c r="P25" s="134">
        <v>299240.03000000003</v>
      </c>
      <c r="Q25" s="134">
        <v>291766.42</v>
      </c>
      <c r="R25" s="134">
        <v>285634.98</v>
      </c>
      <c r="S25" s="134">
        <v>313886.65000000002</v>
      </c>
      <c r="T25" s="134">
        <v>329065.55</v>
      </c>
      <c r="U25" s="134">
        <v>333266.32</v>
      </c>
      <c r="V25" s="134">
        <v>331370.82</v>
      </c>
      <c r="W25" s="120">
        <v>311808.28999999998</v>
      </c>
      <c r="X25" s="120">
        <v>298077.36</v>
      </c>
      <c r="Y25" s="120">
        <v>299035.19</v>
      </c>
      <c r="Z25" s="120">
        <v>305782.84999999998</v>
      </c>
      <c r="AA25" s="120">
        <v>267056.71000000002</v>
      </c>
      <c r="AB25" s="120">
        <v>266116.40999999997</v>
      </c>
      <c r="AC25" s="120">
        <v>283985.52</v>
      </c>
      <c r="AD25" s="120">
        <v>265712.02</v>
      </c>
      <c r="AE25" s="120">
        <v>276662.56</v>
      </c>
      <c r="AF25" s="120">
        <v>327953.5</v>
      </c>
      <c r="AG25" s="120">
        <v>297540.62</v>
      </c>
      <c r="AH25" s="120">
        <v>307797.36</v>
      </c>
      <c r="AI25" s="120">
        <v>286642.09999999998</v>
      </c>
      <c r="AJ25" s="77">
        <f>PCR!AJ35*TDR!$AM25</f>
        <v>267170.57053830003</v>
      </c>
      <c r="AK25" s="149">
        <f>PCR!AK35*TDR!$AM25</f>
        <v>276426.44064410002</v>
      </c>
      <c r="AL25" s="78">
        <f>PCR!AL35*TDR!$AM25</f>
        <v>281676.29809140001</v>
      </c>
      <c r="AM25" s="111">
        <v>1.0070000000000001E-3</v>
      </c>
      <c r="AN25" s="176"/>
    </row>
    <row r="26" spans="1:49" ht="15.75" thickBot="1" x14ac:dyDescent="0.3">
      <c r="A26" t="s">
        <v>7</v>
      </c>
      <c r="B26" s="32">
        <v>20894.32</v>
      </c>
      <c r="C26" s="33">
        <v>142523.31</v>
      </c>
      <c r="D26" s="33">
        <v>126781.73</v>
      </c>
      <c r="E26" s="33">
        <v>140528.35999999999</v>
      </c>
      <c r="F26" s="33">
        <v>156200.07</v>
      </c>
      <c r="G26" s="33">
        <v>160881.56</v>
      </c>
      <c r="H26" s="33">
        <v>165661.03</v>
      </c>
      <c r="I26" s="33">
        <v>179188.55</v>
      </c>
      <c r="J26" s="33">
        <v>136695.16</v>
      </c>
      <c r="K26" s="33">
        <v>164175.37</v>
      </c>
      <c r="L26" s="33">
        <v>152109.13</v>
      </c>
      <c r="M26" s="33">
        <v>149388.26</v>
      </c>
      <c r="N26" s="33">
        <v>141595.72</v>
      </c>
      <c r="O26" s="33">
        <v>119779.98</v>
      </c>
      <c r="P26" s="33">
        <v>126965.97</v>
      </c>
      <c r="Q26" s="33">
        <v>128764.57</v>
      </c>
      <c r="R26" s="33">
        <v>128321.25</v>
      </c>
      <c r="S26" s="33">
        <v>139422.01</v>
      </c>
      <c r="T26" s="33">
        <v>150758.9</v>
      </c>
      <c r="U26" s="33">
        <v>148648.9</v>
      </c>
      <c r="V26" s="33">
        <v>156036.54</v>
      </c>
      <c r="W26" s="178">
        <v>145455.99</v>
      </c>
      <c r="X26" s="178">
        <v>140207</v>
      </c>
      <c r="Y26" s="178">
        <v>124685.26</v>
      </c>
      <c r="Z26" s="178">
        <v>135683.81</v>
      </c>
      <c r="AA26" s="178">
        <v>163845.6</v>
      </c>
      <c r="AB26" s="178">
        <v>206502.56</v>
      </c>
      <c r="AC26" s="178">
        <v>223478.71</v>
      </c>
      <c r="AD26" s="178">
        <v>219949.35</v>
      </c>
      <c r="AE26" s="178">
        <v>238633.49</v>
      </c>
      <c r="AF26" s="178">
        <v>274993.83</v>
      </c>
      <c r="AG26" s="178">
        <v>254872.07</v>
      </c>
      <c r="AH26" s="178">
        <v>264798.51</v>
      </c>
      <c r="AI26" s="178">
        <v>242491.6</v>
      </c>
      <c r="AJ26" s="77">
        <f>PCR!AJ36*TDR!$AM26</f>
        <v>246358.16602800001</v>
      </c>
      <c r="AK26" s="149">
        <f>PCR!AK36*TDR!$AM26</f>
        <v>238857.38479199997</v>
      </c>
      <c r="AL26" s="78">
        <f>PCR!AL36*TDR!$AM26</f>
        <v>241610.64095999999</v>
      </c>
      <c r="AM26" s="111">
        <v>1.56E-3</v>
      </c>
      <c r="AN26" s="176"/>
    </row>
    <row r="27" spans="1:49" x14ac:dyDescent="0.25">
      <c r="B27" s="22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118"/>
      <c r="AK27" s="31"/>
      <c r="AL27" s="21"/>
      <c r="AN27" s="4"/>
    </row>
    <row r="28" spans="1:49" x14ac:dyDescent="0.25">
      <c r="A28" t="s">
        <v>78</v>
      </c>
      <c r="B28" s="22"/>
      <c r="C28" s="31"/>
      <c r="D28" s="127" t="s">
        <v>84</v>
      </c>
      <c r="E28" s="31"/>
      <c r="F28" s="31"/>
      <c r="G28" s="31"/>
      <c r="H28" s="31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7"/>
      <c r="AK28" s="106"/>
      <c r="AL28" s="108"/>
      <c r="AM28" s="7"/>
      <c r="AN28" s="4"/>
    </row>
    <row r="29" spans="1:49" x14ac:dyDescent="0.25">
      <c r="A29" t="s">
        <v>0</v>
      </c>
      <c r="B29" s="74">
        <v>2164</v>
      </c>
      <c r="C29" s="123">
        <v>12213</v>
      </c>
      <c r="D29" s="123">
        <v>13512</v>
      </c>
      <c r="E29" s="123">
        <v>15178</v>
      </c>
      <c r="F29" s="123">
        <v>26012</v>
      </c>
      <c r="G29" s="123">
        <v>16914</v>
      </c>
      <c r="H29" s="123">
        <v>32347</v>
      </c>
      <c r="I29" s="123">
        <v>21505</v>
      </c>
      <c r="J29" s="123">
        <v>26250</v>
      </c>
      <c r="K29" s="123">
        <v>37505</v>
      </c>
      <c r="L29" s="123">
        <v>34203</v>
      </c>
      <c r="M29" s="123">
        <v>24950</v>
      </c>
      <c r="N29" s="123">
        <v>17244</v>
      </c>
      <c r="O29" s="123">
        <v>17238</v>
      </c>
      <c r="P29" s="123">
        <v>19817</v>
      </c>
      <c r="Q29" s="123">
        <v>17599</v>
      </c>
      <c r="R29" s="123">
        <v>18528</v>
      </c>
      <c r="S29" s="123">
        <v>20519</v>
      </c>
      <c r="T29" s="123">
        <v>19785</v>
      </c>
      <c r="U29" s="123">
        <v>19205</v>
      </c>
      <c r="V29" s="123">
        <v>17387</v>
      </c>
      <c r="W29" s="125">
        <v>15713</v>
      </c>
      <c r="X29" s="125">
        <v>17177</v>
      </c>
      <c r="Y29" s="125">
        <v>17192</v>
      </c>
      <c r="Z29" s="125">
        <v>12813</v>
      </c>
      <c r="AA29" s="125">
        <v>5556</v>
      </c>
      <c r="AB29" s="125">
        <v>8375</v>
      </c>
      <c r="AC29" s="125">
        <v>11380</v>
      </c>
      <c r="AD29" s="125">
        <v>12411</v>
      </c>
      <c r="AE29" s="125">
        <v>12457</v>
      </c>
      <c r="AF29" s="125">
        <v>9755</v>
      </c>
      <c r="AG29" s="125">
        <v>12522</v>
      </c>
      <c r="AH29" s="125">
        <v>13190</v>
      </c>
      <c r="AI29" s="125">
        <v>18613</v>
      </c>
      <c r="AJ29" s="193">
        <v>11292</v>
      </c>
      <c r="AK29" s="194">
        <v>9481</v>
      </c>
      <c r="AL29" s="230">
        <v>0</v>
      </c>
      <c r="AM29" s="180">
        <f>SUM(B29:AL29)</f>
        <v>618002</v>
      </c>
      <c r="AN29" s="4"/>
      <c r="AP29" s="109"/>
    </row>
    <row r="30" spans="1:49" x14ac:dyDescent="0.25">
      <c r="A30" t="s">
        <v>4</v>
      </c>
      <c r="B30" s="74">
        <v>1E-10</v>
      </c>
      <c r="C30" s="123">
        <v>37</v>
      </c>
      <c r="D30" s="123">
        <v>145</v>
      </c>
      <c r="E30" s="123">
        <v>463</v>
      </c>
      <c r="F30" s="123">
        <v>433</v>
      </c>
      <c r="G30" s="123">
        <v>421</v>
      </c>
      <c r="H30" s="123">
        <v>443</v>
      </c>
      <c r="I30" s="123">
        <v>2284</v>
      </c>
      <c r="J30" s="123">
        <v>474</v>
      </c>
      <c r="K30" s="123">
        <v>1722</v>
      </c>
      <c r="L30" s="123">
        <v>620</v>
      </c>
      <c r="M30" s="123">
        <v>1367</v>
      </c>
      <c r="N30" s="123">
        <v>749</v>
      </c>
      <c r="O30" s="123">
        <v>1057</v>
      </c>
      <c r="P30" s="123">
        <v>1682</v>
      </c>
      <c r="Q30" s="123">
        <v>572</v>
      </c>
      <c r="R30" s="123">
        <v>2094</v>
      </c>
      <c r="S30" s="123">
        <v>765</v>
      </c>
      <c r="T30" s="123">
        <v>854</v>
      </c>
      <c r="U30" s="123">
        <v>1560</v>
      </c>
      <c r="V30" s="123">
        <v>1854</v>
      </c>
      <c r="W30" s="125">
        <v>2315</v>
      </c>
      <c r="X30" s="125">
        <v>2292</v>
      </c>
      <c r="Y30" s="125">
        <v>1962</v>
      </c>
      <c r="Z30" s="125">
        <v>1068</v>
      </c>
      <c r="AA30" s="125">
        <v>1153</v>
      </c>
      <c r="AB30" s="125">
        <v>1753</v>
      </c>
      <c r="AC30" s="125">
        <v>2307</v>
      </c>
      <c r="AD30" s="125">
        <v>1980</v>
      </c>
      <c r="AE30" s="125">
        <v>1714</v>
      </c>
      <c r="AF30" s="125">
        <v>3088</v>
      </c>
      <c r="AG30" s="125">
        <v>2139</v>
      </c>
      <c r="AH30" s="125">
        <v>2748</v>
      </c>
      <c r="AI30" s="125">
        <v>2849</v>
      </c>
      <c r="AJ30" s="193">
        <v>4830</v>
      </c>
      <c r="AK30" s="194">
        <v>7554</v>
      </c>
      <c r="AL30" s="230">
        <v>0</v>
      </c>
      <c r="AM30" s="180">
        <f>SUM(B30:AL30)</f>
        <v>59348.000000000102</v>
      </c>
      <c r="AN30" s="86">
        <f>AM30/SUM($AM$30:$AM$33)</f>
        <v>0.12179420088203735</v>
      </c>
      <c r="AS30" s="109"/>
    </row>
    <row r="31" spans="1:49" x14ac:dyDescent="0.25">
      <c r="A31" t="s">
        <v>5</v>
      </c>
      <c r="B31" s="74">
        <f>B30</f>
        <v>1E-10</v>
      </c>
      <c r="C31" s="123">
        <v>335</v>
      </c>
      <c r="D31" s="123">
        <v>197</v>
      </c>
      <c r="E31" s="123">
        <v>1632</v>
      </c>
      <c r="F31" s="123">
        <v>5551</v>
      </c>
      <c r="G31" s="123">
        <v>2311</v>
      </c>
      <c r="H31" s="123">
        <v>730</v>
      </c>
      <c r="I31" s="123">
        <v>2519</v>
      </c>
      <c r="J31" s="123">
        <v>3100</v>
      </c>
      <c r="K31" s="123">
        <v>9632</v>
      </c>
      <c r="L31" s="123">
        <v>8290</v>
      </c>
      <c r="M31" s="123">
        <v>8682</v>
      </c>
      <c r="N31" s="123">
        <v>2907</v>
      </c>
      <c r="O31" s="123">
        <v>4819</v>
      </c>
      <c r="P31" s="123">
        <v>4120</v>
      </c>
      <c r="Q31" s="123">
        <v>1774</v>
      </c>
      <c r="R31" s="123">
        <v>8095</v>
      </c>
      <c r="S31" s="123">
        <v>6700</v>
      </c>
      <c r="T31" s="123">
        <v>7355</v>
      </c>
      <c r="U31" s="123">
        <v>9983</v>
      </c>
      <c r="V31" s="123">
        <v>6572</v>
      </c>
      <c r="W31" s="125">
        <v>9649</v>
      </c>
      <c r="X31" s="125">
        <v>9477</v>
      </c>
      <c r="Y31" s="125">
        <v>8114</v>
      </c>
      <c r="Z31" s="125">
        <v>4414</v>
      </c>
      <c r="AA31" s="125">
        <v>4766</v>
      </c>
      <c r="AB31" s="125">
        <v>7249</v>
      </c>
      <c r="AC31" s="125">
        <v>9539</v>
      </c>
      <c r="AD31" s="125">
        <v>8189</v>
      </c>
      <c r="AE31" s="125">
        <v>7089</v>
      </c>
      <c r="AF31" s="125">
        <v>12770</v>
      </c>
      <c r="AG31" s="125">
        <v>8846</v>
      </c>
      <c r="AH31" s="125">
        <v>11363</v>
      </c>
      <c r="AI31" s="125">
        <v>11783</v>
      </c>
      <c r="AJ31" s="193">
        <v>19970</v>
      </c>
      <c r="AK31" s="194">
        <v>31235</v>
      </c>
      <c r="AL31" s="230">
        <v>0</v>
      </c>
      <c r="AM31" s="180">
        <f>SUM(B31:AL31)</f>
        <v>259757.00000000012</v>
      </c>
      <c r="AN31" s="86">
        <f>AM31/SUM($AM$30:$AM$33)</f>
        <v>0.53307434519301977</v>
      </c>
    </row>
    <row r="32" spans="1:49" x14ac:dyDescent="0.25">
      <c r="A32" t="s">
        <v>6</v>
      </c>
      <c r="B32" s="74">
        <f>B31</f>
        <v>1E-10</v>
      </c>
      <c r="C32" s="123">
        <v>13</v>
      </c>
      <c r="D32" s="123">
        <v>53</v>
      </c>
      <c r="E32" s="123">
        <v>241</v>
      </c>
      <c r="F32" s="123">
        <v>289</v>
      </c>
      <c r="G32" s="123">
        <v>1690</v>
      </c>
      <c r="H32" s="123">
        <v>1335</v>
      </c>
      <c r="I32" s="123">
        <v>1611</v>
      </c>
      <c r="J32" s="123">
        <v>1242</v>
      </c>
      <c r="K32" s="123">
        <v>2864</v>
      </c>
      <c r="L32" s="123">
        <v>494</v>
      </c>
      <c r="M32" s="123">
        <v>4372</v>
      </c>
      <c r="N32" s="123">
        <v>223</v>
      </c>
      <c r="O32" s="123">
        <v>1963</v>
      </c>
      <c r="P32" s="123">
        <v>1166</v>
      </c>
      <c r="Q32" s="123">
        <v>243</v>
      </c>
      <c r="R32" s="123">
        <v>2864</v>
      </c>
      <c r="S32" s="123">
        <v>4336</v>
      </c>
      <c r="T32" s="123">
        <v>1628</v>
      </c>
      <c r="U32" s="123">
        <v>1253</v>
      </c>
      <c r="V32" s="123">
        <v>4353</v>
      </c>
      <c r="W32" s="125">
        <v>672</v>
      </c>
      <c r="X32" s="125">
        <v>4316</v>
      </c>
      <c r="Y32" s="125">
        <v>3695</v>
      </c>
      <c r="Z32" s="125">
        <v>2010</v>
      </c>
      <c r="AA32" s="125">
        <v>2171</v>
      </c>
      <c r="AB32" s="125">
        <v>3302</v>
      </c>
      <c r="AC32" s="125">
        <v>4344</v>
      </c>
      <c r="AD32" s="125">
        <v>3730</v>
      </c>
      <c r="AE32" s="125">
        <v>3229</v>
      </c>
      <c r="AF32" s="125">
        <v>5816</v>
      </c>
      <c r="AG32" s="125">
        <v>4029</v>
      </c>
      <c r="AH32" s="125">
        <v>5175</v>
      </c>
      <c r="AI32" s="125">
        <v>5366</v>
      </c>
      <c r="AJ32" s="193">
        <v>9095</v>
      </c>
      <c r="AK32" s="194">
        <v>14226</v>
      </c>
      <c r="AL32" s="230">
        <v>0</v>
      </c>
      <c r="AM32" s="180">
        <f t="shared" ref="AM32:AM33" si="30">SUM(B32:AL32)</f>
        <v>103409.0000000001</v>
      </c>
      <c r="AN32" s="86">
        <f>AM32/SUM($AM$30:$AM$33)</f>
        <v>0.21221635975956379</v>
      </c>
    </row>
    <row r="33" spans="1:40" x14ac:dyDescent="0.25">
      <c r="A33" t="s">
        <v>7</v>
      </c>
      <c r="B33" s="74">
        <f>B32</f>
        <v>1E-10</v>
      </c>
      <c r="C33" s="123"/>
      <c r="D33" s="123">
        <v>106</v>
      </c>
      <c r="E33" s="123">
        <v>9</v>
      </c>
      <c r="F33" s="123">
        <v>240</v>
      </c>
      <c r="G33" s="123">
        <v>79</v>
      </c>
      <c r="H33" s="123">
        <v>21</v>
      </c>
      <c r="I33" s="123">
        <v>350</v>
      </c>
      <c r="J33" s="123">
        <v>4536</v>
      </c>
      <c r="K33" s="123">
        <v>217</v>
      </c>
      <c r="L33" s="123">
        <v>361</v>
      </c>
      <c r="M33" s="123">
        <v>2178</v>
      </c>
      <c r="N33" s="123">
        <v>432</v>
      </c>
      <c r="O33" s="123">
        <v>1190</v>
      </c>
      <c r="P33" s="123">
        <v>1355</v>
      </c>
      <c r="Q33" s="123">
        <v>8658</v>
      </c>
      <c r="R33" s="123">
        <v>459</v>
      </c>
      <c r="S33" s="123">
        <v>585</v>
      </c>
      <c r="T33" s="123">
        <v>695</v>
      </c>
      <c r="U33" s="123">
        <v>904</v>
      </c>
      <c r="V33" s="123">
        <v>731</v>
      </c>
      <c r="W33" s="125">
        <v>827</v>
      </c>
      <c r="X33" s="125">
        <v>2500</v>
      </c>
      <c r="Y33" s="125">
        <v>2140</v>
      </c>
      <c r="Z33" s="125">
        <v>1164</v>
      </c>
      <c r="AA33" s="125">
        <v>1257</v>
      </c>
      <c r="AB33" s="125">
        <v>1912</v>
      </c>
      <c r="AC33" s="125">
        <v>2516</v>
      </c>
      <c r="AD33" s="125">
        <v>2160</v>
      </c>
      <c r="AE33" s="125">
        <v>1870</v>
      </c>
      <c r="AF33" s="125">
        <v>3369</v>
      </c>
      <c r="AG33" s="125">
        <v>2333</v>
      </c>
      <c r="AH33" s="125">
        <v>2997</v>
      </c>
      <c r="AI33" s="125">
        <v>3108</v>
      </c>
      <c r="AJ33" s="193">
        <v>5268</v>
      </c>
      <c r="AK33" s="194">
        <v>8240</v>
      </c>
      <c r="AL33" s="230">
        <v>0</v>
      </c>
      <c r="AM33" s="180">
        <f t="shared" si="30"/>
        <v>64767.000000000102</v>
      </c>
      <c r="AN33" s="86">
        <f>AM33/SUM($AM$30:$AM$33)</f>
        <v>0.132915094165379</v>
      </c>
    </row>
    <row r="34" spans="1:40" x14ac:dyDescent="0.25">
      <c r="B34" s="22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118"/>
      <c r="AK34" s="31"/>
      <c r="AL34" s="21"/>
      <c r="AM34" s="7"/>
      <c r="AN34" s="4"/>
    </row>
    <row r="35" spans="1:40" x14ac:dyDescent="0.25">
      <c r="A35" t="s">
        <v>35</v>
      </c>
      <c r="B35" s="94"/>
      <c r="C35" s="95"/>
      <c r="D35" s="95"/>
      <c r="E35" s="95"/>
      <c r="F35" s="95"/>
      <c r="G35" s="95"/>
      <c r="H35" s="95"/>
      <c r="I35" s="96"/>
      <c r="J35" s="95"/>
      <c r="K35" s="95"/>
      <c r="L35" s="95"/>
      <c r="M35" s="95"/>
      <c r="N35" s="95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118"/>
      <c r="AK35" s="31"/>
      <c r="AL35" s="21"/>
      <c r="AM35" s="98" t="s">
        <v>36</v>
      </c>
      <c r="AN35" s="99"/>
    </row>
    <row r="36" spans="1:40" ht="15.75" thickBot="1" x14ac:dyDescent="0.3">
      <c r="A36" t="s">
        <v>0</v>
      </c>
      <c r="B36" s="91">
        <f>$AN36*B$19</f>
        <v>-172086.60205088896</v>
      </c>
      <c r="C36" s="40">
        <f t="shared" ref="B36:K38" si="31">$AN36*C$19</f>
        <v>552191.27200607839</v>
      </c>
      <c r="D36" s="40">
        <f t="shared" si="31"/>
        <v>638352.87876099814</v>
      </c>
      <c r="E36" s="40">
        <f t="shared" si="31"/>
        <v>792286.40791377425</v>
      </c>
      <c r="F36" s="40">
        <f t="shared" si="31"/>
        <v>1859800.117347256</v>
      </c>
      <c r="G36" s="40">
        <f>$AN36*G$19</f>
        <v>1270585.8244499026</v>
      </c>
      <c r="H36" s="40">
        <f t="shared" si="31"/>
        <v>1997268.1362671205</v>
      </c>
      <c r="I36" s="40">
        <f t="shared" si="31"/>
        <v>1481349.7399558134</v>
      </c>
      <c r="J36" s="40">
        <f t="shared" si="31"/>
        <v>2426232.4063353264</v>
      </c>
      <c r="K36" s="40">
        <f t="shared" si="31"/>
        <v>3835775.4211792848</v>
      </c>
      <c r="L36" s="40">
        <f t="shared" ref="L36:W38" si="32">$AN36*L$19</f>
        <v>2674663.4872085755</v>
      </c>
      <c r="M36" s="40">
        <f t="shared" si="32"/>
        <v>2759547.0519643147</v>
      </c>
      <c r="N36" s="40">
        <f t="shared" si="32"/>
        <v>1294301.5359109864</v>
      </c>
      <c r="O36" s="40">
        <f t="shared" si="32"/>
        <v>1935695.7774641775</v>
      </c>
      <c r="P36" s="40">
        <f t="shared" si="32"/>
        <v>1733040.9062400463</v>
      </c>
      <c r="Q36" s="40">
        <f t="shared" si="32"/>
        <v>2019678.7152117721</v>
      </c>
      <c r="R36" s="40">
        <f t="shared" si="32"/>
        <v>2309772.9589772131</v>
      </c>
      <c r="S36" s="40">
        <f t="shared" si="32"/>
        <v>2472396.2400168683</v>
      </c>
      <c r="T36" s="40">
        <f t="shared" si="32"/>
        <v>2608439.3583878153</v>
      </c>
      <c r="U36" s="40">
        <f t="shared" si="32"/>
        <v>3191472.5397878708</v>
      </c>
      <c r="V36" s="40">
        <f t="shared" si="32"/>
        <v>2452306.736729003</v>
      </c>
      <c r="W36" s="148">
        <f t="shared" si="32"/>
        <v>2258718.1062575472</v>
      </c>
      <c r="X36" s="148">
        <f t="shared" ref="X36:AI38" si="33">$AN36*X$19</f>
        <v>2935113.675214882</v>
      </c>
      <c r="Y36" s="148">
        <f t="shared" si="33"/>
        <v>3000496.1728300606</v>
      </c>
      <c r="Z36" s="148">
        <f t="shared" si="33"/>
        <v>1864698.204183263</v>
      </c>
      <c r="AA36" s="148">
        <f t="shared" si="33"/>
        <v>1728909.7594214135</v>
      </c>
      <c r="AB36" s="148">
        <f t="shared" si="33"/>
        <v>2261525.2947624736</v>
      </c>
      <c r="AC36" s="148">
        <f t="shared" si="33"/>
        <v>2932529.3579365457</v>
      </c>
      <c r="AD36" s="148">
        <f t="shared" si="33"/>
        <v>2735918.4125235919</v>
      </c>
      <c r="AE36" s="148">
        <f t="shared" si="33"/>
        <v>2499416.723785745</v>
      </c>
      <c r="AF36" s="148">
        <f t="shared" si="33"/>
        <v>3597680.5045682164</v>
      </c>
      <c r="AG36" s="148">
        <f t="shared" si="33"/>
        <v>2740292.4803678677</v>
      </c>
      <c r="AH36" s="148">
        <f t="shared" si="33"/>
        <v>3825754.9410573556</v>
      </c>
      <c r="AI36" s="148">
        <f t="shared" si="33"/>
        <v>4184454.2570687747</v>
      </c>
      <c r="AJ36" s="91">
        <f t="shared" ref="AJ36:AL38" si="34">$AN36*AJ$19</f>
        <v>4668272.4337341916</v>
      </c>
      <c r="AK36" s="148">
        <f t="shared" si="34"/>
        <v>6473650.0309274988</v>
      </c>
      <c r="AL36" s="146">
        <f t="shared" si="34"/>
        <v>-98289.83418816328</v>
      </c>
      <c r="AM36" s="100">
        <f>PTD!F1</f>
        <v>599118</v>
      </c>
      <c r="AN36" s="101">
        <f>AM36/SUM(AM$36:AM$38)</f>
        <v>0.54159370754095282</v>
      </c>
    </row>
    <row r="37" spans="1:40" ht="16.5" thickTop="1" thickBot="1" x14ac:dyDescent="0.3">
      <c r="A37" t="s">
        <v>1</v>
      </c>
      <c r="B37" s="91">
        <f t="shared" si="31"/>
        <v>-140230.71274852133</v>
      </c>
      <c r="C37" s="40">
        <f t="shared" si="31"/>
        <v>449972.13451879524</v>
      </c>
      <c r="D37" s="40">
        <f t="shared" si="31"/>
        <v>520183.89640382095</v>
      </c>
      <c r="E37" s="40">
        <f t="shared" si="31"/>
        <v>645621.9505680009</v>
      </c>
      <c r="F37" s="40">
        <f t="shared" si="31"/>
        <v>1515522.3760433479</v>
      </c>
      <c r="G37" s="40">
        <f t="shared" si="31"/>
        <v>1035380.7539188203</v>
      </c>
      <c r="H37" s="40">
        <f t="shared" si="31"/>
        <v>1627542.94036107</v>
      </c>
      <c r="I37" s="40">
        <f t="shared" si="31"/>
        <v>1207129.0117194068</v>
      </c>
      <c r="J37" s="40">
        <f t="shared" si="31"/>
        <v>1977099.2952336308</v>
      </c>
      <c r="K37" s="40">
        <f t="shared" si="31"/>
        <v>3125714.1162922513</v>
      </c>
      <c r="L37" s="40">
        <f t="shared" si="32"/>
        <v>2179541.9440194974</v>
      </c>
      <c r="M37" s="40">
        <f t="shared" si="32"/>
        <v>2248712.2492290367</v>
      </c>
      <c r="N37" s="40">
        <f t="shared" si="32"/>
        <v>1054706.3207083989</v>
      </c>
      <c r="O37" s="40">
        <f t="shared" si="32"/>
        <v>1577368.5766532486</v>
      </c>
      <c r="P37" s="40">
        <f t="shared" si="32"/>
        <v>1412228.253728423</v>
      </c>
      <c r="Q37" s="40">
        <f t="shared" si="32"/>
        <v>1645804.9748312847</v>
      </c>
      <c r="R37" s="40">
        <f t="shared" si="32"/>
        <v>1882198.2912350877</v>
      </c>
      <c r="S37" s="40">
        <f t="shared" si="32"/>
        <v>2014717.4899287208</v>
      </c>
      <c r="T37" s="40">
        <f t="shared" si="32"/>
        <v>2125576.9248081883</v>
      </c>
      <c r="U37" s="40">
        <f t="shared" si="32"/>
        <v>2600681.6546905884</v>
      </c>
      <c r="V37" s="40">
        <f t="shared" si="32"/>
        <v>1998346.8641435241</v>
      </c>
      <c r="W37" s="148">
        <f t="shared" si="32"/>
        <v>1840594.4807069886</v>
      </c>
      <c r="X37" s="148">
        <f t="shared" si="33"/>
        <v>2391778.7774762367</v>
      </c>
      <c r="Y37" s="148">
        <f t="shared" si="33"/>
        <v>2445057.9644238856</v>
      </c>
      <c r="Z37" s="148">
        <f t="shared" si="33"/>
        <v>1519513.7513156326</v>
      </c>
      <c r="AA37" s="148">
        <f t="shared" si="33"/>
        <v>1408861.8460247349</v>
      </c>
      <c r="AB37" s="148">
        <f t="shared" si="33"/>
        <v>1842882.0152400308</v>
      </c>
      <c r="AC37" s="148">
        <f t="shared" si="33"/>
        <v>2389672.8572617029</v>
      </c>
      <c r="AD37" s="148">
        <f t="shared" si="33"/>
        <v>2229457.6360833221</v>
      </c>
      <c r="AE37" s="148">
        <f t="shared" si="33"/>
        <v>2036736.0646031101</v>
      </c>
      <c r="AF37" s="148">
        <f t="shared" si="33"/>
        <v>2931694.2480383799</v>
      </c>
      <c r="AG37" s="148">
        <f t="shared" si="33"/>
        <v>2233021.9963769363</v>
      </c>
      <c r="AH37" s="148">
        <f t="shared" si="33"/>
        <v>3117548.5818878645</v>
      </c>
      <c r="AI37" s="148">
        <f t="shared" si="33"/>
        <v>3409847.1115073501</v>
      </c>
      <c r="AJ37" s="91">
        <f t="shared" si="34"/>
        <v>3804103.0672058547</v>
      </c>
      <c r="AK37" s="148">
        <f t="shared" si="34"/>
        <v>5275277.3725696374</v>
      </c>
      <c r="AL37" s="146">
        <f t="shared" si="34"/>
        <v>-80094.867002279294</v>
      </c>
      <c r="AM37" s="100">
        <f>PTD!G1</f>
        <v>488212</v>
      </c>
      <c r="AN37" s="101">
        <f>AM37/SUM(AM$36:AM$38)</f>
        <v>0.44133634300085067</v>
      </c>
    </row>
    <row r="38" spans="1:40" ht="16.5" thickTop="1" thickBot="1" x14ac:dyDescent="0.3">
      <c r="A38" t="s">
        <v>2</v>
      </c>
      <c r="B38" s="91">
        <f t="shared" si="31"/>
        <v>-5423.8252005897602</v>
      </c>
      <c r="C38" s="40">
        <f t="shared" si="31"/>
        <v>17403.963475126398</v>
      </c>
      <c r="D38" s="40">
        <f t="shared" si="31"/>
        <v>20119.604835180926</v>
      </c>
      <c r="E38" s="40">
        <f t="shared" si="31"/>
        <v>24971.28151822479</v>
      </c>
      <c r="F38" s="40">
        <f t="shared" si="31"/>
        <v>58617.1766093962</v>
      </c>
      <c r="G38" s="40">
        <f t="shared" si="31"/>
        <v>40046.321631277162</v>
      </c>
      <c r="H38" s="40">
        <f t="shared" si="31"/>
        <v>62949.893371809958</v>
      </c>
      <c r="I38" s="40">
        <f t="shared" si="31"/>
        <v>46689.178324780136</v>
      </c>
      <c r="J38" s="40">
        <f t="shared" si="31"/>
        <v>76469.988431043574</v>
      </c>
      <c r="K38" s="40">
        <f t="shared" si="31"/>
        <v>120895.96252846424</v>
      </c>
      <c r="L38" s="40">
        <f t="shared" si="32"/>
        <v>84300.038771927284</v>
      </c>
      <c r="M38" s="40">
        <f t="shared" si="32"/>
        <v>86975.398806649362</v>
      </c>
      <c r="N38" s="40">
        <f t="shared" si="32"/>
        <v>40793.793380614763</v>
      </c>
      <c r="O38" s="40">
        <f t="shared" si="32"/>
        <v>61009.255882574151</v>
      </c>
      <c r="P38" s="40">
        <f t="shared" si="32"/>
        <v>54621.980031530999</v>
      </c>
      <c r="Q38" s="40">
        <f t="shared" si="32"/>
        <v>63656.229956943193</v>
      </c>
      <c r="R38" s="40">
        <f t="shared" si="32"/>
        <v>72799.419787699109</v>
      </c>
      <c r="S38" s="40">
        <f t="shared" si="32"/>
        <v>77924.980054410858</v>
      </c>
      <c r="T38" s="40">
        <f t="shared" si="32"/>
        <v>82212.786803997064</v>
      </c>
      <c r="U38" s="40">
        <f t="shared" si="32"/>
        <v>100588.82552154061</v>
      </c>
      <c r="V38" s="40">
        <f t="shared" si="32"/>
        <v>77291.799127473656</v>
      </c>
      <c r="W38" s="148">
        <f t="shared" si="32"/>
        <v>71190.273035464241</v>
      </c>
      <c r="X38" s="148">
        <f t="shared" si="33"/>
        <v>92508.907308881753</v>
      </c>
      <c r="Y38" s="148">
        <f t="shared" si="33"/>
        <v>94569.632746053423</v>
      </c>
      <c r="Z38" s="148">
        <f t="shared" si="33"/>
        <v>58771.554501104212</v>
      </c>
      <c r="AA38" s="148">
        <f t="shared" si="33"/>
        <v>54491.774553851741</v>
      </c>
      <c r="AB38" s="148">
        <f t="shared" si="33"/>
        <v>71278.749997495965</v>
      </c>
      <c r="AC38" s="148">
        <f t="shared" si="33"/>
        <v>92427.454801751563</v>
      </c>
      <c r="AD38" s="148">
        <f t="shared" si="33"/>
        <v>86230.671393086144</v>
      </c>
      <c r="AE38" s="148">
        <f t="shared" si="33"/>
        <v>78776.611611145418</v>
      </c>
      <c r="AF38" s="148">
        <f t="shared" si="33"/>
        <v>113391.68739340435</v>
      </c>
      <c r="AG38" s="148">
        <f t="shared" si="33"/>
        <v>86368.533255195885</v>
      </c>
      <c r="AH38" s="148">
        <f t="shared" si="33"/>
        <v>120580.1370547806</v>
      </c>
      <c r="AI38" s="148">
        <f t="shared" si="33"/>
        <v>131885.62142387588</v>
      </c>
      <c r="AJ38" s="91">
        <f t="shared" si="34"/>
        <v>147134.60180832949</v>
      </c>
      <c r="AK38" s="148">
        <f t="shared" si="34"/>
        <v>204036.48952961512</v>
      </c>
      <c r="AL38" s="146">
        <f t="shared" si="34"/>
        <v>-3097.8988095418385</v>
      </c>
      <c r="AM38" s="100">
        <f>PTD!H1</f>
        <v>18883</v>
      </c>
      <c r="AN38" s="101">
        <f>AM38/SUM(AM$36:AM$38)</f>
        <v>1.7069949458196568E-2</v>
      </c>
    </row>
    <row r="39" spans="1:40" ht="15.75" thickTop="1" x14ac:dyDescent="0.25">
      <c r="A39" s="97"/>
      <c r="B39" s="94"/>
      <c r="C39" s="95"/>
      <c r="D39" s="95"/>
      <c r="E39" s="95"/>
      <c r="F39" s="95"/>
      <c r="G39" s="95"/>
      <c r="H39" s="95"/>
      <c r="I39" s="96"/>
      <c r="J39" s="95"/>
      <c r="K39" s="95"/>
      <c r="L39" s="95"/>
      <c r="M39" s="95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118"/>
      <c r="AK39" s="150"/>
      <c r="AL39" s="181"/>
      <c r="AM39" s="4"/>
    </row>
    <row r="40" spans="1:40" x14ac:dyDescent="0.25">
      <c r="A40" t="s">
        <v>0</v>
      </c>
      <c r="B40" s="91">
        <f>((B29/SUM(B$29:B$33))*B$38)+B36</f>
        <v>-177510.42725147773</v>
      </c>
      <c r="C40" s="40">
        <f t="shared" ref="C40:AK40" si="35">((C29/SUM(C$29:C$33))*C$38)+C36</f>
        <v>569063.36328419542</v>
      </c>
      <c r="D40" s="40">
        <f t="shared" si="35"/>
        <v>657753.15711202682</v>
      </c>
      <c r="E40" s="40">
        <f t="shared" si="35"/>
        <v>813915.92973558651</v>
      </c>
      <c r="F40" s="40">
        <f t="shared" si="35"/>
        <v>1906679.4408818791</v>
      </c>
      <c r="G40" s="40">
        <f t="shared" si="35"/>
        <v>1302215.2189897776</v>
      </c>
      <c r="H40" s="40">
        <f t="shared" si="35"/>
        <v>2055653.277937551</v>
      </c>
      <c r="I40" s="40">
        <f t="shared" si="35"/>
        <v>1516867.4724498668</v>
      </c>
      <c r="J40" s="40">
        <f t="shared" si="35"/>
        <v>2482615.1150684003</v>
      </c>
      <c r="K40" s="40">
        <f t="shared" si="35"/>
        <v>3923072.3613916463</v>
      </c>
      <c r="L40" s="40">
        <f t="shared" si="35"/>
        <v>2740241.0487559787</v>
      </c>
      <c r="M40" s="40">
        <f t="shared" si="35"/>
        <v>2811775.413663174</v>
      </c>
      <c r="N40" s="39">
        <f>((N29/SUM(N$29:N$33))*N$38)+N36</f>
        <v>1326936.5706154781</v>
      </c>
      <c r="O40" s="40">
        <f t="shared" si="35"/>
        <v>1975733.75488466</v>
      </c>
      <c r="P40" s="40">
        <f t="shared" si="35"/>
        <v>1771507.280734888</v>
      </c>
      <c r="Q40" s="40">
        <f t="shared" si="35"/>
        <v>2058515.5033630668</v>
      </c>
      <c r="R40" s="40">
        <f t="shared" si="35"/>
        <v>2351871.2002327214</v>
      </c>
      <c r="S40" s="40">
        <f t="shared" si="35"/>
        <v>2520988.9361340678</v>
      </c>
      <c r="T40" s="40">
        <f t="shared" si="35"/>
        <v>2662091.7641970008</v>
      </c>
      <c r="U40" s="40">
        <f t="shared" si="35"/>
        <v>3250181.1978684417</v>
      </c>
      <c r="V40" s="40">
        <f t="shared" si="35"/>
        <v>2495801.9793554517</v>
      </c>
      <c r="W40" s="148">
        <f t="shared" si="35"/>
        <v>2297058.2748963684</v>
      </c>
      <c r="X40" s="148">
        <f t="shared" ref="X40:AI40" si="36">((X29/SUM(X$29:X$33))*X$38)+X36</f>
        <v>2979547.0262815077</v>
      </c>
      <c r="Y40" s="148">
        <f t="shared" si="36"/>
        <v>3049610.788610206</v>
      </c>
      <c r="Z40" s="148">
        <f t="shared" si="36"/>
        <v>1899773.8913518619</v>
      </c>
      <c r="AA40" s="148">
        <f t="shared" si="36"/>
        <v>1749224.8838541587</v>
      </c>
      <c r="AB40" s="148">
        <f t="shared" si="36"/>
        <v>2287949.9564077761</v>
      </c>
      <c r="AC40" s="148">
        <f t="shared" si="36"/>
        <v>2967489.9520881092</v>
      </c>
      <c r="AD40" s="148">
        <f t="shared" si="36"/>
        <v>2773509.1699053831</v>
      </c>
      <c r="AE40" s="148">
        <f t="shared" si="36"/>
        <v>2536645.763234891</v>
      </c>
      <c r="AF40" s="148">
        <f t="shared" si="36"/>
        <v>3629467.8460971164</v>
      </c>
      <c r="AG40" s="148">
        <f t="shared" si="36"/>
        <v>2776500.8158803242</v>
      </c>
      <c r="AH40" s="148">
        <f t="shared" si="36"/>
        <v>3870590.5063535683</v>
      </c>
      <c r="AI40" s="148">
        <f t="shared" si="36"/>
        <v>4243295.2425085651</v>
      </c>
      <c r="AJ40" s="91">
        <f t="shared" si="35"/>
        <v>4701201.6562814051</v>
      </c>
      <c r="AK40" s="92">
        <f t="shared" si="35"/>
        <v>6500997.7740460001</v>
      </c>
      <c r="AL40" s="110">
        <f>IFERROR(((AK29/SUM(AK$29:AK$33))*AL$38)+AL36,0)</f>
        <v>-98705.056686088894</v>
      </c>
      <c r="AM40" s="4"/>
    </row>
    <row r="41" spans="1:40" x14ac:dyDescent="0.25">
      <c r="A41" t="s">
        <v>4</v>
      </c>
      <c r="B41" s="91">
        <f>((B30/SUM(B$29:B$33))*B$38)+((B30/SUM(B$30:B$33))*B$37)</f>
        <v>-35057.678187130579</v>
      </c>
      <c r="C41" s="40">
        <f t="shared" ref="C41:AK41" si="37">((C30/SUM(C$29:C$33))*C$38)+((C30/SUM(C$30:C$33))*C$37)</f>
        <v>43295.190255804599</v>
      </c>
      <c r="D41" s="40">
        <f t="shared" si="37"/>
        <v>150760.41380989246</v>
      </c>
      <c r="E41" s="40">
        <f t="shared" si="37"/>
        <v>128132.28053408249</v>
      </c>
      <c r="F41" s="40">
        <f t="shared" si="37"/>
        <v>101535.95565916575</v>
      </c>
      <c r="G41" s="40">
        <f t="shared" si="37"/>
        <v>97631.376073162333</v>
      </c>
      <c r="H41" s="40">
        <f t="shared" si="37"/>
        <v>285893.12280888302</v>
      </c>
      <c r="I41" s="40">
        <f t="shared" si="37"/>
        <v>411383.5371147996</v>
      </c>
      <c r="J41" s="40">
        <f t="shared" si="37"/>
        <v>101226.0945805794</v>
      </c>
      <c r="K41" s="40">
        <f t="shared" si="37"/>
        <v>376885.15584922658</v>
      </c>
      <c r="L41" s="40">
        <f t="shared" si="37"/>
        <v>139572.3442059696</v>
      </c>
      <c r="M41" s="40">
        <f t="shared" si="37"/>
        <v>188052.82513539624</v>
      </c>
      <c r="N41" s="40">
        <f t="shared" si="37"/>
        <v>184663.87020621824</v>
      </c>
      <c r="O41" s="40">
        <f t="shared" si="37"/>
        <v>187113.21595491358</v>
      </c>
      <c r="P41" s="40">
        <f t="shared" si="37"/>
        <v>288662.94019991817</v>
      </c>
      <c r="Q41" s="40">
        <f t="shared" si="37"/>
        <v>84964.627573248508</v>
      </c>
      <c r="R41" s="40">
        <f t="shared" si="37"/>
        <v>296448.45246393437</v>
      </c>
      <c r="S41" s="40">
        <f t="shared" si="37"/>
        <v>126247.22081442257</v>
      </c>
      <c r="T41" s="40">
        <f t="shared" si="37"/>
        <v>174670.83736761886</v>
      </c>
      <c r="U41" s="40">
        <f t="shared" si="37"/>
        <v>300904.84981935989</v>
      </c>
      <c r="V41" s="40">
        <f t="shared" si="37"/>
        <v>278874.45609733486</v>
      </c>
      <c r="W41" s="148">
        <f t="shared" si="37"/>
        <v>322143.96601908247</v>
      </c>
      <c r="X41" s="148">
        <f t="shared" ref="X41:AI41" si="38">((X30/SUM(X$29:X$33))*X$38)+((X30/SUM(X$30:X$33))*X$37)</f>
        <v>300895.67569990776</v>
      </c>
      <c r="Y41" s="148">
        <f t="shared" si="38"/>
        <v>307107.43947500311</v>
      </c>
      <c r="Z41" s="148">
        <f t="shared" si="38"/>
        <v>190405.25331749205</v>
      </c>
      <c r="AA41" s="148">
        <f t="shared" si="38"/>
        <v>178006.13951601103</v>
      </c>
      <c r="AB41" s="148">
        <f t="shared" si="38"/>
        <v>232780.06398404398</v>
      </c>
      <c r="AC41" s="148">
        <f t="shared" si="38"/>
        <v>301804.30499426567</v>
      </c>
      <c r="AD41" s="148">
        <f t="shared" si="38"/>
        <v>280878.8311344008</v>
      </c>
      <c r="AE41" s="148">
        <f t="shared" si="38"/>
        <v>256234.94126135792</v>
      </c>
      <c r="AF41" s="148">
        <f t="shared" si="38"/>
        <v>371563.55300771107</v>
      </c>
      <c r="AG41" s="148">
        <f t="shared" si="38"/>
        <v>281531.48747460579</v>
      </c>
      <c r="AH41" s="148">
        <f t="shared" si="38"/>
        <v>393805.57313738705</v>
      </c>
      <c r="AI41" s="148">
        <f t="shared" si="38"/>
        <v>429445.10467424482</v>
      </c>
      <c r="AJ41" s="91">
        <f t="shared" si="37"/>
        <v>483247.70309821691</v>
      </c>
      <c r="AK41" s="92">
        <f t="shared" si="37"/>
        <v>672339.43454053695</v>
      </c>
      <c r="AL41" s="110">
        <f>IFERROR(((AK30/SUM(AK$29:AK$33))*AL$38)+((AK30/SUM(AK$30:AK$33))*AL$37),0)</f>
        <v>-10208.171776886242</v>
      </c>
      <c r="AM41" s="4"/>
    </row>
    <row r="42" spans="1:40" x14ac:dyDescent="0.25">
      <c r="A42" t="s">
        <v>5</v>
      </c>
      <c r="B42" s="91">
        <f t="shared" ref="B42:B44" si="39">((B31/SUM(B$29:B$33))*B$38)+((B31/SUM(B$30:B$33))*B$37)</f>
        <v>-35057.678187130579</v>
      </c>
      <c r="C42" s="40">
        <f t="shared" ref="C42:AK42" si="40">((C31/SUM(C$29:C$33))*C$38)+((C31/SUM(C$30:C$33))*C$37)</f>
        <v>391996.99285660917</v>
      </c>
      <c r="D42" s="40">
        <f t="shared" si="40"/>
        <v>204826.21738309527</v>
      </c>
      <c r="E42" s="40">
        <f t="shared" si="40"/>
        <v>451645.53311365569</v>
      </c>
      <c r="F42" s="40">
        <f t="shared" si="40"/>
        <v>1301676.8819030691</v>
      </c>
      <c r="G42" s="40">
        <f t="shared" si="40"/>
        <v>535929.00262488879</v>
      </c>
      <c r="H42" s="40">
        <f t="shared" si="40"/>
        <v>471110.56354511192</v>
      </c>
      <c r="I42" s="40">
        <f t="shared" si="40"/>
        <v>453710.65236084949</v>
      </c>
      <c r="J42" s="40">
        <f t="shared" si="40"/>
        <v>662027.20084345178</v>
      </c>
      <c r="K42" s="40">
        <f t="shared" si="40"/>
        <v>2108105.5871891701</v>
      </c>
      <c r="L42" s="40">
        <f t="shared" si="40"/>
        <v>1866217.3120443355</v>
      </c>
      <c r="M42" s="40">
        <f t="shared" si="40"/>
        <v>1194348.6670267081</v>
      </c>
      <c r="N42" s="40">
        <f t="shared" si="40"/>
        <v>716712.77795657748</v>
      </c>
      <c r="O42" s="40">
        <f t="shared" si="40"/>
        <v>853073.4036771321</v>
      </c>
      <c r="P42" s="40">
        <f t="shared" si="40"/>
        <v>707069.74650633929</v>
      </c>
      <c r="Q42" s="40">
        <f t="shared" si="40"/>
        <v>263509.17712402594</v>
      </c>
      <c r="R42" s="40">
        <f t="shared" si="40"/>
        <v>1146012.5227772438</v>
      </c>
      <c r="S42" s="40">
        <f t="shared" si="40"/>
        <v>1105694.6136687987</v>
      </c>
      <c r="T42" s="40">
        <f t="shared" si="40"/>
        <v>1504337.2468838836</v>
      </c>
      <c r="U42" s="40">
        <f t="shared" si="40"/>
        <v>1925598.1511196604</v>
      </c>
      <c r="V42" s="40">
        <f t="shared" si="40"/>
        <v>988545.26724470593</v>
      </c>
      <c r="W42" s="148">
        <f t="shared" si="40"/>
        <v>1342707.1827724087</v>
      </c>
      <c r="X42" s="148">
        <f t="shared" ref="X42:AI42" si="41">((X31/SUM(X$29:X$33))*X$38)+((X31/SUM(X$30:X$33))*X$37)</f>
        <v>1244148.481068074</v>
      </c>
      <c r="Y42" s="148">
        <f t="shared" si="41"/>
        <v>1270066.1385831679</v>
      </c>
      <c r="Z42" s="148">
        <f t="shared" si="41"/>
        <v>786937.06755000947</v>
      </c>
      <c r="AA42" s="148">
        <f t="shared" si="41"/>
        <v>735799.87938708474</v>
      </c>
      <c r="AB42" s="148">
        <f t="shared" si="41"/>
        <v>962591.37696539343</v>
      </c>
      <c r="AC42" s="148">
        <f t="shared" si="41"/>
        <v>1247902.5857565235</v>
      </c>
      <c r="AD42" s="148">
        <f t="shared" si="41"/>
        <v>1161675.1253331352</v>
      </c>
      <c r="AE42" s="148">
        <f t="shared" si="41"/>
        <v>1059772.1695459548</v>
      </c>
      <c r="AF42" s="148">
        <f t="shared" si="41"/>
        <v>1536550.0556698411</v>
      </c>
      <c r="AG42" s="148">
        <f t="shared" si="41"/>
        <v>1164295.2492755319</v>
      </c>
      <c r="AH42" s="148">
        <f t="shared" si="41"/>
        <v>1628388.9110480819</v>
      </c>
      <c r="AI42" s="148">
        <f t="shared" si="41"/>
        <v>1776115.0117152077</v>
      </c>
      <c r="AJ42" s="91">
        <f t="shared" si="40"/>
        <v>1998024.1471783419</v>
      </c>
      <c r="AK42" s="92">
        <f t="shared" si="40"/>
        <v>2780053.2483285246</v>
      </c>
      <c r="AL42" s="110">
        <f>IFERROR(((AK31/SUM(AK$29:AK$33))*AL$38)+((AK31/SUM(AK$30:AK$33))*AL$37),0)</f>
        <v>-42209.722723198538</v>
      </c>
      <c r="AM42" s="4"/>
    </row>
    <row r="43" spans="1:40" x14ac:dyDescent="0.25">
      <c r="A43" t="s">
        <v>6</v>
      </c>
      <c r="B43" s="91">
        <f t="shared" si="39"/>
        <v>-35057.678187130579</v>
      </c>
      <c r="C43" s="40">
        <f t="shared" ref="C43:AK43" si="42">((C32/SUM(C$29:C$33))*C$38)+((C32/SUM(C$30:C$33))*C$37)</f>
        <v>15211.823603390803</v>
      </c>
      <c r="D43" s="40">
        <f t="shared" si="42"/>
        <v>55105.53056499517</v>
      </c>
      <c r="E43" s="40">
        <f t="shared" si="42"/>
        <v>66695.204338474912</v>
      </c>
      <c r="F43" s="40">
        <f t="shared" si="42"/>
        <v>67768.801814085207</v>
      </c>
      <c r="G43" s="40">
        <f t="shared" si="42"/>
        <v>391916.92532932147</v>
      </c>
      <c r="H43" s="40">
        <f t="shared" si="42"/>
        <v>861551.51004482782</v>
      </c>
      <c r="I43" s="40">
        <f t="shared" si="42"/>
        <v>290165.88366547384</v>
      </c>
      <c r="J43" s="40">
        <f t="shared" si="42"/>
        <v>265237.99466050562</v>
      </c>
      <c r="K43" s="40">
        <f t="shared" si="42"/>
        <v>626828.73771903885</v>
      </c>
      <c r="L43" s="40">
        <f t="shared" si="42"/>
        <v>111207.64199636933</v>
      </c>
      <c r="M43" s="40">
        <f t="shared" si="42"/>
        <v>601438.8818521963</v>
      </c>
      <c r="N43" s="40">
        <f t="shared" si="42"/>
        <v>54980.030782358706</v>
      </c>
      <c r="O43" s="40">
        <f t="shared" si="42"/>
        <v>347495.97248769662</v>
      </c>
      <c r="P43" s="40">
        <f t="shared" si="42"/>
        <v>200107.60301611447</v>
      </c>
      <c r="Q43" s="40">
        <f t="shared" si="42"/>
        <v>36095.112762761164</v>
      </c>
      <c r="R43" s="40">
        <f t="shared" si="42"/>
        <v>405457.67328400572</v>
      </c>
      <c r="S43" s="40">
        <f t="shared" si="42"/>
        <v>715565.94699521072</v>
      </c>
      <c r="T43" s="40">
        <f t="shared" si="42"/>
        <v>332979.06701930152</v>
      </c>
      <c r="U43" s="40">
        <f t="shared" si="42"/>
        <v>241688.3184767038</v>
      </c>
      <c r="V43" s="40">
        <f t="shared" si="42"/>
        <v>654768.34271396906</v>
      </c>
      <c r="W43" s="148">
        <f t="shared" si="42"/>
        <v>93512.200935128902</v>
      </c>
      <c r="X43" s="148">
        <f t="shared" ref="X43:AI43" si="43">((X32/SUM(X$29:X$33))*X$38)+((X32/SUM(X$30:X$33))*X$37)</f>
        <v>566608.08740000078</v>
      </c>
      <c r="Y43" s="148">
        <f t="shared" si="43"/>
        <v>578370.02490322979</v>
      </c>
      <c r="Z43" s="148">
        <f t="shared" si="43"/>
        <v>358346.96551325754</v>
      </c>
      <c r="AA43" s="148">
        <f t="shared" si="43"/>
        <v>335170.27657351259</v>
      </c>
      <c r="AB43" s="148">
        <f t="shared" si="43"/>
        <v>438471.06176572345</v>
      </c>
      <c r="AC43" s="148">
        <f t="shared" si="43"/>
        <v>568286.90979414387</v>
      </c>
      <c r="AD43" s="148">
        <f t="shared" si="43"/>
        <v>529130.32329864393</v>
      </c>
      <c r="AE43" s="148">
        <f t="shared" si="43"/>
        <v>482720.31816390011</v>
      </c>
      <c r="AF43" s="148">
        <f t="shared" si="43"/>
        <v>699810.11149379774</v>
      </c>
      <c r="AG43" s="148">
        <f t="shared" si="43"/>
        <v>530290.02479438367</v>
      </c>
      <c r="AH43" s="148">
        <f t="shared" si="43"/>
        <v>741609.84024235012</v>
      </c>
      <c r="AI43" s="148">
        <f t="shared" si="43"/>
        <v>808846.06236644357</v>
      </c>
      <c r="AJ43" s="91">
        <f t="shared" si="42"/>
        <v>909966.43057521386</v>
      </c>
      <c r="AK43" s="92">
        <f t="shared" si="42"/>
        <v>1266176.9652864283</v>
      </c>
      <c r="AL43" s="110">
        <f>IFERROR(((AK32/SUM(AK$29:AK$33))*AL$38)+((AK32/SUM(AK$30:AK$33))*AL$37),0)</f>
        <v>-19224.444227956534</v>
      </c>
      <c r="AM43" s="4"/>
    </row>
    <row r="44" spans="1:40" x14ac:dyDescent="0.25">
      <c r="A44" t="s">
        <v>7</v>
      </c>
      <c r="B44" s="91">
        <f t="shared" si="39"/>
        <v>-35057.678187130579</v>
      </c>
      <c r="C44" s="40">
        <f t="shared" ref="C44:AK44" si="44">((C33/SUM(C$29:C$33))*C$38)+((C33/SUM(C$30:C$33))*C$37)</f>
        <v>0</v>
      </c>
      <c r="D44" s="40">
        <f t="shared" si="44"/>
        <v>110211.06112999034</v>
      </c>
      <c r="E44" s="40">
        <f t="shared" si="44"/>
        <v>2490.6922782003076</v>
      </c>
      <c r="F44" s="40">
        <f t="shared" si="44"/>
        <v>56278.589741800861</v>
      </c>
      <c r="G44" s="40">
        <f t="shared" si="44"/>
        <v>18320.376982849943</v>
      </c>
      <c r="H44" s="40">
        <f t="shared" si="44"/>
        <v>13552.495663626507</v>
      </c>
      <c r="I44" s="40">
        <f t="shared" si="44"/>
        <v>63040.384409010454</v>
      </c>
      <c r="J44" s="40">
        <f t="shared" si="44"/>
        <v>968695.28484706371</v>
      </c>
      <c r="K44" s="40">
        <f t="shared" si="44"/>
        <v>47493.657850918797</v>
      </c>
      <c r="L44" s="40">
        <f t="shared" si="44"/>
        <v>81267.122997346814</v>
      </c>
      <c r="M44" s="40">
        <f t="shared" si="44"/>
        <v>299618.91232252598</v>
      </c>
      <c r="N44" s="40">
        <f t="shared" si="44"/>
        <v>106508.40043936754</v>
      </c>
      <c r="O44" s="40">
        <f t="shared" si="44"/>
        <v>210657.26299559805</v>
      </c>
      <c r="P44" s="40">
        <f t="shared" si="44"/>
        <v>232543.56954274024</v>
      </c>
      <c r="Q44" s="40">
        <f t="shared" si="44"/>
        <v>1286055.4991768976</v>
      </c>
      <c r="R44" s="40">
        <f t="shared" si="44"/>
        <v>64980.821242094491</v>
      </c>
      <c r="S44" s="40">
        <f t="shared" si="44"/>
        <v>96541.992387499617</v>
      </c>
      <c r="T44" s="40">
        <f t="shared" si="44"/>
        <v>142150.15453219568</v>
      </c>
      <c r="U44" s="40">
        <f t="shared" si="44"/>
        <v>174370.50271583418</v>
      </c>
      <c r="V44" s="40">
        <f t="shared" si="44"/>
        <v>109955.35458853925</v>
      </c>
      <c r="W44" s="148">
        <f t="shared" si="44"/>
        <v>115081.23537701131</v>
      </c>
      <c r="X44" s="148">
        <f t="shared" ref="X44:AI44" si="45">((X33/SUM(X$29:X$33))*X$38)+((X33/SUM(X$30:X$33))*X$37)</f>
        <v>328202.08955051017</v>
      </c>
      <c r="Y44" s="148">
        <f t="shared" si="45"/>
        <v>334969.37842839287</v>
      </c>
      <c r="Z44" s="148">
        <f t="shared" si="45"/>
        <v>207520.33226737904</v>
      </c>
      <c r="AA44" s="148">
        <f t="shared" si="45"/>
        <v>194062.20066923319</v>
      </c>
      <c r="AB44" s="148">
        <f t="shared" si="45"/>
        <v>253893.60087706341</v>
      </c>
      <c r="AC44" s="148">
        <f t="shared" si="45"/>
        <v>329145.91736695811</v>
      </c>
      <c r="AD44" s="148">
        <f t="shared" si="45"/>
        <v>306413.27032843721</v>
      </c>
      <c r="AE44" s="148">
        <f t="shared" si="45"/>
        <v>279556.2077938969</v>
      </c>
      <c r="AF44" s="148">
        <f t="shared" si="45"/>
        <v>405374.87373153452</v>
      </c>
      <c r="AG44" s="148">
        <f t="shared" si="45"/>
        <v>307065.43257515441</v>
      </c>
      <c r="AH44" s="148">
        <f t="shared" si="45"/>
        <v>429488.82921861316</v>
      </c>
      <c r="AI44" s="148">
        <f t="shared" si="45"/>
        <v>468485.5687355398</v>
      </c>
      <c r="AJ44" s="91">
        <f t="shared" si="44"/>
        <v>527070.16561519809</v>
      </c>
      <c r="AK44" s="92">
        <f t="shared" si="44"/>
        <v>733396.47082526155</v>
      </c>
      <c r="AL44" s="110">
        <f>IFERROR(((AK33/SUM(AK$29:AK$33))*AL$38)+((AK33/SUM(AK$30:AK$33))*AL$37),0)</f>
        <v>-11135.204585854202</v>
      </c>
      <c r="AM44" s="4"/>
    </row>
    <row r="45" spans="1:40" s="116" customFormat="1" x14ac:dyDescent="0.25">
      <c r="B45" s="196">
        <f>SUM(B40:B44)-B19</f>
        <v>0</v>
      </c>
      <c r="C45" s="115">
        <f t="shared" ref="C45:AL45" si="46">SUM(C40:C44)-C19</f>
        <v>0</v>
      </c>
      <c r="D45" s="115">
        <f t="shared" si="46"/>
        <v>0</v>
      </c>
      <c r="E45" s="115">
        <f t="shared" si="46"/>
        <v>0</v>
      </c>
      <c r="F45" s="115">
        <f t="shared" si="46"/>
        <v>0</v>
      </c>
      <c r="G45" s="115">
        <f t="shared" si="46"/>
        <v>0</v>
      </c>
      <c r="H45" s="115">
        <f t="shared" si="46"/>
        <v>0</v>
      </c>
      <c r="I45" s="115">
        <f t="shared" si="46"/>
        <v>0</v>
      </c>
      <c r="J45" s="115">
        <f t="shared" si="46"/>
        <v>0</v>
      </c>
      <c r="K45" s="115">
        <f t="shared" si="46"/>
        <v>0</v>
      </c>
      <c r="L45" s="115">
        <f t="shared" si="46"/>
        <v>0</v>
      </c>
      <c r="M45" s="115">
        <f t="shared" si="46"/>
        <v>0</v>
      </c>
      <c r="N45" s="115">
        <f t="shared" si="46"/>
        <v>0</v>
      </c>
      <c r="O45" s="115">
        <f t="shared" si="46"/>
        <v>0</v>
      </c>
      <c r="P45" s="115">
        <f t="shared" si="46"/>
        <v>0</v>
      </c>
      <c r="Q45" s="115">
        <f t="shared" si="46"/>
        <v>0</v>
      </c>
      <c r="R45" s="115">
        <f t="shared" si="46"/>
        <v>0</v>
      </c>
      <c r="S45" s="115">
        <f t="shared" si="46"/>
        <v>0</v>
      </c>
      <c r="T45" s="115">
        <f t="shared" si="46"/>
        <v>0</v>
      </c>
      <c r="U45" s="115">
        <f t="shared" si="46"/>
        <v>0</v>
      </c>
      <c r="V45" s="115">
        <f t="shared" si="46"/>
        <v>0</v>
      </c>
      <c r="W45" s="179">
        <f t="shared" si="46"/>
        <v>0</v>
      </c>
      <c r="X45" s="179">
        <f t="shared" ref="X45:AI45" si="47">SUM(X40:X44)-X19</f>
        <v>0</v>
      </c>
      <c r="Y45" s="179">
        <f t="shared" si="47"/>
        <v>0</v>
      </c>
      <c r="Z45" s="179">
        <f t="shared" si="47"/>
        <v>0</v>
      </c>
      <c r="AA45" s="179">
        <f t="shared" si="47"/>
        <v>0</v>
      </c>
      <c r="AB45" s="179">
        <f t="shared" si="47"/>
        <v>0</v>
      </c>
      <c r="AC45" s="179">
        <f t="shared" si="47"/>
        <v>0</v>
      </c>
      <c r="AD45" s="179">
        <f t="shared" si="47"/>
        <v>0</v>
      </c>
      <c r="AE45" s="179">
        <f t="shared" si="47"/>
        <v>0</v>
      </c>
      <c r="AF45" s="179">
        <f t="shared" si="47"/>
        <v>0</v>
      </c>
      <c r="AG45" s="179">
        <f t="shared" si="47"/>
        <v>0</v>
      </c>
      <c r="AH45" s="179">
        <f t="shared" si="47"/>
        <v>0</v>
      </c>
      <c r="AI45" s="179">
        <f t="shared" si="47"/>
        <v>0</v>
      </c>
      <c r="AJ45" s="182">
        <f t="shared" si="46"/>
        <v>0</v>
      </c>
      <c r="AK45" s="183">
        <f>SUM(AK40:AK44)-AK19</f>
        <v>0</v>
      </c>
      <c r="AL45" s="184">
        <f t="shared" si="46"/>
        <v>0</v>
      </c>
      <c r="AM45" s="117"/>
    </row>
    <row r="46" spans="1:40" x14ac:dyDescent="0.25">
      <c r="B46" s="22"/>
      <c r="C46" s="31"/>
      <c r="D46" s="126" t="s">
        <v>15</v>
      </c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118"/>
      <c r="AK46" s="177"/>
      <c r="AL46" s="181"/>
      <c r="AM46" s="4"/>
    </row>
    <row r="47" spans="1:40" ht="15.75" thickBot="1" x14ac:dyDescent="0.3">
      <c r="A47" s="190" t="s">
        <v>79</v>
      </c>
      <c r="B47" s="136">
        <v>-9249.09</v>
      </c>
      <c r="C47" s="137">
        <v>-19652.04</v>
      </c>
      <c r="D47" s="137">
        <v>-28678.6</v>
      </c>
      <c r="E47" s="137">
        <v>-34323.35</v>
      </c>
      <c r="F47" s="137">
        <v>-24876.36</v>
      </c>
      <c r="G47" s="137">
        <v>-24308.82</v>
      </c>
      <c r="H47" s="137">
        <v>-18421.18</v>
      </c>
      <c r="I47" s="137">
        <v>-17733.03</v>
      </c>
      <c r="J47" s="137">
        <v>-6707.27</v>
      </c>
      <c r="K47" s="138">
        <v>24818.27</v>
      </c>
      <c r="L47" s="138">
        <v>43365.16</v>
      </c>
      <c r="M47" s="138">
        <v>57091.38</v>
      </c>
      <c r="N47" s="138">
        <v>44149.81</v>
      </c>
      <c r="O47" s="138">
        <v>2739.92</v>
      </c>
      <c r="P47" s="138">
        <v>1732.61</v>
      </c>
      <c r="Q47" s="138">
        <v>1715.01</v>
      </c>
      <c r="R47" s="138">
        <v>1867</v>
      </c>
      <c r="S47" s="138">
        <v>2110.96</v>
      </c>
      <c r="T47" s="138">
        <v>2163.7800000000002</v>
      </c>
      <c r="U47" s="138">
        <v>2723.07</v>
      </c>
      <c r="V47" s="138">
        <v>2343.8200000000002</v>
      </c>
      <c r="W47" s="138">
        <v>2630.02</v>
      </c>
      <c r="X47" s="138">
        <v>3670.94</v>
      </c>
      <c r="Y47" s="138">
        <v>5065.7700000000004</v>
      </c>
      <c r="Z47" s="138">
        <v>5509.53</v>
      </c>
      <c r="AA47" s="138">
        <v>3784.4</v>
      </c>
      <c r="AB47" s="138">
        <v>2885.8</v>
      </c>
      <c r="AC47" s="138">
        <v>2348.54</v>
      </c>
      <c r="AD47" s="138">
        <v>732.38</v>
      </c>
      <c r="AE47" s="138">
        <v>1553.16</v>
      </c>
      <c r="AF47" s="138">
        <v>3813.91</v>
      </c>
      <c r="AG47" s="138">
        <v>3912.99</v>
      </c>
      <c r="AH47" s="138">
        <v>4492.09</v>
      </c>
      <c r="AI47" s="138">
        <v>5791.41</v>
      </c>
      <c r="AJ47" s="77">
        <v>7695.8540910000556</v>
      </c>
      <c r="AK47" s="149">
        <v>10501.480082395014</v>
      </c>
      <c r="AL47" s="222">
        <v>7335.7250398781789</v>
      </c>
    </row>
    <row r="48" spans="1:40" x14ac:dyDescent="0.25">
      <c r="B48" s="25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185"/>
      <c r="AJ48" s="25"/>
      <c r="AK48" s="26"/>
      <c r="AL48" s="185"/>
    </row>
    <row r="49" spans="1:38" x14ac:dyDescent="0.25">
      <c r="A49" t="s">
        <v>55</v>
      </c>
      <c r="B49" s="188"/>
      <c r="C49" s="102"/>
      <c r="D49" s="102"/>
      <c r="E49" s="102"/>
      <c r="F49" s="102"/>
      <c r="G49" s="102"/>
      <c r="H49" s="102"/>
      <c r="I49" s="102"/>
      <c r="J49" s="102"/>
      <c r="K49" s="103"/>
      <c r="L49" s="104"/>
      <c r="M49" s="105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1"/>
      <c r="AJ49" s="20"/>
      <c r="AK49" s="29"/>
      <c r="AL49" s="21"/>
    </row>
    <row r="50" spans="1:38" x14ac:dyDescent="0.25">
      <c r="A50" t="s">
        <v>0</v>
      </c>
      <c r="B50" s="91">
        <f>B40-B22</f>
        <v>-993725.75725147768</v>
      </c>
      <c r="C50" s="92">
        <f t="shared" ref="C50:M50" si="48">C40-C22</f>
        <v>-1185042.6667158045</v>
      </c>
      <c r="D50" s="92">
        <f t="shared" si="48"/>
        <v>-1078794.5628879732</v>
      </c>
      <c r="E50" s="92">
        <f t="shared" si="48"/>
        <v>-635035.76026441343</v>
      </c>
      <c r="F50" s="92">
        <f t="shared" si="48"/>
        <v>775796.58088187897</v>
      </c>
      <c r="G50" s="92">
        <f t="shared" si="48"/>
        <v>-19973.291010222398</v>
      </c>
      <c r="H50" s="92">
        <f t="shared" si="48"/>
        <v>275052.23793755099</v>
      </c>
      <c r="I50" s="92">
        <f t="shared" si="48"/>
        <v>-117347.38755013328</v>
      </c>
      <c r="J50" s="92">
        <f t="shared" si="48"/>
        <v>691796.20506840036</v>
      </c>
      <c r="K50" s="92">
        <f t="shared" si="48"/>
        <v>2677819.9513916466</v>
      </c>
      <c r="L50" s="92">
        <f t="shared" si="48"/>
        <v>1553956.9287559786</v>
      </c>
      <c r="M50" s="92">
        <f t="shared" si="48"/>
        <v>1020229.2636631741</v>
      </c>
      <c r="N50" s="92">
        <f t="shared" ref="N50:AK50" si="49">N40-N22</f>
        <v>-1060863.4193845221</v>
      </c>
      <c r="O50" s="92">
        <f t="shared" si="49"/>
        <v>-1144316.4451153402</v>
      </c>
      <c r="P50" s="92">
        <f t="shared" si="49"/>
        <v>-835033.31926511205</v>
      </c>
      <c r="Q50" s="92">
        <f t="shared" si="49"/>
        <v>184962.49336306681</v>
      </c>
      <c r="R50" s="92">
        <f t="shared" si="49"/>
        <v>751177.78023272147</v>
      </c>
      <c r="S50" s="92">
        <f t="shared" si="49"/>
        <v>435311.70613406785</v>
      </c>
      <c r="T50" s="92">
        <f t="shared" si="49"/>
        <v>133663.69419700094</v>
      </c>
      <c r="U50" s="92">
        <f t="shared" si="49"/>
        <v>919837.17786844168</v>
      </c>
      <c r="V50" s="92">
        <f t="shared" si="49"/>
        <v>6338.8193554515019</v>
      </c>
      <c r="W50" s="148">
        <f t="shared" si="49"/>
        <v>706295.81489636842</v>
      </c>
      <c r="X50" s="92">
        <f t="shared" ref="X50:AI50" si="50">X40-X22</f>
        <v>1258305.1562815076</v>
      </c>
      <c r="Y50" s="92">
        <f t="shared" si="50"/>
        <v>458809.77861020621</v>
      </c>
      <c r="Z50" s="92">
        <f t="shared" si="50"/>
        <v>-1306511.7686481383</v>
      </c>
      <c r="AA50" s="92">
        <f t="shared" si="50"/>
        <v>-2740942.546145841</v>
      </c>
      <c r="AB50" s="92">
        <f t="shared" si="50"/>
        <v>-2142310.163592224</v>
      </c>
      <c r="AC50" s="92">
        <f t="shared" si="50"/>
        <v>154815.32208810933</v>
      </c>
      <c r="AD50" s="92">
        <f t="shared" si="50"/>
        <v>318885.06990538305</v>
      </c>
      <c r="AE50" s="92">
        <f t="shared" si="50"/>
        <v>-761878.0167651088</v>
      </c>
      <c r="AF50" s="92">
        <f t="shared" si="50"/>
        <v>-595455.06390288379</v>
      </c>
      <c r="AG50" s="92">
        <f t="shared" si="50"/>
        <v>-1782450.6641196762</v>
      </c>
      <c r="AH50" s="92">
        <f t="shared" si="50"/>
        <v>7595.4263535682112</v>
      </c>
      <c r="AI50" s="146">
        <f t="shared" si="50"/>
        <v>1435914.3125085649</v>
      </c>
      <c r="AJ50" s="91">
        <f t="shared" si="49"/>
        <v>2074453.9369982104</v>
      </c>
      <c r="AK50" s="92">
        <f t="shared" si="49"/>
        <v>2683673.3631034959</v>
      </c>
      <c r="AL50" s="110">
        <f t="shared" ref="AL50" si="51">AL40-AL22</f>
        <v>-5141862.7615325805</v>
      </c>
    </row>
    <row r="51" spans="1:38" x14ac:dyDescent="0.25">
      <c r="A51" t="s">
        <v>4</v>
      </c>
      <c r="B51" s="91">
        <f>B41-B23</f>
        <v>-60276.64818713058</v>
      </c>
      <c r="C51" s="92">
        <f t="shared" ref="C51:M51" si="52">C41-C23</f>
        <v>-15703.919744195402</v>
      </c>
      <c r="D51" s="92">
        <f t="shared" si="52"/>
        <v>92318.443809892458</v>
      </c>
      <c r="E51" s="92">
        <f t="shared" si="52"/>
        <v>73441.000534082486</v>
      </c>
      <c r="F51" s="92">
        <f t="shared" si="52"/>
        <v>53204.585659165743</v>
      </c>
      <c r="G51" s="92">
        <f t="shared" si="52"/>
        <v>43048.32607316233</v>
      </c>
      <c r="H51" s="92">
        <f t="shared" si="52"/>
        <v>222196.24280888302</v>
      </c>
      <c r="I51" s="92">
        <f t="shared" si="52"/>
        <v>350754.75711479958</v>
      </c>
      <c r="J51" s="92">
        <f t="shared" si="52"/>
        <v>37142.714580579406</v>
      </c>
      <c r="K51" s="92">
        <f t="shared" si="52"/>
        <v>322784.76584922656</v>
      </c>
      <c r="L51" s="92">
        <f t="shared" si="52"/>
        <v>89844.274205969588</v>
      </c>
      <c r="M51" s="92">
        <f t="shared" si="52"/>
        <v>127542.45513539625</v>
      </c>
      <c r="N51" s="92">
        <f t="shared" ref="N51:AK51" si="53">N41-N23</f>
        <v>90079.420206218245</v>
      </c>
      <c r="O51" s="92">
        <f t="shared" si="53"/>
        <v>-163656.54404508643</v>
      </c>
      <c r="P51" s="92">
        <f t="shared" si="53"/>
        <v>-25014.559800081828</v>
      </c>
      <c r="Q51" s="92">
        <f t="shared" si="53"/>
        <v>-180769.15242675151</v>
      </c>
      <c r="R51" s="92">
        <f t="shared" si="53"/>
        <v>42889.222463934362</v>
      </c>
      <c r="S51" s="92">
        <f t="shared" si="53"/>
        <v>-163641.23918557743</v>
      </c>
      <c r="T51" s="92">
        <f t="shared" si="53"/>
        <v>-148632.47263238113</v>
      </c>
      <c r="U51" s="92">
        <f t="shared" si="53"/>
        <v>-5125.4001806401066</v>
      </c>
      <c r="V51" s="92">
        <f t="shared" si="53"/>
        <v>-43558.973902665137</v>
      </c>
      <c r="W51" s="148">
        <f t="shared" si="53"/>
        <v>64397.456019082456</v>
      </c>
      <c r="X51" s="92">
        <f t="shared" ref="X51:AI51" si="54">X41-X23</f>
        <v>44589.275699907768</v>
      </c>
      <c r="Y51" s="92">
        <f t="shared" si="54"/>
        <v>-6142.2105249969172</v>
      </c>
      <c r="Z51" s="92">
        <f t="shared" si="54"/>
        <v>-143604.19668250796</v>
      </c>
      <c r="AA51" s="92">
        <f t="shared" si="54"/>
        <v>-5482.0104839889682</v>
      </c>
      <c r="AB51" s="92">
        <f t="shared" si="54"/>
        <v>49417.823984043993</v>
      </c>
      <c r="AC51" s="92">
        <f t="shared" si="54"/>
        <v>154446.90499426567</v>
      </c>
      <c r="AD51" s="92">
        <f t="shared" si="54"/>
        <v>141367.56113440081</v>
      </c>
      <c r="AE51" s="92">
        <f t="shared" si="54"/>
        <v>94619.651261357911</v>
      </c>
      <c r="AF51" s="92">
        <f t="shared" si="54"/>
        <v>187567.96300771108</v>
      </c>
      <c r="AG51" s="92">
        <f t="shared" si="54"/>
        <v>89860.607474605786</v>
      </c>
      <c r="AH51" s="92">
        <f t="shared" si="54"/>
        <v>214389.37313738704</v>
      </c>
      <c r="AI51" s="146">
        <f t="shared" si="54"/>
        <v>275200.38467424479</v>
      </c>
      <c r="AJ51" s="91">
        <f t="shared" si="53"/>
        <v>331972.27289941692</v>
      </c>
      <c r="AK51" s="92">
        <f t="shared" si="53"/>
        <v>493630.96355803695</v>
      </c>
      <c r="AL51" s="110">
        <f t="shared" ref="AL51" si="55">AL41-AL23</f>
        <v>-210438.15312608625</v>
      </c>
    </row>
    <row r="52" spans="1:38" x14ac:dyDescent="0.25">
      <c r="A52" t="s">
        <v>5</v>
      </c>
      <c r="B52" s="91">
        <f t="shared" ref="B52:M52" si="56">B42-B24</f>
        <v>-208513.36818713057</v>
      </c>
      <c r="C52" s="92">
        <f t="shared" si="56"/>
        <v>-47043.557143390819</v>
      </c>
      <c r="D52" s="92">
        <f t="shared" si="56"/>
        <v>-231510.99261690475</v>
      </c>
      <c r="E52" s="92">
        <f t="shared" si="56"/>
        <v>18040.703113655676</v>
      </c>
      <c r="F52" s="92">
        <f t="shared" si="56"/>
        <v>887060.53190306912</v>
      </c>
      <c r="G52" s="92">
        <f t="shared" si="56"/>
        <v>70906.802624888776</v>
      </c>
      <c r="H52" s="92">
        <f t="shared" si="56"/>
        <v>-32574.406454888056</v>
      </c>
      <c r="I52" s="92">
        <f t="shared" si="56"/>
        <v>-39607.477639150515</v>
      </c>
      <c r="J52" s="92">
        <f t="shared" si="56"/>
        <v>137345.78084345174</v>
      </c>
      <c r="K52" s="92">
        <f t="shared" si="56"/>
        <v>1645338.8871891701</v>
      </c>
      <c r="L52" s="92">
        <f t="shared" si="56"/>
        <v>1446009.3420443356</v>
      </c>
      <c r="M52" s="92">
        <f t="shared" si="56"/>
        <v>733845.11702670809</v>
      </c>
      <c r="N52" s="92">
        <f t="shared" ref="N52:AK52" si="57">N42-N24</f>
        <v>181362.14795657748</v>
      </c>
      <c r="O52" s="92">
        <f t="shared" si="57"/>
        <v>-119734.93632286787</v>
      </c>
      <c r="P52" s="92">
        <f t="shared" si="57"/>
        <v>-212426.64349366073</v>
      </c>
      <c r="Q52" s="92">
        <f t="shared" si="57"/>
        <v>-590241.36287597404</v>
      </c>
      <c r="R52" s="92">
        <f t="shared" si="57"/>
        <v>270558.8427772437</v>
      </c>
      <c r="S52" s="92">
        <f t="shared" si="57"/>
        <v>126875.29366879875</v>
      </c>
      <c r="T52" s="92">
        <f t="shared" si="57"/>
        <v>463453.39688388363</v>
      </c>
      <c r="U52" s="92">
        <f t="shared" si="57"/>
        <v>925319.85111966031</v>
      </c>
      <c r="V52" s="92">
        <f t="shared" si="57"/>
        <v>-83937.122755293967</v>
      </c>
      <c r="W52" s="148">
        <f t="shared" si="57"/>
        <v>432742.39277240867</v>
      </c>
      <c r="X52" s="92">
        <f t="shared" ref="X52:AI52" si="58">X42-X24</f>
        <v>376678.80106807395</v>
      </c>
      <c r="Y52" s="92">
        <f t="shared" si="58"/>
        <v>327295.9885831679</v>
      </c>
      <c r="Z52" s="92">
        <f t="shared" si="58"/>
        <v>-236718.04244999052</v>
      </c>
      <c r="AA52" s="92">
        <f t="shared" si="58"/>
        <v>-367340.76061291515</v>
      </c>
      <c r="AB52" s="92">
        <f t="shared" si="58"/>
        <v>-136956.14303460659</v>
      </c>
      <c r="AC52" s="92">
        <f t="shared" si="58"/>
        <v>214664.06575652352</v>
      </c>
      <c r="AD52" s="92">
        <f t="shared" si="58"/>
        <v>133601.29533313529</v>
      </c>
      <c r="AE52" s="92">
        <f t="shared" si="58"/>
        <v>-74316.830454045208</v>
      </c>
      <c r="AF52" s="92">
        <f t="shared" si="58"/>
        <v>300237.51566984109</v>
      </c>
      <c r="AG52" s="92">
        <f t="shared" si="58"/>
        <v>-100252.78072446818</v>
      </c>
      <c r="AH52" s="92">
        <f t="shared" si="58"/>
        <v>398992.8710480819</v>
      </c>
      <c r="AI52" s="146">
        <f t="shared" si="58"/>
        <v>668662.80171520775</v>
      </c>
      <c r="AJ52" s="91">
        <f t="shared" si="57"/>
        <v>954520.59487334196</v>
      </c>
      <c r="AK52" s="92">
        <f t="shared" si="57"/>
        <v>1651087.4499165246</v>
      </c>
      <c r="AL52" s="110">
        <f t="shared" ref="AL52" si="59">AL42-AL24</f>
        <v>-1236212.3610221986</v>
      </c>
    </row>
    <row r="53" spans="1:38" x14ac:dyDescent="0.25">
      <c r="A53" t="s">
        <v>6</v>
      </c>
      <c r="B53" s="91">
        <f t="shared" ref="B53:M53" si="60">B43-B25</f>
        <v>-99017.22818713059</v>
      </c>
      <c r="C53" s="92">
        <f t="shared" si="60"/>
        <v>-194760.10639660919</v>
      </c>
      <c r="D53" s="92">
        <f t="shared" si="60"/>
        <v>-157419.69943500485</v>
      </c>
      <c r="E53" s="92">
        <f t="shared" si="60"/>
        <v>-140049.4856615251</v>
      </c>
      <c r="F53" s="92">
        <f t="shared" si="60"/>
        <v>-140102.39818591479</v>
      </c>
      <c r="G53" s="92">
        <f t="shared" si="60"/>
        <v>165679.97532932146</v>
      </c>
      <c r="H53" s="92">
        <f t="shared" si="60"/>
        <v>621161.76004482782</v>
      </c>
      <c r="I53" s="92">
        <f t="shared" si="60"/>
        <v>53463.473665473837</v>
      </c>
      <c r="J53" s="92">
        <f t="shared" si="60"/>
        <v>11837.694660505629</v>
      </c>
      <c r="K53" s="92">
        <f t="shared" si="60"/>
        <v>395823.74771903886</v>
      </c>
      <c r="L53" s="92">
        <f t="shared" si="60"/>
        <v>-98708.278003630679</v>
      </c>
      <c r="M53" s="92">
        <f t="shared" si="60"/>
        <v>382389.52185219631</v>
      </c>
      <c r="N53" s="92">
        <f t="shared" ref="N53:AK53" si="61">N43-N25</f>
        <v>-171889.2992176413</v>
      </c>
      <c r="O53" s="92">
        <f t="shared" si="61"/>
        <v>53273.282487696619</v>
      </c>
      <c r="P53" s="92">
        <f t="shared" si="61"/>
        <v>-99132.426983885554</v>
      </c>
      <c r="Q53" s="92">
        <f t="shared" si="61"/>
        <v>-255671.30723723883</v>
      </c>
      <c r="R53" s="92">
        <f t="shared" si="61"/>
        <v>119822.69328400574</v>
      </c>
      <c r="S53" s="92">
        <f t="shared" si="61"/>
        <v>401679.29699521069</v>
      </c>
      <c r="T53" s="92">
        <f t="shared" si="61"/>
        <v>3913.5170193015365</v>
      </c>
      <c r="U53" s="92">
        <f t="shared" si="61"/>
        <v>-91578.001523296203</v>
      </c>
      <c r="V53" s="92">
        <f t="shared" si="61"/>
        <v>323397.52271396905</v>
      </c>
      <c r="W53" s="148">
        <f t="shared" si="61"/>
        <v>-218296.08906487108</v>
      </c>
      <c r="X53" s="92">
        <f t="shared" ref="X53:AI53" si="62">X43-X25</f>
        <v>268530.72740000079</v>
      </c>
      <c r="Y53" s="92">
        <f t="shared" si="62"/>
        <v>279334.83490322978</v>
      </c>
      <c r="Z53" s="92">
        <f t="shared" si="62"/>
        <v>52564.115513257566</v>
      </c>
      <c r="AA53" s="92">
        <f t="shared" si="62"/>
        <v>68113.566573512566</v>
      </c>
      <c r="AB53" s="92">
        <f t="shared" si="62"/>
        <v>172354.65176572348</v>
      </c>
      <c r="AC53" s="92">
        <f t="shared" si="62"/>
        <v>284301.38979414385</v>
      </c>
      <c r="AD53" s="92">
        <f t="shared" si="62"/>
        <v>263418.30329864391</v>
      </c>
      <c r="AE53" s="92">
        <f t="shared" si="62"/>
        <v>206057.75816390011</v>
      </c>
      <c r="AF53" s="92">
        <f t="shared" si="62"/>
        <v>371856.61149379774</v>
      </c>
      <c r="AG53" s="92">
        <f t="shared" si="62"/>
        <v>232749.40479438368</v>
      </c>
      <c r="AH53" s="92">
        <f t="shared" si="62"/>
        <v>433812.48024235014</v>
      </c>
      <c r="AI53" s="146">
        <f t="shared" si="62"/>
        <v>522203.96236644359</v>
      </c>
      <c r="AJ53" s="91">
        <f t="shared" si="61"/>
        <v>642795.86003691377</v>
      </c>
      <c r="AK53" s="92">
        <f t="shared" si="61"/>
        <v>989750.52464232827</v>
      </c>
      <c r="AL53" s="110">
        <f t="shared" ref="AL53" si="63">AL43-AL25</f>
        <v>-300900.74231935653</v>
      </c>
    </row>
    <row r="54" spans="1:38" x14ac:dyDescent="0.25">
      <c r="A54" t="s">
        <v>7</v>
      </c>
      <c r="B54" s="91">
        <f t="shared" ref="B54:M54" si="64">B44-B26</f>
        <v>-55951.998187130579</v>
      </c>
      <c r="C54" s="92">
        <f t="shared" si="64"/>
        <v>-142523.31</v>
      </c>
      <c r="D54" s="92">
        <f t="shared" si="64"/>
        <v>-16570.668870009657</v>
      </c>
      <c r="E54" s="92">
        <f t="shared" si="64"/>
        <v>-138037.66772179969</v>
      </c>
      <c r="F54" s="92">
        <f t="shared" si="64"/>
        <v>-99921.480258199153</v>
      </c>
      <c r="G54" s="92">
        <f t="shared" si="64"/>
        <v>-142561.18301715006</v>
      </c>
      <c r="H54" s="92">
        <f t="shared" si="64"/>
        <v>-152108.5343363735</v>
      </c>
      <c r="I54" s="92">
        <f t="shared" si="64"/>
        <v>-116148.16559098953</v>
      </c>
      <c r="J54" s="92">
        <f t="shared" si="64"/>
        <v>832000.12484706368</v>
      </c>
      <c r="K54" s="92">
        <f t="shared" si="64"/>
        <v>-116681.7121490812</v>
      </c>
      <c r="L54" s="92">
        <f t="shared" si="64"/>
        <v>-70842.00700265319</v>
      </c>
      <c r="M54" s="92">
        <f t="shared" si="64"/>
        <v>150230.65232252597</v>
      </c>
      <c r="N54" s="92">
        <f t="shared" ref="N54:AK54" si="65">N44-N26</f>
        <v>-35087.319560632459</v>
      </c>
      <c r="O54" s="92">
        <f t="shared" si="65"/>
        <v>90877.282995598056</v>
      </c>
      <c r="P54" s="92">
        <f t="shared" si="65"/>
        <v>105577.59954274024</v>
      </c>
      <c r="Q54" s="92">
        <f t="shared" si="65"/>
        <v>1157290.9291768975</v>
      </c>
      <c r="R54" s="92">
        <f t="shared" si="65"/>
        <v>-63340.428757905509</v>
      </c>
      <c r="S54" s="92">
        <f t="shared" si="65"/>
        <v>-42880.017612500393</v>
      </c>
      <c r="T54" s="92">
        <f t="shared" si="65"/>
        <v>-8608.7454678043141</v>
      </c>
      <c r="U54" s="92">
        <f t="shared" si="65"/>
        <v>25721.602715834189</v>
      </c>
      <c r="V54" s="92">
        <f t="shared" si="65"/>
        <v>-46081.185411460756</v>
      </c>
      <c r="W54" s="148">
        <f t="shared" si="65"/>
        <v>-30374.754622988679</v>
      </c>
      <c r="X54" s="92">
        <f t="shared" ref="X54:AI54" si="66">X44-X26</f>
        <v>187995.08955051017</v>
      </c>
      <c r="Y54" s="92">
        <f t="shared" si="66"/>
        <v>210284.11842839286</v>
      </c>
      <c r="Z54" s="92">
        <f t="shared" si="66"/>
        <v>71836.522267379041</v>
      </c>
      <c r="AA54" s="92">
        <f t="shared" si="66"/>
        <v>30216.600669233187</v>
      </c>
      <c r="AB54" s="92">
        <f t="shared" si="66"/>
        <v>47391.040877063409</v>
      </c>
      <c r="AC54" s="92">
        <f t="shared" si="66"/>
        <v>105667.20736695812</v>
      </c>
      <c r="AD54" s="92">
        <f t="shared" si="66"/>
        <v>86463.920328437205</v>
      </c>
      <c r="AE54" s="92">
        <f t="shared" si="66"/>
        <v>40922.717793896911</v>
      </c>
      <c r="AF54" s="92">
        <f t="shared" si="66"/>
        <v>130381.0437315345</v>
      </c>
      <c r="AG54" s="92">
        <f t="shared" si="66"/>
        <v>52193.362575154402</v>
      </c>
      <c r="AH54" s="92">
        <f t="shared" si="66"/>
        <v>164690.31921861315</v>
      </c>
      <c r="AI54" s="146">
        <f t="shared" si="66"/>
        <v>225993.96873553979</v>
      </c>
      <c r="AJ54" s="91">
        <f t="shared" si="65"/>
        <v>280711.99958719808</v>
      </c>
      <c r="AK54" s="92">
        <f t="shared" si="65"/>
        <v>494539.08603326161</v>
      </c>
      <c r="AL54" s="110">
        <f t="shared" ref="AL54" si="67">AL44-AL26</f>
        <v>-252745.84554585419</v>
      </c>
    </row>
    <row r="55" spans="1:38" x14ac:dyDescent="0.25">
      <c r="B55" s="20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1"/>
      <c r="AJ55" s="20"/>
      <c r="AK55" s="29"/>
      <c r="AL55" s="21"/>
    </row>
    <row r="56" spans="1:38" x14ac:dyDescent="0.25">
      <c r="A56" t="s">
        <v>56</v>
      </c>
      <c r="B56" s="20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1"/>
      <c r="AJ56" s="20"/>
      <c r="AK56" s="29"/>
      <c r="AL56" s="21"/>
    </row>
    <row r="57" spans="1:38" x14ac:dyDescent="0.25">
      <c r="A57" t="s">
        <v>0</v>
      </c>
      <c r="B57" s="91">
        <f>B50</f>
        <v>-993725.75725147768</v>
      </c>
      <c r="C57" s="92">
        <f>B57+C50+B64</f>
        <v>-2185252.4845333481</v>
      </c>
      <c r="D57" s="92">
        <f t="shared" ref="D57:M57" si="68">C57+D50+C64</f>
        <v>-3278305.8198829014</v>
      </c>
      <c r="E57" s="92">
        <f t="shared" si="68"/>
        <v>-3934595.9186185361</v>
      </c>
      <c r="F57" s="92">
        <f t="shared" si="68"/>
        <v>-3184406.9863916794</v>
      </c>
      <c r="G57" s="92">
        <f t="shared" si="68"/>
        <v>-3225052.3967032512</v>
      </c>
      <c r="H57" s="92">
        <f t="shared" si="68"/>
        <v>-2970962.9993442711</v>
      </c>
      <c r="I57" s="92">
        <f t="shared" si="68"/>
        <v>-3107646.3945119269</v>
      </c>
      <c r="J57" s="92">
        <f t="shared" si="68"/>
        <v>-2436127.5821677172</v>
      </c>
      <c r="K57" s="92">
        <f t="shared" si="68"/>
        <v>225756.05086476621</v>
      </c>
      <c r="L57" s="92">
        <f t="shared" si="68"/>
        <v>1781152.1744450077</v>
      </c>
      <c r="M57" s="92">
        <f t="shared" si="68"/>
        <v>2812676.8996067727</v>
      </c>
      <c r="N57" s="92">
        <f t="shared" ref="N57:W57" si="69">M57+N50+M64</f>
        <v>1769088.0135562585</v>
      </c>
      <c r="O57" s="92">
        <f>N57+O50+N64</f>
        <v>634118.24421558052</v>
      </c>
      <c r="P57" s="92">
        <f>O57+P50+O64</f>
        <v>-200670.95167944155</v>
      </c>
      <c r="Q57" s="92">
        <f t="shared" si="69"/>
        <v>-15765.891178874366</v>
      </c>
      <c r="R57" s="92">
        <f t="shared" si="69"/>
        <v>735407.64507301536</v>
      </c>
      <c r="S57" s="92">
        <f t="shared" si="69"/>
        <v>1170902.5688292575</v>
      </c>
      <c r="T57" s="92">
        <f t="shared" si="69"/>
        <v>1304865.7545338094</v>
      </c>
      <c r="U57" s="92">
        <f t="shared" si="69"/>
        <v>2225027.503622646</v>
      </c>
      <c r="V57" s="92">
        <f t="shared" si="69"/>
        <v>2231944.720731854</v>
      </c>
      <c r="W57" s="148">
        <f t="shared" si="69"/>
        <v>2938732.4655444412</v>
      </c>
      <c r="X57" s="92">
        <f t="shared" ref="X57:X61" si="70">W57+X50+W64</f>
        <v>4197704.407977662</v>
      </c>
      <c r="Y57" s="92">
        <f t="shared" ref="Y57:Y61" si="71">X57+Y50+X64</f>
        <v>4657636.5093249939</v>
      </c>
      <c r="Z57" s="92">
        <f t="shared" ref="Z57:Z61" si="72">Y57+Z50+Y64</f>
        <v>3352697.3644746831</v>
      </c>
      <c r="AA57" s="92">
        <f t="shared" ref="AA57:AA61" si="73">Z57+AA50+Z64</f>
        <v>613128.6028374224</v>
      </c>
      <c r="AB57" s="92">
        <f t="shared" ref="AB57:AB61" si="74">AA57+AB50+AA64</f>
        <v>-1528959.2224404952</v>
      </c>
      <c r="AC57" s="92">
        <f t="shared" ref="AC57:AC61" si="75">AB57+AC50+AB64</f>
        <v>-1374667.320430198</v>
      </c>
      <c r="AD57" s="92">
        <f t="shared" ref="AD57:AD61" si="76">AC57+AD50+AC64</f>
        <v>-1056127.6712013122</v>
      </c>
      <c r="AE57" s="92">
        <f t="shared" ref="AE57:AE61" si="77">AD57+AE50+AD64</f>
        <v>-1818080.8384910782</v>
      </c>
      <c r="AF57" s="92">
        <f t="shared" ref="AF57:AF61" si="78">AE57+AF50+AE64</f>
        <v>-2413824.0803274019</v>
      </c>
      <c r="AG57" s="92">
        <f t="shared" ref="AG57:AG61" si="79">AF57+AG50+AF64</f>
        <v>-4197177.7620700896</v>
      </c>
      <c r="AH57" s="92">
        <f t="shared" ref="AH57:AH61" si="80">AG57+AH50+AG64</f>
        <v>-4191472.108008597</v>
      </c>
      <c r="AI57" s="146">
        <f t="shared" ref="AI57:AI61" si="81">AH57+AI50+AH64</f>
        <v>-2757456.951512171</v>
      </c>
      <c r="AJ57" s="195">
        <f>AI57+AJ50+AI64</f>
        <v>-684227.05425049842</v>
      </c>
      <c r="AK57" s="92">
        <f>AJ57+AK50+AJ64</f>
        <v>1999142.5793232373</v>
      </c>
      <c r="AL57" s="110">
        <f>AK57+AL50+AK64</f>
        <v>-3141832.7594864774</v>
      </c>
    </row>
    <row r="58" spans="1:38" x14ac:dyDescent="0.25">
      <c r="A58" t="s">
        <v>4</v>
      </c>
      <c r="B58" s="91">
        <f>B51</f>
        <v>-60276.64818713058</v>
      </c>
      <c r="C58" s="92">
        <f t="shared" ref="C58:M61" si="82">B58+C51+B65</f>
        <v>-76373.873060747021</v>
      </c>
      <c r="D58" s="92">
        <f t="shared" si="82"/>
        <v>15446.231227424063</v>
      </c>
      <c r="E58" s="92">
        <f t="shared" si="82"/>
        <v>88987.374775810255</v>
      </c>
      <c r="F58" s="92">
        <f t="shared" si="82"/>
        <v>142771.11963585066</v>
      </c>
      <c r="G58" s="92">
        <f t="shared" si="82"/>
        <v>186746.26870321942</v>
      </c>
      <c r="H58" s="92">
        <f t="shared" si="82"/>
        <v>410156.36225867335</v>
      </c>
      <c r="I58" s="92">
        <f t="shared" si="82"/>
        <v>763580.5523306519</v>
      </c>
      <c r="J58" s="92">
        <f t="shared" si="82"/>
        <v>805705.63001518883</v>
      </c>
      <c r="K58" s="92">
        <f t="shared" si="82"/>
        <v>1133761.0481560605</v>
      </c>
      <c r="L58" s="92">
        <f t="shared" si="82"/>
        <v>1230833.0490440251</v>
      </c>
      <c r="M58" s="92">
        <f t="shared" si="82"/>
        <v>1366181.0288932219</v>
      </c>
      <c r="N58" s="92">
        <f t="shared" ref="N58:AL58" si="83">M58+N51+M65</f>
        <v>1464651.0821391628</v>
      </c>
      <c r="O58" s="92">
        <f t="shared" si="83"/>
        <v>1308732.7730958746</v>
      </c>
      <c r="P58" s="92">
        <f t="shared" si="83"/>
        <v>1284222.0503293897</v>
      </c>
      <c r="Q58" s="92">
        <f t="shared" si="83"/>
        <v>1103820.4476043677</v>
      </c>
      <c r="R58" s="92">
        <f t="shared" si="83"/>
        <v>1147006.8047350417</v>
      </c>
      <c r="S58" s="92">
        <f t="shared" si="83"/>
        <v>983651.32795727882</v>
      </c>
      <c r="T58" s="92">
        <f t="shared" si="83"/>
        <v>835270.45202214376</v>
      </c>
      <c r="U58" s="92">
        <f t="shared" si="83"/>
        <v>830352.81631768099</v>
      </c>
      <c r="V58" s="92">
        <f t="shared" si="83"/>
        <v>787009.69332157832</v>
      </c>
      <c r="W58" s="148">
        <f t="shared" si="83"/>
        <v>851580.60955627589</v>
      </c>
      <c r="X58" s="92">
        <f t="shared" si="70"/>
        <v>896363.10534823942</v>
      </c>
      <c r="Y58" s="92">
        <f t="shared" si="71"/>
        <v>890460.55169187312</v>
      </c>
      <c r="Z58" s="92">
        <f t="shared" si="72"/>
        <v>747157.01382029068</v>
      </c>
      <c r="AA58" s="92">
        <f t="shared" si="73"/>
        <v>741981.15465849976</v>
      </c>
      <c r="AB58" s="92">
        <f t="shared" si="74"/>
        <v>791668.04265034001</v>
      </c>
      <c r="AC58" s="92">
        <f t="shared" si="75"/>
        <v>946385.96530315641</v>
      </c>
      <c r="AD58" s="92">
        <f t="shared" si="76"/>
        <v>1087991.3303596438</v>
      </c>
      <c r="AE58" s="92">
        <f t="shared" si="77"/>
        <v>1182688.3994574323</v>
      </c>
      <c r="AF58" s="92">
        <f t="shared" si="78"/>
        <v>1370443.8264610467</v>
      </c>
      <c r="AG58" s="92">
        <f t="shared" si="79"/>
        <v>1460817.1203972411</v>
      </c>
      <c r="AH58" s="92">
        <f t="shared" si="80"/>
        <v>1675864.2240083916</v>
      </c>
      <c r="AI58" s="146">
        <f t="shared" si="81"/>
        <v>1951823.9427625346</v>
      </c>
      <c r="AJ58" s="195">
        <f t="shared" ref="AJ58:AJ61" si="84">AI58+AJ51+AI65</f>
        <v>2284662.6335631837</v>
      </c>
      <c r="AK58" s="92">
        <f t="shared" si="83"/>
        <v>2779307.7626720304</v>
      </c>
      <c r="AL58" s="110">
        <f t="shared" si="83"/>
        <v>2570103.348893974</v>
      </c>
    </row>
    <row r="59" spans="1:38" x14ac:dyDescent="0.25">
      <c r="A59" t="s">
        <v>5</v>
      </c>
      <c r="B59" s="91">
        <f t="shared" ref="B59:B61" si="85">B52</f>
        <v>-208513.36818713057</v>
      </c>
      <c r="C59" s="92">
        <f t="shared" si="82"/>
        <v>-256917.47505794241</v>
      </c>
      <c r="D59" s="92">
        <f t="shared" si="82"/>
        <v>-490104.85419960023</v>
      </c>
      <c r="E59" s="92">
        <f t="shared" si="82"/>
        <v>-475241.66259032243</v>
      </c>
      <c r="F59" s="92">
        <f t="shared" si="82"/>
        <v>408725.83974286023</v>
      </c>
      <c r="G59" s="92">
        <f t="shared" si="82"/>
        <v>482285.95563983254</v>
      </c>
      <c r="H59" s="92">
        <f t="shared" si="82"/>
        <v>452846.4078966034</v>
      </c>
      <c r="I59" s="92">
        <f t="shared" si="82"/>
        <v>416186.20411935856</v>
      </c>
      <c r="J59" s="92">
        <f t="shared" si="82"/>
        <v>556247.59994468908</v>
      </c>
      <c r="K59" s="92">
        <f t="shared" si="82"/>
        <v>2205225.2698085136</v>
      </c>
      <c r="L59" s="92">
        <f t="shared" si="82"/>
        <v>3665292.922947878</v>
      </c>
      <c r="M59" s="92">
        <f t="shared" si="82"/>
        <v>4422382.0814923281</v>
      </c>
      <c r="N59" s="92">
        <f t="shared" ref="N59:AL59" si="86">M59+N52+M66</f>
        <v>4630905.040807344</v>
      </c>
      <c r="O59" s="92">
        <f t="shared" si="86"/>
        <v>4535636.7040137248</v>
      </c>
      <c r="P59" s="92">
        <f t="shared" si="86"/>
        <v>4324956.193718073</v>
      </c>
      <c r="Q59" s="92">
        <f t="shared" si="86"/>
        <v>3735952.6513253921</v>
      </c>
      <c r="R59" s="92">
        <f t="shared" si="86"/>
        <v>4007517.1658569644</v>
      </c>
      <c r="S59" s="92">
        <f t="shared" si="86"/>
        <v>4135390.8823336717</v>
      </c>
      <c r="T59" s="92">
        <f t="shared" si="86"/>
        <v>4599902.0226051202</v>
      </c>
      <c r="U59" s="92">
        <f t="shared" si="86"/>
        <v>5526366.0495206323</v>
      </c>
      <c r="V59" s="92">
        <f t="shared" si="86"/>
        <v>5443865.5102252169</v>
      </c>
      <c r="W59" s="148">
        <f t="shared" si="86"/>
        <v>5877807.7536388524</v>
      </c>
      <c r="X59" s="92">
        <f t="shared" si="70"/>
        <v>6255820.2047953615</v>
      </c>
      <c r="Y59" s="92">
        <f t="shared" si="71"/>
        <v>6584788.7859607683</v>
      </c>
      <c r="Z59" s="92">
        <f t="shared" si="72"/>
        <v>6350294.0590330902</v>
      </c>
      <c r="AA59" s="92">
        <f t="shared" si="73"/>
        <v>5985555.3631623341</v>
      </c>
      <c r="AB59" s="92">
        <f t="shared" si="74"/>
        <v>5850769.7570811082</v>
      </c>
      <c r="AC59" s="92">
        <f t="shared" si="75"/>
        <v>6067436.7607293474</v>
      </c>
      <c r="AD59" s="92">
        <f t="shared" si="76"/>
        <v>6202562.6562907323</v>
      </c>
      <c r="AE59" s="92">
        <f t="shared" si="77"/>
        <v>6128687.1795201004</v>
      </c>
      <c r="AF59" s="92">
        <f t="shared" si="78"/>
        <v>6429896.1329658106</v>
      </c>
      <c r="AG59" s="92">
        <f t="shared" si="79"/>
        <v>6332048.7924594255</v>
      </c>
      <c r="AH59" s="92">
        <f t="shared" si="80"/>
        <v>6733892.6579228975</v>
      </c>
      <c r="AI59" s="146">
        <f t="shared" si="81"/>
        <v>7405606.5864014104</v>
      </c>
      <c r="AJ59" s="195">
        <f t="shared" si="84"/>
        <v>8363414.542381133</v>
      </c>
      <c r="AK59" s="92">
        <f t="shared" si="86"/>
        <v>10018214.525952045</v>
      </c>
      <c r="AL59" s="110">
        <f t="shared" si="86"/>
        <v>8786449.2670549415</v>
      </c>
    </row>
    <row r="60" spans="1:38" x14ac:dyDescent="0.25">
      <c r="A60" t="s">
        <v>6</v>
      </c>
      <c r="B60" s="91">
        <f t="shared" si="85"/>
        <v>-99017.22818713059</v>
      </c>
      <c r="C60" s="92">
        <f t="shared" si="82"/>
        <v>-294423.42199766077</v>
      </c>
      <c r="D60" s="92">
        <f t="shared" si="82"/>
        <v>-453764.23426120036</v>
      </c>
      <c r="E60" s="92">
        <f t="shared" si="82"/>
        <v>-596755.62319563818</v>
      </c>
      <c r="F60" s="92">
        <f t="shared" si="82"/>
        <v>-740741.90390666586</v>
      </c>
      <c r="G60" s="92">
        <f t="shared" si="82"/>
        <v>-579870.58057267824</v>
      </c>
      <c r="H60" s="92">
        <f t="shared" si="82"/>
        <v>37522.020698427172</v>
      </c>
      <c r="I60" s="92">
        <f t="shared" si="82"/>
        <v>91229.700056873189</v>
      </c>
      <c r="J60" s="92">
        <f t="shared" si="82"/>
        <v>103662.66851024992</v>
      </c>
      <c r="K60" s="92">
        <f t="shared" si="82"/>
        <v>500164.54216137558</v>
      </c>
      <c r="L60" s="92">
        <f t="shared" si="82"/>
        <v>404644.81311402365</v>
      </c>
      <c r="M60" s="92">
        <f t="shared" si="82"/>
        <v>789600.45479175262</v>
      </c>
      <c r="N60" s="92">
        <f t="shared" ref="N60:AL60" si="87">M60+N53+M67</f>
        <v>622560.62099929212</v>
      </c>
      <c r="O60" s="92">
        <f t="shared" si="87"/>
        <v>679123.09669273288</v>
      </c>
      <c r="P60" s="92">
        <f t="shared" si="87"/>
        <v>580252.11908454797</v>
      </c>
      <c r="Q60" s="92">
        <f t="shared" si="87"/>
        <v>324746.88242150826</v>
      </c>
      <c r="R60" s="92">
        <f t="shared" si="87"/>
        <v>444656.99350692582</v>
      </c>
      <c r="S60" s="92">
        <f t="shared" si="87"/>
        <v>846447.07123385638</v>
      </c>
      <c r="T60" s="92">
        <f t="shared" si="87"/>
        <v>850577.09107429301</v>
      </c>
      <c r="U60" s="92">
        <f t="shared" si="87"/>
        <v>759210.6613878163</v>
      </c>
      <c r="V60" s="92">
        <f t="shared" si="87"/>
        <v>1082805.5415458886</v>
      </c>
      <c r="W60" s="148">
        <f t="shared" si="87"/>
        <v>864748.10733406409</v>
      </c>
      <c r="X60" s="92">
        <f t="shared" si="70"/>
        <v>1133475.042476502</v>
      </c>
      <c r="Y60" s="92">
        <f t="shared" si="71"/>
        <v>1413112.929879026</v>
      </c>
      <c r="Z60" s="92">
        <f t="shared" si="72"/>
        <v>1466154.1747298986</v>
      </c>
      <c r="AA60" s="92">
        <f t="shared" si="73"/>
        <v>1534868.5053072774</v>
      </c>
      <c r="AB60" s="92">
        <f t="shared" si="74"/>
        <v>1707779.7451600234</v>
      </c>
      <c r="AC60" s="92">
        <f t="shared" si="75"/>
        <v>1992665.772002676</v>
      </c>
      <c r="AD60" s="92">
        <f t="shared" si="76"/>
        <v>2256584.7840537345</v>
      </c>
      <c r="AE60" s="92">
        <f t="shared" si="77"/>
        <v>2462803.1132689188</v>
      </c>
      <c r="AF60" s="92">
        <f t="shared" si="78"/>
        <v>2835050.0954748569</v>
      </c>
      <c r="AG60" s="92">
        <f t="shared" si="79"/>
        <v>3068860.0995975831</v>
      </c>
      <c r="AH60" s="92">
        <f t="shared" si="80"/>
        <v>3504054.3289850103</v>
      </c>
      <c r="AI60" s="146">
        <f t="shared" si="81"/>
        <v>4027845.9783679168</v>
      </c>
      <c r="AJ60" s="195">
        <f t="shared" si="84"/>
        <v>4672429.8059477042</v>
      </c>
      <c r="AK60" s="92">
        <f t="shared" si="87"/>
        <v>5664254.4299682751</v>
      </c>
      <c r="AL60" s="110">
        <f t="shared" si="87"/>
        <v>5365868.0596308056</v>
      </c>
    </row>
    <row r="61" spans="1:38" x14ac:dyDescent="0.25">
      <c r="A61" t="s">
        <v>7</v>
      </c>
      <c r="B61" s="91">
        <f t="shared" si="85"/>
        <v>-55951.998187130579</v>
      </c>
      <c r="C61" s="92">
        <f t="shared" si="82"/>
        <v>-198840.39497530161</v>
      </c>
      <c r="D61" s="92">
        <f t="shared" si="82"/>
        <v>-216708.49742252511</v>
      </c>
      <c r="E61" s="92">
        <f t="shared" si="82"/>
        <v>-356151.15784691914</v>
      </c>
      <c r="F61" s="92">
        <f t="shared" si="82"/>
        <v>-458390.58737026813</v>
      </c>
      <c r="G61" s="92">
        <f t="shared" si="82"/>
        <v>-603927.49081173213</v>
      </c>
      <c r="H61" s="92">
        <f t="shared" si="82"/>
        <v>-759961.55383838178</v>
      </c>
      <c r="I61" s="92">
        <f t="shared" si="82"/>
        <v>-881055.80000906426</v>
      </c>
      <c r="J61" s="92">
        <f t="shared" si="82"/>
        <v>-54804.564257059727</v>
      </c>
      <c r="K61" s="92">
        <f t="shared" si="82"/>
        <v>-171844.78923195877</v>
      </c>
      <c r="L61" s="92">
        <f t="shared" si="82"/>
        <v>-243782.30676596568</v>
      </c>
      <c r="M61" s="92">
        <f t="shared" si="82"/>
        <v>-95097.638946965162</v>
      </c>
      <c r="N61" s="92">
        <f t="shared" ref="N61:AL61" si="88">M61+N54+M68</f>
        <v>-130769.01682378903</v>
      </c>
      <c r="O61" s="92">
        <f t="shared" si="88"/>
        <v>-40582.629697846605</v>
      </c>
      <c r="P61" s="92">
        <f t="shared" si="88"/>
        <v>64979.346310293695</v>
      </c>
      <c r="Q61" s="92">
        <f t="shared" si="88"/>
        <v>1222288.8728468525</v>
      </c>
      <c r="R61" s="92">
        <f t="shared" si="88"/>
        <v>1159277.4689749065</v>
      </c>
      <c r="S61" s="92">
        <f t="shared" si="88"/>
        <v>1116686.2708528328</v>
      </c>
      <c r="T61" s="92">
        <f t="shared" si="88"/>
        <v>1108363.1495382434</v>
      </c>
      <c r="U61" s="92">
        <f t="shared" si="88"/>
        <v>1134360.4455802578</v>
      </c>
      <c r="V61" s="92">
        <f t="shared" si="88"/>
        <v>1088574.1381119261</v>
      </c>
      <c r="W61" s="148">
        <f t="shared" si="88"/>
        <v>1058439.309764703</v>
      </c>
      <c r="X61" s="92">
        <f t="shared" si="70"/>
        <v>1246674.5547844351</v>
      </c>
      <c r="Y61" s="92">
        <f t="shared" si="71"/>
        <v>1457291.9913940632</v>
      </c>
      <c r="Z61" s="92">
        <f t="shared" si="72"/>
        <v>1529620.5598014665</v>
      </c>
      <c r="AA61" s="92">
        <f t="shared" si="73"/>
        <v>1560463.930143181</v>
      </c>
      <c r="AB61" s="92">
        <f t="shared" si="74"/>
        <v>1608420.8407548456</v>
      </c>
      <c r="AC61" s="92">
        <f t="shared" si="75"/>
        <v>1714638.6708913755</v>
      </c>
      <c r="AD61" s="92">
        <f t="shared" si="76"/>
        <v>1801533.4384807064</v>
      </c>
      <c r="AE61" s="92">
        <f t="shared" si="77"/>
        <v>1842584.3473889739</v>
      </c>
      <c r="AF61" s="92">
        <f t="shared" si="78"/>
        <v>1973257.4530234651</v>
      </c>
      <c r="AG61" s="92">
        <f t="shared" si="79"/>
        <v>2026189.0161449392</v>
      </c>
      <c r="AH61" s="92">
        <f t="shared" si="80"/>
        <v>2191791.6235910901</v>
      </c>
      <c r="AI61" s="146">
        <f t="shared" si="81"/>
        <v>2418778.693111279</v>
      </c>
      <c r="AJ61" s="195">
        <f t="shared" si="84"/>
        <v>2700564.3925916473</v>
      </c>
      <c r="AK61" s="92">
        <f t="shared" si="88"/>
        <v>3196302.2636597212</v>
      </c>
      <c r="AL61" s="110">
        <f t="shared" si="88"/>
        <v>2944975.2620158759</v>
      </c>
    </row>
    <row r="62" spans="1:38" x14ac:dyDescent="0.25">
      <c r="B62" s="20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1"/>
      <c r="AJ62" s="20"/>
      <c r="AK62" s="29"/>
      <c r="AL62" s="21"/>
    </row>
    <row r="63" spans="1:38" x14ac:dyDescent="0.25">
      <c r="A63" t="s">
        <v>41</v>
      </c>
      <c r="B63" s="141">
        <v>6.5250000000000004E-3</v>
      </c>
      <c r="C63" s="142">
        <v>6.5250000000000004E-3</v>
      </c>
      <c r="D63" s="142">
        <v>6.483329999999999E-3</v>
      </c>
      <c r="E63" s="142">
        <v>6.5083299999999997E-3</v>
      </c>
      <c r="F63" s="142">
        <v>6.4916699999999997E-3</v>
      </c>
      <c r="G63" s="142">
        <v>6.4999999999999997E-3</v>
      </c>
      <c r="H63" s="142">
        <v>6.5083299999999997E-3</v>
      </c>
      <c r="I63" s="142">
        <v>6.5250000000000004E-3</v>
      </c>
      <c r="J63" s="142">
        <v>6.5416600000000004E-3</v>
      </c>
      <c r="K63" s="144">
        <v>6.3749999999999996E-3</v>
      </c>
      <c r="L63" s="189">
        <v>6.3416599999999998E-3</v>
      </c>
      <c r="M63" s="189">
        <v>6.1416700000000001E-3</v>
      </c>
      <c r="N63" s="189">
        <v>5.2833300000000001E-3</v>
      </c>
      <c r="O63" s="189">
        <f>PCR!O61</f>
        <v>3.8498083333333337E-4</v>
      </c>
      <c r="P63" s="189">
        <f>PCR!P61</f>
        <v>2.8620416666666666E-4</v>
      </c>
      <c r="Q63" s="189">
        <f>PCR!Q61</f>
        <v>2.691875E-4</v>
      </c>
      <c r="R63" s="189">
        <f>PCR!R61</f>
        <v>2.4913749999999998E-4</v>
      </c>
      <c r="S63" s="189">
        <f>PCR!S61</f>
        <v>2.5577833333333334E-4</v>
      </c>
      <c r="T63" s="189">
        <f>PCR!T61</f>
        <v>2.4873916666666668E-4</v>
      </c>
      <c r="U63" s="189">
        <f>PCR!U61</f>
        <v>2.5995083333333339E-4</v>
      </c>
      <c r="V63" s="189">
        <f>PCR!V61</f>
        <v>2.2040416666666669E-4</v>
      </c>
      <c r="W63" s="189">
        <f>PCR!W61</f>
        <v>2.2689583333333332E-4</v>
      </c>
      <c r="X63" s="189">
        <f>PCR!X61</f>
        <v>2.6736583333333331E-4</v>
      </c>
      <c r="Y63" s="189">
        <f>PCR!Y61</f>
        <v>3.3764416666666664E-4</v>
      </c>
      <c r="Z63" s="189">
        <f>PCR!Z61</f>
        <v>4.0975499999999998E-4</v>
      </c>
      <c r="AA63" s="189">
        <f>PCR!AA61</f>
        <v>3.6262916666666669E-4</v>
      </c>
      <c r="AB63" s="189">
        <f>PCR!AB61</f>
        <v>3.4233749999999997E-4</v>
      </c>
      <c r="AC63" s="189">
        <f>PCR!AC61</f>
        <v>2.512758333333333E-4</v>
      </c>
      <c r="AD63" s="189">
        <f>PCR!AD61</f>
        <v>7.1156666666666662E-5</v>
      </c>
      <c r="AE63" s="189">
        <f>PCR!AE61</f>
        <v>1.5850666666666666E-4</v>
      </c>
      <c r="AF63" s="189">
        <f>PCR!AF61</f>
        <v>3.7410250000000003E-4</v>
      </c>
      <c r="AG63" s="189">
        <f>PCR!AG61</f>
        <v>4.5024833333333326E-4</v>
      </c>
      <c r="AH63" s="189">
        <f>PCR!AH61</f>
        <v>4.5309999999999995E-4</v>
      </c>
      <c r="AI63" s="189">
        <f>PCR!AI61</f>
        <v>4.439016666666666E-4</v>
      </c>
      <c r="AJ63" s="198">
        <f>PCR!AJ61</f>
        <v>4.439016666666666E-4</v>
      </c>
      <c r="AK63" s="199">
        <f>PCR!AK61</f>
        <v>4.439016666666666E-4</v>
      </c>
      <c r="AL63" s="200">
        <f>PCR!AL61</f>
        <v>4.439016666666666E-4</v>
      </c>
    </row>
    <row r="64" spans="1:38" x14ac:dyDescent="0.25">
      <c r="A64" t="s">
        <v>0</v>
      </c>
      <c r="B64" s="91">
        <f>B57*B$63</f>
        <v>-6484.0605660658921</v>
      </c>
      <c r="C64" s="92">
        <f>C57*C$63</f>
        <v>-14258.772461580098</v>
      </c>
      <c r="D64" s="92">
        <f t="shared" ref="D64:M64" si="89">D57*D$63</f>
        <v>-21254.338471221407</v>
      </c>
      <c r="E64" s="92">
        <f t="shared" si="89"/>
        <v>-25607.648655022575</v>
      </c>
      <c r="F64" s="92">
        <f t="shared" si="89"/>
        <v>-20672.119301349274</v>
      </c>
      <c r="G64" s="92">
        <f t="shared" si="89"/>
        <v>-20962.840578571133</v>
      </c>
      <c r="H64" s="92">
        <f t="shared" si="89"/>
        <v>-19336.0076175223</v>
      </c>
      <c r="I64" s="92">
        <f t="shared" si="89"/>
        <v>-20277.392724190326</v>
      </c>
      <c r="J64" s="92">
        <f t="shared" si="89"/>
        <v>-15936.31835916327</v>
      </c>
      <c r="K64" s="92">
        <f t="shared" si="89"/>
        <v>1439.1948242628844</v>
      </c>
      <c r="L64" s="92">
        <f t="shared" si="89"/>
        <v>11295.461498590927</v>
      </c>
      <c r="M64" s="92">
        <f t="shared" si="89"/>
        <v>17274.533334007927</v>
      </c>
      <c r="N64" s="92">
        <f t="shared" ref="N64:AK64" si="90">N57*N$63</f>
        <v>9346.6757746621879</v>
      </c>
      <c r="O64" s="92">
        <f t="shared" si="90"/>
        <v>244.12337008998441</v>
      </c>
      <c r="P64" s="92">
        <f t="shared" si="90"/>
        <v>-57.4328624996215</v>
      </c>
      <c r="Q64" s="92">
        <f t="shared" si="90"/>
        <v>-4.2439808317132437</v>
      </c>
      <c r="R64" s="92">
        <f t="shared" si="90"/>
        <v>183.21762217437833</v>
      </c>
      <c r="S64" s="92">
        <f t="shared" si="90"/>
        <v>299.49150755086612</v>
      </c>
      <c r="T64" s="92">
        <f t="shared" si="90"/>
        <v>324.57122039461098</v>
      </c>
      <c r="U64" s="92">
        <f t="shared" si="90"/>
        <v>578.39775375629324</v>
      </c>
      <c r="V64" s="92">
        <f t="shared" si="90"/>
        <v>491.92991621897039</v>
      </c>
      <c r="W64" s="148">
        <f t="shared" si="90"/>
        <v>666.78615171342722</v>
      </c>
      <c r="X64" s="92">
        <f t="shared" ref="X64:AI64" si="91">X57*X$63</f>
        <v>1122.3227371259543</v>
      </c>
      <c r="Y64" s="92">
        <f t="shared" si="91"/>
        <v>1572.6237978272798</v>
      </c>
      <c r="Z64" s="92">
        <f t="shared" si="91"/>
        <v>1373.7845085803237</v>
      </c>
      <c r="AA64" s="92">
        <f t="shared" si="91"/>
        <v>222.33831430643212</v>
      </c>
      <c r="AB64" s="92">
        <f t="shared" si="91"/>
        <v>-523.42007781222298</v>
      </c>
      <c r="AC64" s="92">
        <f t="shared" si="91"/>
        <v>-345.42067649719831</v>
      </c>
      <c r="AD64" s="92">
        <f t="shared" si="91"/>
        <v>-75.150524657114701</v>
      </c>
      <c r="AE64" s="92">
        <f t="shared" si="91"/>
        <v>-288.17793343975916</v>
      </c>
      <c r="AF64" s="92">
        <f t="shared" si="91"/>
        <v>-903.01762301068197</v>
      </c>
      <c r="AG64" s="92">
        <f t="shared" si="91"/>
        <v>-1889.7722920757874</v>
      </c>
      <c r="AH64" s="92">
        <f t="shared" si="91"/>
        <v>-1899.1560121386951</v>
      </c>
      <c r="AI64" s="146">
        <f t="shared" si="91"/>
        <v>-1224.0397365378383</v>
      </c>
      <c r="AJ64" s="195">
        <f>AJ57*AJ$63</f>
        <v>-303.72952976021998</v>
      </c>
      <c r="AK64" s="92">
        <f t="shared" si="90"/>
        <v>887.42272286588377</v>
      </c>
      <c r="AL64" s="110">
        <f t="shared" ref="AL64" si="92">AL57*AL$63</f>
        <v>-1394.6647983239795</v>
      </c>
    </row>
    <row r="65" spans="1:40" x14ac:dyDescent="0.25">
      <c r="A65" t="s">
        <v>4</v>
      </c>
      <c r="B65" s="91">
        <f t="shared" ref="B65:M68" si="93">B58*B$63</f>
        <v>-393.30512942102706</v>
      </c>
      <c r="C65" s="92">
        <f t="shared" si="93"/>
        <v>-498.33952172137435</v>
      </c>
      <c r="D65" s="92">
        <f t="shared" si="93"/>
        <v>100.14301430369524</v>
      </c>
      <c r="E65" s="92">
        <f t="shared" si="93"/>
        <v>579.15920087464917</v>
      </c>
      <c r="F65" s="92">
        <f t="shared" si="93"/>
        <v>926.82299420646257</v>
      </c>
      <c r="G65" s="92">
        <f t="shared" si="93"/>
        <v>1213.8507465709263</v>
      </c>
      <c r="H65" s="92">
        <f t="shared" si="93"/>
        <v>2669.4329571789913</v>
      </c>
      <c r="I65" s="92">
        <f t="shared" si="93"/>
        <v>4982.3631039575039</v>
      </c>
      <c r="J65" s="92">
        <f t="shared" si="93"/>
        <v>5270.6522916451604</v>
      </c>
      <c r="K65" s="92">
        <f t="shared" si="93"/>
        <v>7227.7266819948854</v>
      </c>
      <c r="L65" s="92">
        <f t="shared" si="93"/>
        <v>7805.5247138005325</v>
      </c>
      <c r="M65" s="92">
        <f t="shared" si="93"/>
        <v>8390.6330397226338</v>
      </c>
      <c r="N65" s="92">
        <f t="shared" ref="N65:AK65" si="94">N58*N$63</f>
        <v>7738.2350017983035</v>
      </c>
      <c r="O65" s="92">
        <f t="shared" si="94"/>
        <v>503.83703359709409</v>
      </c>
      <c r="P65" s="92">
        <f t="shared" si="94"/>
        <v>367.54970172948106</v>
      </c>
      <c r="Q65" s="92">
        <f t="shared" si="94"/>
        <v>297.13466673950074</v>
      </c>
      <c r="R65" s="92">
        <f t="shared" si="94"/>
        <v>285.76240781467641</v>
      </c>
      <c r="S65" s="92">
        <f t="shared" si="94"/>
        <v>251.59669724603285</v>
      </c>
      <c r="T65" s="92">
        <f t="shared" si="94"/>
        <v>207.76447617727803</v>
      </c>
      <c r="U65" s="92">
        <f t="shared" si="94"/>
        <v>215.85090656246149</v>
      </c>
      <c r="V65" s="92">
        <f t="shared" si="94"/>
        <v>173.46021561513137</v>
      </c>
      <c r="W65" s="148">
        <f t="shared" si="94"/>
        <v>193.22009205577916</v>
      </c>
      <c r="X65" s="92">
        <f t="shared" ref="X65:AI65" si="95">X58*X$63</f>
        <v>239.65686863068646</v>
      </c>
      <c r="Y65" s="92">
        <f t="shared" si="95"/>
        <v>300.65881092554275</v>
      </c>
      <c r="Z65" s="92">
        <f t="shared" si="95"/>
        <v>306.15132219793321</v>
      </c>
      <c r="AA65" s="92">
        <f t="shared" si="95"/>
        <v>269.06400779618292</v>
      </c>
      <c r="AB65" s="92">
        <f t="shared" si="95"/>
        <v>271.01765855081072</v>
      </c>
      <c r="AC65" s="92">
        <f t="shared" si="95"/>
        <v>237.80392208652168</v>
      </c>
      <c r="AD65" s="92">
        <f t="shared" si="95"/>
        <v>77.417836430624376</v>
      </c>
      <c r="AE65" s="92">
        <f t="shared" si="95"/>
        <v>187.46399590333272</v>
      </c>
      <c r="AF65" s="92">
        <f t="shared" si="95"/>
        <v>512.68646158864374</v>
      </c>
      <c r="AG65" s="92">
        <f t="shared" si="95"/>
        <v>657.73047376365707</v>
      </c>
      <c r="AH65" s="92">
        <f t="shared" si="95"/>
        <v>759.33407989820216</v>
      </c>
      <c r="AI65" s="146">
        <f t="shared" si="95"/>
        <v>866.41790123219357</v>
      </c>
      <c r="AJ65" s="195">
        <f t="shared" si="94"/>
        <v>1014.1655508097531</v>
      </c>
      <c r="AK65" s="92">
        <f t="shared" si="94"/>
        <v>1233.7393480297185</v>
      </c>
      <c r="AL65" s="110">
        <f t="shared" ref="AL65" si="96">AL58*AL$63</f>
        <v>1140.8731600796164</v>
      </c>
    </row>
    <row r="66" spans="1:40" x14ac:dyDescent="0.25">
      <c r="A66" t="s">
        <v>5</v>
      </c>
      <c r="B66" s="91">
        <f t="shared" si="93"/>
        <v>-1360.549727421027</v>
      </c>
      <c r="C66" s="92">
        <f t="shared" si="93"/>
        <v>-1676.3865247530744</v>
      </c>
      <c r="D66" s="92">
        <f t="shared" si="93"/>
        <v>-3177.5115043778937</v>
      </c>
      <c r="E66" s="92">
        <f t="shared" si="93"/>
        <v>-3093.0295698864729</v>
      </c>
      <c r="F66" s="92">
        <f t="shared" si="93"/>
        <v>2653.3132720835333</v>
      </c>
      <c r="G66" s="92">
        <f t="shared" si="93"/>
        <v>3134.8587116589115</v>
      </c>
      <c r="H66" s="92">
        <f t="shared" si="93"/>
        <v>2947.2738619057009</v>
      </c>
      <c r="I66" s="92">
        <f t="shared" si="93"/>
        <v>2715.6149818788149</v>
      </c>
      <c r="J66" s="92">
        <f t="shared" si="93"/>
        <v>3638.782674654175</v>
      </c>
      <c r="K66" s="92">
        <f>K59*K$63</f>
        <v>14058.311095029274</v>
      </c>
      <c r="L66" s="92">
        <f t="shared" si="93"/>
        <v>23244.04151774164</v>
      </c>
      <c r="M66" s="92">
        <f t="shared" si="93"/>
        <v>27160.811358438987</v>
      </c>
      <c r="N66" s="92">
        <f t="shared" ref="N66:AK66" si="97">N59*N$63</f>
        <v>24466.599529248666</v>
      </c>
      <c r="O66" s="92">
        <f t="shared" si="97"/>
        <v>1746.1331980084574</v>
      </c>
      <c r="P66" s="92">
        <f t="shared" si="97"/>
        <v>1237.8204832929196</v>
      </c>
      <c r="Q66" s="92">
        <f t="shared" si="97"/>
        <v>1005.6717543286539</v>
      </c>
      <c r="R66" s="92">
        <f t="shared" si="97"/>
        <v>998.42280790868938</v>
      </c>
      <c r="S66" s="92">
        <f t="shared" si="97"/>
        <v>1057.7433875651693</v>
      </c>
      <c r="T66" s="92">
        <f t="shared" si="97"/>
        <v>1144.1757958511121</v>
      </c>
      <c r="U66" s="92">
        <f t="shared" si="97"/>
        <v>1436.58345987793</v>
      </c>
      <c r="V66" s="92">
        <f t="shared" si="97"/>
        <v>1199.8506412265972</v>
      </c>
      <c r="W66" s="148">
        <f t="shared" si="97"/>
        <v>1333.6500884350153</v>
      </c>
      <c r="X66" s="92">
        <f t="shared" ref="X66:AI66" si="98">X59*X$63</f>
        <v>1672.5925822386157</v>
      </c>
      <c r="Y66" s="92">
        <f t="shared" si="98"/>
        <v>2223.3155223117351</v>
      </c>
      <c r="Z66" s="92">
        <f t="shared" si="98"/>
        <v>2602.0647421591038</v>
      </c>
      <c r="AA66" s="92">
        <f t="shared" si="98"/>
        <v>2170.5369533807548</v>
      </c>
      <c r="AB66" s="92">
        <f t="shared" si="98"/>
        <v>2002.9378917147537</v>
      </c>
      <c r="AC66" s="92">
        <f t="shared" si="98"/>
        <v>1524.6002282495672</v>
      </c>
      <c r="AD66" s="92">
        <f t="shared" si="98"/>
        <v>441.35368341279417</v>
      </c>
      <c r="AE66" s="92">
        <f t="shared" si="98"/>
        <v>971.43777586846602</v>
      </c>
      <c r="AF66" s="92">
        <f t="shared" si="98"/>
        <v>2405.4402180828424</v>
      </c>
      <c r="AG66" s="92">
        <f t="shared" si="98"/>
        <v>2850.9944153902015</v>
      </c>
      <c r="AH66" s="92">
        <f t="shared" si="98"/>
        <v>3051.1267633048647</v>
      </c>
      <c r="AI66" s="146">
        <f t="shared" si="98"/>
        <v>3287.3611063812295</v>
      </c>
      <c r="AJ66" s="195">
        <f t="shared" si="97"/>
        <v>3712.5336543872218</v>
      </c>
      <c r="AK66" s="92">
        <f t="shared" si="97"/>
        <v>4447.1021250943222</v>
      </c>
      <c r="AL66" s="110">
        <f t="shared" ref="AL66" si="99">AL59*AL$63</f>
        <v>3900.3194737278</v>
      </c>
    </row>
    <row r="67" spans="1:40" x14ac:dyDescent="0.25">
      <c r="A67" t="s">
        <v>6</v>
      </c>
      <c r="B67" s="91">
        <f t="shared" si="93"/>
        <v>-646.08741392102718</v>
      </c>
      <c r="C67" s="92">
        <f t="shared" si="93"/>
        <v>-1921.1128285347368</v>
      </c>
      <c r="D67" s="92">
        <f t="shared" si="93"/>
        <v>-2941.9032729126675</v>
      </c>
      <c r="E67" s="92">
        <f t="shared" si="93"/>
        <v>-3883.8825251128678</v>
      </c>
      <c r="F67" s="92">
        <f t="shared" si="93"/>
        <v>-4808.6519953337856</v>
      </c>
      <c r="G67" s="92">
        <f t="shared" si="93"/>
        <v>-3769.1587737224086</v>
      </c>
      <c r="H67" s="92">
        <f t="shared" si="93"/>
        <v>244.2056929721945</v>
      </c>
      <c r="I67" s="92">
        <f t="shared" si="93"/>
        <v>595.27379287109761</v>
      </c>
      <c r="J67" s="92">
        <f t="shared" si="93"/>
        <v>678.12593208676151</v>
      </c>
      <c r="K67" s="92">
        <f t="shared" si="93"/>
        <v>3188.5489562787693</v>
      </c>
      <c r="L67" s="92">
        <f t="shared" si="93"/>
        <v>2566.119825532679</v>
      </c>
      <c r="M67" s="92">
        <f t="shared" si="93"/>
        <v>4849.4654251808633</v>
      </c>
      <c r="N67" s="92">
        <f t="shared" ref="N67:AK67" si="100">N60*N$63</f>
        <v>3289.19320574419</v>
      </c>
      <c r="O67" s="92">
        <f t="shared" si="100"/>
        <v>261.44937570068225</v>
      </c>
      <c r="P67" s="92">
        <f t="shared" si="100"/>
        <v>166.07057419916049</v>
      </c>
      <c r="Q67" s="92">
        <f t="shared" si="100"/>
        <v>87.417801411839761</v>
      </c>
      <c r="R67" s="92">
        <f t="shared" si="100"/>
        <v>110.78073171983172</v>
      </c>
      <c r="S67" s="92">
        <f t="shared" si="100"/>
        <v>216.50282113507706</v>
      </c>
      <c r="T67" s="92">
        <f t="shared" si="100"/>
        <v>211.5718368195771</v>
      </c>
      <c r="U67" s="92">
        <f t="shared" si="100"/>
        <v>197.35744410331404</v>
      </c>
      <c r="V67" s="92">
        <f t="shared" si="100"/>
        <v>238.65485304647032</v>
      </c>
      <c r="W67" s="148">
        <f t="shared" si="100"/>
        <v>196.20774243698523</v>
      </c>
      <c r="X67" s="92">
        <f t="shared" ref="X67:AI67" si="101">X60*X$63</f>
        <v>303.05249929426532</v>
      </c>
      <c r="Y67" s="92">
        <f t="shared" si="101"/>
        <v>477.12933761489546</v>
      </c>
      <c r="Z67" s="92">
        <f t="shared" si="101"/>
        <v>600.76400386644957</v>
      </c>
      <c r="AA67" s="92">
        <f t="shared" si="101"/>
        <v>556.5880870224903</v>
      </c>
      <c r="AB67" s="92">
        <f t="shared" si="101"/>
        <v>584.63704850871943</v>
      </c>
      <c r="AC67" s="92">
        <f t="shared" si="101"/>
        <v>500.70875241478234</v>
      </c>
      <c r="AD67" s="92">
        <f t="shared" si="101"/>
        <v>160.57105128398356</v>
      </c>
      <c r="AE67" s="92">
        <f t="shared" si="101"/>
        <v>390.37071214054538</v>
      </c>
      <c r="AF67" s="92">
        <f t="shared" si="101"/>
        <v>1060.5993283423827</v>
      </c>
      <c r="AG67" s="92">
        <f t="shared" si="101"/>
        <v>1381.7491450769789</v>
      </c>
      <c r="AH67" s="92">
        <f t="shared" si="101"/>
        <v>1587.687016463108</v>
      </c>
      <c r="AI67" s="146">
        <f t="shared" si="101"/>
        <v>1787.9675428741486</v>
      </c>
      <c r="AJ67" s="195">
        <f t="shared" si="100"/>
        <v>2074.0993782431956</v>
      </c>
      <c r="AK67" s="92">
        <f t="shared" si="100"/>
        <v>2514.3719818869668</v>
      </c>
      <c r="AL67" s="110">
        <f t="shared" ref="AL67" si="102">AL60*AL$63</f>
        <v>2381.917774783547</v>
      </c>
    </row>
    <row r="68" spans="1:40" ht="15.75" thickBot="1" x14ac:dyDescent="0.3">
      <c r="A68" t="s">
        <v>7</v>
      </c>
      <c r="B68" s="91">
        <f t="shared" si="93"/>
        <v>-365.08678817102702</v>
      </c>
      <c r="C68" s="92">
        <f t="shared" si="93"/>
        <v>-1297.4335772138431</v>
      </c>
      <c r="D68" s="92">
        <f t="shared" si="93"/>
        <v>-1404.9927025943796</v>
      </c>
      <c r="E68" s="92">
        <f t="shared" si="93"/>
        <v>-2317.949265149839</v>
      </c>
      <c r="F68" s="92">
        <f t="shared" si="93"/>
        <v>-2975.7204243139486</v>
      </c>
      <c r="G68" s="92">
        <f t="shared" si="93"/>
        <v>-3925.5286902762587</v>
      </c>
      <c r="H68" s="92">
        <f t="shared" si="93"/>
        <v>-4946.0805796929553</v>
      </c>
      <c r="I68" s="92">
        <f t="shared" si="93"/>
        <v>-5748.8890950591449</v>
      </c>
      <c r="J68" s="92">
        <f t="shared" si="93"/>
        <v>-358.51282581783732</v>
      </c>
      <c r="K68" s="92">
        <f t="shared" si="93"/>
        <v>-1095.5105313537372</v>
      </c>
      <c r="L68" s="92">
        <f t="shared" si="93"/>
        <v>-1545.9845035254539</v>
      </c>
      <c r="M68" s="92">
        <f t="shared" si="93"/>
        <v>-584.05831619140758</v>
      </c>
      <c r="N68" s="92">
        <f t="shared" ref="N68:AK68" si="103">N61*N$63</f>
        <v>-690.89586965562933</v>
      </c>
      <c r="O68" s="92">
        <f t="shared" si="103"/>
        <v>-15.62353459993507</v>
      </c>
      <c r="P68" s="92">
        <f t="shared" si="103"/>
        <v>18.597359661282347</v>
      </c>
      <c r="Q68" s="92">
        <f t="shared" si="103"/>
        <v>329.0248859594621</v>
      </c>
      <c r="R68" s="92">
        <f t="shared" si="103"/>
        <v>288.81949042673574</v>
      </c>
      <c r="S68" s="92">
        <f t="shared" si="103"/>
        <v>285.62415321495286</v>
      </c>
      <c r="T68" s="92">
        <f t="shared" si="103"/>
        <v>275.69332618018473</v>
      </c>
      <c r="U68" s="92">
        <f t="shared" si="103"/>
        <v>294.87794312895937</v>
      </c>
      <c r="V68" s="92">
        <f t="shared" si="103"/>
        <v>239.92627576544402</v>
      </c>
      <c r="W68" s="148">
        <f t="shared" si="103"/>
        <v>240.15546922182043</v>
      </c>
      <c r="X68" s="92">
        <f t="shared" ref="X68:AI68" si="104">X61*X$63</f>
        <v>333.31818123540279</v>
      </c>
      <c r="Y68" s="208">
        <f t="shared" si="104"/>
        <v>492.04614002425564</v>
      </c>
      <c r="Z68" s="208">
        <f t="shared" si="104"/>
        <v>626.7696724814499</v>
      </c>
      <c r="AA68" s="208">
        <f t="shared" si="104"/>
        <v>565.86973460121328</v>
      </c>
      <c r="AB68" s="208">
        <f t="shared" si="104"/>
        <v>550.62276957191193</v>
      </c>
      <c r="AC68" s="208">
        <f t="shared" si="104"/>
        <v>430.84726089378938</v>
      </c>
      <c r="AD68" s="208">
        <f t="shared" si="104"/>
        <v>128.19111437082546</v>
      </c>
      <c r="AE68" s="208">
        <f t="shared" si="104"/>
        <v>292.06190295680159</v>
      </c>
      <c r="AF68" s="208">
        <f t="shared" si="104"/>
        <v>738.20054631971095</v>
      </c>
      <c r="AG68" s="208">
        <f t="shared" si="104"/>
        <v>912.28822753756515</v>
      </c>
      <c r="AH68" s="208">
        <f t="shared" si="104"/>
        <v>993.10078464912283</v>
      </c>
      <c r="AI68" s="146">
        <f t="shared" si="104"/>
        <v>1073.6998931699184</v>
      </c>
      <c r="AJ68" s="195">
        <f t="shared" si="103"/>
        <v>1198.7850348120865</v>
      </c>
      <c r="AK68" s="92">
        <f t="shared" si="103"/>
        <v>1418.8439020089895</v>
      </c>
      <c r="AL68" s="110">
        <f t="shared" ref="AL68" si="105">AL61*AL$63</f>
        <v>1307.2794271009504</v>
      </c>
    </row>
    <row r="69" spans="1:40" ht="16.5" thickTop="1" thickBot="1" x14ac:dyDescent="0.3">
      <c r="A69" s="129" t="s">
        <v>86</v>
      </c>
      <c r="B69" s="164">
        <f>SUM(B64:B68)+SUM(B57:B61)-B72</f>
        <v>0</v>
      </c>
      <c r="C69" s="165">
        <f>SUM(C64:C68)+SUM(C57:C61)-C72</f>
        <v>0</v>
      </c>
      <c r="D69" s="165">
        <f t="shared" ref="D69:M69" si="106">SUM(D64:D68)+SUM(D57:D61)-D72</f>
        <v>0</v>
      </c>
      <c r="E69" s="165">
        <f t="shared" si="106"/>
        <v>0</v>
      </c>
      <c r="F69" s="165">
        <f t="shared" si="106"/>
        <v>0</v>
      </c>
      <c r="G69" s="165">
        <f t="shared" si="106"/>
        <v>0</v>
      </c>
      <c r="H69" s="165">
        <f t="shared" si="106"/>
        <v>0</v>
      </c>
      <c r="I69" s="165">
        <f t="shared" si="106"/>
        <v>0</v>
      </c>
      <c r="J69" s="165">
        <f t="shared" si="106"/>
        <v>0</v>
      </c>
      <c r="K69" s="165">
        <f>SUM(K64:K68)+SUM(K57:K61)-K72</f>
        <v>0</v>
      </c>
      <c r="L69" s="165">
        <f t="shared" si="106"/>
        <v>0</v>
      </c>
      <c r="M69" s="165">
        <f t="shared" si="106"/>
        <v>0</v>
      </c>
      <c r="N69" s="165">
        <f t="shared" ref="N69" si="107">SUM(N64:N68)+SUM(N57:N61)-N72</f>
        <v>0</v>
      </c>
      <c r="O69" s="165">
        <f t="shared" ref="O69" si="108">SUM(O64:O68)+SUM(O57:O61)-O72</f>
        <v>0</v>
      </c>
      <c r="P69" s="165">
        <f t="shared" ref="P69" si="109">SUM(P64:P68)+SUM(P57:P61)-P72</f>
        <v>0</v>
      </c>
      <c r="Q69" s="165">
        <f t="shared" ref="Q69" si="110">SUM(Q64:Q68)+SUM(Q57:Q61)-Q72</f>
        <v>0</v>
      </c>
      <c r="R69" s="165">
        <f t="shared" ref="R69" si="111">SUM(R64:R68)+SUM(R57:R61)-R72</f>
        <v>0</v>
      </c>
      <c r="S69" s="165">
        <f t="shared" ref="S69" si="112">SUM(S64:S68)+SUM(S57:S61)-S72</f>
        <v>0</v>
      </c>
      <c r="T69" s="165">
        <f t="shared" ref="T69" si="113">SUM(T64:T68)+SUM(T57:T61)-T72</f>
        <v>0</v>
      </c>
      <c r="U69" s="165">
        <f t="shared" ref="U69" si="114">SUM(U64:U68)+SUM(U57:U61)-U72</f>
        <v>0</v>
      </c>
      <c r="V69" s="165">
        <f t="shared" ref="V69" si="115">SUM(V64:V68)+SUM(V57:V61)-V72</f>
        <v>0</v>
      </c>
      <c r="W69" s="204">
        <f t="shared" ref="W69:AI69" si="116">SUM(W64:W68)+SUM(W57:W61)-W72</f>
        <v>0</v>
      </c>
      <c r="X69" s="202">
        <f t="shared" si="116"/>
        <v>0</v>
      </c>
      <c r="Y69" s="202">
        <f t="shared" si="116"/>
        <v>0</v>
      </c>
      <c r="Z69" s="202">
        <f t="shared" si="116"/>
        <v>0</v>
      </c>
      <c r="AA69" s="202">
        <f t="shared" si="116"/>
        <v>0</v>
      </c>
      <c r="AB69" s="202">
        <f t="shared" si="116"/>
        <v>0</v>
      </c>
      <c r="AC69" s="202">
        <f t="shared" si="116"/>
        <v>0</v>
      </c>
      <c r="AD69" s="202">
        <f t="shared" si="116"/>
        <v>0</v>
      </c>
      <c r="AE69" s="202">
        <f t="shared" si="116"/>
        <v>0</v>
      </c>
      <c r="AF69" s="202">
        <f t="shared" si="116"/>
        <v>0</v>
      </c>
      <c r="AG69" s="202">
        <f t="shared" si="116"/>
        <v>0</v>
      </c>
      <c r="AH69" s="202">
        <f t="shared" si="116"/>
        <v>0</v>
      </c>
      <c r="AI69" s="206">
        <f t="shared" si="116"/>
        <v>0</v>
      </c>
      <c r="AJ69" s="164">
        <f t="shared" ref="AJ69" si="117">SUM(AJ64:AJ68)+SUM(AJ57:AJ61)-AJ72</f>
        <v>0</v>
      </c>
      <c r="AK69" s="165">
        <f t="shared" ref="AK69" si="118">SUM(AK64:AK68)+SUM(AK57:AK61)-AK72</f>
        <v>0</v>
      </c>
      <c r="AL69" s="166">
        <f>SUM(AL64:AL68)+SUM(AL57:AL61)-AL72</f>
        <v>0</v>
      </c>
      <c r="AN69" s="131"/>
    </row>
    <row r="70" spans="1:40" s="128" customFormat="1" ht="16.5" thickTop="1" thickBot="1" x14ac:dyDescent="0.3">
      <c r="A70" s="129" t="s">
        <v>87</v>
      </c>
      <c r="B70" s="172">
        <f>SUM(B64:B68)-B47</f>
        <v>3.749999996216502E-4</v>
      </c>
      <c r="C70" s="173">
        <f t="shared" ref="C70:AK70" si="119">SUM(C64:C68)-C47</f>
        <v>-4.9138031281472649E-3</v>
      </c>
      <c r="D70" s="173">
        <f t="shared" si="119"/>
        <v>-2.9368026516749524E-3</v>
      </c>
      <c r="E70" s="173">
        <f t="shared" si="119"/>
        <v>-8.1429710553493351E-4</v>
      </c>
      <c r="F70" s="173">
        <f t="shared" si="119"/>
        <v>4.545292988041183E-3</v>
      </c>
      <c r="G70" s="173">
        <f t="shared" si="119"/>
        <v>1.4156600373098627E-3</v>
      </c>
      <c r="H70" s="173">
        <f t="shared" si="119"/>
        <v>4.3148416334588546E-3</v>
      </c>
      <c r="I70" s="173">
        <f t="shared" si="119"/>
        <v>5.9457946917973459E-5</v>
      </c>
      <c r="J70" s="173">
        <f t="shared" si="119"/>
        <v>-2.8659500912908698E-4</v>
      </c>
      <c r="K70" s="173">
        <f>SUM(K64:K68)-K47</f>
        <v>1.0262120740662795E-3</v>
      </c>
      <c r="L70" s="173">
        <f>SUM(L64:L68)-L47</f>
        <v>3.0521403168677352E-3</v>
      </c>
      <c r="M70" s="173">
        <f t="shared" si="119"/>
        <v>4.8411589959869161E-3</v>
      </c>
      <c r="N70" s="173">
        <f t="shared" si="119"/>
        <v>-2.3582022768096067E-3</v>
      </c>
      <c r="O70" s="173">
        <f t="shared" si="119"/>
        <v>-5.5720371756251552E-4</v>
      </c>
      <c r="P70" s="173">
        <f t="shared" si="119"/>
        <v>-4.7436167778869276E-3</v>
      </c>
      <c r="Q70" s="173">
        <f t="shared" si="119"/>
        <v>-4.8723922566296096E-3</v>
      </c>
      <c r="R70" s="173">
        <f t="shared" si="119"/>
        <v>3.0600443114963127E-3</v>
      </c>
      <c r="S70" s="173">
        <f t="shared" si="119"/>
        <v>-1.433287901818403E-3</v>
      </c>
      <c r="T70" s="173">
        <f t="shared" si="119"/>
        <v>-3.3445772373852378E-3</v>
      </c>
      <c r="U70" s="173">
        <f t="shared" si="119"/>
        <v>-2.4925710417846858E-3</v>
      </c>
      <c r="V70" s="173">
        <f t="shared" si="119"/>
        <v>1.9018726134163444E-3</v>
      </c>
      <c r="W70" s="205">
        <f t="shared" si="119"/>
        <v>-4.5613697238877648E-4</v>
      </c>
      <c r="X70" s="203">
        <f t="shared" ref="X70:AI70" si="120">SUM(X64:X68)-X47</f>
        <v>2.8685249244517763E-3</v>
      </c>
      <c r="Y70" s="203">
        <f t="shared" si="120"/>
        <v>3.608703707868699E-3</v>
      </c>
      <c r="Z70" s="203">
        <f t="shared" si="120"/>
        <v>4.2492852599025355E-3</v>
      </c>
      <c r="AA70" s="203">
        <f t="shared" si="120"/>
        <v>-2.9028929270680237E-3</v>
      </c>
      <c r="AB70" s="203">
        <f t="shared" si="120"/>
        <v>-4.7094660276343348E-3</v>
      </c>
      <c r="AC70" s="203">
        <f t="shared" si="120"/>
        <v>-5.1285253766764072E-4</v>
      </c>
      <c r="AD70" s="203">
        <f t="shared" si="120"/>
        <v>3.1608411128445368E-3</v>
      </c>
      <c r="AE70" s="203">
        <f t="shared" si="120"/>
        <v>-3.5465706134800712E-3</v>
      </c>
      <c r="AF70" s="203">
        <f t="shared" si="120"/>
        <v>-1.0686771020118613E-3</v>
      </c>
      <c r="AG70" s="203">
        <f t="shared" si="120"/>
        <v>-3.0307384804473259E-5</v>
      </c>
      <c r="AH70" s="203">
        <f t="shared" si="120"/>
        <v>2.6321766026740079E-3</v>
      </c>
      <c r="AI70" s="207">
        <f t="shared" si="120"/>
        <v>-3.2928803484537639E-3</v>
      </c>
      <c r="AJ70" s="172">
        <f>SUM(AJ64:AJ68)-AJ47</f>
        <v>-2.5080189516302198E-6</v>
      </c>
      <c r="AK70" s="173">
        <f t="shared" si="119"/>
        <v>-2.5091321731451899E-6</v>
      </c>
      <c r="AL70" s="186">
        <f>SUM(AL64:AL68)-AL47</f>
        <v>-2.5102444851654582E-6</v>
      </c>
    </row>
    <row r="71" spans="1:40" ht="15.75" thickTop="1" x14ac:dyDescent="0.25">
      <c r="B71" s="20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1"/>
      <c r="AJ71" s="20"/>
      <c r="AK71" s="29"/>
      <c r="AL71" s="21"/>
    </row>
    <row r="72" spans="1:40" x14ac:dyDescent="0.25">
      <c r="A72" t="s">
        <v>46</v>
      </c>
      <c r="B72" s="91">
        <f>(B19-SUM(B22:B26))+SUM(B64:B68)+A74</f>
        <v>-1426734.089625</v>
      </c>
      <c r="C72" s="92">
        <f>(C19-SUM(C22:C26))+SUM(C64:C68)+B72</f>
        <v>-3031459.6945388033</v>
      </c>
      <c r="D72" s="92">
        <f t="shared" ref="D72:AK72" si="121">(D19-SUM(D22:D26))+SUM(D64:D68)+C72</f>
        <v>-4452115.7774756057</v>
      </c>
      <c r="E72" s="92">
        <f t="shared" si="121"/>
        <v>-5308080.3382899035</v>
      </c>
      <c r="F72" s="92">
        <f t="shared" si="121"/>
        <v>-3856918.8737446107</v>
      </c>
      <c r="G72" s="92">
        <f t="shared" si="121"/>
        <v>-3764127.062328951</v>
      </c>
      <c r="H72" s="92">
        <f t="shared" si="121"/>
        <v>-2848820.9380141087</v>
      </c>
      <c r="I72" s="92">
        <f t="shared" si="121"/>
        <v>-2735438.7679546503</v>
      </c>
      <c r="J72" s="92">
        <f t="shared" si="121"/>
        <v>-1032023.5182412448</v>
      </c>
      <c r="K72" s="92">
        <f t="shared" si="121"/>
        <v>3917880.3927849676</v>
      </c>
      <c r="L72" s="92">
        <f t="shared" si="121"/>
        <v>6881505.8158371076</v>
      </c>
      <c r="M72" s="92">
        <f t="shared" si="121"/>
        <v>9352834.2106782682</v>
      </c>
      <c r="N72" s="92">
        <f t="shared" si="121"/>
        <v>8400585.5483200662</v>
      </c>
      <c r="O72" s="92">
        <f t="shared" si="121"/>
        <v>7119768.107762862</v>
      </c>
      <c r="P72" s="92">
        <f t="shared" si="121"/>
        <v>6055471.3630192447</v>
      </c>
      <c r="Q72" s="92">
        <f t="shared" si="121"/>
        <v>6372757.9681468522</v>
      </c>
      <c r="R72" s="92">
        <f t="shared" si="121"/>
        <v>7495733.0812068963</v>
      </c>
      <c r="S72" s="92">
        <f t="shared" si="121"/>
        <v>8255189.0797736086</v>
      </c>
      <c r="T72" s="92">
        <f t="shared" si="121"/>
        <v>8701142.2464290317</v>
      </c>
      <c r="U72" s="92">
        <f t="shared" si="121"/>
        <v>10478040.543936461</v>
      </c>
      <c r="V72" s="92">
        <f t="shared" si="121"/>
        <v>10636543.425838333</v>
      </c>
      <c r="W72" s="148">
        <f t="shared" si="121"/>
        <v>11593938.265382195</v>
      </c>
      <c r="X72" s="201">
        <f t="shared" ref="X72" si="122">(X19-SUM(X22:X26))+SUM(X64:X68)+W72</f>
        <v>13733708.258250721</v>
      </c>
      <c r="Y72" s="201">
        <f t="shared" ref="Y72" si="123">(Y19-SUM(Y22:Y26))+SUM(Y64:Y68)+X72</f>
        <v>15008356.541859424</v>
      </c>
      <c r="Z72" s="201">
        <f t="shared" ref="Z72" si="124">(Z19-SUM(Z22:Z26))+SUM(Z64:Z68)+Y72</f>
        <v>13451432.706108708</v>
      </c>
      <c r="AA72" s="201">
        <f t="shared" ref="AA72" si="125">(AA19-SUM(AA22:AA26))+SUM(AA64:AA68)+Z72</f>
        <v>10439781.953205816</v>
      </c>
      <c r="AB72" s="201">
        <f t="shared" ref="AB72" si="126">(AB19-SUM(AB22:AB26))+SUM(AB64:AB68)+AA72</f>
        <v>8432564.9584963508</v>
      </c>
      <c r="AC72" s="201">
        <f t="shared" ref="AC72" si="127">(AC19-SUM(AC22:AC26))+SUM(AC64:AC68)+AB72</f>
        <v>9348808.3879834972</v>
      </c>
      <c r="AD72" s="201">
        <f t="shared" ref="AD72" si="128">(AD19-SUM(AD22:AD26))+SUM(AD64:AD68)+AC72</f>
        <v>10293276.921144338</v>
      </c>
      <c r="AE72" s="201">
        <f t="shared" ref="AE72" si="129">(AE19-SUM(AE22:AE26))+SUM(AE64:AE68)+AD72</f>
        <v>9800235.3575977683</v>
      </c>
      <c r="AF72" s="201">
        <f t="shared" ref="AF72" si="130">(AF19-SUM(AF22:AF26))+SUM(AF64:AF68)+AE72</f>
        <v>10198637.336529091</v>
      </c>
      <c r="AG72" s="201">
        <f t="shared" ref="AG72" si="131">(AG19-SUM(AG22:AG26))+SUM(AG64:AG68)+AF72</f>
        <v>8694650.256498782</v>
      </c>
      <c r="AH72" s="201">
        <f t="shared" ref="AH72" si="132">(AH19-SUM(AH22:AH26))+SUM(AH64:AH68)+AG72</f>
        <v>9918622.819130959</v>
      </c>
      <c r="AI72" s="146">
        <f t="shared" ref="AI72" si="133">(AI19-SUM(AI22:AI26))+SUM(AI64:AI68)+AH72</f>
        <v>13052389.65583808</v>
      </c>
      <c r="AJ72" s="91">
        <f>(AJ19-SUM(AJ22:AJ26))+SUM(AJ64:AJ68)+AI72</f>
        <v>17344540.174321651</v>
      </c>
      <c r="AK72" s="92">
        <f t="shared" si="121"/>
        <v>23667723.041655183</v>
      </c>
      <c r="AL72" s="110">
        <f>(AL19-SUM(AL22:AL26))+SUM(AL64:AL68)+AK72</f>
        <v>16532898.903146474</v>
      </c>
    </row>
    <row r="73" spans="1:40" x14ac:dyDescent="0.25">
      <c r="A73" t="s">
        <v>47</v>
      </c>
      <c r="B73" s="20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1"/>
      <c r="AJ73" s="20"/>
      <c r="AK73" s="29"/>
      <c r="AL73" s="21"/>
    </row>
    <row r="74" spans="1:40" ht="15.75" thickBot="1" x14ac:dyDescent="0.3">
      <c r="A74" s="120">
        <v>0</v>
      </c>
      <c r="B74" s="187"/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4"/>
      <c r="AD74" s="174"/>
      <c r="AE74" s="174"/>
      <c r="AF74" s="174"/>
      <c r="AG74" s="174"/>
      <c r="AH74" s="174"/>
      <c r="AI74" s="169"/>
      <c r="AJ74" s="187"/>
      <c r="AK74" s="174"/>
      <c r="AL74" s="169"/>
    </row>
    <row r="76" spans="1:40" s="97" customFormat="1" x14ac:dyDescent="0.25">
      <c r="B76" s="114"/>
      <c r="C76" s="114"/>
      <c r="D76" s="114"/>
      <c r="E76" s="114"/>
      <c r="F76" s="114"/>
      <c r="G76" s="114"/>
      <c r="H76" s="210"/>
      <c r="I76" s="114"/>
      <c r="J76" s="114"/>
      <c r="K76" s="114"/>
      <c r="L76" s="235"/>
      <c r="M76" s="235"/>
      <c r="N76" s="235"/>
      <c r="O76" s="114"/>
      <c r="Q76" s="235"/>
      <c r="R76" s="235"/>
      <c r="T76" s="235"/>
      <c r="U76" s="235"/>
    </row>
    <row r="77" spans="1:40" s="97" customFormat="1" x14ac:dyDescent="0.25">
      <c r="B77" s="114"/>
      <c r="C77" s="114"/>
      <c r="D77" s="114"/>
      <c r="E77" s="114"/>
      <c r="F77" s="114"/>
      <c r="G77" s="114"/>
      <c r="H77" s="114"/>
      <c r="I77" s="114"/>
      <c r="J77" s="114"/>
      <c r="P77" s="235"/>
      <c r="S77" s="235"/>
      <c r="V77" s="235"/>
      <c r="W77" s="114"/>
      <c r="X77" s="114"/>
      <c r="Y77" s="210"/>
      <c r="Z77" s="210"/>
      <c r="AA77" s="210"/>
      <c r="AB77" s="210"/>
      <c r="AC77" s="210"/>
      <c r="AD77" s="210"/>
      <c r="AE77" s="210"/>
      <c r="AF77" s="210"/>
      <c r="AG77" s="210"/>
      <c r="AH77" s="210"/>
      <c r="AI77" s="210"/>
      <c r="AJ77" s="236"/>
      <c r="AK77" s="236"/>
      <c r="AL77" s="236"/>
    </row>
    <row r="78" spans="1:40" s="97" customFormat="1" x14ac:dyDescent="0.25">
      <c r="C78" s="234"/>
      <c r="D78" s="234"/>
      <c r="E78" s="234"/>
      <c r="F78" s="234"/>
      <c r="G78" s="234"/>
      <c r="H78" s="234"/>
      <c r="S78" s="235"/>
    </row>
    <row r="79" spans="1:40" s="97" customFormat="1" x14ac:dyDescent="0.25">
      <c r="B79" s="176"/>
      <c r="C79" s="176"/>
      <c r="D79" s="176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176"/>
      <c r="W79" s="176"/>
      <c r="X79" s="176"/>
      <c r="Y79" s="176"/>
      <c r="Z79" s="176"/>
      <c r="AA79" s="176"/>
      <c r="AB79" s="176"/>
      <c r="AC79" s="176"/>
      <c r="AD79" s="176"/>
      <c r="AE79" s="176"/>
      <c r="AF79" s="176"/>
      <c r="AG79" s="176"/>
      <c r="AH79" s="176"/>
      <c r="AI79" s="176"/>
      <c r="AJ79" s="176"/>
      <c r="AK79" s="176"/>
      <c r="AL79" s="176"/>
    </row>
    <row r="80" spans="1:40" s="97" customFormat="1" x14ac:dyDescent="0.25">
      <c r="K80" s="236"/>
    </row>
    <row r="81" spans="1:37" x14ac:dyDescent="0.25">
      <c r="A81" s="131"/>
      <c r="B81" s="131"/>
      <c r="C81" s="131"/>
      <c r="D81" s="131"/>
      <c r="E81" s="131"/>
      <c r="F81" s="131"/>
      <c r="G81" s="131"/>
      <c r="H81" s="131"/>
      <c r="I81" s="131"/>
      <c r="J81" s="131"/>
      <c r="K81" s="131"/>
    </row>
    <row r="82" spans="1:37" x14ac:dyDescent="0.25"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0"/>
      <c r="AD82" s="90"/>
      <c r="AE82" s="90"/>
      <c r="AF82" s="90"/>
      <c r="AG82" s="90"/>
      <c r="AH82" s="90"/>
      <c r="AI82" s="90"/>
      <c r="AJ82" s="90"/>
      <c r="AK82" s="90"/>
    </row>
    <row r="83" spans="1:37" x14ac:dyDescent="0.25">
      <c r="B83" s="8"/>
      <c r="C83" s="8"/>
      <c r="D83" s="8"/>
      <c r="E83" s="8"/>
      <c r="F83" s="8"/>
      <c r="G83" s="8"/>
      <c r="H83" s="8"/>
    </row>
    <row r="87" spans="1:37" x14ac:dyDescent="0.25">
      <c r="C87" s="8"/>
      <c r="D87" s="8"/>
      <c r="E87" s="8"/>
      <c r="F87" s="8"/>
      <c r="G87" s="8"/>
      <c r="H87" s="8"/>
    </row>
  </sheetData>
  <mergeCells count="1">
    <mergeCell ref="AJ17:AL17"/>
  </mergeCells>
  <pageMargins left="0.7" right="0.7" top="0.75" bottom="0.75" header="0.3" footer="0.3"/>
  <pageSetup orientation="portrait" r:id="rId1"/>
  <headerFooter>
    <oddHeader>&amp;RSCHEDULE WRD-2</oddHeader>
  </headerFooter>
  <ignoredErrors>
    <ignoredError sqref="B42:B44 B65:N68" evalError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view="pageLayout" zoomScaleNormal="100" workbookViewId="0">
      <selection activeCell="I23" sqref="I23"/>
    </sheetView>
  </sheetViews>
  <sheetFormatPr defaultRowHeight="15" x14ac:dyDescent="0.25"/>
  <sheetData/>
  <pageMargins left="0.7" right="0.7" top="0.75" bottom="0.75" header="0.3" footer="0.3"/>
  <pageSetup orientation="portrait" r:id="rId1"/>
  <headerFooter>
    <oddHeader>&amp;RSCHEDULE WRD-2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view="pageLayout" zoomScaleNormal="100" workbookViewId="0">
      <selection activeCell="I23" sqref="I23"/>
    </sheetView>
  </sheetViews>
  <sheetFormatPr defaultRowHeight="15" x14ac:dyDescent="0.25"/>
  <sheetData/>
  <pageMargins left="0.7" right="0.7" top="0.75" bottom="0.75" header="0.3" footer="0.3"/>
  <pageSetup orientation="portrait" r:id="rId1"/>
  <headerFooter>
    <oddHeader>&amp;RSCHEDULE WRD-2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view="pageLayout" zoomScaleNormal="100" workbookViewId="0">
      <selection activeCell="I23" sqref="I23"/>
    </sheetView>
  </sheetViews>
  <sheetFormatPr defaultRowHeight="15" x14ac:dyDescent="0.25"/>
  <sheetData/>
  <pageMargins left="0.7" right="0.7" top="0.75" bottom="0.75" header="0.3" footer="0.3"/>
  <pageSetup orientation="portrait" r:id="rId1"/>
  <headerFooter>
    <oddHeader>&amp;RSCHEDULE WRD-2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6"/>
  <sheetViews>
    <sheetView tabSelected="1" view="pageLayout" topLeftCell="A16" zoomScaleNormal="100" workbookViewId="0">
      <selection activeCell="I23" sqref="I23"/>
    </sheetView>
  </sheetViews>
  <sheetFormatPr defaultRowHeight="15" x14ac:dyDescent="0.25"/>
  <cols>
    <col min="3" max="3" width="16.5703125" customWidth="1"/>
    <col min="4" max="4" width="15.5703125" customWidth="1"/>
    <col min="6" max="6" width="17.28515625" bestFit="1" customWidth="1"/>
    <col min="7" max="7" width="17.140625" customWidth="1"/>
    <col min="8" max="8" width="13.7109375" bestFit="1" customWidth="1"/>
    <col min="9" max="9" width="12.28515625" customWidth="1"/>
    <col min="10" max="11" width="13.42578125" customWidth="1"/>
    <col min="13" max="13" width="11" bestFit="1" customWidth="1"/>
    <col min="14" max="14" width="15.28515625" bestFit="1" customWidth="1"/>
    <col min="15" max="15" width="11" bestFit="1" customWidth="1"/>
  </cols>
  <sheetData>
    <row r="2" spans="2:22" ht="15.75" thickBot="1" x14ac:dyDescent="0.3">
      <c r="I2" s="244" t="s">
        <v>49</v>
      </c>
      <c r="J2" s="244"/>
      <c r="M2" t="s">
        <v>111</v>
      </c>
    </row>
    <row r="3" spans="2:22" ht="27.75" thickBot="1" x14ac:dyDescent="0.3">
      <c r="B3" s="10" t="s">
        <v>19</v>
      </c>
      <c r="C3" s="11" t="s">
        <v>88</v>
      </c>
      <c r="D3" s="11" t="s">
        <v>89</v>
      </c>
      <c r="E3" s="11" t="s">
        <v>90</v>
      </c>
      <c r="F3" s="11" t="s">
        <v>91</v>
      </c>
      <c r="G3" s="11" t="s">
        <v>21</v>
      </c>
      <c r="H3" s="12" t="s">
        <v>22</v>
      </c>
      <c r="J3" s="88" t="s">
        <v>50</v>
      </c>
      <c r="K3" s="88" t="s">
        <v>51</v>
      </c>
      <c r="M3" t="s">
        <v>88</v>
      </c>
      <c r="N3" t="s">
        <v>89</v>
      </c>
      <c r="O3" t="s">
        <v>13</v>
      </c>
    </row>
    <row r="4" spans="2:22" ht="15.75" thickBot="1" x14ac:dyDescent="0.3">
      <c r="B4" s="13" t="s">
        <v>23</v>
      </c>
      <c r="C4" s="14">
        <f>C16+C26</f>
        <v>-10228792.81151527</v>
      </c>
      <c r="D4" s="15">
        <f>D16+D26</f>
        <v>-3143227.4242847767</v>
      </c>
      <c r="E4" s="16">
        <v>0</v>
      </c>
      <c r="F4" s="16"/>
      <c r="G4" s="225">
        <f>PPC!B15</f>
        <v>12678735845.88699</v>
      </c>
      <c r="H4" s="112">
        <f>SUM(C4:E4)/G4</f>
        <v>-1.0546808765747699E-3</v>
      </c>
      <c r="J4" s="112">
        <f>(C16+C26)/G4</f>
        <v>-8.067675623065775E-4</v>
      </c>
      <c r="K4" s="112">
        <f>(D16+D26)/G4</f>
        <v>-2.4791331426819236E-4</v>
      </c>
      <c r="L4" s="35">
        <f>J4+K4-H4</f>
        <v>0</v>
      </c>
      <c r="M4" s="232">
        <f t="shared" ref="M4:N8" si="0">ROUND(J4,6)</f>
        <v>-8.0699999999999999E-4</v>
      </c>
      <c r="N4" s="232">
        <f t="shared" si="0"/>
        <v>-2.4800000000000001E-4</v>
      </c>
      <c r="O4" s="232">
        <f>SUM(M4:N4)</f>
        <v>-1.0549999999999999E-3</v>
      </c>
      <c r="Q4" s="227"/>
      <c r="T4" s="228"/>
      <c r="V4" s="229"/>
    </row>
    <row r="5" spans="2:22" ht="15.75" thickBot="1" x14ac:dyDescent="0.3">
      <c r="B5" s="13" t="s">
        <v>24</v>
      </c>
      <c r="C5" s="14">
        <f t="shared" ref="C5:D9" si="1">C17+C27</f>
        <v>-705921.47040169465</v>
      </c>
      <c r="D5" s="15">
        <f>D17+D27</f>
        <v>2571244.2220540508</v>
      </c>
      <c r="E5" s="16">
        <v>0</v>
      </c>
      <c r="F5" s="16"/>
      <c r="G5" s="17">
        <f>PPC!B5</f>
        <v>3396051760.52248</v>
      </c>
      <c r="H5" s="112">
        <f>SUM(C5:E5)/G5</f>
        <v>5.4926216771365634E-4</v>
      </c>
      <c r="J5" s="112">
        <f>(C17+C27)/G5</f>
        <v>-2.0786534487127168E-4</v>
      </c>
      <c r="K5" s="112">
        <f>(D17+D27)/G5</f>
        <v>7.5712751258492797E-4</v>
      </c>
      <c r="L5" s="35">
        <f t="shared" ref="L5:L8" si="2">J5+K5-H5</f>
        <v>0</v>
      </c>
      <c r="M5" s="232">
        <f t="shared" si="0"/>
        <v>-2.0799999999999999E-4</v>
      </c>
      <c r="N5" s="232">
        <f t="shared" si="0"/>
        <v>7.5699999999999997E-4</v>
      </c>
      <c r="O5" s="232">
        <f>SUM(M5:N5)</f>
        <v>5.4900000000000001E-4</v>
      </c>
      <c r="Q5" s="227"/>
      <c r="S5" s="131"/>
      <c r="T5" s="228"/>
    </row>
    <row r="6" spans="2:22" ht="15.75" thickBot="1" x14ac:dyDescent="0.3">
      <c r="B6" s="13" t="s">
        <v>25</v>
      </c>
      <c r="C6" s="14">
        <f t="shared" si="1"/>
        <v>-1378116.7960023778</v>
      </c>
      <c r="D6" s="15">
        <f t="shared" si="1"/>
        <v>8790349.5865286645</v>
      </c>
      <c r="E6" s="16">
        <v>0</v>
      </c>
      <c r="F6" s="16"/>
      <c r="G6" s="17">
        <f>PPC!B6</f>
        <v>7907123573.1217804</v>
      </c>
      <c r="H6" s="112">
        <f>SUM(C6:E6)/G6</f>
        <v>9.3741203384278111E-4</v>
      </c>
      <c r="J6" s="112">
        <f>(C18+C28)/G6</f>
        <v>-1.7428800539894546E-4</v>
      </c>
      <c r="K6" s="112">
        <f>(D18+D28)/G6</f>
        <v>1.1117000392417266E-3</v>
      </c>
      <c r="L6" s="35">
        <f t="shared" si="2"/>
        <v>0</v>
      </c>
      <c r="M6" s="232">
        <f t="shared" si="0"/>
        <v>-1.74E-4</v>
      </c>
      <c r="N6" s="232">
        <f t="shared" si="0"/>
        <v>1.1119999999999999E-3</v>
      </c>
      <c r="O6" s="232">
        <f>SUM(M6:N6)</f>
        <v>9.3799999999999992E-4</v>
      </c>
    </row>
    <row r="7" spans="2:22" ht="15.75" thickBot="1" x14ac:dyDescent="0.3">
      <c r="B7" s="13" t="s">
        <v>26</v>
      </c>
      <c r="C7" s="14">
        <f t="shared" si="1"/>
        <v>-496711.58078663453</v>
      </c>
      <c r="D7" s="15">
        <f t="shared" si="1"/>
        <v>5368249.9774055919</v>
      </c>
      <c r="E7" s="16">
        <v>0</v>
      </c>
      <c r="F7" s="16"/>
      <c r="G7" s="17">
        <f>PPC!B7</f>
        <v>3360750217.86868</v>
      </c>
      <c r="H7" s="112">
        <f>SUM(C7:E7)/G7</f>
        <v>1.4495389662455751E-3</v>
      </c>
      <c r="J7" s="112">
        <f>(C19+C29)/G7</f>
        <v>-1.4779782744509914E-4</v>
      </c>
      <c r="K7" s="112">
        <f>(D19+D29)/G7</f>
        <v>1.5973367936906741E-3</v>
      </c>
      <c r="L7" s="35">
        <f t="shared" si="2"/>
        <v>0</v>
      </c>
      <c r="M7" s="232">
        <f t="shared" si="0"/>
        <v>-1.4799999999999999E-4</v>
      </c>
      <c r="N7" s="232">
        <f t="shared" si="0"/>
        <v>1.5969999999999999E-3</v>
      </c>
      <c r="O7" s="232">
        <f>SUM(M7:N7)</f>
        <v>1.449E-3</v>
      </c>
    </row>
    <row r="8" spans="2:22" ht="15.75" thickBot="1" x14ac:dyDescent="0.3">
      <c r="B8" s="13" t="s">
        <v>27</v>
      </c>
      <c r="C8" s="14">
        <f t="shared" si="1"/>
        <v>-175109.99025631044</v>
      </c>
      <c r="D8" s="15">
        <f t="shared" si="1"/>
        <v>2946282.5414429782</v>
      </c>
      <c r="E8" s="16">
        <v>0</v>
      </c>
      <c r="F8" s="16"/>
      <c r="G8" s="17">
        <f>PPC!B8</f>
        <v>1958802441.01524</v>
      </c>
      <c r="H8" s="112">
        <f>SUM(C8:E8)/G8</f>
        <v>1.4147279445651392E-3</v>
      </c>
      <c r="J8" s="112">
        <f>(C20+C30)/G8</f>
        <v>-8.9396452949870532E-5</v>
      </c>
      <c r="K8" s="112">
        <f>(D20+D30)/G8</f>
        <v>1.5041243975150098E-3</v>
      </c>
      <c r="L8" s="35">
        <f t="shared" si="2"/>
        <v>0</v>
      </c>
      <c r="M8" s="232">
        <f t="shared" si="0"/>
        <v>-8.8999999999999995E-5</v>
      </c>
      <c r="N8" s="232">
        <f t="shared" si="0"/>
        <v>1.5039999999999999E-3</v>
      </c>
      <c r="O8" s="232">
        <f>SUM(M8:N8)</f>
        <v>1.415E-3</v>
      </c>
    </row>
    <row r="9" spans="2:22" ht="15.75" thickBot="1" x14ac:dyDescent="0.3">
      <c r="B9" s="13" t="s">
        <v>28</v>
      </c>
      <c r="C9" s="14">
        <f t="shared" si="1"/>
        <v>0</v>
      </c>
      <c r="D9" s="15">
        <f t="shared" si="1"/>
        <v>0</v>
      </c>
      <c r="E9" s="16">
        <v>0</v>
      </c>
      <c r="F9" s="16"/>
      <c r="G9" s="17">
        <v>0</v>
      </c>
      <c r="H9" s="112">
        <v>0</v>
      </c>
    </row>
    <row r="14" spans="2:22" ht="15.75" thickBot="1" x14ac:dyDescent="0.3"/>
    <row r="15" spans="2:22" ht="27.75" thickBot="1" x14ac:dyDescent="0.3">
      <c r="B15" s="10" t="s">
        <v>19</v>
      </c>
      <c r="C15" s="11" t="s">
        <v>29</v>
      </c>
      <c r="D15" s="11" t="s">
        <v>30</v>
      </c>
      <c r="E15" s="11" t="s">
        <v>81</v>
      </c>
      <c r="F15" s="11" t="s">
        <v>20</v>
      </c>
      <c r="I15" s="231" t="s">
        <v>13</v>
      </c>
    </row>
    <row r="16" spans="2:22" ht="15.75" thickBot="1" x14ac:dyDescent="0.3">
      <c r="B16" s="13" t="s">
        <v>23</v>
      </c>
      <c r="C16" s="16">
        <f>PPC!C4</f>
        <v>56768.304608687155</v>
      </c>
      <c r="D16" s="16">
        <f>PTD!C4</f>
        <v>0</v>
      </c>
      <c r="E16" s="16">
        <v>0</v>
      </c>
      <c r="F16" s="14">
        <f>SUM(C16:E16)</f>
        <v>56768.304608687155</v>
      </c>
      <c r="I16" s="38">
        <f>SUM(C4:F4)</f>
        <v>-13372020.235800046</v>
      </c>
    </row>
    <row r="17" spans="2:9" ht="15.75" thickBot="1" x14ac:dyDescent="0.3">
      <c r="B17" s="13" t="s">
        <v>24</v>
      </c>
      <c r="C17" s="16">
        <f>PPC!C5</f>
        <v>129166.01674267217</v>
      </c>
      <c r="D17" s="16">
        <f>PTD!C5</f>
        <v>0</v>
      </c>
      <c r="E17" s="16">
        <v>0</v>
      </c>
      <c r="F17" s="14">
        <f t="shared" ref="F17:F21" si="3">SUM(C17:E17)</f>
        <v>129166.01674267217</v>
      </c>
      <c r="I17" s="38">
        <f t="shared" ref="I17:I21" si="4">SUM(C5:F5)</f>
        <v>1865322.7516523562</v>
      </c>
    </row>
    <row r="18" spans="2:9" ht="15.75" thickBot="1" x14ac:dyDescent="0.3">
      <c r="B18" s="13" t="s">
        <v>25</v>
      </c>
      <c r="C18" s="16">
        <f>PPC!C6</f>
        <v>300740.89791702549</v>
      </c>
      <c r="D18" s="16">
        <f>PTD!C6</f>
        <v>0</v>
      </c>
      <c r="E18" s="16">
        <v>0</v>
      </c>
      <c r="F18" s="14">
        <f t="shared" si="3"/>
        <v>300740.89791702549</v>
      </c>
      <c r="I18" s="38">
        <f t="shared" si="4"/>
        <v>7412232.7905262867</v>
      </c>
    </row>
    <row r="19" spans="2:9" ht="15.75" thickBot="1" x14ac:dyDescent="0.3">
      <c r="B19" s="13" t="s">
        <v>26</v>
      </c>
      <c r="C19" s="16">
        <f>PPC!C7</f>
        <v>127823.35179790662</v>
      </c>
      <c r="D19" s="16">
        <f>PTD!C7</f>
        <v>0</v>
      </c>
      <c r="E19" s="16">
        <v>0</v>
      </c>
      <c r="F19" s="14">
        <f t="shared" si="3"/>
        <v>127823.35179790662</v>
      </c>
      <c r="I19" s="38">
        <f t="shared" si="4"/>
        <v>4871538.3966189576</v>
      </c>
    </row>
    <row r="20" spans="2:9" ht="15.75" thickBot="1" x14ac:dyDescent="0.3">
      <c r="B20" s="13" t="s">
        <v>27</v>
      </c>
      <c r="C20" s="16">
        <f>PPC!C8</f>
        <v>74501.428933708623</v>
      </c>
      <c r="D20" s="16">
        <f>PTD!C8</f>
        <v>0</v>
      </c>
      <c r="E20" s="16">
        <v>0</v>
      </c>
      <c r="F20" s="14">
        <f t="shared" si="3"/>
        <v>74501.428933708623</v>
      </c>
      <c r="I20" s="38">
        <f t="shared" si="4"/>
        <v>2771172.5511866678</v>
      </c>
    </row>
    <row r="21" spans="2:9" ht="15.75" thickBot="1" x14ac:dyDescent="0.3">
      <c r="B21" s="13" t="s">
        <v>28</v>
      </c>
      <c r="C21" s="18">
        <v>0</v>
      </c>
      <c r="D21" s="16">
        <v>0</v>
      </c>
      <c r="E21" s="16">
        <v>0</v>
      </c>
      <c r="F21" s="14">
        <f t="shared" si="3"/>
        <v>0</v>
      </c>
      <c r="I21" s="38">
        <f t="shared" si="4"/>
        <v>0</v>
      </c>
    </row>
    <row r="24" spans="2:9" ht="15.75" thickBot="1" x14ac:dyDescent="0.3"/>
    <row r="25" spans="2:9" ht="27.75" thickBot="1" x14ac:dyDescent="0.3">
      <c r="B25" s="10" t="s">
        <v>19</v>
      </c>
      <c r="C25" s="11" t="s">
        <v>31</v>
      </c>
      <c r="D25" s="11" t="s">
        <v>32</v>
      </c>
      <c r="E25" s="11" t="s">
        <v>33</v>
      </c>
      <c r="F25" s="11" t="s">
        <v>82</v>
      </c>
    </row>
    <row r="26" spans="2:9" ht="15.75" thickBot="1" x14ac:dyDescent="0.3">
      <c r="B26" s="13" t="s">
        <v>23</v>
      </c>
      <c r="C26" s="15">
        <f>PCR!G4</f>
        <v>-10285561.116123958</v>
      </c>
      <c r="D26" s="15">
        <f>TDR!G4</f>
        <v>-3143227.4242847767</v>
      </c>
      <c r="E26" s="16">
        <v>0</v>
      </c>
      <c r="F26" s="19">
        <f>SUM(C26:E26)</f>
        <v>-13428788.540408734</v>
      </c>
    </row>
    <row r="27" spans="2:9" ht="15.75" thickBot="1" x14ac:dyDescent="0.3">
      <c r="B27" s="13" t="s">
        <v>24</v>
      </c>
      <c r="C27" s="15">
        <f>PCR!G5</f>
        <v>-835087.48714436684</v>
      </c>
      <c r="D27" s="15">
        <f>TDR!G5</f>
        <v>2571244.2220540508</v>
      </c>
      <c r="E27" s="16">
        <v>0</v>
      </c>
      <c r="F27" s="19">
        <f t="shared" ref="F27:F31" si="5">SUM(C27:E27)</f>
        <v>1736156.7349096839</v>
      </c>
    </row>
    <row r="28" spans="2:9" ht="15.75" thickBot="1" x14ac:dyDescent="0.3">
      <c r="B28" s="13" t="s">
        <v>25</v>
      </c>
      <c r="C28" s="15">
        <f>PCR!G6</f>
        <v>-1678857.6939194032</v>
      </c>
      <c r="D28" s="15">
        <f>TDR!G6</f>
        <v>8790349.5865286645</v>
      </c>
      <c r="E28" s="16">
        <v>0</v>
      </c>
      <c r="F28" s="19">
        <f t="shared" si="5"/>
        <v>7111491.892609261</v>
      </c>
    </row>
    <row r="29" spans="2:9" ht="15.75" thickBot="1" x14ac:dyDescent="0.3">
      <c r="B29" s="13" t="s">
        <v>26</v>
      </c>
      <c r="C29" s="15">
        <f>PCR!G7</f>
        <v>-624534.93258454115</v>
      </c>
      <c r="D29" s="15">
        <f>TDR!G7</f>
        <v>5368249.9774055919</v>
      </c>
      <c r="E29" s="16">
        <v>0</v>
      </c>
      <c r="F29" s="19">
        <f t="shared" si="5"/>
        <v>4743715.0448210509</v>
      </c>
    </row>
    <row r="30" spans="2:9" ht="15.75" thickBot="1" x14ac:dyDescent="0.3">
      <c r="B30" s="13" t="s">
        <v>27</v>
      </c>
      <c r="C30" s="15">
        <f>PCR!G8</f>
        <v>-249611.41919001908</v>
      </c>
      <c r="D30" s="15">
        <f>TDR!G8</f>
        <v>2946282.5414429782</v>
      </c>
      <c r="E30" s="16">
        <v>0</v>
      </c>
      <c r="F30" s="19">
        <f t="shared" si="5"/>
        <v>2696671.1222529593</v>
      </c>
    </row>
    <row r="31" spans="2:9" ht="15.75" thickBot="1" x14ac:dyDescent="0.3">
      <c r="B31" s="13" t="s">
        <v>28</v>
      </c>
      <c r="C31" s="15">
        <v>0</v>
      </c>
      <c r="D31" s="15">
        <v>0</v>
      </c>
      <c r="E31" s="16">
        <v>0</v>
      </c>
      <c r="F31" s="19">
        <f t="shared" si="5"/>
        <v>0</v>
      </c>
    </row>
    <row r="34" spans="6:8" x14ac:dyDescent="0.25">
      <c r="G34">
        <v>126.3</v>
      </c>
      <c r="H34" t="s">
        <v>108</v>
      </c>
    </row>
    <row r="35" spans="6:8" x14ac:dyDescent="0.25">
      <c r="F35" s="38">
        <f>SUM(C4:D9)</f>
        <v>3548246.2541842228</v>
      </c>
      <c r="G35" s="139">
        <f>ROUND(F35/1000000,1)</f>
        <v>3.5</v>
      </c>
      <c r="H35" t="s">
        <v>110</v>
      </c>
    </row>
    <row r="36" spans="6:8" x14ac:dyDescent="0.25">
      <c r="G36" s="139">
        <f>G34-G35</f>
        <v>122.8</v>
      </c>
      <c r="H36" t="s">
        <v>109</v>
      </c>
    </row>
  </sheetData>
  <mergeCells count="1">
    <mergeCell ref="I2:J2"/>
  </mergeCells>
  <pageMargins left="0.7" right="0.7" top="0.75" bottom="0.75" header="0.3" footer="0.3"/>
  <pageSetup orientation="portrait" r:id="rId1"/>
  <headerFooter>
    <oddHeader>&amp;RSCHEDULE WRD-2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Comments0 xmlns="37C40F9E-044B-4F26-A90E-5C1316E52537">schedule WRD2</Comments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8B3B3C2A568948A3B61DE5471DEA1E" ma:contentTypeVersion="0" ma:contentTypeDescription="Create a new document." ma:contentTypeScope="" ma:versionID="7b4650c32dc7bd59e63521ac05aff8c5">
  <xsd:schema xmlns:xsd="http://www.w3.org/2001/XMLSchema" xmlns:xs="http://www.w3.org/2001/XMLSchema" xmlns:p="http://schemas.microsoft.com/office/2006/metadata/properties" xmlns:ns2="37C40F9E-044B-4F26-A90E-5C1316E52537" targetNamespace="http://schemas.microsoft.com/office/2006/metadata/properties" ma:root="true" ma:fieldsID="654a14b5bf3b0798fe15557ad3f66839" ns2:_="">
    <xsd:import namespace="37C40F9E-044B-4F26-A90E-5C1316E52537"/>
    <xsd:element name="properties">
      <xsd:complexType>
        <xsd:sequence>
          <xsd:element name="documentManagement">
            <xsd:complexType>
              <xsd:all>
                <xsd:element ref="ns2:Comments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40F9E-044B-4F26-A90E-5C1316E52537" elementFormDefault="qualified">
    <xsd:import namespace="http://schemas.microsoft.com/office/2006/documentManagement/types"/>
    <xsd:import namespace="http://schemas.microsoft.com/office/infopath/2007/PartnerControls"/>
    <xsd:element name="Comments0" ma:index="8" nillable="true" ma:displayName="Comments" ma:description="Comments" ma:internalName="Comments0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E680F6-EEBC-41A4-AEB5-0B773B5EACA2}">
  <ds:schemaRefs>
    <ds:schemaRef ds:uri="http://schemas.microsoft.com/office/2006/metadata/properties"/>
    <ds:schemaRef ds:uri="37C40F9E-044B-4F26-A90E-5C1316E52537"/>
  </ds:schemaRefs>
</ds:datastoreItem>
</file>

<file path=customXml/itemProps2.xml><?xml version="1.0" encoding="utf-8"?>
<ds:datastoreItem xmlns:ds="http://schemas.openxmlformats.org/officeDocument/2006/customXml" ds:itemID="{D51710AB-2C5F-4830-B1C2-506A3219BF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C40F9E-044B-4F26-A90E-5C1316E525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E36353-2D23-4413-BFF3-128FB6002D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PPC</vt:lpstr>
      <vt:lpstr>PCR</vt:lpstr>
      <vt:lpstr>PTD</vt:lpstr>
      <vt:lpstr>TDR</vt:lpstr>
      <vt:lpstr>PI</vt:lpstr>
      <vt:lpstr>PIR</vt:lpstr>
      <vt:lpstr>OA</vt:lpstr>
      <vt:lpstr>tariff tables</vt:lpstr>
    </vt:vector>
  </TitlesOfParts>
  <Company>Ameren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Unspecified User</dc:creator>
  <cp:lastModifiedBy>Donohue, Julie E</cp:lastModifiedBy>
  <dcterms:created xsi:type="dcterms:W3CDTF">2013-08-12T19:20:10Z</dcterms:created>
  <dcterms:modified xsi:type="dcterms:W3CDTF">2015-11-24T19:44:28Z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0x0101009C8B3B3C2A568948A3B61DE5471DEA1E</vt:lpwstr>
  </property>
</Properties>
</file>