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30" windowWidth="24360" windowHeight="10815"/>
  </bookViews>
  <sheets>
    <sheet name="MonthlyNSBCalculation" sheetId="1" r:id="rId1"/>
  </sheets>
  <definedNames>
    <definedName name="_xlnm.Print_Area" localSheetId="0">MonthlyNSBCalculation!$A$1:$AM$50</definedName>
  </definedNames>
  <calcPr calcId="145621"/>
</workbook>
</file>

<file path=xl/calcChain.xml><?xml version="1.0" encoding="utf-8"?>
<calcChain xmlns="http://schemas.openxmlformats.org/spreadsheetml/2006/main">
  <c r="AK33" i="1" l="1"/>
  <c r="AK35" i="1"/>
  <c r="AM10" i="1" l="1"/>
  <c r="AO9" i="1" l="1"/>
  <c r="AM33" i="1"/>
  <c r="AK50" i="1"/>
  <c r="AL50" i="1"/>
  <c r="AM50" i="1"/>
  <c r="AM34" i="1"/>
  <c r="AM21" i="1"/>
  <c r="AM11" i="1"/>
  <c r="AM12" i="1" s="1"/>
  <c r="AA14" i="1"/>
  <c r="AA10" i="1"/>
  <c r="AN33" i="1"/>
  <c r="AL19" i="1"/>
  <c r="AL20" i="1"/>
  <c r="AL21" i="1"/>
  <c r="AK20" i="1"/>
  <c r="AK21" i="1"/>
  <c r="AK19" i="1"/>
  <c r="AL34" i="1"/>
  <c r="AK34" i="1"/>
  <c r="AN8" i="1" l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P9" i="1"/>
  <c r="AP33" i="1" s="1"/>
  <c r="AO33" i="1"/>
  <c r="AO10" i="1"/>
  <c r="AN10" i="1"/>
  <c r="AN11" i="1" s="1"/>
  <c r="AN12" i="1" s="1"/>
  <c r="AN13" i="1" s="1"/>
  <c r="AN14" i="1" s="1"/>
  <c r="AN17" i="1" s="1"/>
  <c r="AQ9" i="1"/>
  <c r="AR9" i="1" s="1"/>
  <c r="AS9" i="1" s="1"/>
  <c r="AT9" i="1" s="1"/>
  <c r="AU9" i="1" s="1"/>
  <c r="AV9" i="1" s="1"/>
  <c r="AW9" i="1" s="1"/>
  <c r="AX9" i="1" s="1"/>
  <c r="AP10" i="1"/>
  <c r="AR10" i="1"/>
  <c r="AR11" i="1" l="1"/>
  <c r="AR12" i="1" s="1"/>
  <c r="AO11" i="1"/>
  <c r="AO12" i="1" s="1"/>
  <c r="AP11" i="1"/>
  <c r="AP12" i="1" s="1"/>
  <c r="AQ10" i="1"/>
  <c r="AQ11" i="1" s="1"/>
  <c r="AQ12" i="1" s="1"/>
  <c r="AR33" i="1"/>
  <c r="AO13" i="1"/>
  <c r="AO14" i="1" s="1"/>
  <c r="AO17" i="1" s="1"/>
  <c r="AP13" i="1"/>
  <c r="AP14" i="1" s="1"/>
  <c r="AP17" i="1" s="1"/>
  <c r="AQ33" i="1"/>
  <c r="AS33" i="1"/>
  <c r="AS10" i="1"/>
  <c r="AS11" i="1" s="1"/>
  <c r="AS12" i="1" s="1"/>
  <c r="AS13" i="1" s="1"/>
  <c r="AS14" i="1" s="1"/>
  <c r="AS17" i="1" s="1"/>
  <c r="AJ50" i="1"/>
  <c r="AJ21" i="1"/>
  <c r="AJ8" i="1"/>
  <c r="AJ10" i="1"/>
  <c r="AJ11" i="1"/>
  <c r="AJ12" i="1" s="1"/>
  <c r="AJ13" i="1" s="1"/>
  <c r="AJ14" i="1" s="1"/>
  <c r="AJ17" i="1" s="1"/>
  <c r="AJ33" i="1"/>
  <c r="AR13" i="1" l="1"/>
  <c r="AR14" i="1" s="1"/>
  <c r="AR17" i="1" s="1"/>
  <c r="AQ13" i="1"/>
  <c r="AQ14" i="1" s="1"/>
  <c r="AQ17" i="1" s="1"/>
  <c r="AT33" i="1"/>
  <c r="AT10" i="1"/>
  <c r="AT11" i="1" s="1"/>
  <c r="AT12" i="1" s="1"/>
  <c r="AT13" i="1" s="1"/>
  <c r="AT14" i="1" s="1"/>
  <c r="AT17" i="1" s="1"/>
  <c r="AI21" i="1"/>
  <c r="AU10" i="1" l="1"/>
  <c r="AU11" i="1" s="1"/>
  <c r="AU12" i="1" s="1"/>
  <c r="AU13" i="1" s="1"/>
  <c r="AU14" i="1" s="1"/>
  <c r="AU17" i="1" s="1"/>
  <c r="AU33" i="1"/>
  <c r="AI8" i="1"/>
  <c r="AV10" i="1" l="1"/>
  <c r="AV11" i="1" s="1"/>
  <c r="AV12" i="1" s="1"/>
  <c r="AV13" i="1" s="1"/>
  <c r="AV14" i="1" s="1"/>
  <c r="AV17" i="1" s="1"/>
  <c r="AV33" i="1"/>
  <c r="AH21" i="1"/>
  <c r="AW33" i="1" l="1"/>
  <c r="AW10" i="1"/>
  <c r="AW11" i="1" s="1"/>
  <c r="AW12" i="1" s="1"/>
  <c r="AW13" i="1" s="1"/>
  <c r="AW14" i="1" s="1"/>
  <c r="AW17" i="1" s="1"/>
  <c r="AH8" i="1"/>
  <c r="AX33" i="1" l="1"/>
  <c r="AX10" i="1"/>
  <c r="AX11" i="1" s="1"/>
  <c r="AX12" i="1" s="1"/>
  <c r="AX13" i="1" s="1"/>
  <c r="AX14" i="1" s="1"/>
  <c r="AX17" i="1" s="1"/>
  <c r="AG21" i="1"/>
  <c r="AG8" i="1" l="1"/>
  <c r="AF8" i="1" l="1"/>
  <c r="AE21" i="1" l="1"/>
  <c r="AE8" i="1" l="1"/>
  <c r="AD21" i="1" l="1"/>
  <c r="AD8" i="1" l="1"/>
  <c r="AC21" i="1" l="1"/>
  <c r="AC8" i="1" l="1"/>
  <c r="AB21" i="1" l="1"/>
  <c r="AB8" i="1" l="1"/>
  <c r="AA21" i="1" l="1"/>
  <c r="AA33" i="1" l="1"/>
  <c r="AA8" i="1" l="1"/>
  <c r="Z21" i="1" l="1"/>
  <c r="Z8" i="1" l="1"/>
  <c r="Y33" i="1" l="1"/>
  <c r="X33" i="1" l="1"/>
  <c r="Y21" i="1"/>
  <c r="O40" i="1" l="1"/>
  <c r="W33" i="1"/>
  <c r="V33" i="1"/>
  <c r="U33" i="1"/>
  <c r="T33" i="1"/>
  <c r="S33" i="1"/>
  <c r="R33" i="1"/>
  <c r="Q33" i="1"/>
  <c r="P33" i="1"/>
  <c r="O33" i="1"/>
  <c r="X21" i="1"/>
  <c r="W21" i="1"/>
  <c r="V21" i="1"/>
  <c r="U21" i="1"/>
  <c r="T21" i="1"/>
  <c r="S21" i="1"/>
  <c r="R21" i="1"/>
  <c r="Q21" i="1"/>
  <c r="P21" i="1"/>
  <c r="X10" i="1"/>
  <c r="W10" i="1"/>
  <c r="V10" i="1"/>
  <c r="U10" i="1"/>
  <c r="T10" i="1"/>
  <c r="S10" i="1"/>
  <c r="R10" i="1"/>
  <c r="Q10" i="1"/>
  <c r="P10" i="1"/>
  <c r="O10" i="1"/>
  <c r="X8" i="1"/>
  <c r="W8" i="1"/>
  <c r="V8" i="1"/>
  <c r="U8" i="1"/>
  <c r="T8" i="1"/>
  <c r="S8" i="1"/>
  <c r="R8" i="1"/>
  <c r="Q8" i="1"/>
  <c r="P8" i="1"/>
  <c r="O8" i="1"/>
  <c r="N40" i="1"/>
  <c r="M40" i="1"/>
  <c r="L40" i="1"/>
  <c r="N33" i="1"/>
  <c r="M33" i="1"/>
  <c r="L33" i="1"/>
  <c r="K33" i="1"/>
  <c r="J33" i="1"/>
  <c r="I33" i="1"/>
  <c r="N10" i="1"/>
  <c r="N11" i="1" s="1"/>
  <c r="N12" i="1" s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I11" i="1" s="1"/>
  <c r="I12" i="1" s="1"/>
  <c r="H33" i="1"/>
  <c r="G33" i="1"/>
  <c r="F33" i="1"/>
  <c r="E33" i="1"/>
  <c r="D33" i="1"/>
  <c r="C33" i="1"/>
  <c r="H10" i="1"/>
  <c r="H11" i="1" s="1"/>
  <c r="H12" i="1" s="1"/>
  <c r="G10" i="1"/>
  <c r="G11" i="1" s="1"/>
  <c r="G12" i="1" s="1"/>
  <c r="F10" i="1"/>
  <c r="F11" i="1" s="1"/>
  <c r="F12" i="1" s="1"/>
  <c r="E10" i="1"/>
  <c r="E11" i="1" s="1"/>
  <c r="E12" i="1" s="1"/>
  <c r="D10" i="1"/>
  <c r="D11" i="1" s="1"/>
  <c r="D12" i="1" s="1"/>
  <c r="C10" i="1"/>
  <c r="C11" i="1" s="1"/>
  <c r="C12" i="1" s="1"/>
  <c r="C13" i="1" s="1"/>
  <c r="C14" i="1" l="1"/>
  <c r="C17" i="1" s="1"/>
  <c r="C35" i="1"/>
  <c r="C36" i="1"/>
  <c r="K13" i="1"/>
  <c r="K14" i="1" s="1"/>
  <c r="P11" i="1"/>
  <c r="P12" i="1" s="1"/>
  <c r="O11" i="1"/>
  <c r="O12" i="1" s="1"/>
  <c r="O13" i="1" s="1"/>
  <c r="O14" i="1" s="1"/>
  <c r="Q11" i="1"/>
  <c r="Q12" i="1" s="1"/>
  <c r="Q13" i="1" s="1"/>
  <c r="Q14" i="1" s="1"/>
  <c r="S11" i="1"/>
  <c r="S12" i="1" s="1"/>
  <c r="V11" i="1"/>
  <c r="V12" i="1" s="1"/>
  <c r="X11" i="1"/>
  <c r="X12" i="1" s="1"/>
  <c r="R11" i="1"/>
  <c r="R12" i="1" s="1"/>
  <c r="R13" i="1" s="1"/>
  <c r="R14" i="1" s="1"/>
  <c r="U11" i="1"/>
  <c r="U12" i="1" s="1"/>
  <c r="U13" i="1" s="1"/>
  <c r="T11" i="1"/>
  <c r="T12" i="1" s="1"/>
  <c r="W11" i="1"/>
  <c r="W12" i="1" s="1"/>
  <c r="W13" i="1" s="1"/>
  <c r="W14" i="1" s="1"/>
  <c r="I13" i="1"/>
  <c r="I14" i="1" s="1"/>
  <c r="I17" i="1" s="1"/>
  <c r="P13" i="1"/>
  <c r="P14" i="1" s="1"/>
  <c r="T13" i="1"/>
  <c r="T14" i="1" s="1"/>
  <c r="L13" i="1"/>
  <c r="L14" i="1" s="1"/>
  <c r="L15" i="1" s="1"/>
  <c r="L18" i="1" s="1"/>
  <c r="D13" i="1"/>
  <c r="D14" i="1" s="1"/>
  <c r="D17" i="1" s="1"/>
  <c r="H13" i="1"/>
  <c r="H14" i="1" s="1"/>
  <c r="H17" i="1" s="1"/>
  <c r="M13" i="1"/>
  <c r="M14" i="1" s="1"/>
  <c r="N13" i="1"/>
  <c r="N14" i="1" s="1"/>
  <c r="J13" i="1"/>
  <c r="J14" i="1" s="1"/>
  <c r="E13" i="1"/>
  <c r="E14" i="1" s="1"/>
  <c r="E17" i="1" s="1"/>
  <c r="C22" i="1"/>
  <c r="C23" i="1"/>
  <c r="C28" i="1" s="1"/>
  <c r="C30" i="1" s="1"/>
  <c r="F13" i="1"/>
  <c r="F14" i="1" s="1"/>
  <c r="F17" i="1" s="1"/>
  <c r="G13" i="1"/>
  <c r="G14" i="1" s="1"/>
  <c r="G17" i="1" s="1"/>
  <c r="U14" i="1" l="1"/>
  <c r="S13" i="1"/>
  <c r="S14" i="1" s="1"/>
  <c r="C37" i="1"/>
  <c r="C38" i="1" s="1"/>
  <c r="D35" i="1" s="1"/>
  <c r="D37" i="1" s="1"/>
  <c r="D38" i="1" s="1"/>
  <c r="E35" i="1" s="1"/>
  <c r="E37" i="1" s="1"/>
  <c r="E38" i="1" s="1"/>
  <c r="F35" i="1" s="1"/>
  <c r="F37" i="1" s="1"/>
  <c r="F38" i="1" s="1"/>
  <c r="G35" i="1" s="1"/>
  <c r="G37" i="1" s="1"/>
  <c r="G38" i="1" s="1"/>
  <c r="H35" i="1" s="1"/>
  <c r="H37" i="1" s="1"/>
  <c r="H38" i="1" s="1"/>
  <c r="I35" i="1" s="1"/>
  <c r="I37" i="1" s="1"/>
  <c r="I38" i="1" s="1"/>
  <c r="J35" i="1" s="1"/>
  <c r="J37" i="1" s="1"/>
  <c r="J38" i="1" s="1"/>
  <c r="K35" i="1" s="1"/>
  <c r="K37" i="1" s="1"/>
  <c r="K38" i="1" s="1"/>
  <c r="V13" i="1"/>
  <c r="V14" i="1" s="1"/>
  <c r="S17" i="1"/>
  <c r="V17" i="1"/>
  <c r="R17" i="1"/>
  <c r="W17" i="1"/>
  <c r="L17" i="1"/>
  <c r="X13" i="1"/>
  <c r="X14" i="1" s="1"/>
  <c r="T17" i="1"/>
  <c r="P17" i="1"/>
  <c r="U17" i="1"/>
  <c r="O17" i="1"/>
  <c r="J17" i="1"/>
  <c r="K17" i="1"/>
  <c r="N17" i="1"/>
  <c r="D36" i="1"/>
  <c r="E36" i="1" s="1"/>
  <c r="F36" i="1" s="1"/>
  <c r="Q17" i="1"/>
  <c r="C25" i="1"/>
  <c r="D25" i="1" s="1"/>
  <c r="M15" i="1"/>
  <c r="M18" i="1" s="1"/>
  <c r="M17" i="1"/>
  <c r="D23" i="1"/>
  <c r="D22" i="1"/>
  <c r="G36" i="1" l="1"/>
  <c r="H36" i="1" s="1"/>
  <c r="I36" i="1" s="1"/>
  <c r="J36" i="1" s="1"/>
  <c r="K36" i="1" s="1"/>
  <c r="X17" i="1"/>
  <c r="L35" i="1"/>
  <c r="L37" i="1" s="1"/>
  <c r="L38" i="1" s="1"/>
  <c r="D28" i="1"/>
  <c r="D30" i="1" s="1"/>
  <c r="L36" i="1" l="1"/>
  <c r="M35" i="1"/>
  <c r="M37" i="1" s="1"/>
  <c r="M38" i="1" s="1"/>
  <c r="E22" i="1"/>
  <c r="E25" i="1" s="1"/>
  <c r="E23" i="1"/>
  <c r="E28" i="1" l="1"/>
  <c r="E30" i="1" s="1"/>
  <c r="N35" i="1"/>
  <c r="N37" i="1" s="1"/>
  <c r="N38" i="1" s="1"/>
  <c r="M36" i="1"/>
  <c r="F23" i="1"/>
  <c r="F22" i="1"/>
  <c r="F25" i="1" l="1"/>
  <c r="N36" i="1"/>
  <c r="O35" i="1"/>
  <c r="O37" i="1" s="1"/>
  <c r="O38" i="1" s="1"/>
  <c r="F28" i="1"/>
  <c r="F30" i="1" s="1"/>
  <c r="O36" i="1" l="1"/>
  <c r="P35" i="1"/>
  <c r="P37" i="1" s="1"/>
  <c r="P38" i="1" s="1"/>
  <c r="G22" i="1"/>
  <c r="G23" i="1"/>
  <c r="G28" i="1" l="1"/>
  <c r="G30" i="1" s="1"/>
  <c r="G25" i="1"/>
  <c r="Q35" i="1"/>
  <c r="Q37" i="1" s="1"/>
  <c r="Q38" i="1" s="1"/>
  <c r="P36" i="1"/>
  <c r="H22" i="1"/>
  <c r="H23" i="1"/>
  <c r="H28" i="1" s="1"/>
  <c r="H30" i="1" s="1"/>
  <c r="Q36" i="1" l="1"/>
  <c r="R35" i="1"/>
  <c r="R37" i="1" s="1"/>
  <c r="R38" i="1" s="1"/>
  <c r="H25" i="1"/>
  <c r="I22" i="1"/>
  <c r="I23" i="1"/>
  <c r="I28" i="1" s="1"/>
  <c r="I30" i="1" s="1"/>
  <c r="I25" i="1" l="1"/>
  <c r="S35" i="1"/>
  <c r="S37" i="1" s="1"/>
  <c r="S38" i="1" s="1"/>
  <c r="R36" i="1"/>
  <c r="S36" i="1" s="1"/>
  <c r="J22" i="1"/>
  <c r="J23" i="1"/>
  <c r="J28" i="1" s="1"/>
  <c r="J30" i="1" s="1"/>
  <c r="T35" i="1" l="1"/>
  <c r="T37" i="1" s="1"/>
  <c r="T38" i="1" s="1"/>
  <c r="J25" i="1"/>
  <c r="K22" i="1"/>
  <c r="K23" i="1"/>
  <c r="K28" i="1" s="1"/>
  <c r="K30" i="1" s="1"/>
  <c r="K25" i="1" l="1"/>
  <c r="U35" i="1"/>
  <c r="T36" i="1"/>
  <c r="U36" i="1" s="1"/>
  <c r="L26" i="1"/>
  <c r="L27" i="1"/>
  <c r="L22" i="1"/>
  <c r="L23" i="1"/>
  <c r="U37" i="1" l="1"/>
  <c r="U38" i="1" s="1"/>
  <c r="V35" i="1" s="1"/>
  <c r="V37" i="1" s="1"/>
  <c r="V38" i="1" s="1"/>
  <c r="L28" i="1"/>
  <c r="L30" i="1" s="1"/>
  <c r="L25" i="1"/>
  <c r="L48" i="1"/>
  <c r="L29" i="1"/>
  <c r="L31" i="1" s="1"/>
  <c r="L43" i="1"/>
  <c r="V36" i="1" l="1"/>
  <c r="M26" i="1"/>
  <c r="M23" i="1"/>
  <c r="M28" i="1" s="1"/>
  <c r="M30" i="1" s="1"/>
  <c r="M22" i="1"/>
  <c r="L46" i="1"/>
  <c r="L47" i="1" s="1"/>
  <c r="L49" i="1" s="1"/>
  <c r="L50" i="1" s="1"/>
  <c r="M27" i="1"/>
  <c r="W35" i="1"/>
  <c r="W37" i="1" s="1"/>
  <c r="W38" i="1" s="1"/>
  <c r="L41" i="1"/>
  <c r="L42" i="1" s="1"/>
  <c r="L44" i="1" s="1"/>
  <c r="L45" i="1" s="1"/>
  <c r="M43" i="1" l="1"/>
  <c r="M25" i="1"/>
  <c r="N22" i="1"/>
  <c r="N25" i="1" s="1"/>
  <c r="M48" i="1"/>
  <c r="N26" i="1"/>
  <c r="N23" i="1"/>
  <c r="N27" i="1"/>
  <c r="M46" i="1"/>
  <c r="M47" i="1" s="1"/>
  <c r="X35" i="1"/>
  <c r="W36" i="1"/>
  <c r="M29" i="1"/>
  <c r="M31" i="1" s="1"/>
  <c r="M41" i="1" s="1"/>
  <c r="M42" i="1" s="1"/>
  <c r="M44" i="1" s="1"/>
  <c r="M45" i="1" s="1"/>
  <c r="M49" i="1"/>
  <c r="M50" i="1" s="1"/>
  <c r="N48" i="1" l="1"/>
  <c r="X37" i="1"/>
  <c r="X38" i="1" s="1"/>
  <c r="N28" i="1"/>
  <c r="N30" i="1" s="1"/>
  <c r="X36" i="1"/>
  <c r="N46" i="1" l="1"/>
  <c r="N47" i="1" s="1"/>
  <c r="N49" i="1" s="1"/>
  <c r="N50" i="1" s="1"/>
  <c r="O23" i="1"/>
  <c r="O22" i="1"/>
  <c r="Y8" i="1"/>
  <c r="O28" i="1" l="1"/>
  <c r="O30" i="1" s="1"/>
  <c r="P22" i="1"/>
  <c r="P24" i="1"/>
  <c r="O46" i="1"/>
  <c r="O47" i="1" s="1"/>
  <c r="P23" i="1"/>
  <c r="P28" i="1" s="1"/>
  <c r="P30" i="1" s="1"/>
  <c r="O48" i="1"/>
  <c r="O25" i="1"/>
  <c r="P25" i="1" l="1"/>
  <c r="O49" i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Q22" i="1"/>
  <c r="Q25" i="1" s="1"/>
  <c r="Q24" i="1"/>
  <c r="Q23" i="1"/>
  <c r="Q28" i="1" l="1"/>
  <c r="Q30" i="1" s="1"/>
  <c r="R23" i="1" l="1"/>
  <c r="R28" i="1" s="1"/>
  <c r="R30" i="1" s="1"/>
  <c r="R22" i="1"/>
  <c r="R24" i="1"/>
  <c r="S23" i="1" l="1"/>
  <c r="S24" i="1"/>
  <c r="S22" i="1"/>
  <c r="R25" i="1"/>
  <c r="S25" i="1" l="1"/>
  <c r="S28" i="1"/>
  <c r="S30" i="1" s="1"/>
  <c r="T22" i="1" l="1"/>
  <c r="T24" i="1"/>
  <c r="T23" i="1"/>
  <c r="T28" i="1" s="1"/>
  <c r="T30" i="1" s="1"/>
  <c r="U24" i="1" l="1"/>
  <c r="U23" i="1"/>
  <c r="U22" i="1"/>
  <c r="T25" i="1"/>
  <c r="U25" i="1" l="1"/>
  <c r="U28" i="1"/>
  <c r="U30" i="1" s="1"/>
  <c r="V24" i="1" l="1"/>
  <c r="V22" i="1"/>
  <c r="V25" i="1" s="1"/>
  <c r="V23" i="1"/>
  <c r="V28" i="1" l="1"/>
  <c r="V30" i="1" s="1"/>
  <c r="W23" i="1" l="1"/>
  <c r="W22" i="1"/>
  <c r="W25" i="1" s="1"/>
  <c r="W24" i="1"/>
  <c r="W28" i="1" l="1"/>
  <c r="W30" i="1" s="1"/>
  <c r="X22" i="1" l="1"/>
  <c r="X24" i="1"/>
  <c r="X23" i="1"/>
  <c r="X25" i="1" l="1"/>
  <c r="X28" i="1"/>
  <c r="X30" i="1" s="1"/>
  <c r="Z33" i="1" l="1"/>
  <c r="AB33" i="1"/>
  <c r="AC33" i="1"/>
  <c r="AD33" i="1"/>
  <c r="AE33" i="1"/>
  <c r="AF33" i="1"/>
  <c r="AG33" i="1"/>
  <c r="AH33" i="1"/>
  <c r="AI33" i="1"/>
  <c r="AL33" i="1"/>
  <c r="AI10" i="1" l="1"/>
  <c r="AL10" i="1" l="1"/>
  <c r="AK10" i="1"/>
  <c r="AK11" i="1" s="1"/>
  <c r="AK12" i="1" s="1"/>
  <c r="AK13" i="1" s="1"/>
  <c r="AI11" i="1"/>
  <c r="AI12" i="1" s="1"/>
  <c r="AH10" i="1"/>
  <c r="AH11" i="1" s="1"/>
  <c r="AH12" i="1" s="1"/>
  <c r="AH13" i="1" s="1"/>
  <c r="AG10" i="1"/>
  <c r="AG11" i="1" s="1"/>
  <c r="AG12" i="1" s="1"/>
  <c r="AG13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C13" i="1" s="1"/>
  <c r="AB10" i="1"/>
  <c r="AB11" i="1" s="1"/>
  <c r="AB12" i="1" s="1"/>
  <c r="AA11" i="1"/>
  <c r="AA12" i="1" s="1"/>
  <c r="Z10" i="1"/>
  <c r="Z11" i="1" s="1"/>
  <c r="Z12" i="1" s="1"/>
  <c r="Y10" i="1"/>
  <c r="AL11" i="1" l="1"/>
  <c r="AL12" i="1" s="1"/>
  <c r="AI13" i="1"/>
  <c r="AF13" i="1"/>
  <c r="Y11" i="1"/>
  <c r="Y12" i="1" s="1"/>
  <c r="AB13" i="1"/>
  <c r="AB14" i="1" s="1"/>
  <c r="AA13" i="1"/>
  <c r="AE13" i="1"/>
  <c r="AE14" i="1" s="1"/>
  <c r="AI14" i="1"/>
  <c r="AD13" i="1"/>
  <c r="AG14" i="1"/>
  <c r="AF14" i="1"/>
  <c r="AC14" i="1"/>
  <c r="AH14" i="1"/>
  <c r="AK14" i="1"/>
  <c r="AL13" i="1" l="1"/>
  <c r="AL14" i="1" s="1"/>
  <c r="AM13" i="1"/>
  <c r="AM14" i="1" s="1"/>
  <c r="AM17" i="1" s="1"/>
  <c r="AD14" i="1"/>
  <c r="AH17" i="1"/>
  <c r="AF17" i="1"/>
  <c r="Y13" i="1"/>
  <c r="Z13" i="1"/>
  <c r="Z14" i="1" s="1"/>
  <c r="AA17" i="1"/>
  <c r="AB17" i="1"/>
  <c r="AG17" i="1"/>
  <c r="AI17" i="1"/>
  <c r="AC17" i="1"/>
  <c r="AK17" i="1"/>
  <c r="AL17" i="1"/>
  <c r="AE17" i="1"/>
  <c r="Y14" i="1" l="1"/>
  <c r="AD17" i="1"/>
  <c r="Z17" i="1"/>
  <c r="Y17" i="1"/>
  <c r="Y24" i="1" s="1"/>
  <c r="Y35" i="1" l="1"/>
  <c r="Y37" i="1" l="1"/>
  <c r="Y38" i="1" s="1"/>
  <c r="Y36" i="1"/>
  <c r="Z35" i="1" l="1"/>
  <c r="Z37" i="1" s="1"/>
  <c r="Z38" i="1" s="1"/>
  <c r="AA35" i="1" l="1"/>
  <c r="Z36" i="1"/>
  <c r="AA36" i="1" s="1"/>
  <c r="AA37" i="1"/>
  <c r="AA38" i="1" s="1"/>
  <c r="Y22" i="1" l="1"/>
  <c r="Y23" i="1"/>
  <c r="Y28" i="1" s="1"/>
  <c r="Y25" i="1" l="1"/>
  <c r="Y30" i="1"/>
  <c r="Z24" i="1" l="1"/>
  <c r="Z23" i="1"/>
  <c r="Z22" i="1"/>
  <c r="Z25" i="1" s="1"/>
  <c r="Z28" i="1" l="1"/>
  <c r="Z30" i="1" s="1"/>
  <c r="AA22" i="1" l="1"/>
  <c r="AA24" i="1"/>
  <c r="AA23" i="1"/>
  <c r="AA25" i="1" l="1"/>
  <c r="AA28" i="1"/>
  <c r="AA30" i="1" s="1"/>
  <c r="AB22" i="1" l="1"/>
  <c r="AB23" i="1"/>
  <c r="AB24" i="1" l="1"/>
  <c r="AB28" i="1" s="1"/>
  <c r="AB30" i="1" s="1"/>
  <c r="AC24" i="1" s="1"/>
  <c r="AB35" i="1"/>
  <c r="AB37" i="1" l="1"/>
  <c r="AB38" i="1" s="1"/>
  <c r="AB36" i="1"/>
  <c r="AB25" i="1"/>
  <c r="AC22" i="1"/>
  <c r="AC23" i="1"/>
  <c r="AC35" i="1"/>
  <c r="AC37" i="1" s="1"/>
  <c r="AC38" i="1" s="1"/>
  <c r="AC25" i="1" l="1"/>
  <c r="AC36" i="1"/>
  <c r="AC28" i="1"/>
  <c r="AC30" i="1" s="1"/>
  <c r="AD22" i="1" s="1"/>
  <c r="AD35" i="1"/>
  <c r="AD37" i="1" l="1"/>
  <c r="AD38" i="1" s="1"/>
  <c r="AD36" i="1"/>
  <c r="AD23" i="1"/>
  <c r="AD24" i="1"/>
  <c r="AE35" i="1"/>
  <c r="AE37" i="1" s="1"/>
  <c r="AE38" i="1" s="1"/>
  <c r="AE36" i="1" l="1"/>
  <c r="AD25" i="1"/>
  <c r="AD28" i="1"/>
  <c r="AD30" i="1" s="1"/>
  <c r="AE22" i="1" l="1"/>
  <c r="AE23" i="1"/>
  <c r="AE24" i="1"/>
  <c r="AE28" i="1" s="1"/>
  <c r="AE25" i="1" l="1"/>
  <c r="AE30" i="1"/>
  <c r="AF23" i="1" l="1"/>
  <c r="AF22" i="1"/>
  <c r="AF21" i="1" l="1"/>
  <c r="AF24" i="1" s="1"/>
  <c r="AF28" i="1" s="1"/>
  <c r="AF30" i="1" s="1"/>
  <c r="AF35" i="1"/>
  <c r="AF37" i="1" l="1"/>
  <c r="AF38" i="1" s="1"/>
  <c r="AF36" i="1"/>
  <c r="AF25" i="1"/>
  <c r="AG23" i="1"/>
  <c r="AG24" i="1"/>
  <c r="AG22" i="1"/>
  <c r="AG35" i="1"/>
  <c r="AG37" i="1" s="1"/>
  <c r="AG38" i="1" s="1"/>
  <c r="AG25" i="1" l="1"/>
  <c r="AG36" i="1"/>
  <c r="AG28" i="1"/>
  <c r="AG30" i="1" s="1"/>
  <c r="AH23" i="1" s="1"/>
  <c r="AH35" i="1"/>
  <c r="AH37" i="1" s="1"/>
  <c r="AH38" i="1" s="1"/>
  <c r="AH36" i="1" l="1"/>
  <c r="AH24" i="1"/>
  <c r="AH22" i="1"/>
  <c r="AI35" i="1"/>
  <c r="AI37" i="1" s="1"/>
  <c r="AI38" i="1" s="1"/>
  <c r="AJ35" i="1" s="1"/>
  <c r="AJ37" i="1" s="1"/>
  <c r="AJ38" i="1" s="1"/>
  <c r="AH25" i="1" l="1"/>
  <c r="AI36" i="1"/>
  <c r="AJ36" i="1" s="1"/>
  <c r="AH28" i="1"/>
  <c r="AH30" i="1" s="1"/>
  <c r="AI22" i="1" s="1"/>
  <c r="AI23" i="1" l="1"/>
  <c r="AI24" i="1"/>
  <c r="AK37" i="1"/>
  <c r="AK38" i="1" s="1"/>
  <c r="AI25" i="1" l="1"/>
  <c r="AK36" i="1"/>
  <c r="AI28" i="1"/>
  <c r="AI30" i="1" s="1"/>
  <c r="AL35" i="1"/>
  <c r="AL37" i="1" s="1"/>
  <c r="AL38" i="1" s="1"/>
  <c r="AM35" i="1" s="1"/>
  <c r="AM37" i="1" s="1"/>
  <c r="AM38" i="1" s="1"/>
  <c r="AN35" i="1" s="1"/>
  <c r="AN37" i="1" s="1"/>
  <c r="AN38" i="1" s="1"/>
  <c r="AO35" i="1" s="1"/>
  <c r="AO37" i="1" s="1"/>
  <c r="AO38" i="1" s="1"/>
  <c r="AP35" i="1" s="1"/>
  <c r="AP37" i="1" s="1"/>
  <c r="AP38" i="1" s="1"/>
  <c r="AQ35" i="1" s="1"/>
  <c r="AQ37" i="1" s="1"/>
  <c r="AQ38" i="1" s="1"/>
  <c r="AR35" i="1" s="1"/>
  <c r="AR37" i="1" s="1"/>
  <c r="AR38" i="1" s="1"/>
  <c r="AS35" i="1" s="1"/>
  <c r="AS37" i="1" s="1"/>
  <c r="AS38" i="1" s="1"/>
  <c r="AT35" i="1" s="1"/>
  <c r="AT37" i="1" s="1"/>
  <c r="AT38" i="1" s="1"/>
  <c r="AU35" i="1" s="1"/>
  <c r="AU37" i="1" s="1"/>
  <c r="AU38" i="1" s="1"/>
  <c r="AV35" i="1" s="1"/>
  <c r="AV37" i="1" s="1"/>
  <c r="AV38" i="1" s="1"/>
  <c r="AW35" i="1" s="1"/>
  <c r="AW37" i="1" s="1"/>
  <c r="AW38" i="1" s="1"/>
  <c r="AX35" i="1" s="1"/>
  <c r="AX37" i="1" s="1"/>
  <c r="AX38" i="1" s="1"/>
  <c r="AL36" i="1" l="1"/>
  <c r="AM36" i="1" s="1"/>
  <c r="AJ22" i="1"/>
  <c r="AJ23" i="1"/>
  <c r="AJ28" i="1" s="1"/>
  <c r="AJ30" i="1" s="1"/>
  <c r="AK24" i="1" s="1"/>
  <c r="AJ24" i="1"/>
  <c r="AK23" i="1" l="1"/>
  <c r="AK22" i="1"/>
  <c r="AK28" i="1" s="1"/>
  <c r="AK30" i="1" s="1"/>
  <c r="AL22" i="1" s="1"/>
  <c r="AJ25" i="1"/>
  <c r="AK25" i="1" l="1"/>
  <c r="AL23" i="1"/>
  <c r="AL24" i="1"/>
  <c r="AL28" i="1" l="1"/>
  <c r="AL30" i="1" s="1"/>
  <c r="AM24" i="1" s="1"/>
  <c r="AL25" i="1"/>
  <c r="AM22" i="1" l="1"/>
  <c r="AM23" i="1"/>
  <c r="AM28" i="1" s="1"/>
  <c r="AM30" i="1" s="1"/>
  <c r="AN22" i="1" s="1"/>
  <c r="AM25" i="1" l="1"/>
  <c r="AN24" i="1"/>
  <c r="AN23" i="1"/>
  <c r="AN28" i="1" s="1"/>
  <c r="AN30" i="1" s="1"/>
  <c r="AO24" i="1" l="1"/>
  <c r="AO23" i="1"/>
  <c r="AO22" i="1"/>
  <c r="AO28" i="1" l="1"/>
  <c r="AO30" i="1" s="1"/>
  <c r="AP22" i="1" l="1"/>
  <c r="AP24" i="1"/>
  <c r="AP23" i="1"/>
  <c r="AP28" i="1" l="1"/>
  <c r="AP30" i="1" s="1"/>
  <c r="AQ23" i="1" s="1"/>
  <c r="AQ24" i="1" l="1"/>
  <c r="AQ22" i="1"/>
  <c r="AQ28" i="1" s="1"/>
  <c r="AQ30" i="1" s="1"/>
  <c r="AR24" i="1" l="1"/>
  <c r="AR23" i="1"/>
  <c r="AR22" i="1"/>
  <c r="AR28" i="1" l="1"/>
  <c r="AR30" i="1" s="1"/>
  <c r="AS22" i="1" l="1"/>
  <c r="AS24" i="1"/>
  <c r="AS23" i="1"/>
  <c r="AS28" i="1" l="1"/>
  <c r="AS30" i="1" s="1"/>
  <c r="AT22" i="1" s="1"/>
  <c r="AT23" i="1" l="1"/>
  <c r="AT24" i="1"/>
  <c r="AT28" i="1" l="1"/>
  <c r="AT30" i="1" s="1"/>
  <c r="AU24" i="1" s="1"/>
  <c r="AU23" i="1" l="1"/>
  <c r="AU22" i="1"/>
  <c r="AU28" i="1" l="1"/>
  <c r="AU30" i="1" s="1"/>
  <c r="AV23" i="1" l="1"/>
  <c r="AV22" i="1"/>
  <c r="AV24" i="1"/>
  <c r="AV28" i="1" l="1"/>
  <c r="AV30" i="1" s="1"/>
  <c r="AW24" i="1" s="1"/>
  <c r="AW22" i="1" l="1"/>
  <c r="AW23" i="1"/>
  <c r="AW28" i="1" l="1"/>
  <c r="AW30" i="1" s="1"/>
  <c r="AX24" i="1" s="1"/>
  <c r="AX23" i="1" l="1"/>
  <c r="AX22" i="1"/>
  <c r="AX28" i="1" l="1"/>
  <c r="AX30" i="1" s="1"/>
</calcChain>
</file>

<file path=xl/comments1.xml><?xml version="1.0" encoding="utf-8"?>
<comments xmlns="http://schemas.openxmlformats.org/spreadsheetml/2006/main">
  <authors>
    <author>Logan, Raysene</author>
    <author>Raysene Logan</author>
  </authors>
  <commentList>
    <comment ref="AK8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support file, tab "PTD.1, PTD.2, TDR.3, TDR.3 Fore", line 6 for Nov 15 - Dec 15</t>
        </r>
      </text>
    </comment>
    <comment ref="AN8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assuming same cumulative value and no costs as no programs forecasted for 2016</t>
        </r>
      </text>
    </comment>
    <comment ref="AK9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rate filing PCR tab, lines 19-22 for Nov - Jan</t>
        </r>
      </text>
    </comment>
    <comment ref="AK16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rate filing TDR tab, lines 22-26 for Nov - Jan</t>
        </r>
      </text>
    </comment>
    <comment ref="AA32" authorId="1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updated in Feb for an entry that was pulled in revenue query but should not have been.  Changed revenue query to correct issue</t>
        </r>
      </text>
    </comment>
    <comment ref="AK32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pulled from rate filing PCR tab, lines 39-43 for Nov - Jan</t>
        </r>
      </text>
    </comment>
    <comment ref="AF50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amortizing over 12 months - should have started feb 15 so taking 5 months to catch up</t>
        </r>
      </text>
    </comment>
  </commentList>
</comments>
</file>

<file path=xl/sharedStrings.xml><?xml version="1.0" encoding="utf-8"?>
<sst xmlns="http://schemas.openxmlformats.org/spreadsheetml/2006/main" count="100" uniqueCount="62">
  <si>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</si>
  <si>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</si>
  <si>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</si>
  <si>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</si>
  <si>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</si>
  <si>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</si>
  <si>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</si>
  <si>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</si>
  <si>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</si>
  <si>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</si>
  <si>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</si>
  <si>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</si>
  <si>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</si>
  <si>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</si>
  <si>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Sharing Pct</t>
  </si>
  <si>
    <t>Net Shared Benefits Calculation</t>
  </si>
  <si>
    <t>Discount Rate</t>
  </si>
  <si>
    <t>DSMore Cumulative NPV of Benefits (2013 $)</t>
  </si>
  <si>
    <t>MEEIA Current Month Booked Costs with Accruals (Current $)</t>
  </si>
  <si>
    <t>MEEIA Cumulative Net Benefits (2013 $)</t>
  </si>
  <si>
    <t>MEEIA Cumulative Net Shared Benefits (2013 $)</t>
  </si>
  <si>
    <t>MEEIA Current Month Booked Net Shared Benefits (2013 $)</t>
  </si>
  <si>
    <t>MEEIA Current Month Booked Net Shared Benefits (Current $)</t>
  </si>
  <si>
    <t>Note:  Entries are made into DSMore Cumulative NPV of Benefits (Row 8) and MEEIA Current Month Booked Costs with Accruals (Row 9).   Results in Row 14.  (R.Willen 1/11/13)</t>
  </si>
  <si>
    <t>MEEIA Current Program Cost Revenue (Current $)</t>
  </si>
  <si>
    <t>MEEIA Current Throughput Disincentive (TD) Revenue (Current $)</t>
  </si>
  <si>
    <t>Difference in Shared Benefit Regulatory Asset/(Liability) (Current $)</t>
  </si>
  <si>
    <t>Difference in Program Cost Regulatory Asset/(Liability) (Current $)</t>
  </si>
  <si>
    <t xml:space="preserve">   Interest Rate (+/-)</t>
  </si>
  <si>
    <t xml:space="preserve">   Interest Equity portion (Current $)</t>
  </si>
  <si>
    <t xml:space="preserve">   Interest Debt portion (Current $)</t>
  </si>
  <si>
    <t xml:space="preserve">Throughput Disincentive </t>
  </si>
  <si>
    <t>Net Shared Benefits</t>
  </si>
  <si>
    <t>Program Cost</t>
  </si>
  <si>
    <t>Difference in Program Cost Regulatory Asset/(Liability) (Current $) w/ Interest</t>
  </si>
  <si>
    <t>Cumulative Balance in Program Cost Regulatory Asset/(Liability) w/ Interest</t>
  </si>
  <si>
    <t>Difference in Shared Benefit Regulatory Asset/(Liability) (Current $) w/ Interest</t>
  </si>
  <si>
    <t>Cumulative Balance in Shared Benefit Regulatory Asset/(Liability) w/ Interest</t>
  </si>
  <si>
    <t xml:space="preserve">   90% of Net Shared Benefits</t>
  </si>
  <si>
    <t xml:space="preserve">   Difference of 90% Net Sh Benefits and Revenue</t>
  </si>
  <si>
    <t>MEEIA Cumulative Booked Costs with Accruals and corrections (2013 $)</t>
  </si>
  <si>
    <t xml:space="preserve">   AFUDC Int Rate Equity on Difference of 90% Net Sh Benefits and Revenue</t>
  </si>
  <si>
    <t xml:space="preserve">   AFUDC Int Rate Debt on Difference of 90% Net Sh Benefits and Revenue</t>
  </si>
  <si>
    <t>Difference in 90% Sh Bene Reg Asset/(Liab) (Current $) w/ Interest</t>
  </si>
  <si>
    <t>Cumulative Balance in Shared Benefit Reg Asset/(Liab) with Interest at 90%</t>
  </si>
  <si>
    <t xml:space="preserve">   Capitalization Debt Rate (annual)</t>
  </si>
  <si>
    <t xml:space="preserve">   Capitalization Debt Rate (monthly)</t>
  </si>
  <si>
    <t>Total AFUDC Interest Debt and Equity (90% Net Sh Benefits)</t>
  </si>
  <si>
    <t>MEEIA Debt Cost (on 90% Shared Benefit Reg Asset) (Current $)</t>
  </si>
  <si>
    <t xml:space="preserve">Cumulative MEEIA Debt Cost Shared Benefit Contra Asset </t>
  </si>
  <si>
    <t>MEEIA Current month Debt Cost Shared Benefit Contra Asset (Current $)</t>
  </si>
  <si>
    <t xml:space="preserve">   Difference of 100% Net Sh Benefits and Revenue</t>
  </si>
  <si>
    <t>MEEIA Debt Cost (on 100% Shared Benefit Reg Asset) (Current $)</t>
  </si>
  <si>
    <t>Total AFUDC Interest Debt and Equity (100% Net Sh Benefits)</t>
  </si>
  <si>
    <t>MEEIA Current month Equity Portion Shared Benefit Contra Asset (Current $)</t>
  </si>
  <si>
    <t xml:space="preserve">Cumulative MEEIA Equity Portion Shared Benefit Contra Asset </t>
  </si>
  <si>
    <t xml:space="preserve">  AFUDC Interest Rate Equity portion (monthly rate)</t>
  </si>
  <si>
    <t xml:space="preserve">   AFUDC Interest Rate Debt portion (monthly rate)</t>
  </si>
  <si>
    <t>ST Borrowing rate (annual rate)</t>
  </si>
  <si>
    <t>Interest portion (Current $) - ST rate</t>
  </si>
  <si>
    <t>Cumulative interest LTD</t>
  </si>
  <si>
    <t xml:space="preserve">   Interest (Current $) - 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</si>
</sst>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0"/>
      <color indexed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7C5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35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20" borderId="0" applyNumberFormat="0" applyAlignment="0">
      <alignment horizontal="right"/>
    </xf>
    <xf numFmtId="0" fontId="12" fillId="21" borderId="0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6">
    <xf numFmtId="0" fontId="0" fillId="0" borderId="0" xfId="0"/>
    <xf numFmtId="10" fontId="0" fillId="4" borderId="2" xfId="3" applyNumberFormat="1" applyFont="1"/>
    <xf numFmtId="0" fontId="4" fillId="0" borderId="0" xfId="0" applyFont="1"/>
    <xf numFmtId="0" fontId="0" fillId="5" borderId="0" xfId="0" applyFill="1"/>
    <xf numFmtId="0" fontId="5" fillId="0" borderId="0" xfId="0" applyFont="1"/>
    <xf numFmtId="0" fontId="0" fillId="9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8" borderId="6" xfId="2" applyNumberFormat="1" applyFont="1" applyFill="1" applyBorder="1"/>
    <xf numFmtId="164" fontId="5" fillId="8" borderId="7" xfId="2" applyNumberFormat="1" applyFont="1" applyFill="1" applyBorder="1"/>
    <xf numFmtId="164" fontId="5" fillId="8" borderId="8" xfId="2" applyNumberFormat="1" applyFont="1" applyFill="1" applyBorder="1"/>
    <xf numFmtId="164" fontId="10" fillId="7" borderId="6" xfId="2" applyNumberFormat="1" applyFont="1" applyFill="1" applyBorder="1" applyProtection="1">
      <protection locked="0"/>
    </xf>
    <xf numFmtId="164" fontId="10" fillId="7" borderId="7" xfId="2" applyNumberFormat="1" applyFont="1" applyFill="1" applyBorder="1" applyProtection="1">
      <protection locked="0"/>
    </xf>
    <xf numFmtId="164" fontId="10" fillId="7" borderId="8" xfId="2" applyNumberFormat="1" applyFont="1" applyFill="1" applyBorder="1" applyProtection="1">
      <protection locked="0"/>
    </xf>
    <xf numFmtId="0" fontId="10" fillId="5" borderId="0" xfId="0" applyFont="1" applyFill="1"/>
    <xf numFmtId="164" fontId="10" fillId="8" borderId="6" xfId="2" applyNumberFormat="1" applyFont="1" applyFill="1" applyBorder="1" applyProtection="1"/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0" fillId="8" borderId="9" xfId="2" applyNumberFormat="1" applyFont="1" applyFill="1" applyBorder="1" applyProtection="1"/>
    <xf numFmtId="164" fontId="10" fillId="8" borderId="10" xfId="2" applyNumberFormat="1" applyFont="1" applyFill="1" applyBorder="1" applyProtection="1"/>
    <xf numFmtId="164" fontId="10" fillId="8" borderId="11" xfId="2" applyNumberFormat="1" applyFont="1" applyFill="1" applyBorder="1" applyProtection="1"/>
    <xf numFmtId="164" fontId="11" fillId="7" borderId="7" xfId="2" applyNumberFormat="1" applyFont="1" applyFill="1" applyBorder="1" applyProtection="1">
      <protection locked="0"/>
    </xf>
    <xf numFmtId="164" fontId="11" fillId="7" borderId="8" xfId="2" applyNumberFormat="1" applyFont="1" applyFill="1" applyBorder="1" applyProtection="1">
      <protection locked="0"/>
    </xf>
    <xf numFmtId="164" fontId="11" fillId="0" borderId="6" xfId="2" applyNumberFormat="1" applyFont="1" applyFill="1" applyBorder="1" applyProtection="1"/>
    <xf numFmtId="164" fontId="11" fillId="0" borderId="7" xfId="2" applyNumberFormat="1" applyFont="1" applyFill="1" applyBorder="1" applyProtection="1"/>
    <xf numFmtId="164" fontId="11" fillId="0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0" fontId="6" fillId="5" borderId="0" xfId="0" applyFont="1" applyFill="1"/>
    <xf numFmtId="0" fontId="6" fillId="0" borderId="0" xfId="0" applyFont="1"/>
    <xf numFmtId="0" fontId="6" fillId="9" borderId="0" xfId="0" applyFont="1" applyFill="1"/>
    <xf numFmtId="165" fontId="10" fillId="7" borderId="7" xfId="5" applyNumberFormat="1" applyFont="1" applyFill="1" applyBorder="1" applyProtection="1">
      <protection locked="0"/>
    </xf>
    <xf numFmtId="165" fontId="10" fillId="7" borderId="8" xfId="5" applyNumberFormat="1" applyFont="1" applyFill="1" applyBorder="1" applyProtection="1">
      <protection locked="0"/>
    </xf>
    <xf numFmtId="165" fontId="11" fillId="7" borderId="7" xfId="5" applyNumberFormat="1" applyFont="1" applyFill="1" applyBorder="1" applyProtection="1">
      <protection locked="0"/>
    </xf>
    <xf numFmtId="164" fontId="5" fillId="17" borderId="7" xfId="2" applyNumberFormat="1" applyFont="1" applyFill="1" applyBorder="1"/>
    <xf numFmtId="164" fontId="5" fillId="17" borderId="8" xfId="2" applyNumberFormat="1" applyFont="1" applyFill="1" applyBorder="1"/>
    <xf numFmtId="164" fontId="5" fillId="17" borderId="6" xfId="2" applyNumberFormat="1" applyFont="1" applyFill="1" applyBorder="1"/>
    <xf numFmtId="164" fontId="11" fillId="17" borderId="6" xfId="2" applyNumberFormat="1" applyFont="1" applyFill="1" applyBorder="1" applyProtection="1"/>
    <xf numFmtId="164" fontId="11" fillId="17" borderId="7" xfId="2" applyNumberFormat="1" applyFont="1" applyFill="1" applyBorder="1" applyProtection="1"/>
    <xf numFmtId="164" fontId="11" fillId="17" borderId="8" xfId="2" applyNumberFormat="1" applyFont="1" applyFill="1" applyBorder="1" applyProtection="1"/>
    <xf numFmtId="0" fontId="0" fillId="0" borderId="0" xfId="0" applyFill="1"/>
    <xf numFmtId="0" fontId="0" fillId="0" borderId="14" xfId="0" applyFill="1" applyBorder="1"/>
    <xf numFmtId="0" fontId="0" fillId="0" borderId="0" xfId="0"/>
    <xf numFmtId="0" fontId="5" fillId="0" borderId="0" xfId="0" applyFont="1"/>
    <xf numFmtId="0" fontId="5" fillId="8" borderId="0" xfId="0" applyFont="1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8" borderId="7" xfId="2" applyNumberFormat="1" applyFont="1" applyFill="1" applyBorder="1"/>
    <xf numFmtId="164" fontId="5" fillId="8" borderId="8" xfId="2" applyNumberFormat="1" applyFont="1" applyFill="1" applyBorder="1"/>
    <xf numFmtId="0" fontId="10" fillId="14" borderId="0" xfId="0" applyFont="1" applyFill="1" applyBorder="1" applyProtection="1">
      <protection locked="0"/>
    </xf>
    <xf numFmtId="164" fontId="10" fillId="7" borderId="7" xfId="2" applyNumberFormat="1" applyFont="1" applyFill="1" applyBorder="1" applyProtection="1">
      <protection locked="0"/>
    </xf>
    <xf numFmtId="164" fontId="10" fillId="7" borderId="8" xfId="2" applyNumberFormat="1" applyFont="1" applyFill="1" applyBorder="1" applyProtection="1">
      <protection locked="0"/>
    </xf>
    <xf numFmtId="164" fontId="10" fillId="8" borderId="6" xfId="2" applyNumberFormat="1" applyFont="1" applyFill="1" applyBorder="1" applyProtection="1"/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0" fillId="8" borderId="9" xfId="2" applyNumberFormat="1" applyFont="1" applyFill="1" applyBorder="1" applyProtection="1"/>
    <xf numFmtId="164" fontId="10" fillId="8" borderId="10" xfId="2" applyNumberFormat="1" applyFont="1" applyFill="1" applyBorder="1" applyProtection="1"/>
    <xf numFmtId="164" fontId="10" fillId="8" borderId="11" xfId="2" applyNumberFormat="1" applyFont="1" applyFill="1" applyBorder="1" applyProtection="1"/>
    <xf numFmtId="0" fontId="11" fillId="6" borderId="0" xfId="0" applyFont="1" applyFill="1" applyBorder="1" applyProtection="1">
      <protection locked="0"/>
    </xf>
    <xf numFmtId="164" fontId="11" fillId="7" borderId="7" xfId="2" applyNumberFormat="1" applyFont="1" applyFill="1" applyBorder="1" applyProtection="1">
      <protection locked="0"/>
    </xf>
    <xf numFmtId="164" fontId="11" fillId="7" borderId="8" xfId="2" applyNumberFormat="1" applyFont="1" applyFill="1" applyBorder="1" applyProtection="1">
      <protection locked="0"/>
    </xf>
    <xf numFmtId="164" fontId="11" fillId="0" borderId="6" xfId="2" applyNumberFormat="1" applyFont="1" applyFill="1" applyBorder="1" applyProtection="1"/>
    <xf numFmtId="164" fontId="11" fillId="0" borderId="7" xfId="2" applyNumberFormat="1" applyFont="1" applyFill="1" applyBorder="1" applyProtection="1"/>
    <xf numFmtId="164" fontId="11" fillId="0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0" fontId="0" fillId="0" borderId="6" xfId="0" applyBorder="1" applyAlignment="1" applyProtection="1">
      <alignment horizontal="center"/>
    </xf>
    <xf numFmtId="164" fontId="5" fillId="2" borderId="6" xfId="1" applyNumberFormat="1" applyFont="1" applyBorder="1" applyProtection="1"/>
    <xf numFmtId="164" fontId="5" fillId="3" borderId="6" xfId="2" applyNumberFormat="1" applyFont="1" applyBorder="1" applyProtection="1"/>
    <xf numFmtId="164" fontId="5" fillId="8" borderId="6" xfId="2" applyNumberFormat="1" applyFont="1" applyFill="1" applyBorder="1" applyProtection="1"/>
    <xf numFmtId="164" fontId="11" fillId="7" borderId="6" xfId="2" applyNumberFormat="1" applyFont="1" applyFill="1" applyBorder="1" applyProtection="1"/>
    <xf numFmtId="164" fontId="10" fillId="7" borderId="6" xfId="2" applyNumberFormat="1" applyFont="1" applyFill="1" applyBorder="1" applyProtection="1"/>
    <xf numFmtId="165" fontId="11" fillId="7" borderId="6" xfId="2" applyNumberFormat="1" applyFont="1" applyFill="1" applyBorder="1" applyProtection="1"/>
    <xf numFmtId="165" fontId="11" fillId="7" borderId="7" xfId="2" applyNumberFormat="1" applyFont="1" applyFill="1" applyBorder="1" applyProtection="1">
      <protection locked="0"/>
    </xf>
    <xf numFmtId="165" fontId="10" fillId="7" borderId="6" xfId="2" applyNumberFormat="1" applyFont="1" applyFill="1" applyBorder="1" applyProtection="1"/>
    <xf numFmtId="165" fontId="10" fillId="7" borderId="7" xfId="2" applyNumberFormat="1" applyFont="1" applyFill="1" applyBorder="1" applyProtection="1">
      <protection locked="0"/>
    </xf>
    <xf numFmtId="165" fontId="10" fillId="7" borderId="7" xfId="5" applyNumberFormat="1" applyFont="1" applyFill="1" applyBorder="1" applyProtection="1">
      <protection locked="0"/>
    </xf>
    <xf numFmtId="165" fontId="11" fillId="7" borderId="7" xfId="5" applyNumberFormat="1" applyFont="1" applyFill="1" applyBorder="1" applyProtection="1">
      <protection locked="0"/>
    </xf>
    <xf numFmtId="165" fontId="11" fillId="7" borderId="8" xfId="5" applyNumberFormat="1" applyFont="1" applyFill="1" applyBorder="1" applyProtection="1">
      <protection locked="0"/>
    </xf>
    <xf numFmtId="0" fontId="0" fillId="15" borderId="0" xfId="0" applyFill="1"/>
    <xf numFmtId="165" fontId="0" fillId="0" borderId="0" xfId="5" applyNumberFormat="1" applyFont="1"/>
    <xf numFmtId="164" fontId="0" fillId="0" borderId="0" xfId="0" applyNumberFormat="1"/>
    <xf numFmtId="0" fontId="5" fillId="17" borderId="0" xfId="0" applyFont="1" applyFill="1"/>
    <xf numFmtId="164" fontId="5" fillId="17" borderId="6" xfId="2" applyNumberFormat="1" applyFont="1" applyFill="1" applyBorder="1" applyProtection="1"/>
    <xf numFmtId="164" fontId="5" fillId="17" borderId="7" xfId="2" applyNumberFormat="1" applyFont="1" applyFill="1" applyBorder="1"/>
    <xf numFmtId="0" fontId="11" fillId="17" borderId="0" xfId="0" applyFont="1" applyFill="1" applyBorder="1" applyProtection="1">
      <protection locked="0"/>
    </xf>
    <xf numFmtId="164" fontId="11" fillId="17" borderId="6" xfId="2" applyNumberFormat="1" applyFont="1" applyFill="1" applyBorder="1" applyProtection="1"/>
    <xf numFmtId="164" fontId="11" fillId="17" borderId="7" xfId="2" applyNumberFormat="1" applyFont="1" applyFill="1" applyBorder="1" applyProtection="1"/>
    <xf numFmtId="164" fontId="11" fillId="17" borderId="8" xfId="2" applyNumberFormat="1" applyFont="1" applyFill="1" applyBorder="1" applyProtection="1"/>
    <xf numFmtId="0" fontId="5" fillId="18" borderId="0" xfId="0" applyFont="1" applyFill="1"/>
    <xf numFmtId="0" fontId="0" fillId="0" borderId="0" xfId="0" applyFill="1"/>
    <xf numFmtId="164" fontId="0" fillId="0" borderId="0" xfId="0" applyNumberFormat="1" applyFill="1" applyBorder="1"/>
    <xf numFmtId="0" fontId="5" fillId="18" borderId="14" xfId="0" applyFont="1" applyFill="1" applyBorder="1"/>
    <xf numFmtId="0" fontId="0" fillId="0" borderId="14" xfId="0" applyFill="1" applyBorder="1"/>
    <xf numFmtId="164" fontId="0" fillId="0" borderId="14" xfId="0" applyNumberFormat="1" applyFill="1" applyBorder="1"/>
    <xf numFmtId="164" fontId="5" fillId="2" borderId="15" xfId="1" applyNumberFormat="1" applyFont="1" applyBorder="1" applyProtection="1">
      <protection locked="0"/>
    </xf>
    <xf numFmtId="164" fontId="5" fillId="2" borderId="6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8" borderId="6" xfId="2" applyNumberFormat="1" applyFont="1" applyFill="1" applyBorder="1"/>
    <xf numFmtId="164" fontId="11" fillId="7" borderId="6" xfId="2" applyNumberFormat="1" applyFont="1" applyFill="1" applyBorder="1" applyProtection="1">
      <protection locked="0"/>
    </xf>
    <xf numFmtId="165" fontId="10" fillId="7" borderId="8" xfId="5" applyNumberFormat="1" applyFont="1" applyFill="1" applyBorder="1" applyProtection="1">
      <protection locked="0"/>
    </xf>
    <xf numFmtId="164" fontId="5" fillId="17" borderId="6" xfId="2" applyNumberFormat="1" applyFont="1" applyFill="1" applyBorder="1"/>
    <xf numFmtId="164" fontId="11" fillId="0" borderId="16" xfId="2" applyNumberFormat="1" applyFont="1" applyFill="1" applyBorder="1" applyProtection="1"/>
    <xf numFmtId="164" fontId="11" fillId="17" borderId="16" xfId="2" applyNumberFormat="1" applyFont="1" applyFill="1" applyBorder="1" applyProtection="1"/>
    <xf numFmtId="164" fontId="11" fillId="8" borderId="16" xfId="2" applyNumberFormat="1" applyFont="1" applyFill="1" applyBorder="1" applyProtection="1"/>
    <xf numFmtId="164" fontId="10" fillId="8" borderId="16" xfId="2" applyNumberFormat="1" applyFont="1" applyFill="1" applyBorder="1" applyProtection="1"/>
    <xf numFmtId="165" fontId="10" fillId="7" borderId="16" xfId="5" applyNumberFormat="1" applyFont="1" applyFill="1" applyBorder="1" applyProtection="1">
      <protection locked="0"/>
    </xf>
    <xf numFmtId="165" fontId="11" fillId="7" borderId="16" xfId="5" applyNumberFormat="1" applyFont="1" applyFill="1" applyBorder="1" applyProtection="1">
      <protection locked="0"/>
    </xf>
    <xf numFmtId="0" fontId="11" fillId="6" borderId="0" xfId="0" applyFont="1" applyFill="1" applyBorder="1" applyAlignment="1" applyProtection="1">
      <alignment horizontal="left" indent="1"/>
      <protection locked="0"/>
    </xf>
    <xf numFmtId="164" fontId="10" fillId="7" borderId="16" xfId="2" applyNumberFormat="1" applyFont="1" applyFill="1" applyBorder="1" applyProtection="1">
      <protection locked="0"/>
    </xf>
    <xf numFmtId="0" fontId="11" fillId="6" borderId="0" xfId="0" applyFont="1" applyFill="1" applyBorder="1" applyAlignment="1" applyProtection="1">
      <alignment horizontal="left" indent="1"/>
      <protection locked="0"/>
    </xf>
    <xf numFmtId="164" fontId="10" fillId="8" borderId="7" xfId="2" applyNumberFormat="1" applyFont="1" applyFill="1" applyBorder="1" applyProtection="1"/>
    <xf numFmtId="164" fontId="10" fillId="8" borderId="8" xfId="2" applyNumberFormat="1" applyFont="1" applyFill="1" applyBorder="1" applyProtection="1"/>
    <xf numFmtId="164" fontId="11" fillId="8" borderId="6" xfId="2" applyNumberFormat="1" applyFont="1" applyFill="1" applyBorder="1" applyProtection="1"/>
    <xf numFmtId="164" fontId="11" fillId="8" borderId="7" xfId="2" applyNumberFormat="1" applyFont="1" applyFill="1" applyBorder="1" applyProtection="1"/>
    <xf numFmtId="164" fontId="11" fillId="8" borderId="8" xfId="2" applyNumberFormat="1" applyFont="1" applyFill="1" applyBorder="1" applyProtection="1"/>
    <xf numFmtId="164" fontId="11" fillId="8" borderId="16" xfId="2" applyNumberFormat="1" applyFont="1" applyFill="1" applyBorder="1" applyProtection="1"/>
    <xf numFmtId="164" fontId="10" fillId="8" borderId="16" xfId="2" applyNumberFormat="1" applyFont="1" applyFill="1" applyBorder="1" applyProtection="1"/>
    <xf numFmtId="0" fontId="10" fillId="14" borderId="0" xfId="0" applyFont="1" applyFill="1" applyBorder="1" applyAlignment="1" applyProtection="1">
      <alignment horizontal="left" indent="1"/>
      <protection locked="0"/>
    </xf>
    <xf numFmtId="164" fontId="5" fillId="2" borderId="16" xfId="1" applyNumberFormat="1" applyFont="1" applyBorder="1" applyProtection="1">
      <protection locked="0"/>
    </xf>
    <xf numFmtId="165" fontId="10" fillId="7" borderId="17" xfId="5" applyNumberFormat="1" applyFont="1" applyFill="1" applyBorder="1" applyProtection="1">
      <protection locked="0"/>
    </xf>
    <xf numFmtId="164" fontId="0" fillId="0" borderId="0" xfId="0" applyNumberFormat="1" applyFill="1"/>
    <xf numFmtId="0" fontId="5" fillId="0" borderId="0" xfId="0" applyFont="1" applyFill="1"/>
    <xf numFmtId="164" fontId="0" fillId="0" borderId="0" xfId="0" applyNumberFormat="1" applyFill="1"/>
    <xf numFmtId="164" fontId="5" fillId="10" borderId="7" xfId="1" applyNumberFormat="1" applyFont="1" applyFill="1" applyBorder="1" applyProtection="1">
      <protection locked="0"/>
    </xf>
    <xf numFmtId="164" fontId="5" fillId="10" borderId="8" xfId="1" applyNumberFormat="1" applyFont="1" applyFill="1" applyBorder="1" applyProtection="1">
      <protection locked="0"/>
    </xf>
    <xf numFmtId="164" fontId="11" fillId="10" borderId="7" xfId="2" applyNumberFormat="1" applyFont="1" applyFill="1" applyBorder="1" applyProtection="1">
      <protection locked="0"/>
    </xf>
    <xf numFmtId="164" fontId="11" fillId="10" borderId="8" xfId="2" applyNumberFormat="1" applyFont="1" applyFill="1" applyBorder="1" applyProtection="1">
      <protection locked="0"/>
    </xf>
    <xf numFmtId="164" fontId="10" fillId="10" borderId="7" xfId="2" applyNumberFormat="1" applyFont="1" applyFill="1" applyBorder="1" applyProtection="1">
      <protection locked="0"/>
    </xf>
    <xf numFmtId="164" fontId="10" fillId="10" borderId="8" xfId="2" applyNumberFormat="1" applyFont="1" applyFill="1" applyBorder="1" applyProtection="1">
      <protection locked="0"/>
    </xf>
    <xf numFmtId="0" fontId="11" fillId="0" borderId="0" xfId="0" applyFont="1" applyFill="1"/>
    <xf numFmtId="0" fontId="10" fillId="0" borderId="0" xfId="0" applyFont="1" applyFill="1"/>
    <xf numFmtId="164" fontId="5" fillId="10" borderId="16" xfId="1" applyNumberFormat="1" applyFont="1" applyFill="1" applyBorder="1" applyProtection="1">
      <protection locked="0"/>
    </xf>
    <xf numFmtId="164" fontId="5" fillId="10" borderId="6" xfId="1" applyNumberFormat="1" applyFont="1" applyFill="1" applyBorder="1" applyProtection="1">
      <protection locked="0"/>
    </xf>
    <xf numFmtId="164" fontId="5" fillId="0" borderId="15" xfId="2" applyNumberFormat="1" applyFont="1" applyFill="1" applyBorder="1"/>
    <xf numFmtId="164" fontId="5" fillId="0" borderId="7" xfId="2" applyNumberFormat="1" applyFont="1" applyFill="1" applyBorder="1"/>
    <xf numFmtId="164" fontId="11" fillId="10" borderId="6" xfId="2" applyNumberFormat="1" applyFont="1" applyFill="1" applyBorder="1" applyProtection="1">
      <protection locked="0"/>
    </xf>
    <xf numFmtId="164" fontId="5" fillId="0" borderId="8" xfId="2" applyNumberFormat="1" applyFont="1" applyFill="1" applyBorder="1"/>
    <xf numFmtId="164" fontId="10" fillId="10" borderId="6" xfId="2" applyNumberFormat="1" applyFont="1" applyFill="1" applyBorder="1" applyProtection="1">
      <protection locked="0"/>
    </xf>
    <xf numFmtId="165" fontId="10" fillId="7" borderId="6" xfId="5" applyNumberFormat="1" applyFont="1" applyFill="1" applyBorder="1" applyProtection="1">
      <protection locked="0"/>
    </xf>
    <xf numFmtId="164" fontId="5" fillId="7" borderId="16" xfId="1" applyNumberFormat="1" applyFont="1" applyFill="1" applyBorder="1" applyProtection="1">
      <protection locked="0"/>
    </xf>
    <xf numFmtId="164" fontId="5" fillId="7" borderId="8" xfId="1" applyNumberFormat="1" applyFont="1" applyFill="1" applyBorder="1" applyProtection="1">
      <protection locked="0"/>
    </xf>
    <xf numFmtId="164" fontId="5" fillId="7" borderId="7" xfId="1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19" borderId="0" xfId="0" applyFont="1" applyFill="1"/>
    <xf numFmtId="0" fontId="6" fillId="16" borderId="0" xfId="0" applyFont="1" applyFill="1" applyAlignment="1">
      <alignment horizontal="center" textRotation="90"/>
    </xf>
    <xf numFmtId="0" fontId="9" fillId="12" borderId="0" xfId="0" applyFont="1" applyFill="1" applyAlignment="1">
      <alignment vertical="center" textRotation="9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11" borderId="0" xfId="0" applyFont="1" applyFill="1" applyAlignment="1">
      <alignment horizontal="center" vertical="center" textRotation="90"/>
    </xf>
    <xf numFmtId="0" fontId="9" fillId="13" borderId="0" xfId="0" applyFont="1" applyFill="1" applyAlignment="1">
      <alignment horizontal="center" vertical="center" textRotation="90"/>
    </xf>
  </cellXfs>
  <cellStyles count="135">
    <cellStyle name="Calculation" xfId="2" builtinId="22"/>
    <cellStyle name="Comma 2" xfId="7"/>
    <cellStyle name="Comma 3" xfId="8"/>
    <cellStyle name="Comma 4" xfId="9"/>
    <cellStyle name="Currency [0] 2" xfId="10"/>
    <cellStyle name="Currency 10" xfId="11"/>
    <cellStyle name="Currency 2" xfId="12"/>
    <cellStyle name="Currency 2 2" xfId="13"/>
    <cellStyle name="Currency 3" xfId="14"/>
    <cellStyle name="Currency 4" xfId="15"/>
    <cellStyle name="Currency 5" xfId="16"/>
    <cellStyle name="Currency 6" xfId="17"/>
    <cellStyle name="Currency 7" xfId="18"/>
    <cellStyle name="Currency 8" xfId="19"/>
    <cellStyle name="Currency 9" xfId="20"/>
    <cellStyle name="Data Field" xfId="21"/>
    <cellStyle name="Data Name" xfId="22"/>
    <cellStyle name="Hyperlink 2" xfId="23"/>
    <cellStyle name="Hyperlink 3" xfId="24"/>
    <cellStyle name="Input" xfId="1" builtinId="20"/>
    <cellStyle name="Normal" xfId="0" builtinId="0"/>
    <cellStyle name="Normal 10" xfId="25"/>
    <cellStyle name="Normal 10 2" xfId="26"/>
    <cellStyle name="Normal 11" xfId="27"/>
    <cellStyle name="Normal 12" xfId="28"/>
    <cellStyle name="Normal 13" xfId="29"/>
    <cellStyle name="Normal 14" xfId="30"/>
    <cellStyle name="Normal 15" xfId="31"/>
    <cellStyle name="Normal 16" xfId="32"/>
    <cellStyle name="Normal 18" xfId="33"/>
    <cellStyle name="Normal 19" xfId="34"/>
    <cellStyle name="Normal 2" xfId="6"/>
    <cellStyle name="Normal 2 2" xfId="35"/>
    <cellStyle name="Normal 2 2 2" xfId="36"/>
    <cellStyle name="Normal 2 2 3" xfId="37"/>
    <cellStyle name="Normal 2 2 4" xfId="38"/>
    <cellStyle name="Normal 2 2 5" xfId="39"/>
    <cellStyle name="Normal 2 2 6" xfId="40"/>
    <cellStyle name="Normal 2 2 7" xfId="41"/>
    <cellStyle name="Normal 2 2 8" xfId="42"/>
    <cellStyle name="Normal 2 2 9" xfId="43"/>
    <cellStyle name="Normal 2 3" xfId="44"/>
    <cellStyle name="Normal 2 4" xfId="45"/>
    <cellStyle name="Normal 2 4 2" xfId="46"/>
    <cellStyle name="Normal 2 5" xfId="47"/>
    <cellStyle name="Normal 26" xfId="48"/>
    <cellStyle name="Normal 27" xfId="49"/>
    <cellStyle name="Normal 28" xfId="50"/>
    <cellStyle name="Normal 3" xfId="51"/>
    <cellStyle name="Normal 3 2" xfId="52"/>
    <cellStyle name="Normal 3 2 2" xfId="53"/>
    <cellStyle name="Normal 3 2 3" xfId="54"/>
    <cellStyle name="Normal 3 2 4" xfId="55"/>
    <cellStyle name="Normal 3 2 5" xfId="56"/>
    <cellStyle name="Normal 3 2 6" xfId="57"/>
    <cellStyle name="Normal 3 2 7" xfId="58"/>
    <cellStyle name="Normal 3 2 8" xfId="59"/>
    <cellStyle name="Normal 3 2 9" xfId="60"/>
    <cellStyle name="Normal 3 3" xfId="61"/>
    <cellStyle name="Normal 3 40" xfId="62"/>
    <cellStyle name="Normal 36" xfId="63"/>
    <cellStyle name="Normal 37" xfId="64"/>
    <cellStyle name="Normal 38" xfId="65"/>
    <cellStyle name="Normal 39" xfId="66"/>
    <cellStyle name="Normal 4" xfId="4"/>
    <cellStyle name="Normal 4 2" xfId="67"/>
    <cellStyle name="Normal 4 3" xfId="68"/>
    <cellStyle name="Normal 40" xfId="69"/>
    <cellStyle name="Normal 41" xfId="70"/>
    <cellStyle name="Normal 42" xfId="71"/>
    <cellStyle name="Normal 43" xfId="72"/>
    <cellStyle name="Normal 44" xfId="73"/>
    <cellStyle name="Normal 45" xfId="74"/>
    <cellStyle name="Normal 46" xfId="75"/>
    <cellStyle name="Normal 47" xfId="76"/>
    <cellStyle name="Normal 48" xfId="77"/>
    <cellStyle name="Normal 49" xfId="78"/>
    <cellStyle name="Normal 5" xfId="79"/>
    <cellStyle name="Normal 5 2" xfId="80"/>
    <cellStyle name="Normal 5 3" xfId="81"/>
    <cellStyle name="Normal 5 4" xfId="82"/>
    <cellStyle name="Normal 50" xfId="83"/>
    <cellStyle name="Normal 51" xfId="84"/>
    <cellStyle name="Normal 52" xfId="85"/>
    <cellStyle name="Normal 53" xfId="86"/>
    <cellStyle name="Normal 54" xfId="87"/>
    <cellStyle name="Normal 55" xfId="88"/>
    <cellStyle name="Normal 56" xfId="89"/>
    <cellStyle name="Normal 57" xfId="90"/>
    <cellStyle name="Normal 58" xfId="91"/>
    <cellStyle name="Normal 59" xfId="92"/>
    <cellStyle name="Normal 6" xfId="93"/>
    <cellStyle name="Normal 6 2" xfId="94"/>
    <cellStyle name="Normal 6 3" xfId="95"/>
    <cellStyle name="Normal 60" xfId="96"/>
    <cellStyle name="Normal 61" xfId="97"/>
    <cellStyle name="Normal 62" xfId="98"/>
    <cellStyle name="Normal 63" xfId="99"/>
    <cellStyle name="Normal 64" xfId="100"/>
    <cellStyle name="Normal 65" xfId="101"/>
    <cellStyle name="Normal 66" xfId="102"/>
    <cellStyle name="Normal 67" xfId="103"/>
    <cellStyle name="Normal 69" xfId="104"/>
    <cellStyle name="Normal 7" xfId="105"/>
    <cellStyle name="Normal 70" xfId="106"/>
    <cellStyle name="Normal 71" xfId="107"/>
    <cellStyle name="Normal 72" xfId="108"/>
    <cellStyle name="Normal 73" xfId="109"/>
    <cellStyle name="Normal 74" xfId="110"/>
    <cellStyle name="Normal 75" xfId="111"/>
    <cellStyle name="Normal 76" xfId="112"/>
    <cellStyle name="Normal 77" xfId="113"/>
    <cellStyle name="Normal 78" xfId="114"/>
    <cellStyle name="Normal 79" xfId="115"/>
    <cellStyle name="Normal 8" xfId="116"/>
    <cellStyle name="Normal 80" xfId="117"/>
    <cellStyle name="Normal 81" xfId="118"/>
    <cellStyle name="Normal 82" xfId="119"/>
    <cellStyle name="Normal 83" xfId="120"/>
    <cellStyle name="Normal 84" xfId="121"/>
    <cellStyle name="Normal 85" xfId="122"/>
    <cellStyle name="Normal 86" xfId="123"/>
    <cellStyle name="Normal 87" xfId="124"/>
    <cellStyle name="Normal 9" xfId="125"/>
    <cellStyle name="Normal 9 2" xfId="126"/>
    <cellStyle name="Note" xfId="3" builtinId="10"/>
    <cellStyle name="Percent" xfId="5" builtinId="5"/>
    <cellStyle name="Percent 2" xfId="127"/>
    <cellStyle name="Percent 3" xfId="128"/>
    <cellStyle name="Percent 4" xfId="129"/>
    <cellStyle name="Percent 5" xfId="130"/>
    <cellStyle name="Percent 6" xfId="131"/>
    <cellStyle name="Percent 7" xfId="132"/>
    <cellStyle name="Percent 8" xfId="133"/>
    <cellStyle name="Percent 9" xfId="134"/>
  </cellStyles>
  <dxfs count="0"/>
  <tableStyles count="0" defaultTableStyle="TableStyleMedium2" defaultPivotStyle="PivotStyleLight16"/>
  <colors>
    <mruColors>
      <color rgb="FFBDFFBD"/>
      <color rgb="FF007A37"/>
      <color rgb="FFC028AE"/>
      <color rgb="FF99FF99"/>
      <color rgb="FFF7C5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AX52"/>
  <sheetViews>
    <sheetView tabSelected="1" view="pageLayout" topLeftCell="AM1" zoomScaleNormal="90" zoomScaleSheetLayoutView="80" workbookViewId="0">
      <selection activeCell="AM48" sqref="AM48"/>
    </sheetView>
  </sheetViews>
  <sheetFormatPr defaultColWidth="9.140625" defaultRowHeight="15" x14ac:dyDescent="0.25"/>
  <cols>
    <col min="1" max="1" width="2.7109375" style="36" customWidth="1"/>
    <col min="2" max="2" width="68.140625" customWidth="1"/>
    <col min="3" max="12" width="18.7109375" customWidth="1"/>
    <col min="13" max="13" width="17.85546875" customWidth="1"/>
    <col min="14" max="38" width="18.7109375" customWidth="1"/>
    <col min="39" max="50" width="16" bestFit="1" customWidth="1"/>
    <col min="16383" max="16384" width="0.85546875" customWidth="1"/>
  </cols>
  <sheetData>
    <row r="1" spans="1:50" ht="7.5" customHeight="1" x14ac:dyDescent="0.25">
      <c r="A1" s="3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50" x14ac:dyDescent="0.25">
      <c r="A2" s="35"/>
      <c r="B2" s="2" t="s">
        <v>15</v>
      </c>
      <c r="C2" t="s">
        <v>23</v>
      </c>
      <c r="AM2" s="103"/>
    </row>
    <row r="3" spans="1:50" x14ac:dyDescent="0.25">
      <c r="A3" s="35"/>
      <c r="B3" t="s">
        <v>14</v>
      </c>
      <c r="C3" s="1">
        <v>0.26340000000000002</v>
      </c>
      <c r="AF3" s="94"/>
      <c r="AM3" s="103"/>
    </row>
    <row r="4" spans="1:50" x14ac:dyDescent="0.25">
      <c r="A4" s="35"/>
      <c r="B4" t="s">
        <v>16</v>
      </c>
      <c r="C4" s="1">
        <v>6.9500000000000006E-2</v>
      </c>
      <c r="AD4" s="94"/>
      <c r="AE4" s="94"/>
      <c r="AF4" s="94"/>
      <c r="AM4" s="103"/>
    </row>
    <row r="5" spans="1:50" ht="15.75" thickBot="1" x14ac:dyDescent="0.3">
      <c r="A5" s="35"/>
      <c r="AF5" s="94"/>
      <c r="AM5" s="103"/>
    </row>
    <row r="6" spans="1:50" ht="15.75" thickTop="1" x14ac:dyDescent="0.25">
      <c r="A6" s="35"/>
      <c r="B6" s="49" t="s">
        <v>1</v>
      </c>
      <c r="C6" s="162">
        <v>2013</v>
      </c>
      <c r="D6" s="163"/>
      <c r="E6" s="163"/>
      <c r="F6" s="163"/>
      <c r="G6" s="163"/>
      <c r="H6" s="163"/>
      <c r="I6" s="163">
        <v>2013</v>
      </c>
      <c r="J6" s="163"/>
      <c r="K6" s="163"/>
      <c r="L6" s="163"/>
      <c r="M6" s="163"/>
      <c r="N6" s="163"/>
      <c r="O6" s="156">
        <v>2014</v>
      </c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8"/>
      <c r="AA6" s="156">
        <v>2015</v>
      </c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8"/>
      <c r="AM6" s="156">
        <v>2016</v>
      </c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8"/>
    </row>
    <row r="7" spans="1:50" x14ac:dyDescent="0.25">
      <c r="A7" s="35"/>
      <c r="B7" s="49" t="s">
        <v>0</v>
      </c>
      <c r="C7" s="79" t="s">
        <v>2</v>
      </c>
      <c r="D7" s="53" t="s">
        <v>3</v>
      </c>
      <c r="E7" s="53" t="s">
        <v>4</v>
      </c>
      <c r="F7" s="53" t="s">
        <v>5</v>
      </c>
      <c r="G7" s="53" t="s">
        <v>6</v>
      </c>
      <c r="H7" s="53" t="s">
        <v>7</v>
      </c>
      <c r="I7" s="53" t="s">
        <v>8</v>
      </c>
      <c r="J7" s="53" t="s">
        <v>9</v>
      </c>
      <c r="K7" s="53" t="s">
        <v>10</v>
      </c>
      <c r="L7" s="53" t="s">
        <v>11</v>
      </c>
      <c r="M7" s="53" t="s">
        <v>12</v>
      </c>
      <c r="N7" s="54" t="s">
        <v>13</v>
      </c>
      <c r="O7" s="52" t="s">
        <v>2</v>
      </c>
      <c r="P7" s="53" t="s">
        <v>3</v>
      </c>
      <c r="Q7" s="53" t="s">
        <v>4</v>
      </c>
      <c r="R7" s="53" t="s">
        <v>5</v>
      </c>
      <c r="S7" s="53" t="s">
        <v>6</v>
      </c>
      <c r="T7" s="53" t="s">
        <v>7</v>
      </c>
      <c r="U7" s="53" t="s">
        <v>8</v>
      </c>
      <c r="V7" s="53" t="s">
        <v>9</v>
      </c>
      <c r="W7" s="53" t="s">
        <v>10</v>
      </c>
      <c r="X7" s="53" t="s">
        <v>11</v>
      </c>
      <c r="Y7" s="7" t="s">
        <v>12</v>
      </c>
      <c r="Z7" s="8" t="s">
        <v>13</v>
      </c>
      <c r="AA7" s="6" t="s">
        <v>2</v>
      </c>
      <c r="AB7" s="7" t="s">
        <v>3</v>
      </c>
      <c r="AC7" s="7" t="s">
        <v>4</v>
      </c>
      <c r="AD7" s="7" t="s">
        <v>5</v>
      </c>
      <c r="AE7" s="7" t="s">
        <v>6</v>
      </c>
      <c r="AF7" s="7" t="s">
        <v>7</v>
      </c>
      <c r="AG7" s="7" t="s">
        <v>8</v>
      </c>
      <c r="AH7" s="7" t="s">
        <v>9</v>
      </c>
      <c r="AI7" s="7" t="s">
        <v>10</v>
      </c>
      <c r="AJ7" s="7" t="s">
        <v>11</v>
      </c>
      <c r="AK7" s="7" t="s">
        <v>12</v>
      </c>
      <c r="AL7" s="8" t="s">
        <v>13</v>
      </c>
      <c r="AM7" s="52" t="s">
        <v>2</v>
      </c>
      <c r="AN7" s="53" t="s">
        <v>3</v>
      </c>
      <c r="AO7" s="53" t="s">
        <v>4</v>
      </c>
      <c r="AP7" s="53" t="s">
        <v>5</v>
      </c>
      <c r="AQ7" s="53" t="s">
        <v>6</v>
      </c>
      <c r="AR7" s="53" t="s">
        <v>7</v>
      </c>
      <c r="AS7" s="53" t="s">
        <v>8</v>
      </c>
      <c r="AT7" s="53" t="s">
        <v>9</v>
      </c>
      <c r="AU7" s="53" t="s">
        <v>10</v>
      </c>
      <c r="AV7" s="53" t="s">
        <v>11</v>
      </c>
      <c r="AW7" s="53" t="s">
        <v>12</v>
      </c>
      <c r="AX7" s="54" t="s">
        <v>13</v>
      </c>
    </row>
    <row r="8" spans="1:50" s="4" customFormat="1" ht="15" customHeight="1" x14ac:dyDescent="0.25">
      <c r="A8" s="164" t="s">
        <v>32</v>
      </c>
      <c r="B8" s="50" t="s">
        <v>17</v>
      </c>
      <c r="C8" s="80">
        <v>989533.83</v>
      </c>
      <c r="D8" s="55">
        <v>6050495.0700000003</v>
      </c>
      <c r="E8" s="55">
        <v>12255839.720000001</v>
      </c>
      <c r="F8" s="55">
        <v>20252948.84</v>
      </c>
      <c r="G8" s="55">
        <v>36475956.090000004</v>
      </c>
      <c r="H8" s="55">
        <v>47820125.590000004</v>
      </c>
      <c r="I8" s="55">
        <v>64956308.109999999</v>
      </c>
      <c r="J8" s="55">
        <v>78747840.230000004</v>
      </c>
      <c r="K8" s="55">
        <v>99222018.890000001</v>
      </c>
      <c r="L8" s="55">
        <v>129401636.89080472</v>
      </c>
      <c r="M8" s="55">
        <v>151143153.22457176</v>
      </c>
      <c r="N8" s="56">
        <v>175442922.32681432</v>
      </c>
      <c r="O8" s="108">
        <f>188759065.567035-2046839.96448507</f>
        <v>186712225.60254991</v>
      </c>
      <c r="P8" s="55">
        <f>203176370.186149-2013013.30125128</f>
        <v>201163356.88489771</v>
      </c>
      <c r="Q8" s="55">
        <f>218038043.57044-1948934.40548501</f>
        <v>216089109.16495499</v>
      </c>
      <c r="R8" s="55">
        <f>234517031.990472-1936149.48775775</f>
        <v>232580882.50271425</v>
      </c>
      <c r="S8" s="55">
        <f>253362512.829885-1910579.65230323</f>
        <v>251451933.17758179</v>
      </c>
      <c r="T8" s="55">
        <f>273517157.558914-1906318.01306082</f>
        <v>271610839.5458532</v>
      </c>
      <c r="U8" s="55">
        <f>294464898.170809-1885009.81684872</f>
        <v>292579888.35396028</v>
      </c>
      <c r="V8" s="55">
        <f>318187170.154039-1832804.73612909</f>
        <v>316354365.41790992</v>
      </c>
      <c r="W8" s="55">
        <f>338025903.32642-1810431.13010638</f>
        <v>336215472.19631362</v>
      </c>
      <c r="X8" s="55">
        <f>356053473.519373-1776338.01616703</f>
        <v>354277135.50320596</v>
      </c>
      <c r="Y8" s="9">
        <f>378407236.018773-1759291.45919735</f>
        <v>376647944.55957568</v>
      </c>
      <c r="Z8" s="56">
        <f>400914015.994866-1743310.31203828</f>
        <v>399170705.68282771</v>
      </c>
      <c r="AA8" s="132">
        <f>414390610.906737-1788949.75997582</f>
        <v>412601661.14676124</v>
      </c>
      <c r="AB8" s="132">
        <f>425933667.86102-1786130.46509673</f>
        <v>424147537.39592332</v>
      </c>
      <c r="AC8" s="132">
        <f>442467974.454481-1783878.71020498</f>
        <v>440684095.74427605</v>
      </c>
      <c r="AD8" s="132">
        <f>463903587.726013-1767651.3509383</f>
        <v>462135936.37507468</v>
      </c>
      <c r="AE8" s="9">
        <f>484811948.422061-1743388.71196905</f>
        <v>483068559.71009195</v>
      </c>
      <c r="AF8" s="132">
        <f>503136510.216962-1743310.31203828</f>
        <v>501393199.90492368</v>
      </c>
      <c r="AG8" s="132">
        <f>529205320.211048-1743310.31203828</f>
        <v>527462009.8990097</v>
      </c>
      <c r="AH8" s="132">
        <f>551330702.62093-1743310.31203828</f>
        <v>549587392.30889165</v>
      </c>
      <c r="AI8" s="132">
        <f>578552420.550552-1743310.31203828</f>
        <v>576809110.23851371</v>
      </c>
      <c r="AJ8" s="132">
        <f>608343616.667831-1743640.89126232</f>
        <v>606599975.77656865</v>
      </c>
      <c r="AK8" s="137">
        <v>641565648</v>
      </c>
      <c r="AL8" s="138">
        <v>690906096</v>
      </c>
      <c r="AM8" s="145">
        <v>690906096</v>
      </c>
      <c r="AN8" s="153">
        <f>AM8</f>
        <v>690906096</v>
      </c>
      <c r="AO8" s="153">
        <f t="shared" ref="AO8:AX8" si="0">AN8</f>
        <v>690906096</v>
      </c>
      <c r="AP8" s="153">
        <f t="shared" si="0"/>
        <v>690906096</v>
      </c>
      <c r="AQ8" s="153">
        <f t="shared" si="0"/>
        <v>690906096</v>
      </c>
      <c r="AR8" s="153">
        <f t="shared" si="0"/>
        <v>690906096</v>
      </c>
      <c r="AS8" s="153">
        <f t="shared" si="0"/>
        <v>690906096</v>
      </c>
      <c r="AT8" s="153">
        <f t="shared" si="0"/>
        <v>690906096</v>
      </c>
      <c r="AU8" s="153">
        <f t="shared" si="0"/>
        <v>690906096</v>
      </c>
      <c r="AV8" s="153">
        <f t="shared" si="0"/>
        <v>690906096</v>
      </c>
      <c r="AW8" s="153">
        <f t="shared" si="0"/>
        <v>690906096</v>
      </c>
      <c r="AX8" s="154">
        <f t="shared" si="0"/>
        <v>690906096</v>
      </c>
    </row>
    <row r="9" spans="1:50" s="4" customFormat="1" x14ac:dyDescent="0.25">
      <c r="A9" s="164"/>
      <c r="B9" s="50" t="s">
        <v>18</v>
      </c>
      <c r="C9" s="80">
        <v>2195840.36</v>
      </c>
      <c r="D9" s="55">
        <v>1190166.3700000001</v>
      </c>
      <c r="E9" s="55">
        <v>1730567.21</v>
      </c>
      <c r="F9" s="55">
        <v>2443276.02</v>
      </c>
      <c r="G9" s="55">
        <v>3186030.51</v>
      </c>
      <c r="H9" s="55">
        <v>2437514.62</v>
      </c>
      <c r="I9" s="55">
        <v>3135571.38</v>
      </c>
      <c r="J9" s="55">
        <v>3407447.34</v>
      </c>
      <c r="K9" s="55">
        <v>3466579.23</v>
      </c>
      <c r="L9" s="55">
        <v>3291290.37</v>
      </c>
      <c r="M9" s="55">
        <v>2992444.7</v>
      </c>
      <c r="N9" s="56">
        <v>4955673.8</v>
      </c>
      <c r="O9" s="109">
        <v>2979620.64</v>
      </c>
      <c r="P9" s="55">
        <v>1886488.68</v>
      </c>
      <c r="Q9" s="55">
        <v>3814682.28</v>
      </c>
      <c r="R9" s="55">
        <v>3480244.98</v>
      </c>
      <c r="S9" s="55">
        <v>3991356.07</v>
      </c>
      <c r="T9" s="55">
        <v>4228747.97</v>
      </c>
      <c r="U9" s="55">
        <v>4141549.2900000005</v>
      </c>
      <c r="V9" s="55">
        <v>3054961.82</v>
      </c>
      <c r="W9" s="55">
        <v>4051076.32</v>
      </c>
      <c r="X9" s="55">
        <v>3483604.7300000004</v>
      </c>
      <c r="Y9" s="9">
        <v>3350783.93</v>
      </c>
      <c r="Z9" s="10">
        <v>3054973.16</v>
      </c>
      <c r="AA9" s="109">
        <v>2291421.42</v>
      </c>
      <c r="AB9" s="9">
        <v>1087071.55</v>
      </c>
      <c r="AC9" s="9">
        <v>3061993.43</v>
      </c>
      <c r="AD9" s="55">
        <v>3980583.62</v>
      </c>
      <c r="AE9" s="9">
        <v>4764906.42</v>
      </c>
      <c r="AF9" s="55">
        <v>3439665.03</v>
      </c>
      <c r="AG9" s="55">
        <v>4598982.75</v>
      </c>
      <c r="AH9" s="9">
        <v>6098558.6299999999</v>
      </c>
      <c r="AI9" s="9">
        <v>4318939.1399999997</v>
      </c>
      <c r="AJ9" s="55">
        <v>4743168.53</v>
      </c>
      <c r="AK9" s="137">
        <v>7270761.3200000003</v>
      </c>
      <c r="AL9" s="138">
        <v>11057583.33</v>
      </c>
      <c r="AM9" s="146">
        <v>689000</v>
      </c>
      <c r="AN9" s="155">
        <v>0</v>
      </c>
      <c r="AO9" s="155">
        <f t="shared" ref="AO9:AX9" si="1">AN9</f>
        <v>0</v>
      </c>
      <c r="AP9" s="155">
        <f t="shared" si="1"/>
        <v>0</v>
      </c>
      <c r="AQ9" s="155">
        <f t="shared" si="1"/>
        <v>0</v>
      </c>
      <c r="AR9" s="155">
        <f t="shared" si="1"/>
        <v>0</v>
      </c>
      <c r="AS9" s="155">
        <f t="shared" si="1"/>
        <v>0</v>
      </c>
      <c r="AT9" s="155">
        <f t="shared" si="1"/>
        <v>0</v>
      </c>
      <c r="AU9" s="155">
        <f t="shared" si="1"/>
        <v>0</v>
      </c>
      <c r="AV9" s="155">
        <f t="shared" si="1"/>
        <v>0</v>
      </c>
      <c r="AW9" s="155">
        <f t="shared" si="1"/>
        <v>0</v>
      </c>
      <c r="AX9" s="154">
        <f t="shared" si="1"/>
        <v>0</v>
      </c>
    </row>
    <row r="10" spans="1:50" s="4" customFormat="1" x14ac:dyDescent="0.25">
      <c r="A10" s="164"/>
      <c r="B10" s="50" t="s">
        <v>40</v>
      </c>
      <c r="C10" s="81">
        <f>IF(C9&lt;&gt;"",SUM($C$9:C9)/(1+$C$4)^($C$6-2013),"")</f>
        <v>2195840.36</v>
      </c>
      <c r="D10" s="57">
        <f>IF(D9&lt;&gt;"",SUM($C$9:D9)/(1+$C$4)^($C$6-2013),"")</f>
        <v>3386006.73</v>
      </c>
      <c r="E10" s="57">
        <f>IF(E9&lt;&gt;"",SUM($C$9:E9)/(1+$C$4)^($C$6-2013),"")</f>
        <v>5116573.9399999995</v>
      </c>
      <c r="F10" s="57">
        <f>IF(F9&lt;&gt;"",SUM($C$9:F9)/(1+$C$4)^($C$6-2013),"")</f>
        <v>7559849.959999999</v>
      </c>
      <c r="G10" s="57">
        <f>IF(G9&lt;&gt;"",SUM($C$9:G9)/(1+$C$4)^($C$6-2013),"")</f>
        <v>10745880.469999999</v>
      </c>
      <c r="H10" s="57">
        <f>IF(H9&lt;&gt;"",SUM($C$9:H9)/(1+$C$4)^($C$6-2013),"")</f>
        <v>13183395.09</v>
      </c>
      <c r="I10" s="57">
        <f>IF(I9&lt;&gt;"",SUM($C$9:I9)/(1+$C$4)^($C$6-2013),"")</f>
        <v>16318966.469999999</v>
      </c>
      <c r="J10" s="57">
        <f>IF(J9&lt;&gt;"",SUM($C$9:J9)/(1+$C$4)^($C$6-2013),"")</f>
        <v>19726413.809999999</v>
      </c>
      <c r="K10" s="57">
        <f>IF(K9&lt;&gt;"",SUM($C$9:K9)/(1+$C$4)^($C$6-2013),"")</f>
        <v>23192993.039999999</v>
      </c>
      <c r="L10" s="57">
        <f>IF(L9&lt;&gt;"",SUM($C$9:L9)/(1+$C$4)^($C$6-2013),"")</f>
        <v>26484283.41</v>
      </c>
      <c r="M10" s="57">
        <f>IF(M9&lt;&gt;"",SUM($C$9:M9)/(1+$C$4)^($C$6-2013),"")</f>
        <v>29476728.109999999</v>
      </c>
      <c r="N10" s="58">
        <f>IF(N9&lt;&gt;"",SUM($C$9:N9)/(1+$C$4)^($C$6-2013),"")</f>
        <v>34432401.909999996</v>
      </c>
      <c r="O10" s="110">
        <f>IF(O9&lt;&gt;"",SUM($C$9:$N$9)/(1+$C$4)^($C$6-2013)+SUM($O$9:O9)/(1+$C$4)^($O$6-2013),"")</f>
        <v>37218395.963295929</v>
      </c>
      <c r="P10" s="57">
        <f>IF(P9&lt;&gt;"",SUM($C$9:$N$9)/(1+$C$4)^($C$6-2013)+SUM($O$9:P9)/(1+$C$4)^($O$6-2013),"")</f>
        <v>38982293.747307152</v>
      </c>
      <c r="Q10" s="57">
        <f>IF(Q9&lt;&gt;"",SUM($C$9:$N$9)/(1+$C$4)^($C$6-2013)+SUM($O$9:Q9)/(1+$C$4)^($O$6-2013),"")</f>
        <v>42549084.097938284</v>
      </c>
      <c r="R10" s="57">
        <f>IF(R9&lt;&gt;"",SUM($C$9:$N$9)/(1+$C$4)^($C$6-2013)+SUM($O$9:R9)/(1+$C$4)^($O$6-2013),"")</f>
        <v>45803170.100743331</v>
      </c>
      <c r="S10" s="57">
        <f>IF(S9&lt;&gt;"",SUM($C$9:$N$9)/(1+$C$4)^($C$6-2013)+SUM($O$9:S9)/(1+$C$4)^($O$6-2013),"")</f>
        <v>49535153.335899949</v>
      </c>
      <c r="T10" s="57">
        <f>IF(T9&lt;&gt;"",SUM($C$9:$N$9)/(1+$C$4)^($C$6-2013)+SUM($O$9:T9)/(1+$C$4)^($O$6-2013),"")</f>
        <v>53489101.881949499</v>
      </c>
      <c r="U10" s="57">
        <f>IF(U9&lt;&gt;"",SUM($C$9:$N$9)/(1+$C$4)^($C$6-2013)+SUM($O$9:U9)/(1+$C$4)^($O$6-2013),"")</f>
        <v>57361518.235385686</v>
      </c>
      <c r="V10" s="57">
        <f>IF(V9&lt;&gt;"",SUM($C$9:$N$9)/(1+$C$4)^($C$6-2013)+SUM($O$9:V9)/(1+$C$4)^($O$6-2013),"")</f>
        <v>60217957.524773255</v>
      </c>
      <c r="W10" s="57">
        <f>IF(W9&lt;&gt;"",SUM($C$9:$N$9)/(1+$C$4)^($C$6-2013)+SUM($O$9:W9)/(1+$C$4)^($O$6-2013),"")</f>
        <v>64005780.170869559</v>
      </c>
      <c r="X10" s="57">
        <f>IF(X9&lt;&gt;"",SUM($C$9:$N$9)/(1+$C$4)^($C$6-2013)+SUM($O$9:X9)/(1+$C$4)^($O$6-2013),"")</f>
        <v>67263007.594899476</v>
      </c>
      <c r="Y10" s="12">
        <f>IF(Y9&lt;&gt;"",SUM($C$9:$N$9)/(1+$C$4)^($C$6-2013)+SUM($O$9:Y9)/(1+$C$4)^($O$6-2013),"")</f>
        <v>70396045.397611022</v>
      </c>
      <c r="Z10" s="13">
        <f>IF(Z9&lt;&gt;"",SUM($C$9:$N$9)/(1+$C$4)^($C$6-2013)+SUM($O$9:Z9)/(1+$C$4)^($O$6-2013),"")</f>
        <v>73252495.290084153</v>
      </c>
      <c r="AA10" s="11">
        <f>IF(AA9&lt;&gt;"",SUM($C$9:$N$9)/(1+$C$4)^($C$6-2013)+SUM($O$9:$Z$9)/(1+$C$4)^($O$6-2013)+SUM($AA$9:AA9)/(1+$C$4)^($AA$6-2013),"")</f>
        <v>75255783.29545033</v>
      </c>
      <c r="AB10" s="12">
        <f>IF(AB9&lt;&gt;"",SUM($C$9:$N$9)/(1+$C$4)^($C$6-2013)+SUM($O$9:$Z$9)/(1+$C$4)^($O$6-2013)+SUM($AA$9:AB9)/(1+$C$4)^($AA$6-2013),"")</f>
        <v>76206161.684201643</v>
      </c>
      <c r="AC10" s="12">
        <f>IF(AC9&lt;&gt;"",SUM($C$9:$N$9)/(1+$C$4)^($C$6-2013)+SUM($O$9:$Z$9)/(1+$C$4)^($O$6-2013)+SUM($AA$9:AC9)/(1+$C$4)^($AA$6-2013),"")</f>
        <v>78883126.583495036</v>
      </c>
      <c r="AD10" s="12">
        <f>IF(AD9&lt;&gt;"",SUM($C$9:$N$9)/(1+$C$4)^($C$6-2013)+SUM($O$9:$Z$9)/(1+$C$4)^($O$6-2013)+SUM($AA$9:AD9)/(1+$C$4)^($AA$6-2013),"")</f>
        <v>82363174.099286824</v>
      </c>
      <c r="AE10" s="12">
        <f>IF(AE9&lt;&gt;"",SUM($C$9:$N$9)/(1+$C$4)^($C$6-2013)+SUM($O$9:$Z$9)/(1+$C$4)^($O$6-2013)+SUM($AA$9:AE9)/(1+$C$4)^($AA$6-2013),"")</f>
        <v>86528920.214149594</v>
      </c>
      <c r="AF10" s="12">
        <f>IF(AF9&lt;&gt;"",SUM($C$9:$N$9)/(1+$C$4)^($C$6-2013)+SUM($O$9:$Z$9)/(1+$C$4)^($O$6-2013)+SUM($AA$9:AF9)/(1+$C$4)^($AA$6-2013),"")</f>
        <v>89536066.624204755</v>
      </c>
      <c r="AG10" s="12">
        <f>IF(AG9&lt;&gt;"",SUM($C$9:$N$9)/(1+$C$4)^($C$6-2013)+SUM($O$9:$Z$9)/(1+$C$4)^($O$6-2013)+SUM($AA$9:AG9)/(1+$C$4)^($AA$6-2013),"")</f>
        <v>93556753.041616768</v>
      </c>
      <c r="AH10" s="12">
        <f>IF(AH9&lt;&gt;"",SUM($C$9:$N$9)/(1+$C$4)^($C$6-2013)+SUM($O$9:$Z$9)/(1+$C$4)^($O$6-2013)+SUM($AA$9:AH9)/(1+$C$4)^($AA$6-2013),"")</f>
        <v>98888452.0677616</v>
      </c>
      <c r="AI10" s="12">
        <f>IF(AI9&lt;&gt;"",SUM($C$9:$N$9)/(1+$C$4)^($C$6-2013)+SUM($O$9:$Z$9)/(1+$C$4)^($O$6-2013)+SUM($AA$9:AI9)/(1+$C$4)^($AA$6-2013),"")</f>
        <v>102664308.79125707</v>
      </c>
      <c r="AJ10" s="12">
        <f>IF(AJ9&lt;&gt;"",SUM($C$9:$N$9)/(1+$C$4)^($C$6-2013)+SUM($O$9:$Z$9)/(1+$C$4)^($O$6-2013)+SUM($AA$9:AJ9)/(1+$C$4)^($AA$6-2013),"")</f>
        <v>106811050.43408388</v>
      </c>
      <c r="AK10" s="12">
        <f>IF(AK9&lt;&gt;"",SUM($C$9:$N$9)/(1+$C$4)^($C$6-2013)+SUM($O$9:$Z$9)/(1+$C$4)^($O$6-2013)+SUM($AA$9:AK9)/(1+$C$4)^($AA$6-2013),"")</f>
        <v>113167554.22474687</v>
      </c>
      <c r="AL10" s="13">
        <f>IF(AL9&lt;&gt;"",SUM($C$9:$N$9)/(1+$C$4)^($C$6-2013)+SUM($O$9:$Z$9)/(1+$C$4)^($O$6-2013)+SUM($AA$9:AL9)/(1+$C$4)^($AA$6-2013),"")</f>
        <v>122834708.35885024</v>
      </c>
      <c r="AM10" s="147">
        <f>IF(AM9&lt;&gt;"",SUM($C$9:$N$9)/(1+$C$4)^($C$6-2013)+SUM($O$9:$Z$9)/(1+$C$4)^($O$6-2013)+SUM($AA$9:$AL$9)/(1+$C$4)^($AA$6-2013)+SUM($AM$9:AM9)/(1+$C$4)^($AM$6-2013),"")</f>
        <v>123397926.7856752</v>
      </c>
      <c r="AN10" s="148">
        <f>IF(AN9&lt;&gt;"",SUM($C$9:$N$9)/(1+$C$4)^($C$6-2013)+SUM($O$9:$Z$9)/(1+$C$4)^($O$6-2013)+SUM($AA$9:$AL$9)/(1+$C$4)^($AA$6-2013)+SUM($AM$9:AN9)/(1+$C$4)^($AM$6-2013),"")</f>
        <v>123397926.7856752</v>
      </c>
      <c r="AO10" s="148">
        <f>IF(AO9&lt;&gt;"",SUM($C$9:$N$9)/(1+$C$4)^($C$6-2013)+SUM($O$9:$Z$9)/(1+$C$4)^($O$6-2013)+SUM($AA$9:$AL$9)/(1+$C$4)^($AA$6-2013)+SUM($AM$9:AO9)/(1+$C$4)^($AM$6-2013),"")</f>
        <v>123397926.7856752</v>
      </c>
      <c r="AP10" s="148">
        <f>IF(AP9&lt;&gt;"",SUM($C$9:$N$9)/(1+$C$4)^($C$6-2013)+SUM($O$9:$Z$9)/(1+$C$4)^($O$6-2013)+SUM($AA$9:$AL$9)/(1+$C$4)^($AA$6-2013)+SUM($AM$9:AP9)/(1+$C$4)^($AM$6-2013),"")</f>
        <v>123397926.7856752</v>
      </c>
      <c r="AQ10" s="148">
        <f>IF(AQ9&lt;&gt;"",SUM($C$9:$N$9)/(1+$C$4)^($C$6-2013)+SUM($O$9:$Z$9)/(1+$C$4)^($O$6-2013)+SUM($AA$9:$AL$9)/(1+$C$4)^($AA$6-2013)+SUM($AM$9:AQ9)/(1+$C$4)^($AM$6-2013),"")</f>
        <v>123397926.7856752</v>
      </c>
      <c r="AR10" s="148">
        <f>IF(AR9&lt;&gt;"",SUM($C$9:$N$9)/(1+$C$4)^($C$6-2013)+SUM($O$9:$Z$9)/(1+$C$4)^($O$6-2013)+SUM($AA$9:$AL$9)/(1+$C$4)^($AA$6-2013)+SUM($AM$9:AR9)/(1+$C$4)^($AM$6-2013),"")</f>
        <v>123397926.7856752</v>
      </c>
      <c r="AS10" s="148">
        <f>IF(AS9&lt;&gt;"",SUM($C$9:$N$9)/(1+$C$4)^($C$6-2013)+SUM($O$9:$Z$9)/(1+$C$4)^($O$6-2013)+SUM($AA$9:$AL$9)/(1+$C$4)^($AA$6-2013)+SUM($AM$9:AS9)/(1+$C$4)^($AM$6-2013),"")</f>
        <v>123397926.7856752</v>
      </c>
      <c r="AT10" s="148">
        <f>IF(AT9&lt;&gt;"",SUM($C$9:$N$9)/(1+$C$4)^($C$6-2013)+SUM($O$9:$Z$9)/(1+$C$4)^($O$6-2013)+SUM($AA$9:$AL$9)/(1+$C$4)^($AA$6-2013)+SUM($AM$9:AT9)/(1+$C$4)^($AM$6-2013),"")</f>
        <v>123397926.7856752</v>
      </c>
      <c r="AU10" s="148">
        <f>IF(AU9&lt;&gt;"",SUM($C$9:$N$9)/(1+$C$4)^($C$6-2013)+SUM($O$9:$Z$9)/(1+$C$4)^($O$6-2013)+SUM($AA$9:$AL$9)/(1+$C$4)^($AA$6-2013)+SUM($AM$9:AU9)/(1+$C$4)^($AM$6-2013),"")</f>
        <v>123397926.7856752</v>
      </c>
      <c r="AV10" s="148">
        <f>IF(AV9&lt;&gt;"",SUM($C$9:$N$9)/(1+$C$4)^($C$6-2013)+SUM($O$9:$Z$9)/(1+$C$4)^($O$6-2013)+SUM($AA$9:$AL$9)/(1+$C$4)^($AA$6-2013)+SUM($AM$9:AV9)/(1+$C$4)^($AM$6-2013),"")</f>
        <v>123397926.7856752</v>
      </c>
      <c r="AW10" s="148">
        <f>IF(AW9&lt;&gt;"",SUM($C$9:$N$9)/(1+$C$4)^($C$6-2013)+SUM($O$9:$Z$9)/(1+$C$4)^($O$6-2013)+SUM($AA$9:$AL$9)/(1+$C$4)^($AA$6-2013)+SUM($AM$9:AW9)/(1+$C$4)^($AM$6-2013),"")</f>
        <v>123397926.7856752</v>
      </c>
      <c r="AX10" s="150">
        <f>IF(AX9&lt;&gt;"",SUM($C$9:$N$9)/(1+$C$4)^($C$6-2013)+SUM($O$9:$Z$9)/(1+$C$4)^($O$6-2013)+SUM($AA$9:$AL$9)/(1+$C$4)^($AA$6-2013)+SUM($AM$9:AX9)/(1+$C$4)^($AM$6-2013),"")</f>
        <v>123397926.7856752</v>
      </c>
    </row>
    <row r="11" spans="1:50" s="4" customFormat="1" x14ac:dyDescent="0.25">
      <c r="A11" s="164"/>
      <c r="B11" s="50" t="s">
        <v>19</v>
      </c>
      <c r="C11" s="81">
        <f>IF(AND(C8&lt;&gt;"",C10&lt;&gt;""),C8-C10,"")</f>
        <v>-1206306.5299999998</v>
      </c>
      <c r="D11" s="57">
        <f>IF(AND(D8&lt;&gt;"",D10&lt;&gt;""),D8-D10,"")</f>
        <v>2664488.3400000003</v>
      </c>
      <c r="E11" s="57">
        <f t="shared" ref="E11:H11" si="2">IF(AND(E8&lt;&gt;"",E10&lt;&gt;""),E8-E10,"")</f>
        <v>7139265.7800000012</v>
      </c>
      <c r="F11" s="57">
        <f t="shared" si="2"/>
        <v>12693098.880000001</v>
      </c>
      <c r="G11" s="57">
        <f t="shared" si="2"/>
        <v>25730075.620000005</v>
      </c>
      <c r="H11" s="57">
        <f t="shared" si="2"/>
        <v>34636730.5</v>
      </c>
      <c r="I11" s="57">
        <f>IF(AND(I8&lt;&gt;"",I10&lt;&gt;""),I8-I10,"")</f>
        <v>48637341.640000001</v>
      </c>
      <c r="J11" s="57">
        <f>IF(AND(J8&lt;&gt;"",J10&lt;&gt;""),J8-J10,"")</f>
        <v>59021426.420000002</v>
      </c>
      <c r="K11" s="57">
        <f t="shared" ref="K11:L11" si="3">IF(AND(K8&lt;&gt;"",K10&lt;&gt;""),K8-K10,"")</f>
        <v>76029025.849999994</v>
      </c>
      <c r="L11" s="57">
        <f t="shared" si="3"/>
        <v>102917353.48080473</v>
      </c>
      <c r="M11" s="57">
        <f>IF(AND(M8&lt;&gt;"",M10&lt;&gt;""),M8-M10,"")</f>
        <v>121666425.11457177</v>
      </c>
      <c r="N11" s="58">
        <f t="shared" ref="N11:Q11" si="4">IF(AND(N8&lt;&gt;"",N10&lt;&gt;""),N8-N10,"")</f>
        <v>141010520.41681433</v>
      </c>
      <c r="O11" s="110">
        <f t="shared" si="4"/>
        <v>149493829.63925397</v>
      </c>
      <c r="P11" s="57">
        <f t="shared" si="4"/>
        <v>162181063.13759056</v>
      </c>
      <c r="Q11" s="57">
        <f t="shared" si="4"/>
        <v>173540025.06701672</v>
      </c>
      <c r="R11" s="57">
        <f>IF(AND(R8&lt;&gt;"",R10&lt;&gt;""),R8-R10,"")</f>
        <v>186777712.40197092</v>
      </c>
      <c r="S11" s="57">
        <f t="shared" ref="S11:X11" si="5">IF(AND(S8&lt;&gt;"",S10&lt;&gt;""),S8-S10,"")</f>
        <v>201916779.84168184</v>
      </c>
      <c r="T11" s="57">
        <f t="shared" si="5"/>
        <v>218121737.66390371</v>
      </c>
      <c r="U11" s="57">
        <f t="shared" si="5"/>
        <v>235218370.11857459</v>
      </c>
      <c r="V11" s="57">
        <f t="shared" si="5"/>
        <v>256136407.89313668</v>
      </c>
      <c r="W11" s="57">
        <f t="shared" si="5"/>
        <v>272209692.02544403</v>
      </c>
      <c r="X11" s="57">
        <f t="shared" si="5"/>
        <v>287014127.90830648</v>
      </c>
      <c r="Y11" s="12">
        <f>IF(AND(Y8&lt;&gt;"",Y10&lt;&gt;""),Y8-Y10,"")</f>
        <v>306251899.16196465</v>
      </c>
      <c r="Z11" s="13">
        <f t="shared" ref="Z11" si="6">IF(AND(Z8&lt;&gt;"",Z10&lt;&gt;""),Z8-Z10,"")</f>
        <v>325918210.39274359</v>
      </c>
      <c r="AA11" s="11">
        <f t="shared" ref="AA11" si="7">IF(AND(AA8&lt;&gt;"",AA10&lt;&gt;""),AA8-AA10,"")</f>
        <v>337345877.85131091</v>
      </c>
      <c r="AB11" s="12">
        <f t="shared" ref="AB11" si="8">IF(AND(AB8&lt;&gt;"",AB10&lt;&gt;""),AB8-AB10,"")</f>
        <v>347941375.71172166</v>
      </c>
      <c r="AC11" s="12">
        <f t="shared" ref="AC11" si="9">IF(AND(AC8&lt;&gt;"",AC10&lt;&gt;""),AC8-AC10,"")</f>
        <v>361800969.16078103</v>
      </c>
      <c r="AD11" s="12">
        <f t="shared" ref="AD11" si="10">IF(AND(AD8&lt;&gt;"",AD10&lt;&gt;""),AD8-AD10,"")</f>
        <v>379772762.27578783</v>
      </c>
      <c r="AE11" s="12">
        <f t="shared" ref="AE11" si="11">IF(AND(AE8&lt;&gt;"",AE10&lt;&gt;""),AE8-AE10,"")</f>
        <v>396539639.49594235</v>
      </c>
      <c r="AF11" s="12">
        <f t="shared" ref="AF11" si="12">IF(AND(AF8&lt;&gt;"",AF10&lt;&gt;""),AF8-AF10,"")</f>
        <v>411857133.28071892</v>
      </c>
      <c r="AG11" s="12">
        <f t="shared" ref="AG11" si="13">IF(AND(AG8&lt;&gt;"",AG10&lt;&gt;""),AG8-AG10,"")</f>
        <v>433905256.85739291</v>
      </c>
      <c r="AH11" s="12">
        <f t="shared" ref="AH11" si="14">IF(AND(AH8&lt;&gt;"",AH10&lt;&gt;""),AH8-AH10,"")</f>
        <v>450698940.24113005</v>
      </c>
      <c r="AI11" s="12">
        <f t="shared" ref="AI11" si="15">IF(AND(AI8&lt;&gt;"",AI10&lt;&gt;""),AI8-AI10,"")</f>
        <v>474144801.44725662</v>
      </c>
      <c r="AJ11" s="12">
        <f t="shared" ref="AJ11" si="16">IF(AND(AJ8&lt;&gt;"",AJ10&lt;&gt;""),AJ8-AJ10,"")</f>
        <v>499788925.34248477</v>
      </c>
      <c r="AK11" s="12">
        <f t="shared" ref="AK11" si="17">IF(AND(AK8&lt;&gt;"",AK10&lt;&gt;""),AK8-AK10,"")</f>
        <v>528398093.77525312</v>
      </c>
      <c r="AL11" s="13">
        <f>IF(AND(AL8&lt;&gt;"",AL10&lt;&gt;""),AL8-AL10,"")</f>
        <v>568071387.64114976</v>
      </c>
      <c r="AM11" s="110">
        <f>IF(AND(AM8&lt;&gt;"",AM10&lt;&gt;""),AM8-AM10,"")</f>
        <v>567508169.21432483</v>
      </c>
      <c r="AN11" s="57">
        <f>IF(AND(AN8&lt;&gt;"",AN10&lt;&gt;""),AN8-AN10,"")</f>
        <v>567508169.21432483</v>
      </c>
      <c r="AO11" s="57">
        <f t="shared" ref="AO11:AW11" si="18">IF(AND(AO8&lt;&gt;"",AO10&lt;&gt;""),AO8-AO10,"")</f>
        <v>567508169.21432483</v>
      </c>
      <c r="AP11" s="57">
        <f t="shared" si="18"/>
        <v>567508169.21432483</v>
      </c>
      <c r="AQ11" s="57">
        <f t="shared" si="18"/>
        <v>567508169.21432483</v>
      </c>
      <c r="AR11" s="57">
        <f t="shared" si="18"/>
        <v>567508169.21432483</v>
      </c>
      <c r="AS11" s="57">
        <f t="shared" si="18"/>
        <v>567508169.21432483</v>
      </c>
      <c r="AT11" s="57">
        <f t="shared" si="18"/>
        <v>567508169.21432483</v>
      </c>
      <c r="AU11" s="57">
        <f t="shared" si="18"/>
        <v>567508169.21432483</v>
      </c>
      <c r="AV11" s="57">
        <f t="shared" si="18"/>
        <v>567508169.21432483</v>
      </c>
      <c r="AW11" s="57">
        <f t="shared" si="18"/>
        <v>567508169.21432483</v>
      </c>
      <c r="AX11" s="58">
        <f t="shared" ref="AX11" si="19">IF(AND(AX8&lt;&gt;"",AX10&lt;&gt;""),AX8-AX10,"")</f>
        <v>567508169.21432483</v>
      </c>
    </row>
    <row r="12" spans="1:50" s="4" customFormat="1" x14ac:dyDescent="0.25">
      <c r="A12" s="164"/>
      <c r="B12" s="50" t="s">
        <v>20</v>
      </c>
      <c r="C12" s="81">
        <f>IF(C11&lt;&gt;"",C11*$C$3,"")</f>
        <v>-317741.14000199997</v>
      </c>
      <c r="D12" s="57">
        <f t="shared" ref="D12:H12" si="20">IF(D11&lt;&gt;"",D11*$C$3,"")</f>
        <v>701826.22875600017</v>
      </c>
      <c r="E12" s="57">
        <f t="shared" si="20"/>
        <v>1880482.6064520006</v>
      </c>
      <c r="F12" s="57">
        <f t="shared" si="20"/>
        <v>3343362.2449920005</v>
      </c>
      <c r="G12" s="57">
        <f t="shared" si="20"/>
        <v>6777301.9183080019</v>
      </c>
      <c r="H12" s="57">
        <f t="shared" si="20"/>
        <v>9123314.8137000017</v>
      </c>
      <c r="I12" s="57">
        <f>IF(I11&lt;&gt;"",I11*$C$3,"")</f>
        <v>12811075.787976</v>
      </c>
      <c r="J12" s="57">
        <f>IF(J11&lt;&gt;"",J11*$C$3,"")</f>
        <v>15546243.719028002</v>
      </c>
      <c r="K12" s="57">
        <f t="shared" ref="K12:Q12" si="21">IF(K11&lt;&gt;"",K11*$C$3,"")</f>
        <v>20026045.408890001</v>
      </c>
      <c r="L12" s="57">
        <f t="shared" si="21"/>
        <v>27108430.906843968</v>
      </c>
      <c r="M12" s="57">
        <f>IF(M11&lt;&gt;"",M11*$C$3,"")</f>
        <v>32046936.375178207</v>
      </c>
      <c r="N12" s="58">
        <f t="shared" si="21"/>
        <v>37142171.077788897</v>
      </c>
      <c r="O12" s="110">
        <f t="shared" si="21"/>
        <v>39376674.726979502</v>
      </c>
      <c r="P12" s="57">
        <f t="shared" si="21"/>
        <v>42718492.030441359</v>
      </c>
      <c r="Q12" s="57">
        <f t="shared" si="21"/>
        <v>45710442.602652207</v>
      </c>
      <c r="R12" s="57">
        <f>IF(R11&lt;&gt;"",R11*$C$3,"")</f>
        <v>49197249.446679145</v>
      </c>
      <c r="S12" s="57">
        <f t="shared" ref="S12:X12" si="22">IF(S11&lt;&gt;"",S11*$C$3,"")</f>
        <v>53184879.810299002</v>
      </c>
      <c r="T12" s="57">
        <f t="shared" si="22"/>
        <v>57453265.700672247</v>
      </c>
      <c r="U12" s="57">
        <f t="shared" si="22"/>
        <v>61956518.689232551</v>
      </c>
      <c r="V12" s="57">
        <f t="shared" si="22"/>
        <v>67466329.8390522</v>
      </c>
      <c r="W12" s="57">
        <f t="shared" si="22"/>
        <v>71700032.879501969</v>
      </c>
      <c r="X12" s="57">
        <f t="shared" si="22"/>
        <v>75599521.291047931</v>
      </c>
      <c r="Y12" s="12">
        <f t="shared" ref="Y12" si="23">IF(Y11&lt;&gt;"",Y11*$C$3,"")</f>
        <v>80666750.239261493</v>
      </c>
      <c r="Z12" s="13">
        <f t="shared" ref="Z12" si="24">IF(Z11&lt;&gt;"",Z11*$C$3,"")</f>
        <v>85846856.617448673</v>
      </c>
      <c r="AA12" s="11">
        <f t="shared" ref="AA12" si="25">IF(AA11&lt;&gt;"",AA11*$C$3,"")</f>
        <v>88856904.226035297</v>
      </c>
      <c r="AB12" s="12">
        <f t="shared" ref="AB12" si="26">IF(AB11&lt;&gt;"",AB11*$C$3,"")</f>
        <v>91647758.362467498</v>
      </c>
      <c r="AC12" s="12">
        <f t="shared" ref="AC12" si="27">IF(AC11&lt;&gt;"",AC11*$C$3,"")</f>
        <v>95298375.276949733</v>
      </c>
      <c r="AD12" s="12">
        <f t="shared" ref="AD12" si="28">IF(AD11&lt;&gt;"",AD11*$C$3,"")</f>
        <v>100032145.58344252</v>
      </c>
      <c r="AE12" s="12">
        <f t="shared" ref="AE12" si="29">IF(AE11&lt;&gt;"",AE11*$C$3,"")</f>
        <v>104448541.04323122</v>
      </c>
      <c r="AF12" s="12">
        <f t="shared" ref="AF12" si="30">IF(AF11&lt;&gt;"",AF11*$C$3,"")</f>
        <v>108483168.90614137</v>
      </c>
      <c r="AG12" s="12">
        <f t="shared" ref="AG12" si="31">IF(AG11&lt;&gt;"",AG11*$C$3,"")</f>
        <v>114290644.6562373</v>
      </c>
      <c r="AH12" s="12">
        <f t="shared" ref="AH12" si="32">IF(AH11&lt;&gt;"",AH11*$C$3,"")</f>
        <v>118714100.85951367</v>
      </c>
      <c r="AI12" s="12">
        <f>IF(AI11&lt;&gt;"",AI11*$C$3,"")</f>
        <v>124889740.7012074</v>
      </c>
      <c r="AJ12" s="12">
        <f t="shared" ref="AJ12" si="33">IF(AJ11&lt;&gt;"",AJ11*$C$3,"")</f>
        <v>131644402.9352105</v>
      </c>
      <c r="AK12" s="12">
        <f t="shared" ref="AK12" si="34">IF(AK11&lt;&gt;"",AK11*$C$3,"")</f>
        <v>139180057.90040168</v>
      </c>
      <c r="AL12" s="13">
        <f t="shared" ref="AL12:AT12" si="35">IF(AL11&lt;&gt;"",AL11*$C$3,"")</f>
        <v>149630003.50467885</v>
      </c>
      <c r="AM12" s="110">
        <f>IF(AM11&lt;&gt;"",AM11*$C$3,"")</f>
        <v>149481651.77105317</v>
      </c>
      <c r="AN12" s="57">
        <f>IF(AN11&lt;&gt;"",AN11*$C$3,"")</f>
        <v>149481651.77105317</v>
      </c>
      <c r="AO12" s="57">
        <f t="shared" si="35"/>
        <v>149481651.77105317</v>
      </c>
      <c r="AP12" s="57">
        <f t="shared" si="35"/>
        <v>149481651.77105317</v>
      </c>
      <c r="AQ12" s="57">
        <f t="shared" si="35"/>
        <v>149481651.77105317</v>
      </c>
      <c r="AR12" s="57">
        <f t="shared" si="35"/>
        <v>149481651.77105317</v>
      </c>
      <c r="AS12" s="57">
        <f t="shared" si="35"/>
        <v>149481651.77105317</v>
      </c>
      <c r="AT12" s="57">
        <f t="shared" si="35"/>
        <v>149481651.77105317</v>
      </c>
      <c r="AU12" s="57">
        <f>IF(AU11&lt;&gt;"",AU11*$C$3,"")</f>
        <v>149481651.77105317</v>
      </c>
      <c r="AV12" s="57">
        <f t="shared" ref="AV12:AX12" si="36">IF(AV11&lt;&gt;"",AV11*$C$3,"")</f>
        <v>149481651.77105317</v>
      </c>
      <c r="AW12" s="57">
        <f t="shared" si="36"/>
        <v>149481651.77105317</v>
      </c>
      <c r="AX12" s="58">
        <f t="shared" si="36"/>
        <v>149481651.77105317</v>
      </c>
    </row>
    <row r="13" spans="1:50" s="4" customFormat="1" x14ac:dyDescent="0.25">
      <c r="A13" s="164"/>
      <c r="B13" s="50" t="s">
        <v>21</v>
      </c>
      <c r="C13" s="81">
        <f>IF(C12&lt;&gt;"",C12,"")</f>
        <v>-317741.14000199997</v>
      </c>
      <c r="D13" s="57">
        <f>IF(D12&lt;&gt;"",D12-C12,"")</f>
        <v>1019567.3687580002</v>
      </c>
      <c r="E13" s="57">
        <f t="shared" ref="E13:H13" si="37">IF(E12&lt;&gt;"",E12-D12,"")</f>
        <v>1178656.3776960005</v>
      </c>
      <c r="F13" s="57">
        <f>IF(F12&lt;&gt;"",F12-E12,"")</f>
        <v>1462879.63854</v>
      </c>
      <c r="G13" s="57">
        <f>IF(G12&lt;&gt;"",G12-F12,"")</f>
        <v>3433939.6733160014</v>
      </c>
      <c r="H13" s="57">
        <f t="shared" si="37"/>
        <v>2346012.8953919997</v>
      </c>
      <c r="I13" s="57">
        <f>IF(I12&lt;&gt;"",I12-H12,"")</f>
        <v>3687760.9742759988</v>
      </c>
      <c r="J13" s="57">
        <f>IF(J12&lt;&gt;"",J12-I12,"")</f>
        <v>2735167.9310520012</v>
      </c>
      <c r="K13" s="57">
        <f t="shared" ref="K13:P13" si="38">IF(K12&lt;&gt;"",K12-J12,"")</f>
        <v>4479801.6898619998</v>
      </c>
      <c r="L13" s="57">
        <f t="shared" si="38"/>
        <v>7082385.4979539663</v>
      </c>
      <c r="M13" s="57">
        <f>IF(M12&lt;&gt;"",M12-L12,"")</f>
        <v>4938505.468334239</v>
      </c>
      <c r="N13" s="58">
        <f t="shared" si="38"/>
        <v>5095234.7026106901</v>
      </c>
      <c r="O13" s="110">
        <f t="shared" si="38"/>
        <v>2234503.6491906047</v>
      </c>
      <c r="P13" s="57">
        <f t="shared" si="38"/>
        <v>3341817.3034618571</v>
      </c>
      <c r="Q13" s="57">
        <f>IF(Q12&lt;&gt;"",Q12-P12,"")</f>
        <v>2991950.5722108483</v>
      </c>
      <c r="R13" s="57">
        <f>IF(R12&lt;&gt;"",R12-Q12,"")</f>
        <v>3486806.8440269381</v>
      </c>
      <c r="S13" s="57">
        <f t="shared" ref="S13:X13" si="39">IF(S12&lt;&gt;"",S12-R12,"")</f>
        <v>3987630.3636198565</v>
      </c>
      <c r="T13" s="57">
        <f t="shared" si="39"/>
        <v>4268385.8903732449</v>
      </c>
      <c r="U13" s="57">
        <f t="shared" si="39"/>
        <v>4503252.988560304</v>
      </c>
      <c r="V13" s="57">
        <f t="shared" si="39"/>
        <v>5509811.1498196498</v>
      </c>
      <c r="W13" s="57">
        <f t="shared" si="39"/>
        <v>4233703.0404497683</v>
      </c>
      <c r="X13" s="57">
        <f t="shared" si="39"/>
        <v>3899488.4115459621</v>
      </c>
      <c r="Y13" s="12">
        <f t="shared" ref="Y13" si="40">IF(Y12&lt;&gt;"",Y12-X12,"")</f>
        <v>5067228.9482135624</v>
      </c>
      <c r="Z13" s="13">
        <f>IF(Z12&lt;&gt;"",Z12-Y12,"")</f>
        <v>5180106.3781871796</v>
      </c>
      <c r="AA13" s="11">
        <f t="shared" ref="AA13" si="41">IF(AA12&lt;&gt;"",AA12-Z12,"")</f>
        <v>3010047.6085866243</v>
      </c>
      <c r="AB13" s="12">
        <f t="shared" ref="AB13" si="42">IF(AB12&lt;&gt;"",AB12-AA12,"")</f>
        <v>2790854.1364322007</v>
      </c>
      <c r="AC13" s="12">
        <f t="shared" ref="AC13" si="43">IF(AC12&lt;&gt;"",AC12-AB12,"")</f>
        <v>3650616.9144822359</v>
      </c>
      <c r="AD13" s="12">
        <f t="shared" ref="AD13" si="44">IF(AD12&lt;&gt;"",AD12-AC12,"")</f>
        <v>4733770.3064927906</v>
      </c>
      <c r="AE13" s="12">
        <f t="shared" ref="AE13" si="45">IF(AE12&lt;&gt;"",AE12-AD12,"")</f>
        <v>4416395.459788695</v>
      </c>
      <c r="AF13" s="12">
        <f t="shared" ref="AF13" si="46">IF(AF12&lt;&gt;"",AF12-AE12,"")</f>
        <v>4034627.8629101515</v>
      </c>
      <c r="AG13" s="12">
        <f t="shared" ref="AG13" si="47">IF(AG12&lt;&gt;"",AG12-AF12,"")</f>
        <v>5807475.7500959337</v>
      </c>
      <c r="AH13" s="12">
        <f>IF(AH12&lt;&gt;"",AH12-AG12,"")</f>
        <v>4423456.203276366</v>
      </c>
      <c r="AI13" s="12">
        <f>IF(AI12&lt;&gt;"",AI12-AH12,"")</f>
        <v>6175639.8416937292</v>
      </c>
      <c r="AJ13" s="12">
        <f t="shared" ref="AJ13" si="48">IF(AJ12&lt;&gt;"",AJ12-AI12,"")</f>
        <v>6754662.2340030968</v>
      </c>
      <c r="AK13" s="12">
        <f>IF(AK12&lt;&gt;"",AK12-AJ12,"")</f>
        <v>7535654.9651911855</v>
      </c>
      <c r="AL13" s="13">
        <f t="shared" ref="AL13" si="49">IF(AL12&lt;&gt;"",AL12-AK12,"")</f>
        <v>10449945.604277164</v>
      </c>
      <c r="AM13" s="110">
        <f>IF(AM12&lt;&gt;"",AM12-AL12,"")</f>
        <v>-148351.73362568021</v>
      </c>
      <c r="AN13" s="57">
        <f>IF(AN12&lt;&gt;"",AN12-AM12,"")</f>
        <v>0</v>
      </c>
      <c r="AO13" s="57">
        <f t="shared" ref="AO13" si="50">IF(AO12&lt;&gt;"",AO12-AN12,"")</f>
        <v>0</v>
      </c>
      <c r="AP13" s="57">
        <f t="shared" ref="AP13" si="51">IF(AP12&lt;&gt;"",AP12-AO12,"")</f>
        <v>0</v>
      </c>
      <c r="AQ13" s="57">
        <f t="shared" ref="AQ13" si="52">IF(AQ12&lt;&gt;"",AQ12-AP12,"")</f>
        <v>0</v>
      </c>
      <c r="AR13" s="57">
        <f t="shared" ref="AR13" si="53">IF(AR12&lt;&gt;"",AR12-AQ12,"")</f>
        <v>0</v>
      </c>
      <c r="AS13" s="57">
        <f t="shared" ref="AS13" si="54">IF(AS12&lt;&gt;"",AS12-AR12,"")</f>
        <v>0</v>
      </c>
      <c r="AT13" s="57">
        <f>IF(AT12&lt;&gt;"",AT12-AS12,"")</f>
        <v>0</v>
      </c>
      <c r="AU13" s="57">
        <f>IF(AU12&lt;&gt;"",AU12-AT12,"")</f>
        <v>0</v>
      </c>
      <c r="AV13" s="57">
        <f t="shared" ref="AV13" si="55">IF(AV12&lt;&gt;"",AV12-AU12,"")</f>
        <v>0</v>
      </c>
      <c r="AW13" s="57">
        <f>IF(AW12&lt;&gt;"",AW12-AV12,"")</f>
        <v>0</v>
      </c>
      <c r="AX13" s="58">
        <f t="shared" ref="AX13" si="56">IF(AX12&lt;&gt;"",AX12-AW12,"")</f>
        <v>0</v>
      </c>
    </row>
    <row r="14" spans="1:50" s="135" customFormat="1" x14ac:dyDescent="0.25">
      <c r="A14" s="164"/>
      <c r="B14" s="51" t="s">
        <v>22</v>
      </c>
      <c r="C14" s="82">
        <f>IF(C13&lt;&gt;"",C13*(1+$C$4)^($C$6-2013),"")</f>
        <v>-317741.14000199997</v>
      </c>
      <c r="D14" s="59">
        <f t="shared" ref="D14:H14" si="57">IF(D13&lt;&gt;"",D13*(1+$C$4)^($C$6-2013),"")</f>
        <v>1019567.3687580002</v>
      </c>
      <c r="E14" s="59">
        <f t="shared" si="57"/>
        <v>1178656.3776960005</v>
      </c>
      <c r="F14" s="59">
        <f t="shared" si="57"/>
        <v>1462879.63854</v>
      </c>
      <c r="G14" s="59">
        <f t="shared" si="57"/>
        <v>3433939.6733160014</v>
      </c>
      <c r="H14" s="59">
        <f t="shared" si="57"/>
        <v>2346012.8953919997</v>
      </c>
      <c r="I14" s="59">
        <f>IF(I13&lt;&gt;"",I13*(1+$C$4)^($C$6-2013),"")</f>
        <v>3687760.9742759988</v>
      </c>
      <c r="J14" s="59">
        <f>IF(J13&lt;&gt;"",J13*(1+$C$4)^($C$6-2013),"")</f>
        <v>2735167.9310520012</v>
      </c>
      <c r="K14" s="59">
        <f t="shared" ref="K14:N14" si="58">IF(K13&lt;&gt;"",K13*(1+$C$4)^($C$6-2013),"")</f>
        <v>4479801.6898619998</v>
      </c>
      <c r="L14" s="59">
        <f t="shared" si="58"/>
        <v>7082385.4979539663</v>
      </c>
      <c r="M14" s="59">
        <f>IF(M13&lt;&gt;"",M13*(1+$C$4)^($C$6-2013),"")</f>
        <v>4938505.468334239</v>
      </c>
      <c r="N14" s="60">
        <f t="shared" si="58"/>
        <v>5095234.7026106901</v>
      </c>
      <c r="O14" s="111">
        <f t="shared" ref="O14:X14" si="59">IF(O13&lt;&gt;"",O13*(1+$C$4)^($O$6-2013),"")</f>
        <v>2389801.6528093521</v>
      </c>
      <c r="P14" s="59">
        <f t="shared" si="59"/>
        <v>3574073.6060524564</v>
      </c>
      <c r="Q14" s="59">
        <f t="shared" si="59"/>
        <v>3199891.1369795026</v>
      </c>
      <c r="R14" s="59">
        <f t="shared" si="59"/>
        <v>3729139.9196868106</v>
      </c>
      <c r="S14" s="59">
        <f t="shared" si="59"/>
        <v>4264770.6738914372</v>
      </c>
      <c r="T14" s="59">
        <f t="shared" si="59"/>
        <v>4565038.7097541858</v>
      </c>
      <c r="U14" s="59">
        <f t="shared" si="59"/>
        <v>4816229.0712652458</v>
      </c>
      <c r="V14" s="59">
        <f t="shared" si="59"/>
        <v>5892743.0247321157</v>
      </c>
      <c r="W14" s="59">
        <f t="shared" si="59"/>
        <v>4527945.401761028</v>
      </c>
      <c r="X14" s="59">
        <f t="shared" si="59"/>
        <v>4170502.8561484069</v>
      </c>
      <c r="Y14" s="15">
        <f>IF(Y13&lt;&gt;"",Y13*(1+$C$4)^($O$6-2013),"")</f>
        <v>5419401.3601144059</v>
      </c>
      <c r="Z14" s="16">
        <f>IF(Z13&lt;&gt;"",Z13*(1+$C$4)^($O$6-2013),"")</f>
        <v>5540123.7714711893</v>
      </c>
      <c r="AA14" s="14">
        <f>IF(AA13&lt;&gt;"",AA13*(1+$C$4)^($AA$6-2013),"")</f>
        <v>3442983.508641541</v>
      </c>
      <c r="AB14" s="15">
        <f t="shared" ref="AB14:AL14" si="60">IF(AB13&lt;&gt;"",AB13*(1+$C$4)^($AA$6-2013),"")</f>
        <v>3192263.3845887785</v>
      </c>
      <c r="AC14" s="15">
        <f t="shared" si="60"/>
        <v>4175686.057946445</v>
      </c>
      <c r="AD14" s="15">
        <f t="shared" si="60"/>
        <v>5414629.6731182262</v>
      </c>
      <c r="AE14" s="15">
        <f t="shared" si="60"/>
        <v>5051606.7228689687</v>
      </c>
      <c r="AF14" s="15">
        <f t="shared" si="60"/>
        <v>4614929.3970894851</v>
      </c>
      <c r="AG14" s="15">
        <f t="shared" si="60"/>
        <v>6642766.4391011698</v>
      </c>
      <c r="AH14" s="15">
        <f t="shared" si="60"/>
        <v>5059683.0148576573</v>
      </c>
      <c r="AI14" s="15">
        <f t="shared" si="60"/>
        <v>7063883.6640344998</v>
      </c>
      <c r="AJ14" s="15">
        <f t="shared" si="60"/>
        <v>7726186.9917853214</v>
      </c>
      <c r="AK14" s="15">
        <f t="shared" si="60"/>
        <v>8619510.1027483754</v>
      </c>
      <c r="AL14" s="16">
        <f t="shared" si="60"/>
        <v>11952963.893026751</v>
      </c>
      <c r="AM14" s="111">
        <f>IF(AM13&lt;&gt;"",AM13*(1+$C$4)^($AM$6-2013),"")</f>
        <v>-181482.59999998441</v>
      </c>
      <c r="AN14" s="59">
        <f t="shared" ref="AN14:AX14" si="61">IF(AN13&lt;&gt;"",AN13*(1+$C$4)^($AA$6-2013),"")</f>
        <v>0</v>
      </c>
      <c r="AO14" s="59">
        <f t="shared" si="61"/>
        <v>0</v>
      </c>
      <c r="AP14" s="59">
        <f t="shared" si="61"/>
        <v>0</v>
      </c>
      <c r="AQ14" s="59">
        <f t="shared" si="61"/>
        <v>0</v>
      </c>
      <c r="AR14" s="59">
        <f t="shared" si="61"/>
        <v>0</v>
      </c>
      <c r="AS14" s="59">
        <f t="shared" si="61"/>
        <v>0</v>
      </c>
      <c r="AT14" s="59">
        <f t="shared" si="61"/>
        <v>0</v>
      </c>
      <c r="AU14" s="59">
        <f t="shared" si="61"/>
        <v>0</v>
      </c>
      <c r="AV14" s="59">
        <f t="shared" si="61"/>
        <v>0</v>
      </c>
      <c r="AW14" s="59">
        <f t="shared" si="61"/>
        <v>0</v>
      </c>
      <c r="AX14" s="60">
        <f t="shared" si="61"/>
        <v>0</v>
      </c>
    </row>
    <row r="15" spans="1:50" s="135" customFormat="1" x14ac:dyDescent="0.25">
      <c r="A15" s="164"/>
      <c r="B15" s="95" t="s">
        <v>38</v>
      </c>
      <c r="C15" s="96"/>
      <c r="D15" s="97"/>
      <c r="E15" s="97"/>
      <c r="F15" s="97"/>
      <c r="G15" s="97"/>
      <c r="H15" s="97"/>
      <c r="I15" s="97"/>
      <c r="J15" s="97"/>
      <c r="K15" s="97"/>
      <c r="L15" s="97">
        <f>L14*0.9</f>
        <v>6374146.9481585696</v>
      </c>
      <c r="M15" s="97">
        <f>M14*0.9</f>
        <v>4444654.9215008151</v>
      </c>
      <c r="N15" s="97"/>
      <c r="O15" s="114"/>
      <c r="P15" s="97"/>
      <c r="Q15" s="97"/>
      <c r="R15" s="97"/>
      <c r="S15" s="97"/>
      <c r="T15" s="97"/>
      <c r="U15" s="97"/>
      <c r="V15" s="97"/>
      <c r="W15" s="97"/>
      <c r="X15" s="97"/>
      <c r="Y15" s="41"/>
      <c r="Z15" s="42"/>
      <c r="AA15" s="43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  <c r="AM15" s="114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42"/>
    </row>
    <row r="16" spans="1:50" s="143" customFormat="1" ht="15" customHeight="1" x14ac:dyDescent="0.25">
      <c r="A16" s="165" t="s">
        <v>31</v>
      </c>
      <c r="B16" s="70" t="s">
        <v>25</v>
      </c>
      <c r="C16" s="83">
        <v>1099743.8600000001</v>
      </c>
      <c r="D16" s="71">
        <v>2604640.9300000002</v>
      </c>
      <c r="E16" s="71">
        <v>2570633.86</v>
      </c>
      <c r="F16" s="71">
        <v>2284520.85</v>
      </c>
      <c r="G16" s="71">
        <v>1957901.85</v>
      </c>
      <c r="H16" s="71">
        <v>2228912.27</v>
      </c>
      <c r="I16" s="71">
        <v>2754033.67</v>
      </c>
      <c r="J16" s="71">
        <v>2604052.73</v>
      </c>
      <c r="K16" s="71">
        <v>2769679.17</v>
      </c>
      <c r="L16" s="71">
        <v>2157299.86</v>
      </c>
      <c r="M16" s="71">
        <v>2018245.21</v>
      </c>
      <c r="N16" s="72">
        <v>2680997.69</v>
      </c>
      <c r="O16" s="112">
        <v>3386200.12</v>
      </c>
      <c r="P16" s="71">
        <v>4857630.97</v>
      </c>
      <c r="Q16" s="71">
        <v>4265920.49</v>
      </c>
      <c r="R16" s="71">
        <v>3413568.32</v>
      </c>
      <c r="S16" s="71">
        <v>3143662.56</v>
      </c>
      <c r="T16" s="71">
        <v>3807693.67</v>
      </c>
      <c r="U16" s="71">
        <v>4372439.68</v>
      </c>
      <c r="V16" s="71">
        <v>4118567.79</v>
      </c>
      <c r="W16" s="71">
        <v>4371786.34</v>
      </c>
      <c r="X16" s="71">
        <v>3215738.04</v>
      </c>
      <c r="Y16" s="27">
        <v>3283302.31</v>
      </c>
      <c r="Z16" s="28">
        <v>4270541.26</v>
      </c>
      <c r="AA16" s="112">
        <v>5005416.88</v>
      </c>
      <c r="AB16" s="27">
        <v>6207698.5300000003</v>
      </c>
      <c r="AC16" s="27">
        <v>6185788.8499999996</v>
      </c>
      <c r="AD16" s="71">
        <v>4500734.78</v>
      </c>
      <c r="AE16" s="27">
        <v>4107870.57</v>
      </c>
      <c r="AF16" s="71">
        <v>5109524.12</v>
      </c>
      <c r="AG16" s="71">
        <v>6248178.3700000001</v>
      </c>
      <c r="AH16" s="27">
        <v>6567583.0800000001</v>
      </c>
      <c r="AI16" s="27">
        <v>5844403.1900000004</v>
      </c>
      <c r="AJ16" s="71">
        <v>4598211.5599999996</v>
      </c>
      <c r="AK16" s="139">
        <v>4335055.4383532945</v>
      </c>
      <c r="AL16" s="140">
        <v>5640282.5057731047</v>
      </c>
      <c r="AM16" s="149">
        <v>6960677.2635460924</v>
      </c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2"/>
    </row>
    <row r="17" spans="1:50" s="143" customFormat="1" x14ac:dyDescent="0.25">
      <c r="A17" s="165"/>
      <c r="B17" s="70" t="s">
        <v>26</v>
      </c>
      <c r="C17" s="73">
        <f>IF(OR(C16="",C14=""),"",C14-C16)</f>
        <v>-1417485.000002</v>
      </c>
      <c r="D17" s="74">
        <f>IF(OR(D16="",D14=""),"",D14-D16)</f>
        <v>-1585073.561242</v>
      </c>
      <c r="E17" s="74">
        <f t="shared" ref="E17:H17" si="62">IF(OR(E16="",E14=""),"",E14-E16)</f>
        <v>-1391977.4823039994</v>
      </c>
      <c r="F17" s="74">
        <f>IF(OR(F16="",F14=""),"",F14-F16)</f>
        <v>-821641.21146000014</v>
      </c>
      <c r="G17" s="74">
        <f t="shared" si="62"/>
        <v>1476037.8233160013</v>
      </c>
      <c r="H17" s="74">
        <f t="shared" si="62"/>
        <v>117100.62539199973</v>
      </c>
      <c r="I17" s="74">
        <f>IF(OR(I16="",I14=""),"",I14-I16)</f>
        <v>933727.30427599885</v>
      </c>
      <c r="J17" s="74">
        <f>IF(OR(J16="",J14=""),"",J14-J16)</f>
        <v>131115.20105200121</v>
      </c>
      <c r="K17" s="74">
        <f t="shared" ref="K17:W17" si="63">IF(OR(K16="",K14=""),"",K14-K16)</f>
        <v>1710122.5198619999</v>
      </c>
      <c r="L17" s="74">
        <f t="shared" si="63"/>
        <v>4925085.6379539669</v>
      </c>
      <c r="M17" s="74">
        <f t="shared" si="63"/>
        <v>2920260.258334239</v>
      </c>
      <c r="N17" s="75">
        <f t="shared" si="63"/>
        <v>2414237.0126106902</v>
      </c>
      <c r="O17" s="73">
        <f t="shared" si="63"/>
        <v>-996398.46719064796</v>
      </c>
      <c r="P17" s="74">
        <f t="shared" si="63"/>
        <v>-1283557.3639475433</v>
      </c>
      <c r="Q17" s="74">
        <f t="shared" si="63"/>
        <v>-1066029.3530204976</v>
      </c>
      <c r="R17" s="74">
        <f t="shared" si="63"/>
        <v>315571.59968681075</v>
      </c>
      <c r="S17" s="74">
        <f t="shared" si="63"/>
        <v>1121108.1138914372</v>
      </c>
      <c r="T17" s="74">
        <f t="shared" si="63"/>
        <v>757345.03975418583</v>
      </c>
      <c r="U17" s="74">
        <f t="shared" si="63"/>
        <v>443789.39126524609</v>
      </c>
      <c r="V17" s="74">
        <f t="shared" si="63"/>
        <v>1774175.2347321156</v>
      </c>
      <c r="W17" s="74">
        <f t="shared" si="63"/>
        <v>156159.06176102813</v>
      </c>
      <c r="X17" s="74">
        <f>IF(OR(X16="",X14=""),"",X14-X16)</f>
        <v>954764.81614840683</v>
      </c>
      <c r="Y17" s="30">
        <f>IF(OR(Y16="",Y14=""),"",Y14-Y16)</f>
        <v>2136099.0501144058</v>
      </c>
      <c r="Z17" s="31">
        <f>IF(OR(Z16="",Z14=""),"",Z14-Z16)</f>
        <v>1269582.5114711896</v>
      </c>
      <c r="AA17" s="29">
        <f>IF(OR(AA16="",AA14=""),"",AA14-AA16)</f>
        <v>-1562433.3713584589</v>
      </c>
      <c r="AB17" s="30">
        <f t="shared" ref="AB17:AL17" si="64">IF(OR(AB16="",AB14=""),"",AB14-AB16)</f>
        <v>-3015435.1454112218</v>
      </c>
      <c r="AC17" s="30">
        <f t="shared" si="64"/>
        <v>-2010102.7920535547</v>
      </c>
      <c r="AD17" s="30">
        <f>IF(OR(AD16="",AD14=""),"",AD14-AD16)</f>
        <v>913894.89311822597</v>
      </c>
      <c r="AE17" s="30">
        <f t="shared" si="64"/>
        <v>943736.1528689689</v>
      </c>
      <c r="AF17" s="30">
        <f>IF(OR(AF16="",AF14=""),"",AF14-AF16)</f>
        <v>-494594.72291051503</v>
      </c>
      <c r="AG17" s="30">
        <f t="shared" si="64"/>
        <v>394588.06910116971</v>
      </c>
      <c r="AH17" s="30">
        <f>IF(OR(AH16="",AH14=""),"",AH14-AH16)</f>
        <v>-1507900.0651423428</v>
      </c>
      <c r="AI17" s="30">
        <f t="shared" si="64"/>
        <v>1219480.4740344994</v>
      </c>
      <c r="AJ17" s="30">
        <f t="shared" si="64"/>
        <v>3127975.4317853218</v>
      </c>
      <c r="AK17" s="30">
        <f t="shared" si="64"/>
        <v>4284454.6643950809</v>
      </c>
      <c r="AL17" s="31">
        <f t="shared" si="64"/>
        <v>6312681.3872536458</v>
      </c>
      <c r="AM17" s="73">
        <f>IF(OR(AM16="",AM14=""),"",AM14-AM16)</f>
        <v>-7142159.8635460772</v>
      </c>
      <c r="AN17" s="74" t="str">
        <f t="shared" ref="AN17:AO17" si="65">IF(OR(AN16="",AN14=""),"",AN14-AN16)</f>
        <v/>
      </c>
      <c r="AO17" s="74" t="str">
        <f t="shared" si="65"/>
        <v/>
      </c>
      <c r="AP17" s="74" t="str">
        <f>IF(OR(AP16="",AP14=""),"",AP14-AP16)</f>
        <v/>
      </c>
      <c r="AQ17" s="74" t="str">
        <f t="shared" ref="AQ17" si="66">IF(OR(AQ16="",AQ14=""),"",AQ14-AQ16)</f>
        <v/>
      </c>
      <c r="AR17" s="74" t="str">
        <f>IF(OR(AR16="",AR14=""),"",AR14-AR16)</f>
        <v/>
      </c>
      <c r="AS17" s="74" t="str">
        <f t="shared" ref="AS17" si="67">IF(OR(AS16="",AS14=""),"",AS14-AS16)</f>
        <v/>
      </c>
      <c r="AT17" s="74" t="str">
        <f>IF(OR(AT16="",AT14=""),"",AT14-AT16)</f>
        <v/>
      </c>
      <c r="AU17" s="74" t="str">
        <f t="shared" ref="AU17:AX17" si="68">IF(OR(AU16="",AU14=""),"",AU14-AU16)</f>
        <v/>
      </c>
      <c r="AV17" s="74" t="str">
        <f t="shared" si="68"/>
        <v/>
      </c>
      <c r="AW17" s="74" t="str">
        <f t="shared" si="68"/>
        <v/>
      </c>
      <c r="AX17" s="75" t="str">
        <f t="shared" si="68"/>
        <v/>
      </c>
    </row>
    <row r="18" spans="1:50" s="143" customFormat="1" x14ac:dyDescent="0.25">
      <c r="A18" s="165"/>
      <c r="B18" s="98" t="s">
        <v>39</v>
      </c>
      <c r="C18" s="99"/>
      <c r="D18" s="100"/>
      <c r="E18" s="100"/>
      <c r="F18" s="100"/>
      <c r="G18" s="100"/>
      <c r="H18" s="100"/>
      <c r="I18" s="100"/>
      <c r="J18" s="100"/>
      <c r="K18" s="100"/>
      <c r="L18" s="100">
        <f>L15-L16</f>
        <v>4216847.0881585702</v>
      </c>
      <c r="M18" s="100">
        <f>M15-M16</f>
        <v>2426409.7115008151</v>
      </c>
      <c r="N18" s="100"/>
      <c r="O18" s="99"/>
      <c r="P18" s="100"/>
      <c r="Q18" s="100"/>
      <c r="R18" s="100"/>
      <c r="S18" s="100"/>
      <c r="T18" s="100"/>
      <c r="U18" s="100"/>
      <c r="V18" s="100"/>
      <c r="W18" s="100"/>
      <c r="X18" s="100"/>
      <c r="Y18" s="45"/>
      <c r="Z18" s="46"/>
      <c r="AA18" s="44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101"/>
      <c r="AM18" s="99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1"/>
    </row>
    <row r="19" spans="1:50" s="143" customFormat="1" x14ac:dyDescent="0.25">
      <c r="A19" s="165"/>
      <c r="B19" s="70" t="s">
        <v>56</v>
      </c>
      <c r="C19" s="85">
        <v>4.2750000000000002E-3</v>
      </c>
      <c r="D19" s="86">
        <v>4.2833300000000001E-3</v>
      </c>
      <c r="E19" s="90">
        <v>4.2249999999999996E-3</v>
      </c>
      <c r="F19" s="90">
        <v>4.2500000000000003E-3</v>
      </c>
      <c r="G19" s="90">
        <v>4.1999999999999997E-3</v>
      </c>
      <c r="H19" s="90">
        <v>4.2083299999999997E-3</v>
      </c>
      <c r="I19" s="90">
        <v>4.2500000000000003E-3</v>
      </c>
      <c r="J19" s="90">
        <v>4.29167E-3</v>
      </c>
      <c r="K19" s="90">
        <v>4.3333299999999998E-3</v>
      </c>
      <c r="L19" s="90">
        <v>4.2666700000000002E-3</v>
      </c>
      <c r="M19" s="90">
        <v>4.2083299999999997E-3</v>
      </c>
      <c r="N19" s="91">
        <v>4.0666699999999997E-3</v>
      </c>
      <c r="O19" s="120">
        <v>3.4499999999999999E-3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1">
        <v>0</v>
      </c>
      <c r="AA19" s="120">
        <v>0</v>
      </c>
      <c r="AB19" s="40">
        <v>0</v>
      </c>
      <c r="AC19" s="40">
        <v>0</v>
      </c>
      <c r="AD19" s="90">
        <v>0</v>
      </c>
      <c r="AE19" s="90">
        <v>0</v>
      </c>
      <c r="AF19" s="90">
        <v>0</v>
      </c>
      <c r="AG19" s="40">
        <v>0</v>
      </c>
      <c r="AH19" s="40">
        <v>0</v>
      </c>
      <c r="AI19" s="40">
        <v>0</v>
      </c>
      <c r="AJ19" s="90">
        <v>0</v>
      </c>
      <c r="AK19" s="40">
        <f>AJ19</f>
        <v>0</v>
      </c>
      <c r="AL19" s="91">
        <f>AK19</f>
        <v>0</v>
      </c>
      <c r="AM19" s="120">
        <v>0</v>
      </c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1"/>
    </row>
    <row r="20" spans="1:50" s="143" customFormat="1" x14ac:dyDescent="0.25">
      <c r="A20" s="165"/>
      <c r="B20" s="70" t="s">
        <v>57</v>
      </c>
      <c r="C20" s="85">
        <v>2.2499999999999998E-3</v>
      </c>
      <c r="D20" s="86">
        <v>2.2416699999999999E-3</v>
      </c>
      <c r="E20" s="90">
        <v>2.2583299999999998E-3</v>
      </c>
      <c r="F20" s="90">
        <v>2.2583299999999998E-3</v>
      </c>
      <c r="G20" s="90">
        <v>2.29167E-3</v>
      </c>
      <c r="H20" s="90">
        <v>2.29167E-3</v>
      </c>
      <c r="I20" s="90">
        <v>2.2583299999999998E-3</v>
      </c>
      <c r="J20" s="90">
        <v>2.23333E-3</v>
      </c>
      <c r="K20" s="90">
        <v>2.2083300000000001E-3</v>
      </c>
      <c r="L20" s="90">
        <v>2.1083299999999998E-3</v>
      </c>
      <c r="M20" s="90">
        <v>2.1333300000000001E-3</v>
      </c>
      <c r="N20" s="91">
        <v>2.075E-3</v>
      </c>
      <c r="O20" s="120">
        <v>1.83333E-3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1">
        <v>0</v>
      </c>
      <c r="AA20" s="120">
        <v>0</v>
      </c>
      <c r="AB20" s="40">
        <v>0</v>
      </c>
      <c r="AC20" s="40">
        <v>0</v>
      </c>
      <c r="AD20" s="90">
        <v>0</v>
      </c>
      <c r="AE20" s="90">
        <v>0</v>
      </c>
      <c r="AF20" s="90">
        <v>0</v>
      </c>
      <c r="AG20" s="40">
        <v>0</v>
      </c>
      <c r="AH20" s="40">
        <v>0</v>
      </c>
      <c r="AI20" s="40">
        <v>0</v>
      </c>
      <c r="AJ20" s="90">
        <v>0</v>
      </c>
      <c r="AK20" s="90">
        <f t="shared" ref="AK20:AL21" si="69">AJ20</f>
        <v>0</v>
      </c>
      <c r="AL20" s="91">
        <f t="shared" si="69"/>
        <v>0</v>
      </c>
      <c r="AM20" s="120">
        <v>0</v>
      </c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1"/>
    </row>
    <row r="21" spans="1:50" s="143" customFormat="1" x14ac:dyDescent="0.25">
      <c r="A21" s="165"/>
      <c r="B21" s="121" t="s">
        <v>58</v>
      </c>
      <c r="C21" s="85"/>
      <c r="D21" s="86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120"/>
      <c r="P21" s="90">
        <f>P34</f>
        <v>4.6197699999999996E-3</v>
      </c>
      <c r="Q21" s="90">
        <f t="shared" ref="Q21:X21" si="70">Q34</f>
        <v>3.4344499999999999E-3</v>
      </c>
      <c r="R21" s="90">
        <f t="shared" si="70"/>
        <v>3.23025E-3</v>
      </c>
      <c r="S21" s="90">
        <f t="shared" si="70"/>
        <v>2.9896499999999999E-3</v>
      </c>
      <c r="T21" s="90">
        <f t="shared" si="70"/>
        <v>3.0693399999999998E-3</v>
      </c>
      <c r="U21" s="90">
        <f t="shared" si="70"/>
        <v>2.9848700000000001E-3</v>
      </c>
      <c r="V21" s="90">
        <f t="shared" si="70"/>
        <v>3.11941E-3</v>
      </c>
      <c r="W21" s="90">
        <f t="shared" si="70"/>
        <v>2.6448499999999998E-3</v>
      </c>
      <c r="X21" s="90">
        <f t="shared" si="70"/>
        <v>2.7227499999999999E-3</v>
      </c>
      <c r="Y21" s="90">
        <f t="shared" ref="Y21:AE21" si="71">Y34</f>
        <v>3.2083900000000002E-3</v>
      </c>
      <c r="Z21" s="91">
        <f t="shared" si="71"/>
        <v>4.0517299999999999E-3</v>
      </c>
      <c r="AA21" s="120">
        <f t="shared" si="71"/>
        <v>4.91706E-3</v>
      </c>
      <c r="AB21" s="120">
        <f t="shared" si="71"/>
        <v>4.35155E-3</v>
      </c>
      <c r="AC21" s="120">
        <f t="shared" si="71"/>
        <v>4.1080500000000002E-3</v>
      </c>
      <c r="AD21" s="120">
        <f t="shared" si="71"/>
        <v>3.0153100000000002E-3</v>
      </c>
      <c r="AE21" s="120">
        <f t="shared" si="71"/>
        <v>8.5388E-4</v>
      </c>
      <c r="AF21" s="120">
        <f t="shared" ref="AF21:AJ21" si="72">AF34</f>
        <v>1.90208E-3</v>
      </c>
      <c r="AG21" s="120">
        <f t="shared" si="72"/>
        <v>4.4892300000000003E-3</v>
      </c>
      <c r="AH21" s="120">
        <f t="shared" si="72"/>
        <v>5.4029799999999999E-3</v>
      </c>
      <c r="AI21" s="120">
        <f t="shared" si="72"/>
        <v>5.4371999999999997E-3</v>
      </c>
      <c r="AJ21" s="120">
        <f t="shared" si="72"/>
        <v>5.3268200000000003E-3</v>
      </c>
      <c r="AK21" s="90">
        <f t="shared" si="69"/>
        <v>5.3268200000000003E-3</v>
      </c>
      <c r="AL21" s="91">
        <f t="shared" si="69"/>
        <v>5.3268200000000003E-3</v>
      </c>
      <c r="AM21" s="120">
        <f>AL21</f>
        <v>5.3268200000000003E-3</v>
      </c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91"/>
    </row>
    <row r="22" spans="1:50" s="143" customFormat="1" x14ac:dyDescent="0.25">
      <c r="A22" s="165"/>
      <c r="B22" s="70" t="s">
        <v>29</v>
      </c>
      <c r="C22" s="76">
        <f>IF(OR(C19="",C16=""),"",C17*C19)</f>
        <v>-6059.7483750085503</v>
      </c>
      <c r="D22" s="77">
        <f>IF(OR(C30="",D17="",D19=""),"",(C30+D17)*D19)</f>
        <v>-12900.566065196768</v>
      </c>
      <c r="E22" s="77">
        <f>IF(OR(D30="",E17="",E19=""),"",(D30+E17)*E19)</f>
        <v>-18689.022077451089</v>
      </c>
      <c r="F22" s="77">
        <f t="shared" ref="F22" si="73">IF(OR(E30="",F17="",F19=""),"",(E30+F17)*F19)</f>
        <v>-22413.467218187863</v>
      </c>
      <c r="G22" s="77">
        <f>IF(OR(F30="",G17="",G19=""),"",(F30+G17)*G19)</f>
        <v>-16094.578626192711</v>
      </c>
      <c r="H22" s="77">
        <f>IF(OR(G30="",H17="",H19=""),"",(G30+H17)*H19)</f>
        <v>-15738.389378883949</v>
      </c>
      <c r="I22" s="77">
        <f t="shared" ref="I22" si="74">IF(OR(H30="",I17="",I19=""),"",(H30+I17)*I19)</f>
        <v>-12029.199042050468</v>
      </c>
      <c r="J22" s="77">
        <f>IF(OR(I30="",J17="",J19=""),"",(I30+J17)*J19)</f>
        <v>-11663.496233154689</v>
      </c>
      <c r="K22" s="77">
        <f t="shared" ref="K22:X22" si="75">IF(OR(J30="",K17="",K19=""),"",(J30+K17)*K19)</f>
        <v>-4443.0337066292022</v>
      </c>
      <c r="L22" s="77">
        <f t="shared" si="75"/>
        <v>16610.411304880829</v>
      </c>
      <c r="M22" s="77">
        <f t="shared" si="75"/>
        <v>28777.152388590457</v>
      </c>
      <c r="N22" s="78">
        <f t="shared" si="75"/>
        <v>37802.718425202343</v>
      </c>
      <c r="O22" s="117">
        <f t="shared" si="75"/>
        <v>28829.703270352449</v>
      </c>
      <c r="P22" s="77">
        <f t="shared" si="75"/>
        <v>0</v>
      </c>
      <c r="Q22" s="77">
        <f t="shared" si="75"/>
        <v>0</v>
      </c>
      <c r="R22" s="77">
        <f t="shared" si="75"/>
        <v>0</v>
      </c>
      <c r="S22" s="77">
        <f t="shared" si="75"/>
        <v>0</v>
      </c>
      <c r="T22" s="77">
        <f t="shared" si="75"/>
        <v>0</v>
      </c>
      <c r="U22" s="77">
        <f t="shared" si="75"/>
        <v>0</v>
      </c>
      <c r="V22" s="77">
        <f t="shared" si="75"/>
        <v>0</v>
      </c>
      <c r="W22" s="77">
        <f t="shared" si="75"/>
        <v>0</v>
      </c>
      <c r="X22" s="77">
        <f t="shared" si="75"/>
        <v>0</v>
      </c>
      <c r="Y22" s="33">
        <f t="shared" ref="Y22:AL22" si="76">IF(OR(X30="",Y17="",Y19=""),"",(X30+Y17)*Y19)</f>
        <v>0</v>
      </c>
      <c r="Z22" s="34">
        <f t="shared" si="76"/>
        <v>0</v>
      </c>
      <c r="AA22" s="32">
        <f>IF(OR(Z30="",AA17="",AA19=""),"",(Z30+AA17)*AA19)</f>
        <v>0</v>
      </c>
      <c r="AB22" s="33">
        <f>IF(OR(AA30="",AB17="",AB19=""),"",(AA30+AB17)*AB19)</f>
        <v>0</v>
      </c>
      <c r="AC22" s="33">
        <f t="shared" si="76"/>
        <v>0</v>
      </c>
      <c r="AD22" s="33">
        <f>IF(OR(AC30="",AD17="",AD19=""),"",(AC30+AD17)*AD19)</f>
        <v>0</v>
      </c>
      <c r="AE22" s="33">
        <f t="shared" si="76"/>
        <v>0</v>
      </c>
      <c r="AF22" s="33">
        <f t="shared" si="76"/>
        <v>0</v>
      </c>
      <c r="AG22" s="33">
        <f t="shared" si="76"/>
        <v>0</v>
      </c>
      <c r="AH22" s="33">
        <f t="shared" si="76"/>
        <v>0</v>
      </c>
      <c r="AI22" s="33">
        <f t="shared" si="76"/>
        <v>0</v>
      </c>
      <c r="AJ22" s="33">
        <f t="shared" si="76"/>
        <v>0</v>
      </c>
      <c r="AK22" s="33">
        <f t="shared" si="76"/>
        <v>0</v>
      </c>
      <c r="AL22" s="128">
        <f t="shared" si="76"/>
        <v>0</v>
      </c>
      <c r="AM22" s="126">
        <f>IF(OR(AL30="",AM17="",AM19=""),"",(AL30+AM17)*AM19)</f>
        <v>0</v>
      </c>
      <c r="AN22" s="127" t="str">
        <f>IF(OR(AM30="",AN17="",AN19=""),"",(AM30+AN17)*AN19)</f>
        <v/>
      </c>
      <c r="AO22" s="127" t="str">
        <f t="shared" ref="AO22" si="77">IF(OR(AN30="",AO17="",AO19=""),"",(AN30+AO17)*AO19)</f>
        <v/>
      </c>
      <c r="AP22" s="127" t="str">
        <f>IF(OR(AO30="",AP17="",AP19=""),"",(AO30+AP17)*AP19)</f>
        <v/>
      </c>
      <c r="AQ22" s="127" t="str">
        <f t="shared" ref="AQ22" si="78">IF(OR(AP30="",AQ17="",AQ19=""),"",(AP30+AQ17)*AQ19)</f>
        <v/>
      </c>
      <c r="AR22" s="127" t="str">
        <f t="shared" ref="AR22" si="79">IF(OR(AQ30="",AR17="",AR19=""),"",(AQ30+AR17)*AR19)</f>
        <v/>
      </c>
      <c r="AS22" s="127" t="str">
        <f t="shared" ref="AS22" si="80">IF(OR(AR30="",AS17="",AS19=""),"",(AR30+AS17)*AS19)</f>
        <v/>
      </c>
      <c r="AT22" s="127" t="str">
        <f t="shared" ref="AT22" si="81">IF(OR(AS30="",AT17="",AT19=""),"",(AS30+AT17)*AT19)</f>
        <v/>
      </c>
      <c r="AU22" s="127" t="str">
        <f t="shared" ref="AU22" si="82">IF(OR(AT30="",AU17="",AU19=""),"",(AT30+AU17)*AU19)</f>
        <v/>
      </c>
      <c r="AV22" s="127" t="str">
        <f t="shared" ref="AV22" si="83">IF(OR(AU30="",AV17="",AV19=""),"",(AU30+AV17)*AV19)</f>
        <v/>
      </c>
      <c r="AW22" s="127" t="str">
        <f t="shared" ref="AW22" si="84">IF(OR(AV30="",AW17="",AW19=""),"",(AV30+AW17)*AW19)</f>
        <v/>
      </c>
      <c r="AX22" s="128" t="str">
        <f t="shared" ref="AX22" si="85">IF(OR(AW30="",AX17="",AX19=""),"",(AW30+AX17)*AX19)</f>
        <v/>
      </c>
    </row>
    <row r="23" spans="1:50" s="143" customFormat="1" x14ac:dyDescent="0.25">
      <c r="A23" s="165"/>
      <c r="B23" s="70" t="s">
        <v>30</v>
      </c>
      <c r="C23" s="76">
        <f>IF(OR(C20="",C17=""),"",C20*C17)</f>
        <v>-3189.3412500044997</v>
      </c>
      <c r="D23" s="77">
        <f>IF(OR(C30="",D17="",D20=""),"",(C30+D17)*D20)</f>
        <v>-6751.4788567235391</v>
      </c>
      <c r="E23" s="77">
        <f>IF(OR(D30="",E17="",E20=""),"",(D30+E17)*E20)</f>
        <v>-9989.5808824071282</v>
      </c>
      <c r="F23" s="77">
        <f t="shared" ref="F23:O23" si="86">IF(OR(E30="",F17="",F20=""),"",(E30+F17)*F20)</f>
        <v>-11909.883628905927</v>
      </c>
      <c r="G23" s="77">
        <f t="shared" si="86"/>
        <v>-8781.7769048302507</v>
      </c>
      <c r="H23" s="77">
        <f t="shared" si="86"/>
        <v>-8570.429312317945</v>
      </c>
      <c r="I23" s="77">
        <f t="shared" si="86"/>
        <v>-6391.9767229726658</v>
      </c>
      <c r="J23" s="77">
        <f>IF(OR(I30="",J17="",J20=""),"",(I30+J17)*J20)</f>
        <v>-6069.5337811134968</v>
      </c>
      <c r="K23" s="77">
        <f t="shared" si="86"/>
        <v>-2264.236655265227</v>
      </c>
      <c r="L23" s="77">
        <f t="shared" si="86"/>
        <v>8207.8596344267062</v>
      </c>
      <c r="M23" s="77">
        <f>IF(OR(L30="",M17="",M20=""),"",(L30+M17)*M20)</f>
        <v>14588.010565985009</v>
      </c>
      <c r="N23" s="78">
        <f t="shared" si="86"/>
        <v>19288.666336903381</v>
      </c>
      <c r="O23" s="117">
        <f t="shared" si="86"/>
        <v>15320.104317865291</v>
      </c>
      <c r="P23" s="77">
        <f>IF(OR(O30="",P17="",P20=""),"",(O30+P17)*P20/12)</f>
        <v>0</v>
      </c>
      <c r="Q23" s="77">
        <f t="shared" ref="Q23:X23" si="87">IF(OR(P30="",Q17="",Q20=""),"",(P30+Q17)*Q20/12)</f>
        <v>0</v>
      </c>
      <c r="R23" s="77">
        <f t="shared" si="87"/>
        <v>0</v>
      </c>
      <c r="S23" s="77">
        <f t="shared" si="87"/>
        <v>0</v>
      </c>
      <c r="T23" s="77">
        <f t="shared" si="87"/>
        <v>0</v>
      </c>
      <c r="U23" s="77">
        <f t="shared" si="87"/>
        <v>0</v>
      </c>
      <c r="V23" s="77">
        <f t="shared" si="87"/>
        <v>0</v>
      </c>
      <c r="W23" s="77">
        <f t="shared" si="87"/>
        <v>0</v>
      </c>
      <c r="X23" s="77">
        <f t="shared" si="87"/>
        <v>0</v>
      </c>
      <c r="Y23" s="33">
        <f t="shared" ref="Y23:AL23" si="88">IF(OR(X30="",Y17="",Y20=""),"",(X30+Y17)*Y20)</f>
        <v>0</v>
      </c>
      <c r="Z23" s="128">
        <f t="shared" si="88"/>
        <v>0</v>
      </c>
      <c r="AA23" s="32">
        <f t="shared" si="88"/>
        <v>0</v>
      </c>
      <c r="AB23" s="33">
        <f t="shared" si="88"/>
        <v>0</v>
      </c>
      <c r="AC23" s="33">
        <f t="shared" si="88"/>
        <v>0</v>
      </c>
      <c r="AD23" s="33">
        <f t="shared" si="88"/>
        <v>0</v>
      </c>
      <c r="AE23" s="33">
        <f t="shared" si="88"/>
        <v>0</v>
      </c>
      <c r="AF23" s="33">
        <f t="shared" si="88"/>
        <v>0</v>
      </c>
      <c r="AG23" s="33">
        <f t="shared" si="88"/>
        <v>0</v>
      </c>
      <c r="AH23" s="33">
        <f t="shared" si="88"/>
        <v>0</v>
      </c>
      <c r="AI23" s="33">
        <f t="shared" si="88"/>
        <v>0</v>
      </c>
      <c r="AJ23" s="33">
        <f t="shared" si="88"/>
        <v>0</v>
      </c>
      <c r="AK23" s="33">
        <f t="shared" si="88"/>
        <v>0</v>
      </c>
      <c r="AL23" s="128">
        <f t="shared" si="88"/>
        <v>0</v>
      </c>
      <c r="AM23" s="126">
        <f t="shared" ref="AM23" si="89">IF(OR(AL30="",AM17="",AM20=""),"",(AL30+AM17)*AM20)</f>
        <v>0</v>
      </c>
      <c r="AN23" s="127" t="str">
        <f t="shared" ref="AN23" si="90">IF(OR(AM30="",AN17="",AN20=""),"",(AM30+AN17)*AN20)</f>
        <v/>
      </c>
      <c r="AO23" s="127" t="str">
        <f t="shared" ref="AO23" si="91">IF(OR(AN30="",AO17="",AO20=""),"",(AN30+AO17)*AO20)</f>
        <v/>
      </c>
      <c r="AP23" s="127" t="str">
        <f t="shared" ref="AP23" si="92">IF(OR(AO30="",AP17="",AP20=""),"",(AO30+AP17)*AP20)</f>
        <v/>
      </c>
      <c r="AQ23" s="127" t="str">
        <f t="shared" ref="AQ23" si="93">IF(OR(AP30="",AQ17="",AQ20=""),"",(AP30+AQ17)*AQ20)</f>
        <v/>
      </c>
      <c r="AR23" s="127" t="str">
        <f t="shared" ref="AR23" si="94">IF(OR(AQ30="",AR17="",AR20=""),"",(AQ30+AR17)*AR20)</f>
        <v/>
      </c>
      <c r="AS23" s="127" t="str">
        <f t="shared" ref="AS23" si="95">IF(OR(AR30="",AS17="",AS20=""),"",(AR30+AS17)*AS20)</f>
        <v/>
      </c>
      <c r="AT23" s="127" t="str">
        <f t="shared" ref="AT23" si="96">IF(OR(AS30="",AT17="",AT20=""),"",(AS30+AT17)*AT20)</f>
        <v/>
      </c>
      <c r="AU23" s="127" t="str">
        <f t="shared" ref="AU23" si="97">IF(OR(AT30="",AU17="",AU20=""),"",(AT30+AU17)*AU20)</f>
        <v/>
      </c>
      <c r="AV23" s="127" t="str">
        <f t="shared" ref="AV23" si="98">IF(OR(AU30="",AV17="",AV20=""),"",(AU30+AV17)*AV20)</f>
        <v/>
      </c>
      <c r="AW23" s="127" t="str">
        <f t="shared" ref="AW23" si="99">IF(OR(AV30="",AW17="",AW20=""),"",(AV30+AW17)*AW20)</f>
        <v/>
      </c>
      <c r="AX23" s="128" t="str">
        <f t="shared" ref="AX23" si="100">IF(OR(AW30="",AX17="",AX20=""),"",(AW30+AX17)*AX20)</f>
        <v/>
      </c>
    </row>
    <row r="24" spans="1:50" s="143" customFormat="1" x14ac:dyDescent="0.25">
      <c r="A24" s="165"/>
      <c r="B24" s="121" t="s">
        <v>59</v>
      </c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117"/>
      <c r="P24" s="77">
        <f>IF(OR(O30="",P17="",P21=""),"",(O30+P17)*P21/12)</f>
        <v>2739.9194373517098</v>
      </c>
      <c r="Q24" s="77">
        <f t="shared" ref="Q24:X24" si="101">IF(OR(P30="",Q17="",Q21=""),"",(P30+Q17)*Q21/12)</f>
        <v>1732.6052514695564</v>
      </c>
      <c r="R24" s="77">
        <f t="shared" si="101"/>
        <v>1715.0051229005974</v>
      </c>
      <c r="S24" s="77">
        <f t="shared" si="101"/>
        <v>1867.0030566561002</v>
      </c>
      <c r="T24" s="77">
        <f t="shared" si="101"/>
        <v>2110.9585631698324</v>
      </c>
      <c r="U24" s="77">
        <f t="shared" si="101"/>
        <v>2163.7766522918173</v>
      </c>
      <c r="V24" s="77">
        <f t="shared" si="101"/>
        <v>2723.067505386191</v>
      </c>
      <c r="W24" s="77">
        <f t="shared" si="101"/>
        <v>2343.8219005283031</v>
      </c>
      <c r="X24" s="77">
        <f t="shared" si="101"/>
        <v>2630.0195416049078</v>
      </c>
      <c r="Y24" s="77">
        <f t="shared" ref="Y24" si="102">IF(OR(X30="",Y17="",Y21=""),"",(X30+Y17)*Y21/12)</f>
        <v>3670.9428658940228</v>
      </c>
      <c r="Z24" s="128">
        <f t="shared" ref="Z24" si="103">IF(OR(Y30="",Z17="",Z21=""),"",(Y30+Z17)*Z21/12)</f>
        <v>5065.7736058771115</v>
      </c>
      <c r="AA24" s="76">
        <f t="shared" ref="AA24" si="104">IF(OR(Z30="",AA17="",AA21=""),"",(Z30+AA17)*AA21/12)</f>
        <v>5509.5342452971918</v>
      </c>
      <c r="AB24" s="77">
        <f t="shared" ref="AB24" si="105">IF(OR(AA30="",AB17="",AB21=""),"",(AA30+AB17)*AB21/12)</f>
        <v>3784.3970952402501</v>
      </c>
      <c r="AC24" s="77">
        <f t="shared" ref="AC24" si="106">IF(OR(AB30="",AC17="",AC21=""),"",(AB30+AC17)*AC21/12)</f>
        <v>2885.7952880679636</v>
      </c>
      <c r="AD24" s="77">
        <f t="shared" ref="AD24" si="107">IF(OR(AC30="",AD17="",AD21=""),"",(AC30+AD17)*AD21/12)</f>
        <v>2348.5394861203254</v>
      </c>
      <c r="AE24" s="77">
        <f t="shared" ref="AE24" si="108">IF(OR(AD30="",AE17="",AE21=""),"",(AD30+AE17)*AE21/12)</f>
        <v>732.38316075431987</v>
      </c>
      <c r="AF24" s="77">
        <f t="shared" ref="AF24" si="109">IF(OR(AE30="",AF17="",AF21=""),"",(AE30+AF17)*AF21/12)</f>
        <v>1553.1564527746987</v>
      </c>
      <c r="AG24" s="77">
        <f t="shared" ref="AG24" si="110">IF(OR(AF30="",AG17="",AG21=""),"",(AF30+AG17)*AG21/12)</f>
        <v>3813.9089294412238</v>
      </c>
      <c r="AH24" s="77">
        <f t="shared" ref="AH24" si="111">IF(OR(AG30="",AH17="",AH21=""),"",(AG30+AH17)*AH21/12)</f>
        <v>3912.9899696142456</v>
      </c>
      <c r="AI24" s="77">
        <f t="shared" ref="AI24" si="112">IF(OR(AH30="",AI17="",AI21=""),"",(AH30+AI17)*AI21/12)</f>
        <v>4492.0926339257321</v>
      </c>
      <c r="AJ24" s="77">
        <f t="shared" ref="AJ24" si="113">IF(OR(AI30="",AJ17="",AJ21=""),"",(AI30+AJ17)*AJ21/12)</f>
        <v>5791.4067096265571</v>
      </c>
      <c r="AK24" s="77">
        <f>IF(OR(AJ30="",AK17="",AK21=""),"",(AJ30+AK17)*AK21/12)</f>
        <v>7695.8540910000556</v>
      </c>
      <c r="AL24" s="128">
        <f t="shared" ref="AL24" si="114">IF(OR(AK30="",AL17="",AL21=""),"",(AK30+AL17)*AL21/12)</f>
        <v>10501.480082395014</v>
      </c>
      <c r="AM24" s="126">
        <f t="shared" ref="AM24" si="115">IF(OR(AL30="",AM17="",AM21=""),"",(AL30+AM17)*AM21/12)</f>
        <v>7335.7250398781789</v>
      </c>
      <c r="AN24" s="127" t="str">
        <f t="shared" ref="AN24" si="116">IF(OR(AM30="",AN17="",AN21=""),"",(AM30+AN17)*AN21/12)</f>
        <v/>
      </c>
      <c r="AO24" s="127" t="str">
        <f t="shared" ref="AO24" si="117">IF(OR(AN30="",AO17="",AO21=""),"",(AN30+AO17)*AO21/12)</f>
        <v/>
      </c>
      <c r="AP24" s="127" t="str">
        <f t="shared" ref="AP24" si="118">IF(OR(AO30="",AP17="",AP21=""),"",(AO30+AP17)*AP21/12)</f>
        <v/>
      </c>
      <c r="AQ24" s="127" t="str">
        <f t="shared" ref="AQ24" si="119">IF(OR(AP30="",AQ17="",AQ21=""),"",(AP30+AQ17)*AQ21/12)</f>
        <v/>
      </c>
      <c r="AR24" s="127" t="str">
        <f t="shared" ref="AR24" si="120">IF(OR(AQ30="",AR17="",AR21=""),"",(AQ30+AR17)*AR21/12)</f>
        <v/>
      </c>
      <c r="AS24" s="127" t="str">
        <f t="shared" ref="AS24" si="121">IF(OR(AR30="",AS17="",AS21=""),"",(AR30+AS17)*AS21/12)</f>
        <v/>
      </c>
      <c r="AT24" s="127" t="str">
        <f t="shared" ref="AT24" si="122">IF(OR(AS30="",AT17="",AT21=""),"",(AS30+AT17)*AT21/12)</f>
        <v/>
      </c>
      <c r="AU24" s="127" t="str">
        <f t="shared" ref="AU24" si="123">IF(OR(AT30="",AU17="",AU21=""),"",(AT30+AU17)*AU21/12)</f>
        <v/>
      </c>
      <c r="AV24" s="127" t="str">
        <f t="shared" ref="AV24" si="124">IF(OR(AU30="",AV17="",AV21=""),"",(AU30+AV17)*AV21/12)</f>
        <v/>
      </c>
      <c r="AW24" s="127" t="str">
        <f>IF(OR(AV30="",AW17="",AW21=""),"",(AV30+AW17)*AW21/12)</f>
        <v/>
      </c>
      <c r="AX24" s="128" t="str">
        <f t="shared" ref="AX24" si="125">IF(OR(AW30="",AX17="",AX21=""),"",(AW30+AX17)*AX21/12)</f>
        <v/>
      </c>
    </row>
    <row r="25" spans="1:50" s="143" customFormat="1" x14ac:dyDescent="0.25">
      <c r="A25" s="165"/>
      <c r="B25" s="123" t="s">
        <v>60</v>
      </c>
      <c r="C25" s="126">
        <f>SUM(C22:C24)</f>
        <v>-9249.08962501305</v>
      </c>
      <c r="D25" s="77">
        <f>C25+SUM(D22:D24)</f>
        <v>-28901.134546933357</v>
      </c>
      <c r="E25" s="127">
        <f t="shared" ref="E25:AA25" si="126">D25+SUM(E22:E24)</f>
        <v>-57579.737506791571</v>
      </c>
      <c r="F25" s="127">
        <f t="shared" si="126"/>
        <v>-91903.088353885367</v>
      </c>
      <c r="G25" s="127">
        <f t="shared" si="126"/>
        <v>-116779.44388490834</v>
      </c>
      <c r="H25" s="127">
        <f t="shared" si="126"/>
        <v>-141088.26257611022</v>
      </c>
      <c r="I25" s="127">
        <f t="shared" si="126"/>
        <v>-159509.43834113335</v>
      </c>
      <c r="J25" s="127">
        <f t="shared" si="126"/>
        <v>-177242.46835540154</v>
      </c>
      <c r="K25" s="127">
        <f t="shared" si="126"/>
        <v>-183949.73871729596</v>
      </c>
      <c r="L25" s="127">
        <f t="shared" si="126"/>
        <v>-159131.46777798841</v>
      </c>
      <c r="M25" s="127">
        <f t="shared" si="126"/>
        <v>-115766.30482341294</v>
      </c>
      <c r="N25" s="128">
        <f t="shared" si="126"/>
        <v>-58674.920061307217</v>
      </c>
      <c r="O25" s="129">
        <f t="shared" si="126"/>
        <v>-14525.112473089481</v>
      </c>
      <c r="P25" s="127">
        <f t="shared" si="126"/>
        <v>-11785.193035737771</v>
      </c>
      <c r="Q25" s="127">
        <f t="shared" si="126"/>
        <v>-10052.587784268215</v>
      </c>
      <c r="R25" s="127">
        <f t="shared" si="126"/>
        <v>-8337.5826613676181</v>
      </c>
      <c r="S25" s="127">
        <f t="shared" si="126"/>
        <v>-6470.5796047115182</v>
      </c>
      <c r="T25" s="127">
        <f t="shared" si="126"/>
        <v>-4359.6210415416863</v>
      </c>
      <c r="U25" s="127">
        <f t="shared" si="126"/>
        <v>-2195.844389249869</v>
      </c>
      <c r="V25" s="127">
        <f t="shared" si="126"/>
        <v>527.22311613632201</v>
      </c>
      <c r="W25" s="127">
        <f t="shared" si="126"/>
        <v>2871.0450166646251</v>
      </c>
      <c r="X25" s="127">
        <f t="shared" si="126"/>
        <v>5501.0645582695324</v>
      </c>
      <c r="Y25" s="127">
        <f t="shared" si="126"/>
        <v>9172.0074241635557</v>
      </c>
      <c r="Z25" s="128">
        <f t="shared" si="126"/>
        <v>14237.781030040667</v>
      </c>
      <c r="AA25" s="129">
        <f t="shared" si="126"/>
        <v>19747.31527533786</v>
      </c>
      <c r="AB25" s="129">
        <f t="shared" ref="AB25:AJ25" si="127">AA25+SUM(AB22:AB24)</f>
        <v>23531.712370578109</v>
      </c>
      <c r="AC25" s="129">
        <f t="shared" si="127"/>
        <v>26417.507658646071</v>
      </c>
      <c r="AD25" s="129">
        <f t="shared" si="127"/>
        <v>28766.047144766395</v>
      </c>
      <c r="AE25" s="129">
        <f t="shared" si="127"/>
        <v>29498.430305520717</v>
      </c>
      <c r="AF25" s="129">
        <f t="shared" si="127"/>
        <v>31051.586758295416</v>
      </c>
      <c r="AG25" s="129">
        <f t="shared" si="127"/>
        <v>34865.495687736642</v>
      </c>
      <c r="AH25" s="129">
        <f t="shared" si="127"/>
        <v>38778.485657350888</v>
      </c>
      <c r="AI25" s="129">
        <f t="shared" si="127"/>
        <v>43270.578291276623</v>
      </c>
      <c r="AJ25" s="129">
        <f t="shared" si="127"/>
        <v>49061.98500090318</v>
      </c>
      <c r="AK25" s="129">
        <f t="shared" ref="AK25" si="128">AJ25+SUM(AK22:AK24)</f>
        <v>56757.839091903239</v>
      </c>
      <c r="AL25" s="128">
        <f t="shared" ref="AL25" si="129">AK25+SUM(AL22:AL24)</f>
        <v>67259.31917429826</v>
      </c>
      <c r="AM25" s="129">
        <f t="shared" ref="AM25" si="130">AL25+SUM(AM22:AM24)</f>
        <v>74595.044214176436</v>
      </c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8"/>
    </row>
    <row r="26" spans="1:50" s="143" customFormat="1" x14ac:dyDescent="0.25">
      <c r="A26" s="165"/>
      <c r="B26" s="98" t="s">
        <v>41</v>
      </c>
      <c r="C26" s="99"/>
      <c r="D26" s="100"/>
      <c r="E26" s="100"/>
      <c r="F26" s="100"/>
      <c r="G26" s="100"/>
      <c r="H26" s="100"/>
      <c r="I26" s="100"/>
      <c r="J26" s="100"/>
      <c r="K26" s="100"/>
      <c r="L26" s="100">
        <f>IF(OR(K30="",L18="",L19=""),"",(K30+L18)*L19)</f>
        <v>13588.591131625304</v>
      </c>
      <c r="M26" s="100">
        <f>IF(OR(L30="",M18="",M19=""),"",(L30+M18)*M19)</f>
        <v>26698.866316834956</v>
      </c>
      <c r="N26" s="101" t="str">
        <f>IF(OR(M30="",N18="",N19=""),"",(M30+N18)*N19)</f>
        <v/>
      </c>
      <c r="O26" s="116"/>
      <c r="P26" s="100"/>
      <c r="Q26" s="100"/>
      <c r="R26" s="100"/>
      <c r="S26" s="100"/>
      <c r="T26" s="100"/>
      <c r="U26" s="100"/>
      <c r="V26" s="100"/>
      <c r="W26" s="100"/>
      <c r="X26" s="100"/>
      <c r="Y26" s="45"/>
      <c r="Z26" s="46"/>
      <c r="AA26" s="44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101"/>
      <c r="AM26" s="99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1"/>
    </row>
    <row r="27" spans="1:50" s="143" customFormat="1" x14ac:dyDescent="0.25">
      <c r="A27" s="165"/>
      <c r="B27" s="98" t="s">
        <v>42</v>
      </c>
      <c r="C27" s="99"/>
      <c r="D27" s="100"/>
      <c r="E27" s="100"/>
      <c r="F27" s="100"/>
      <c r="G27" s="100"/>
      <c r="H27" s="100"/>
      <c r="I27" s="100"/>
      <c r="J27" s="100"/>
      <c r="K27" s="100"/>
      <c r="L27" s="100">
        <f>IF(OR(K30="",L18="",L20=""),"",(K30+L18)*L20)</f>
        <v>6714.659052736577</v>
      </c>
      <c r="M27" s="100">
        <f>IF(OR(L30="",M18="",M20=""),"",(L30+M18)*M20)</f>
        <v>13534.46437890886</v>
      </c>
      <c r="N27" s="101" t="str">
        <f>IF(OR(M30="",N18="",N20=""),"",(M30+N18)*N20)</f>
        <v/>
      </c>
      <c r="O27" s="116"/>
      <c r="P27" s="100"/>
      <c r="Q27" s="100"/>
      <c r="R27" s="100"/>
      <c r="S27" s="100"/>
      <c r="T27" s="100"/>
      <c r="U27" s="100"/>
      <c r="V27" s="100"/>
      <c r="W27" s="100"/>
      <c r="X27" s="100"/>
      <c r="Y27" s="45"/>
      <c r="Z27" s="46"/>
      <c r="AA27" s="44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101"/>
      <c r="AM27" s="99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1"/>
    </row>
    <row r="28" spans="1:50" s="143" customFormat="1" x14ac:dyDescent="0.25">
      <c r="A28" s="165"/>
      <c r="B28" s="70" t="s">
        <v>36</v>
      </c>
      <c r="C28" s="73">
        <f>IF(OR(C23="",C17="",C22=""),"",C17+C22+C23)</f>
        <v>-1426734.0896270131</v>
      </c>
      <c r="D28" s="74">
        <f>IF(OR(D23="",D17="",D22=""),"",D17+D22+D23)</f>
        <v>-1604725.6061639204</v>
      </c>
      <c r="E28" s="74">
        <f>IF(OR(E23="",E17="",E22=""),"",E17+E22+E23)</f>
        <v>-1420656.0852638574</v>
      </c>
      <c r="F28" s="74">
        <f>IF(OR(F23="",F17="",F22=""),"",F17+F22+F23)-0.01</f>
        <v>-855964.572307094</v>
      </c>
      <c r="G28" s="74">
        <f>IF(OR(G23="",G17="",G22=""),"",G17+G22+G23)</f>
        <v>1451161.4677849784</v>
      </c>
      <c r="H28" s="74">
        <f>IF(OR(H23="",H17="",H22=""),"",H17+H22+H23)</f>
        <v>92791.806700797839</v>
      </c>
      <c r="I28" s="74">
        <f>IF(OR(I23="",I17="",I22=""),"",I17+I22+I23)</f>
        <v>915306.12851097563</v>
      </c>
      <c r="J28" s="74">
        <f>IF(OR(J23="",J17="",J22=""),"",J17+J22+J23)</f>
        <v>113382.17103773303</v>
      </c>
      <c r="K28" s="74">
        <f>IF(OR(K23="",K17="",K22=""),"",K17+K22+K23)</f>
        <v>1703415.2495001054</v>
      </c>
      <c r="L28" s="74">
        <f t="shared" ref="L28" si="131">IF(OR(L23="",L17="",L22=""),"",L17+L22+L23)</f>
        <v>4949903.9088932741</v>
      </c>
      <c r="M28" s="74">
        <f>IF(OR(M23="",M17="",M22=""),"",M17+M22+M23)</f>
        <v>2963625.4212888144</v>
      </c>
      <c r="N28" s="75">
        <f>IF(OR(N23="",N17="",N22=""),"",N17+N22+N23)</f>
        <v>2471328.3973727957</v>
      </c>
      <c r="O28" s="115">
        <f>IF(OR(O23="",O17="",O22=""),"",O17+O22+O23)</f>
        <v>-952248.65960243018</v>
      </c>
      <c r="P28" s="74">
        <f>IF(OR(P23="",P17="",P22=""),"",P17+P22+P23+P24)</f>
        <v>-1280817.4445101917</v>
      </c>
      <c r="Q28" s="74">
        <f t="shared" ref="Q28:W28" si="132">IF(OR(Q23="",Q17="",Q22=""),"",Q17+Q22+Q23+Q24)</f>
        <v>-1064296.7477690279</v>
      </c>
      <c r="R28" s="74">
        <f t="shared" si="132"/>
        <v>317286.60480971134</v>
      </c>
      <c r="S28" s="74">
        <f t="shared" si="132"/>
        <v>1122975.1169480933</v>
      </c>
      <c r="T28" s="74">
        <f t="shared" si="132"/>
        <v>759455.99831735564</v>
      </c>
      <c r="U28" s="74">
        <f t="shared" si="132"/>
        <v>445953.16791753791</v>
      </c>
      <c r="V28" s="74">
        <f t="shared" si="132"/>
        <v>1776898.3022375018</v>
      </c>
      <c r="W28" s="74">
        <f t="shared" si="132"/>
        <v>158502.88366155644</v>
      </c>
      <c r="X28" s="74">
        <f>IF(OR(X23="",X17="",X22=""),"",X17+X22+X23+X24)</f>
        <v>957394.83569001174</v>
      </c>
      <c r="Y28" s="74">
        <f t="shared" ref="Y28:AL28" si="133">IF(OR(Y23="",Y17="",Y22=""),"",Y17+Y22+Y23+Y24)</f>
        <v>2139769.9929803</v>
      </c>
      <c r="Z28" s="74">
        <f>IF(OR(Z23="",Z17="",Z22=""),"",Z17+Z22+Z23+Z24)</f>
        <v>1274648.2850770666</v>
      </c>
      <c r="AA28" s="76">
        <f>IF(OR(AA23="",AA17="",AA22=""),"",AA17+AA22+AA23+AA24)</f>
        <v>-1556923.8371131618</v>
      </c>
      <c r="AB28" s="74">
        <f t="shared" si="133"/>
        <v>-3011650.7483159816</v>
      </c>
      <c r="AC28" s="74">
        <f t="shared" si="133"/>
        <v>-2007216.9967654867</v>
      </c>
      <c r="AD28" s="74">
        <f t="shared" si="133"/>
        <v>916243.43260434631</v>
      </c>
      <c r="AE28" s="74">
        <f>IF(OR(AE23="",AE17="",AE22=""),"",AE17+AE22+AE23+AE24)</f>
        <v>944468.53602972324</v>
      </c>
      <c r="AF28" s="74">
        <f t="shared" si="133"/>
        <v>-493041.56645774032</v>
      </c>
      <c r="AG28" s="74">
        <f t="shared" si="133"/>
        <v>398401.97803061095</v>
      </c>
      <c r="AH28" s="74">
        <f t="shared" si="133"/>
        <v>-1503987.0751727286</v>
      </c>
      <c r="AI28" s="74">
        <f t="shared" si="133"/>
        <v>1223972.5666684252</v>
      </c>
      <c r="AJ28" s="74">
        <f t="shared" si="133"/>
        <v>3133766.8384949486</v>
      </c>
      <c r="AK28" s="74">
        <f t="shared" si="133"/>
        <v>4292150.5184860807</v>
      </c>
      <c r="AL28" s="75">
        <f t="shared" si="133"/>
        <v>6323182.8673360404</v>
      </c>
      <c r="AM28" s="126">
        <f>IF(OR(AM23="",AM17="",AM22=""),"",AM17+AM22+AM23+AM24)</f>
        <v>-7134824.1385061992</v>
      </c>
      <c r="AN28" s="74" t="str">
        <f t="shared" ref="AN28:AP28" si="134">IF(OR(AN23="",AN17="",AN22=""),"",AN17+AN22+AN23+AN24)</f>
        <v/>
      </c>
      <c r="AO28" s="74" t="str">
        <f t="shared" si="134"/>
        <v/>
      </c>
      <c r="AP28" s="74" t="str">
        <f t="shared" si="134"/>
        <v/>
      </c>
      <c r="AQ28" s="74" t="str">
        <f>IF(OR(AQ23="",AQ17="",AQ22=""),"",AQ17+AQ22+AQ23+AQ24)</f>
        <v/>
      </c>
      <c r="AR28" s="74" t="str">
        <f t="shared" ref="AR28:AX28" si="135">IF(OR(AR23="",AR17="",AR22=""),"",AR17+AR22+AR23+AR24)</f>
        <v/>
      </c>
      <c r="AS28" s="74" t="str">
        <f t="shared" si="135"/>
        <v/>
      </c>
      <c r="AT28" s="74" t="str">
        <f t="shared" si="135"/>
        <v/>
      </c>
      <c r="AU28" s="74" t="str">
        <f t="shared" si="135"/>
        <v/>
      </c>
      <c r="AV28" s="74" t="str">
        <f t="shared" si="135"/>
        <v/>
      </c>
      <c r="AW28" s="74" t="str">
        <f t="shared" si="135"/>
        <v/>
      </c>
      <c r="AX28" s="75" t="str">
        <f t="shared" si="135"/>
        <v/>
      </c>
    </row>
    <row r="29" spans="1:50" s="143" customFormat="1" x14ac:dyDescent="0.25">
      <c r="A29" s="165"/>
      <c r="B29" s="98" t="s">
        <v>43</v>
      </c>
      <c r="C29" s="99"/>
      <c r="D29" s="100"/>
      <c r="E29" s="100"/>
      <c r="F29" s="100"/>
      <c r="G29" s="100"/>
      <c r="H29" s="100"/>
      <c r="I29" s="100"/>
      <c r="J29" s="100"/>
      <c r="K29" s="100"/>
      <c r="L29" s="100">
        <f>+L18+L26+L27</f>
        <v>4237150.3383429321</v>
      </c>
      <c r="M29" s="100">
        <f>+M18+M26+M27</f>
        <v>2466643.0421965588</v>
      </c>
      <c r="N29" s="101"/>
      <c r="O29" s="116"/>
      <c r="P29" s="100"/>
      <c r="Q29" s="100"/>
      <c r="R29" s="100"/>
      <c r="S29" s="100"/>
      <c r="T29" s="100"/>
      <c r="U29" s="100"/>
      <c r="V29" s="100"/>
      <c r="W29" s="100"/>
      <c r="X29" s="100"/>
      <c r="Y29" s="45"/>
      <c r="Z29" s="46"/>
      <c r="AA29" s="44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101"/>
      <c r="AM29" s="99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1"/>
    </row>
    <row r="30" spans="1:50" s="143" customFormat="1" x14ac:dyDescent="0.25">
      <c r="A30" s="165"/>
      <c r="B30" s="70" t="s">
        <v>37</v>
      </c>
      <c r="C30" s="73">
        <f>C28</f>
        <v>-1426734.0896270131</v>
      </c>
      <c r="D30" s="74">
        <f>IF(OR(D28="",C30=""),"",D28+C30)</f>
        <v>-3031459.6957909334</v>
      </c>
      <c r="E30" s="74">
        <f>IF(OR(E28="",D30=""),"",E28+D30)</f>
        <v>-4452115.7810547911</v>
      </c>
      <c r="F30" s="74">
        <f>IF(OR(F28="",E30=""),"",F28+E30)</f>
        <v>-5308080.3533618851</v>
      </c>
      <c r="G30" s="74">
        <f>IF(OR(G28="",F30=""),"",G28+F30)</f>
        <v>-3856918.8855769066</v>
      </c>
      <c r="H30" s="74">
        <f>IF(OR(H28="",G30=""),"",H28+G30)</f>
        <v>-3764127.0788761089</v>
      </c>
      <c r="I30" s="74">
        <f t="shared" ref="I30:K30" si="136">IF(OR(I28="",H30=""),"",I28+H30)</f>
        <v>-2848820.9503651331</v>
      </c>
      <c r="J30" s="74">
        <f>IF(OR(J28="",I30=""),"",J28+I30)</f>
        <v>-2735438.7793274</v>
      </c>
      <c r="K30" s="74">
        <f t="shared" si="136"/>
        <v>-1032023.5298272946</v>
      </c>
      <c r="L30" s="74">
        <f>IF(OR(L28="",K30=""),"",L28+K30)</f>
        <v>3917880.3790659793</v>
      </c>
      <c r="M30" s="74">
        <f>IF(OR(M28="",L30=""),"",M28+L30)</f>
        <v>6881505.8003547937</v>
      </c>
      <c r="N30" s="75">
        <f>IF(OR(N28="",M30=""),"",N28+M30)</f>
        <v>9352834.1977275889</v>
      </c>
      <c r="O30" s="115">
        <f t="shared" ref="O30:X30" si="137">IF(OR(O28="",N30=""),"",O28+N30)</f>
        <v>8400585.5381251592</v>
      </c>
      <c r="P30" s="74">
        <f t="shared" si="137"/>
        <v>7119768.0936149675</v>
      </c>
      <c r="Q30" s="74">
        <f t="shared" si="137"/>
        <v>6055471.3458459396</v>
      </c>
      <c r="R30" s="74">
        <f t="shared" si="137"/>
        <v>6372757.9506556513</v>
      </c>
      <c r="S30" s="74">
        <f t="shared" si="137"/>
        <v>7495733.0676037446</v>
      </c>
      <c r="T30" s="74">
        <f t="shared" si="137"/>
        <v>8255189.0659210999</v>
      </c>
      <c r="U30" s="74">
        <f t="shared" si="137"/>
        <v>8701142.2338386383</v>
      </c>
      <c r="V30" s="74">
        <f t="shared" si="137"/>
        <v>10478040.53607614</v>
      </c>
      <c r="W30" s="74">
        <f t="shared" si="137"/>
        <v>10636543.419737697</v>
      </c>
      <c r="X30" s="74">
        <f t="shared" si="137"/>
        <v>11593938.255427709</v>
      </c>
      <c r="Y30" s="30">
        <f t="shared" ref="Y30:AL30" si="138">IF(OR(Y28="",X30=""),"",Y28+X30)</f>
        <v>13733708.248408008</v>
      </c>
      <c r="Z30" s="31">
        <f t="shared" si="138"/>
        <v>15008356.533485075</v>
      </c>
      <c r="AA30" s="76">
        <f t="shared" si="138"/>
        <v>13451432.696371913</v>
      </c>
      <c r="AB30" s="30">
        <f t="shared" si="138"/>
        <v>10439781.94805593</v>
      </c>
      <c r="AC30" s="30">
        <f t="shared" si="138"/>
        <v>8432564.9512904435</v>
      </c>
      <c r="AD30" s="30">
        <f t="shared" si="138"/>
        <v>9348808.38389479</v>
      </c>
      <c r="AE30" s="30">
        <f t="shared" si="138"/>
        <v>10293276.919924513</v>
      </c>
      <c r="AF30" s="30">
        <f t="shared" si="138"/>
        <v>9800235.3534667715</v>
      </c>
      <c r="AG30" s="30">
        <f t="shared" si="138"/>
        <v>10198637.331497382</v>
      </c>
      <c r="AH30" s="30">
        <f t="shared" si="138"/>
        <v>8694650.2563246544</v>
      </c>
      <c r="AI30" s="30">
        <f t="shared" si="138"/>
        <v>9918622.8229930792</v>
      </c>
      <c r="AJ30" s="30">
        <f t="shared" si="138"/>
        <v>13052389.661488028</v>
      </c>
      <c r="AK30" s="30">
        <f t="shared" si="138"/>
        <v>17344540.179974109</v>
      </c>
      <c r="AL30" s="75">
        <f t="shared" si="138"/>
        <v>23667723.047310151</v>
      </c>
      <c r="AM30" s="126">
        <f t="shared" ref="AM30" si="139">IF(OR(AM28="",AL30=""),"",AM28+AL30)</f>
        <v>16532898.908803951</v>
      </c>
      <c r="AN30" s="74" t="str">
        <f t="shared" ref="AN30" si="140">IF(OR(AN28="",AM30=""),"",AN28+AM30)</f>
        <v/>
      </c>
      <c r="AO30" s="74" t="str">
        <f t="shared" ref="AO30" si="141">IF(OR(AO28="",AN30=""),"",AO28+AN30)</f>
        <v/>
      </c>
      <c r="AP30" s="74" t="str">
        <f t="shared" ref="AP30" si="142">IF(OR(AP28="",AO30=""),"",AP28+AO30)</f>
        <v/>
      </c>
      <c r="AQ30" s="74" t="str">
        <f t="shared" ref="AQ30" si="143">IF(OR(AQ28="",AP30=""),"",AQ28+AP30)</f>
        <v/>
      </c>
      <c r="AR30" s="74" t="str">
        <f t="shared" ref="AR30" si="144">IF(OR(AR28="",AQ30=""),"",AR28+AQ30)</f>
        <v/>
      </c>
      <c r="AS30" s="74" t="str">
        <f t="shared" ref="AS30" si="145">IF(OR(AS28="",AR30=""),"",AS28+AR30)</f>
        <v/>
      </c>
      <c r="AT30" s="74" t="str">
        <f t="shared" ref="AT30" si="146">IF(OR(AT28="",AS30=""),"",AT28+AS30)</f>
        <v/>
      </c>
      <c r="AU30" s="74" t="str">
        <f t="shared" ref="AU30" si="147">IF(OR(AU28="",AT30=""),"",AU28+AT30)</f>
        <v/>
      </c>
      <c r="AV30" s="74" t="str">
        <f t="shared" ref="AV30" si="148">IF(OR(AV28="",AU30=""),"",AV28+AU30)</f>
        <v/>
      </c>
      <c r="AW30" s="74" t="str">
        <f t="shared" ref="AW30" si="149">IF(OR(AW28="",AV30=""),"",AW28+AV30)</f>
        <v/>
      </c>
      <c r="AX30" s="75" t="str">
        <f t="shared" ref="AX30" si="150">IF(OR(AX28="",AW30=""),"",AX28+AW30)</f>
        <v/>
      </c>
    </row>
    <row r="31" spans="1:50" s="143" customFormat="1" x14ac:dyDescent="0.25">
      <c r="A31" s="165"/>
      <c r="B31" s="98" t="s">
        <v>44</v>
      </c>
      <c r="C31" s="99"/>
      <c r="D31" s="100"/>
      <c r="E31" s="100"/>
      <c r="F31" s="100"/>
      <c r="G31" s="100"/>
      <c r="H31" s="100"/>
      <c r="I31" s="100"/>
      <c r="J31" s="100"/>
      <c r="K31" s="100"/>
      <c r="L31" s="100">
        <f>K30+L29</f>
        <v>3205126.8085156372</v>
      </c>
      <c r="M31" s="100">
        <f>L31+M29</f>
        <v>5671769.850712196</v>
      </c>
      <c r="N31" s="101"/>
      <c r="O31" s="116"/>
      <c r="P31" s="100"/>
      <c r="Q31" s="100"/>
      <c r="R31" s="100"/>
      <c r="S31" s="100"/>
      <c r="T31" s="100"/>
      <c r="U31" s="100"/>
      <c r="V31" s="100"/>
      <c r="W31" s="100"/>
      <c r="X31" s="100"/>
      <c r="Y31" s="45"/>
      <c r="Z31" s="46"/>
      <c r="AA31" s="44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101"/>
      <c r="AM31" s="99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</row>
    <row r="32" spans="1:50" s="144" customFormat="1" x14ac:dyDescent="0.25">
      <c r="A32" s="161" t="s">
        <v>33</v>
      </c>
      <c r="B32" s="61" t="s">
        <v>24</v>
      </c>
      <c r="C32" s="84">
        <v>1785114.49</v>
      </c>
      <c r="D32" s="62">
        <v>4324147.8499999996</v>
      </c>
      <c r="E32" s="62">
        <v>4264002.05</v>
      </c>
      <c r="F32" s="62">
        <v>3859331.62</v>
      </c>
      <c r="G32" s="62">
        <v>3378495.95</v>
      </c>
      <c r="H32" s="62">
        <v>3824206.53</v>
      </c>
      <c r="I32" s="62">
        <v>4621322.93</v>
      </c>
      <c r="J32" s="62">
        <v>4401496.92</v>
      </c>
      <c r="K32" s="62">
        <v>4645193.95</v>
      </c>
      <c r="L32" s="62">
        <v>3726839.08</v>
      </c>
      <c r="M32" s="62">
        <v>3470055.65</v>
      </c>
      <c r="N32" s="63">
        <v>4458071.32</v>
      </c>
      <c r="O32" s="122">
        <v>5175440.9800000004</v>
      </c>
      <c r="P32" s="62">
        <v>3618059.2</v>
      </c>
      <c r="Q32" s="62">
        <v>3110977.09</v>
      </c>
      <c r="R32" s="62">
        <v>2497915.75</v>
      </c>
      <c r="S32" s="62">
        <v>2299873.19</v>
      </c>
      <c r="T32" s="62">
        <v>2780404.4</v>
      </c>
      <c r="U32" s="62">
        <v>3189844.04</v>
      </c>
      <c r="V32" s="62">
        <v>3010211.02</v>
      </c>
      <c r="W32" s="62">
        <v>3188699.34</v>
      </c>
      <c r="X32" s="62">
        <v>2357159.1</v>
      </c>
      <c r="Y32" s="18">
        <v>2405013.0499999998</v>
      </c>
      <c r="Z32" s="19">
        <v>3112295.03</v>
      </c>
      <c r="AA32" s="17">
        <v>3703676.41</v>
      </c>
      <c r="AB32" s="18">
        <v>5327277.6399999997</v>
      </c>
      <c r="AC32" s="18">
        <v>5390029.6100000003</v>
      </c>
      <c r="AD32" s="62">
        <v>4197399.05</v>
      </c>
      <c r="AE32" s="18">
        <v>3898695.2</v>
      </c>
      <c r="AF32" s="62">
        <v>4677432.33</v>
      </c>
      <c r="AG32" s="62">
        <v>5602065.5599999996</v>
      </c>
      <c r="AH32" s="18">
        <v>5794762.6299999999</v>
      </c>
      <c r="AI32" s="62">
        <v>5291932.3</v>
      </c>
      <c r="AJ32" s="62">
        <v>4327015.21</v>
      </c>
      <c r="AK32" s="141">
        <v>4098073.9832257079</v>
      </c>
      <c r="AL32" s="142">
        <v>5063223.3594862027</v>
      </c>
      <c r="AM32" s="151">
        <v>6015735.3471120708</v>
      </c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3"/>
    </row>
    <row r="33" spans="1:50" s="144" customFormat="1" x14ac:dyDescent="0.25">
      <c r="A33" s="161"/>
      <c r="B33" s="61" t="s">
        <v>27</v>
      </c>
      <c r="C33" s="64">
        <f t="shared" ref="C33:L33" si="151">IF(OR(C9="",C32=""),"",C9-C32)</f>
        <v>410725.86999999988</v>
      </c>
      <c r="D33" s="65">
        <f t="shared" si="151"/>
        <v>-3133981.4799999995</v>
      </c>
      <c r="E33" s="65">
        <f t="shared" si="151"/>
        <v>-2533434.84</v>
      </c>
      <c r="F33" s="65">
        <f t="shared" si="151"/>
        <v>-1416055.6</v>
      </c>
      <c r="G33" s="65">
        <f t="shared" si="151"/>
        <v>-192465.44000000041</v>
      </c>
      <c r="H33" s="65">
        <f t="shared" si="151"/>
        <v>-1386691.9099999997</v>
      </c>
      <c r="I33" s="65">
        <f t="shared" si="151"/>
        <v>-1485751.5499999998</v>
      </c>
      <c r="J33" s="65">
        <f>IF(OR(J9="",J32=""),"",J9-J32)</f>
        <v>-994049.58000000007</v>
      </c>
      <c r="K33" s="65">
        <f t="shared" si="151"/>
        <v>-1178614.7200000002</v>
      </c>
      <c r="L33" s="65">
        <f t="shared" si="151"/>
        <v>-435548.70999999996</v>
      </c>
      <c r="M33" s="65">
        <f>IF(OR(M9="",M32=""),"",M9-M32)</f>
        <v>-477610.94999999972</v>
      </c>
      <c r="N33" s="66">
        <f>IF(OR(N9="",N32=""),"",N9-N32)</f>
        <v>497602.47999999952</v>
      </c>
      <c r="O33" s="118">
        <f>IF(OR(O9="",O32=""),"",O9-O32)</f>
        <v>-2195820.3400000003</v>
      </c>
      <c r="P33" s="65">
        <f t="shared" ref="P33:W33" si="152">IF(OR(P9="",P32=""),"",P9-P32)</f>
        <v>-1731570.5200000003</v>
      </c>
      <c r="Q33" s="65">
        <f>IF(OR(Q9="",Q32=""),"",Q9-Q32)</f>
        <v>703705.19</v>
      </c>
      <c r="R33" s="65">
        <f t="shared" si="152"/>
        <v>982329.23</v>
      </c>
      <c r="S33" s="65">
        <f>IF(OR(S9="",S32=""),"",S9-S32)</f>
        <v>1691482.88</v>
      </c>
      <c r="T33" s="65">
        <f t="shared" si="152"/>
        <v>1448343.5699999998</v>
      </c>
      <c r="U33" s="65">
        <f t="shared" si="152"/>
        <v>951705.25000000047</v>
      </c>
      <c r="V33" s="65">
        <f>IF(OR(V9="",V32=""),"",V9-V32)</f>
        <v>44750.799999999814</v>
      </c>
      <c r="W33" s="65">
        <f t="shared" si="152"/>
        <v>862376.98</v>
      </c>
      <c r="X33" s="65">
        <f>IF(OR(X9="",X32=""),"",X9-X32)</f>
        <v>1126445.6300000004</v>
      </c>
      <c r="Y33" s="22">
        <f>IF(OR(Y9="",Y32=""),"",Y9-Y32)</f>
        <v>945770.88000000035</v>
      </c>
      <c r="Z33" s="23">
        <f t="shared" ref="Z33:AL33" si="153">IF(OR(Z9="",Z32=""),"",Z9-Z32)</f>
        <v>-57321.869999999646</v>
      </c>
      <c r="AA33" s="21">
        <f>IF(OR(AA9="",AA32=""),"",AA9-AA32)</f>
        <v>-1412254.9900000002</v>
      </c>
      <c r="AB33" s="22">
        <f t="shared" si="153"/>
        <v>-4240206.09</v>
      </c>
      <c r="AC33" s="22">
        <f t="shared" si="153"/>
        <v>-2328036.1800000002</v>
      </c>
      <c r="AD33" s="22">
        <f t="shared" si="153"/>
        <v>-216815.4299999997</v>
      </c>
      <c r="AE33" s="22">
        <f t="shared" si="153"/>
        <v>866211.21999999974</v>
      </c>
      <c r="AF33" s="22">
        <f t="shared" si="153"/>
        <v>-1237767.3000000003</v>
      </c>
      <c r="AG33" s="22">
        <f t="shared" si="153"/>
        <v>-1003082.8099999996</v>
      </c>
      <c r="AH33" s="22">
        <f t="shared" si="153"/>
        <v>303796</v>
      </c>
      <c r="AI33" s="22">
        <f t="shared" si="153"/>
        <v>-972993.16000000015</v>
      </c>
      <c r="AJ33" s="22">
        <f t="shared" si="153"/>
        <v>416153.3200000003</v>
      </c>
      <c r="AK33" s="22">
        <f>IF(OR(AK9="",AK32=""),"",AK9-AK32)</f>
        <v>3172687.3367742924</v>
      </c>
      <c r="AL33" s="125">
        <f t="shared" si="153"/>
        <v>5994359.9705137974</v>
      </c>
      <c r="AM33" s="64">
        <f>IF(OR(AM9="",AM32=""),"",AM9-AM32)</f>
        <v>-5326735.3471120708</v>
      </c>
      <c r="AN33" s="124" t="str">
        <f t="shared" ref="AN33:AX33" si="154">IF(OR(AN9="",AN32=""),"",AN9-AN32)</f>
        <v/>
      </c>
      <c r="AO33" s="124" t="str">
        <f t="shared" si="154"/>
        <v/>
      </c>
      <c r="AP33" s="124" t="str">
        <f t="shared" si="154"/>
        <v/>
      </c>
      <c r="AQ33" s="124" t="str">
        <f t="shared" si="154"/>
        <v/>
      </c>
      <c r="AR33" s="124" t="str">
        <f t="shared" si="154"/>
        <v/>
      </c>
      <c r="AS33" s="124" t="str">
        <f t="shared" si="154"/>
        <v/>
      </c>
      <c r="AT33" s="124" t="str">
        <f t="shared" si="154"/>
        <v/>
      </c>
      <c r="AU33" s="124" t="str">
        <f t="shared" si="154"/>
        <v/>
      </c>
      <c r="AV33" s="124" t="str">
        <f t="shared" si="154"/>
        <v/>
      </c>
      <c r="AW33" s="124" t="str">
        <f t="shared" si="154"/>
        <v/>
      </c>
      <c r="AX33" s="125" t="str">
        <f t="shared" si="154"/>
        <v/>
      </c>
    </row>
    <row r="34" spans="1:50" s="144" customFormat="1" x14ac:dyDescent="0.25">
      <c r="A34" s="161"/>
      <c r="B34" s="61" t="s">
        <v>28</v>
      </c>
      <c r="C34" s="87">
        <v>8.0328900000000009E-3</v>
      </c>
      <c r="D34" s="88">
        <v>0</v>
      </c>
      <c r="E34" s="89">
        <v>8.9999999999999998E-4</v>
      </c>
      <c r="F34" s="89">
        <v>9.8042000000000008E-4</v>
      </c>
      <c r="G34" s="89">
        <v>8.9999999999999998E-4</v>
      </c>
      <c r="H34" s="89">
        <v>5.06939E-3</v>
      </c>
      <c r="I34" s="89">
        <v>6.9999999999999999E-4</v>
      </c>
      <c r="J34" s="89">
        <v>5.0000000000000001E-3</v>
      </c>
      <c r="K34" s="89">
        <v>5.0000000000000001E-3</v>
      </c>
      <c r="L34" s="89">
        <v>3.53499E-3</v>
      </c>
      <c r="M34" s="89">
        <v>3.07793E-3</v>
      </c>
      <c r="N34" s="113">
        <v>4.3629999999999997E-3</v>
      </c>
      <c r="O34" s="119">
        <v>5.6504299999999997E-3</v>
      </c>
      <c r="P34" s="89">
        <v>4.6197699999999996E-3</v>
      </c>
      <c r="Q34" s="89">
        <v>3.4344499999999999E-3</v>
      </c>
      <c r="R34" s="89">
        <v>3.23025E-3</v>
      </c>
      <c r="S34" s="89">
        <v>2.9896499999999999E-3</v>
      </c>
      <c r="T34" s="89">
        <v>3.0693399999999998E-3</v>
      </c>
      <c r="U34" s="89">
        <v>2.9848700000000001E-3</v>
      </c>
      <c r="V34" s="89">
        <v>3.11941E-3</v>
      </c>
      <c r="W34" s="89">
        <v>2.6448499999999998E-3</v>
      </c>
      <c r="X34" s="89">
        <v>2.7227499999999999E-3</v>
      </c>
      <c r="Y34" s="38">
        <v>3.2083900000000002E-3</v>
      </c>
      <c r="Z34" s="39">
        <v>4.0517299999999999E-3</v>
      </c>
      <c r="AA34" s="133">
        <v>4.91706E-3</v>
      </c>
      <c r="AB34" s="133">
        <v>4.35155E-3</v>
      </c>
      <c r="AC34" s="89">
        <v>4.1080500000000002E-3</v>
      </c>
      <c r="AD34" s="89">
        <v>3.0153100000000002E-3</v>
      </c>
      <c r="AE34" s="89">
        <v>8.5388E-4</v>
      </c>
      <c r="AF34" s="89">
        <v>1.90208E-3</v>
      </c>
      <c r="AG34" s="89">
        <v>4.4892300000000003E-3</v>
      </c>
      <c r="AH34" s="89">
        <v>5.4029799999999999E-3</v>
      </c>
      <c r="AI34" s="89">
        <v>5.4371999999999997E-3</v>
      </c>
      <c r="AJ34" s="89">
        <v>5.3268200000000003E-3</v>
      </c>
      <c r="AK34" s="89">
        <f>AJ34</f>
        <v>5.3268200000000003E-3</v>
      </c>
      <c r="AL34" s="113">
        <f>AK34</f>
        <v>5.3268200000000003E-3</v>
      </c>
      <c r="AM34" s="152">
        <f>AL34</f>
        <v>5.3268200000000003E-3</v>
      </c>
      <c r="AN34" s="133"/>
      <c r="AO34" s="89"/>
      <c r="AP34" s="89"/>
      <c r="AQ34" s="89"/>
      <c r="AR34" s="89"/>
      <c r="AS34" s="89"/>
      <c r="AT34" s="89"/>
      <c r="AU34" s="89"/>
      <c r="AV34" s="89"/>
      <c r="AW34" s="89"/>
      <c r="AX34" s="113"/>
    </row>
    <row r="35" spans="1:50" s="144" customFormat="1" x14ac:dyDescent="0.25">
      <c r="A35" s="161"/>
      <c r="B35" s="61" t="s">
        <v>61</v>
      </c>
      <c r="C35" s="64">
        <f>IF(OR(C34="",C33=""),"",(C34*C33)/12)</f>
        <v>274.94297782202494</v>
      </c>
      <c r="D35" s="65">
        <f>IF(OR(D34="",D33="",C38=""),"",((C38+D33)*D34)/12)</f>
        <v>0</v>
      </c>
      <c r="E35" s="65">
        <f>IF(OR(E34="",E33="",D38=""),"",((D38+E33)*E34)/12)</f>
        <v>-394.23116302666335</v>
      </c>
      <c r="F35" s="65">
        <f t="shared" ref="F35:X35" si="155">IF(OR(F34="",F33="",E38=""),"",((E38+F33)*F34)/12)</f>
        <v>-545.18421957196153</v>
      </c>
      <c r="G35" s="65">
        <f t="shared" si="155"/>
        <v>-514.94069718035826</v>
      </c>
      <c r="H35" s="65">
        <f t="shared" si="155"/>
        <v>-3486.5079568259102</v>
      </c>
      <c r="I35" s="65">
        <f t="shared" si="155"/>
        <v>-568.30205081176234</v>
      </c>
      <c r="J35" s="65">
        <f>IF(OR(J34="",J33="",I38=""),"",((I38+J33)*J34)/12)</f>
        <v>-4473.7244804623315</v>
      </c>
      <c r="K35" s="65">
        <f t="shared" si="155"/>
        <v>-4966.6779989958577</v>
      </c>
      <c r="L35" s="65">
        <f>IF(OR(L34="",L33="",K38=""),"",((K38+L33)*L34)/12)</f>
        <v>-3641.1995362192879</v>
      </c>
      <c r="M35" s="65">
        <f>IF(OR(M34="",M33="",L38=""),"",((L38+M33)*M34)/12)</f>
        <v>-3293.8454390903444</v>
      </c>
      <c r="N35" s="66">
        <f t="shared" si="155"/>
        <v>-4489.3401547301937</v>
      </c>
      <c r="O35" s="118">
        <f t="shared" si="155"/>
        <v>-6850.1084761040502</v>
      </c>
      <c r="P35" s="65">
        <f t="shared" si="155"/>
        <v>-6269.8811650589751</v>
      </c>
      <c r="Q35" s="65">
        <f t="shared" si="155"/>
        <v>-4461.574104177691</v>
      </c>
      <c r="R35" s="65">
        <f t="shared" si="155"/>
        <v>-3933.07526283177</v>
      </c>
      <c r="S35" s="65">
        <f t="shared" si="155"/>
        <v>-3219.6945087925524</v>
      </c>
      <c r="T35" s="65">
        <f t="shared" si="155"/>
        <v>-2935.8850364966916</v>
      </c>
      <c r="U35" s="65">
        <f t="shared" si="155"/>
        <v>-2619.0916925563893</v>
      </c>
      <c r="V35" s="65">
        <f t="shared" si="155"/>
        <v>-2726.19243216529</v>
      </c>
      <c r="W35" s="65">
        <f t="shared" si="155"/>
        <v>-2121.9825292750238</v>
      </c>
      <c r="X35" s="65">
        <f t="shared" si="155"/>
        <v>-1929.3779189853349</v>
      </c>
      <c r="Y35" s="22">
        <f t="shared" ref="Y35:AL35" si="156">IF(OR(Y34="",Y33="",X38=""),"",((X38+Y33)*Y34)/12)</f>
        <v>-2021.1581006842071</v>
      </c>
      <c r="Z35" s="22">
        <f t="shared" si="156"/>
        <v>-2572.4655878904136</v>
      </c>
      <c r="AA35" s="76">
        <f t="shared" si="156"/>
        <v>-3701.6009725457902</v>
      </c>
      <c r="AB35" s="22">
        <f t="shared" si="156"/>
        <v>-4814.8453600369294</v>
      </c>
      <c r="AC35" s="22">
        <f t="shared" si="156"/>
        <v>-5344.0430957568396</v>
      </c>
      <c r="AD35" s="22">
        <f t="shared" si="156"/>
        <v>-3978.3526301528454</v>
      </c>
      <c r="AE35" s="22">
        <f t="shared" si="156"/>
        <v>-1065.2422370387444</v>
      </c>
      <c r="AF35" s="22">
        <f t="shared" si="156"/>
        <v>-2569.2680210473441</v>
      </c>
      <c r="AG35" s="22">
        <f t="shared" si="156"/>
        <v>-6440.1233527400937</v>
      </c>
      <c r="AH35" s="22">
        <f t="shared" si="156"/>
        <v>-7617.0794674218387</v>
      </c>
      <c r="AI35" s="22">
        <f t="shared" si="156"/>
        <v>-8109.6370585841623</v>
      </c>
      <c r="AJ35" s="22">
        <f t="shared" si="156"/>
        <v>-7763.8729364569981</v>
      </c>
      <c r="AK35" s="22">
        <f>IF(OR(AK34="",AK33="",AJ38=""),"",((AJ38+AK33)*AK34)/12)</f>
        <v>-6358.9581359869435</v>
      </c>
      <c r="AL35" s="125">
        <f t="shared" si="156"/>
        <v>-3700.874506590746</v>
      </c>
      <c r="AM35" s="64">
        <f t="shared" ref="AM35" si="157">IF(OR(AM34="",AM33="",AL38=""),"",((AL38+AM33)*AM34)/12)</f>
        <v>-6067.0640294276391</v>
      </c>
      <c r="AN35" s="124" t="str">
        <f t="shared" ref="AN35" si="158">IF(OR(AN34="",AN33="",AM38=""),"",((AM38+AN33)*AN34)/12)</f>
        <v/>
      </c>
      <c r="AO35" s="124" t="str">
        <f t="shared" ref="AO35" si="159">IF(OR(AO34="",AO33="",AN38=""),"",((AN38+AO33)*AO34)/12)</f>
        <v/>
      </c>
      <c r="AP35" s="124" t="str">
        <f t="shared" ref="AP35" si="160">IF(OR(AP34="",AP33="",AO38=""),"",((AO38+AP33)*AP34)/12)</f>
        <v/>
      </c>
      <c r="AQ35" s="124" t="str">
        <f t="shared" ref="AQ35" si="161">IF(OR(AQ34="",AQ33="",AP38=""),"",((AP38+AQ33)*AQ34)/12)</f>
        <v/>
      </c>
      <c r="AR35" s="124" t="str">
        <f t="shared" ref="AR35" si="162">IF(OR(AR34="",AR33="",AQ38=""),"",((AQ38+AR33)*AR34)/12)</f>
        <v/>
      </c>
      <c r="AS35" s="124" t="str">
        <f t="shared" ref="AS35" si="163">IF(OR(AS34="",AS33="",AR38=""),"",((AR38+AS33)*AS34)/12)</f>
        <v/>
      </c>
      <c r="AT35" s="124" t="str">
        <f t="shared" ref="AT35" si="164">IF(OR(AT34="",AT33="",AS38=""),"",((AS38+AT33)*AT34)/12)</f>
        <v/>
      </c>
      <c r="AU35" s="124" t="str">
        <f t="shared" ref="AU35" si="165">IF(OR(AU34="",AU33="",AT38=""),"",((AT38+AU33)*AU34)/12)</f>
        <v/>
      </c>
      <c r="AV35" s="124" t="str">
        <f t="shared" ref="AV35" si="166">IF(OR(AV34="",AV33="",AU38=""),"",((AU38+AV33)*AV34)/12)</f>
        <v/>
      </c>
      <c r="AW35" s="124" t="str">
        <f t="shared" ref="AW35" si="167">IF(OR(AW34="",AW33="",AV38=""),"",((AV38+AW33)*AW34)/12)</f>
        <v/>
      </c>
      <c r="AX35" s="125" t="str">
        <f t="shared" ref="AX35" si="168">IF(OR(AX34="",AX33="",AW38=""),"",((AW38+AX33)*AX34)/12)</f>
        <v/>
      </c>
    </row>
    <row r="36" spans="1:50" s="144" customFormat="1" x14ac:dyDescent="0.25">
      <c r="A36" s="161"/>
      <c r="B36" s="131" t="s">
        <v>60</v>
      </c>
      <c r="C36" s="64">
        <f>C35</f>
        <v>274.94297782202494</v>
      </c>
      <c r="D36" s="65">
        <f>C36+D35</f>
        <v>274.94297782202494</v>
      </c>
      <c r="E36" s="124">
        <f t="shared" ref="E36:Z36" si="169">D36+E35</f>
        <v>-119.28818520463841</v>
      </c>
      <c r="F36" s="124">
        <f t="shared" si="169"/>
        <v>-664.47240477659989</v>
      </c>
      <c r="G36" s="124">
        <f t="shared" si="169"/>
        <v>-1179.4131019569581</v>
      </c>
      <c r="H36" s="124">
        <f t="shared" si="169"/>
        <v>-4665.9210587828684</v>
      </c>
      <c r="I36" s="124">
        <f t="shared" si="169"/>
        <v>-5234.2231095946308</v>
      </c>
      <c r="J36" s="124">
        <f t="shared" si="169"/>
        <v>-9707.9475900569632</v>
      </c>
      <c r="K36" s="124">
        <f t="shared" si="169"/>
        <v>-14674.625589052821</v>
      </c>
      <c r="L36" s="124">
        <f t="shared" si="169"/>
        <v>-18315.825125272109</v>
      </c>
      <c r="M36" s="124">
        <f t="shared" si="169"/>
        <v>-21609.670564362452</v>
      </c>
      <c r="N36" s="125">
        <f t="shared" si="169"/>
        <v>-26099.010719092646</v>
      </c>
      <c r="O36" s="130">
        <f t="shared" si="169"/>
        <v>-32949.119195196698</v>
      </c>
      <c r="P36" s="124">
        <f t="shared" si="169"/>
        <v>-39219.000360255675</v>
      </c>
      <c r="Q36" s="124">
        <f t="shared" si="169"/>
        <v>-43680.574464433368</v>
      </c>
      <c r="R36" s="124">
        <f t="shared" si="169"/>
        <v>-47613.64972726514</v>
      </c>
      <c r="S36" s="124">
        <f t="shared" si="169"/>
        <v>-50833.344236057688</v>
      </c>
      <c r="T36" s="124">
        <f t="shared" si="169"/>
        <v>-53769.229272554381</v>
      </c>
      <c r="U36" s="124">
        <f t="shared" si="169"/>
        <v>-56388.320965110768</v>
      </c>
      <c r="V36" s="124">
        <f t="shared" si="169"/>
        <v>-59114.51339727606</v>
      </c>
      <c r="W36" s="124">
        <f t="shared" si="169"/>
        <v>-61236.495926551084</v>
      </c>
      <c r="X36" s="124">
        <f t="shared" si="169"/>
        <v>-63165.873845536422</v>
      </c>
      <c r="Y36" s="124">
        <f t="shared" si="169"/>
        <v>-65187.031946220632</v>
      </c>
      <c r="Z36" s="125">
        <f t="shared" si="169"/>
        <v>-67759.49753411104</v>
      </c>
      <c r="AA36" s="130">
        <f t="shared" ref="AA36:AJ36" si="170">Z36+AA35</f>
        <v>-71461.098506656825</v>
      </c>
      <c r="AB36" s="130">
        <f t="shared" si="170"/>
        <v>-76275.943866693749</v>
      </c>
      <c r="AC36" s="130">
        <f t="shared" si="170"/>
        <v>-81619.986962450595</v>
      </c>
      <c r="AD36" s="130">
        <f t="shared" si="170"/>
        <v>-85598.339592603443</v>
      </c>
      <c r="AE36" s="130">
        <f t="shared" si="170"/>
        <v>-86663.581829642193</v>
      </c>
      <c r="AF36" s="130">
        <f t="shared" si="170"/>
        <v>-89232.849850689541</v>
      </c>
      <c r="AG36" s="130">
        <f t="shared" si="170"/>
        <v>-95672.973203429632</v>
      </c>
      <c r="AH36" s="130">
        <f t="shared" si="170"/>
        <v>-103290.05267085147</v>
      </c>
      <c r="AI36" s="130">
        <f t="shared" si="170"/>
        <v>-111399.68972943563</v>
      </c>
      <c r="AJ36" s="130">
        <f t="shared" si="170"/>
        <v>-119163.56266589263</v>
      </c>
      <c r="AK36" s="130">
        <f t="shared" ref="AK36" si="171">AJ36+AK35</f>
        <v>-125522.52080187958</v>
      </c>
      <c r="AL36" s="125">
        <f t="shared" ref="AL36" si="172">AK36+AL35</f>
        <v>-129223.39530847032</v>
      </c>
      <c r="AM36" s="64">
        <f t="shared" ref="AM36" si="173">AL36+AM35</f>
        <v>-135290.45933789798</v>
      </c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25"/>
    </row>
    <row r="37" spans="1:50" s="144" customFormat="1" x14ac:dyDescent="0.25">
      <c r="A37" s="161"/>
      <c r="B37" s="61" t="s">
        <v>34</v>
      </c>
      <c r="C37" s="64">
        <f>IF(OR(C35="",C33=""),"",C33+C35)</f>
        <v>411000.81297782192</v>
      </c>
      <c r="D37" s="65">
        <f>IF(OR(D35="",D33=""),"",D33+D35)</f>
        <v>-3133981.4799999995</v>
      </c>
      <c r="E37" s="65">
        <f t="shared" ref="E37:G37" si="174">IF(OR(E35="",E33=""),"",E33+E35)</f>
        <v>-2533829.0711630266</v>
      </c>
      <c r="F37" s="65">
        <f t="shared" si="174"/>
        <v>-1416600.7842195721</v>
      </c>
      <c r="G37" s="65">
        <f t="shared" si="174"/>
        <v>-192980.38069718078</v>
      </c>
      <c r="H37" s="65">
        <f>IF(OR(H35="",H33=""),"",H33+H35)</f>
        <v>-1390178.4179568256</v>
      </c>
      <c r="I37" s="65">
        <f t="shared" ref="I37:L37" si="175">IF(OR(I35="",I33=""),"",I33+I35)</f>
        <v>-1486319.8520508115</v>
      </c>
      <c r="J37" s="65">
        <f>IF(OR(J35="",J33=""),"",J33+J35)</f>
        <v>-998523.30448046245</v>
      </c>
      <c r="K37" s="65">
        <f t="shared" si="175"/>
        <v>-1183581.3979989961</v>
      </c>
      <c r="L37" s="65">
        <f t="shared" si="175"/>
        <v>-439189.90953621926</v>
      </c>
      <c r="M37" s="65">
        <f>IF(OR(M35="",M33=""),"",M33+M35)</f>
        <v>-480904.79543909006</v>
      </c>
      <c r="N37" s="66">
        <f>IF(OR(N35="",N33=""),"",N33+N35)</f>
        <v>493113.13984526932</v>
      </c>
      <c r="O37" s="64">
        <f t="shared" ref="O37:W37" si="176">IF(OR(O35="",O33=""),"",O33+O35)</f>
        <v>-2202670.4484761045</v>
      </c>
      <c r="P37" s="65">
        <f t="shared" si="176"/>
        <v>-1737840.4011650593</v>
      </c>
      <c r="Q37" s="65">
        <f t="shared" si="176"/>
        <v>699243.61589582229</v>
      </c>
      <c r="R37" s="65">
        <f t="shared" si="176"/>
        <v>978396.15473716822</v>
      </c>
      <c r="S37" s="65">
        <f>IF(OR(S35="",S33=""),"",S33+S35)</f>
        <v>1688263.1854912073</v>
      </c>
      <c r="T37" s="65">
        <f t="shared" si="176"/>
        <v>1445407.6849635032</v>
      </c>
      <c r="U37" s="65">
        <f t="shared" si="176"/>
        <v>949086.15830744407</v>
      </c>
      <c r="V37" s="65">
        <f t="shared" si="176"/>
        <v>42024.607567834522</v>
      </c>
      <c r="W37" s="65">
        <f t="shared" si="176"/>
        <v>860254.99747072498</v>
      </c>
      <c r="X37" s="65">
        <f>IF(OR(X35="",X33=""),"",X33+X35)</f>
        <v>1124516.2520810149</v>
      </c>
      <c r="Y37" s="22">
        <f t="shared" ref="Y37:AL37" si="177">IF(OR(Y35="",Y33=""),"",Y33+Y35)</f>
        <v>943749.72189931618</v>
      </c>
      <c r="Z37" s="23">
        <f t="shared" si="177"/>
        <v>-59894.335587890062</v>
      </c>
      <c r="AA37" s="21">
        <f t="shared" si="177"/>
        <v>-1415956.590972546</v>
      </c>
      <c r="AB37" s="22">
        <f t="shared" si="177"/>
        <v>-4245020.9353600368</v>
      </c>
      <c r="AC37" s="22">
        <f t="shared" si="177"/>
        <v>-2333380.223095757</v>
      </c>
      <c r="AD37" s="22">
        <f t="shared" si="177"/>
        <v>-220793.78263015253</v>
      </c>
      <c r="AE37" s="22">
        <f t="shared" si="177"/>
        <v>865145.97776296095</v>
      </c>
      <c r="AF37" s="22">
        <f t="shared" si="177"/>
        <v>-1240336.5680210476</v>
      </c>
      <c r="AG37" s="22">
        <f t="shared" si="177"/>
        <v>-1009522.9333527397</v>
      </c>
      <c r="AH37" s="22">
        <f t="shared" si="177"/>
        <v>296178.92053257814</v>
      </c>
      <c r="AI37" s="22">
        <f t="shared" si="177"/>
        <v>-981102.79705858428</v>
      </c>
      <c r="AJ37" s="22">
        <f t="shared" si="177"/>
        <v>408389.44706354331</v>
      </c>
      <c r="AK37" s="22">
        <f t="shared" si="177"/>
        <v>3166328.3786383052</v>
      </c>
      <c r="AL37" s="125">
        <f t="shared" si="177"/>
        <v>5990659.0960072065</v>
      </c>
      <c r="AM37" s="64">
        <f t="shared" ref="AM37:AX37" si="178">IF(OR(AM35="",AM33=""),"",AM33+AM35)</f>
        <v>-5332802.411141498</v>
      </c>
      <c r="AN37" s="124" t="str">
        <f t="shared" si="178"/>
        <v/>
      </c>
      <c r="AO37" s="124" t="str">
        <f t="shared" si="178"/>
        <v/>
      </c>
      <c r="AP37" s="124" t="str">
        <f t="shared" si="178"/>
        <v/>
      </c>
      <c r="AQ37" s="124" t="str">
        <f t="shared" si="178"/>
        <v/>
      </c>
      <c r="AR37" s="124" t="str">
        <f t="shared" si="178"/>
        <v/>
      </c>
      <c r="AS37" s="124" t="str">
        <f t="shared" si="178"/>
        <v/>
      </c>
      <c r="AT37" s="124" t="str">
        <f t="shared" si="178"/>
        <v/>
      </c>
      <c r="AU37" s="124" t="str">
        <f t="shared" si="178"/>
        <v/>
      </c>
      <c r="AV37" s="124" t="str">
        <f t="shared" si="178"/>
        <v/>
      </c>
      <c r="AW37" s="124" t="str">
        <f t="shared" si="178"/>
        <v/>
      </c>
      <c r="AX37" s="125" t="str">
        <f t="shared" si="178"/>
        <v/>
      </c>
    </row>
    <row r="38" spans="1:50" s="144" customFormat="1" ht="15.75" thickBot="1" x14ac:dyDescent="0.3">
      <c r="A38" s="161"/>
      <c r="B38" s="61" t="s">
        <v>35</v>
      </c>
      <c r="C38" s="67">
        <f>C37</f>
        <v>411000.81297782192</v>
      </c>
      <c r="D38" s="68">
        <f>IF(OR(D37="",C38=""),"",D37+C38)</f>
        <v>-2722980.6670221775</v>
      </c>
      <c r="E38" s="68">
        <f t="shared" ref="E38:X38" si="179">IF(OR(E37="",D38=""),"",E37+D38)</f>
        <v>-5256809.7381852046</v>
      </c>
      <c r="F38" s="68">
        <f t="shared" si="179"/>
        <v>-6673410.5224047769</v>
      </c>
      <c r="G38" s="68">
        <f t="shared" si="179"/>
        <v>-6866390.9031019574</v>
      </c>
      <c r="H38" s="68">
        <f t="shared" si="179"/>
        <v>-8256569.3210587827</v>
      </c>
      <c r="I38" s="68">
        <f t="shared" si="179"/>
        <v>-9742889.1731095947</v>
      </c>
      <c r="J38" s="68">
        <f>IF(OR(J37="",I38=""),"",J37+I38)</f>
        <v>-10741412.477590058</v>
      </c>
      <c r="K38" s="68">
        <f t="shared" si="179"/>
        <v>-11924993.875589054</v>
      </c>
      <c r="L38" s="68">
        <f t="shared" si="179"/>
        <v>-12364183.785125274</v>
      </c>
      <c r="M38" s="68">
        <f>IF(OR(M37="",L38=""),"",M37+L38)</f>
        <v>-12845088.580564365</v>
      </c>
      <c r="N38" s="69">
        <f t="shared" si="179"/>
        <v>-12351975.440719096</v>
      </c>
      <c r="O38" s="67">
        <f t="shared" si="179"/>
        <v>-14554645.8891952</v>
      </c>
      <c r="P38" s="68">
        <f t="shared" si="179"/>
        <v>-16292486.290360259</v>
      </c>
      <c r="Q38" s="68">
        <f t="shared" si="179"/>
        <v>-15593242.674464436</v>
      </c>
      <c r="R38" s="68">
        <f t="shared" si="179"/>
        <v>-14614846.519727267</v>
      </c>
      <c r="S38" s="68">
        <f t="shared" si="179"/>
        <v>-12926583.334236059</v>
      </c>
      <c r="T38" s="68">
        <f t="shared" si="179"/>
        <v>-11481175.649272555</v>
      </c>
      <c r="U38" s="68">
        <f t="shared" si="179"/>
        <v>-10532089.490965111</v>
      </c>
      <c r="V38" s="68">
        <f t="shared" si="179"/>
        <v>-10490064.883397277</v>
      </c>
      <c r="W38" s="68">
        <f t="shared" si="179"/>
        <v>-9629809.8859265521</v>
      </c>
      <c r="X38" s="68">
        <f t="shared" si="179"/>
        <v>-8505293.6338455379</v>
      </c>
      <c r="Y38" s="25">
        <f t="shared" ref="Y38:AL38" si="180">IF(OR(Y37="",X38=""),"",Y37+X38)</f>
        <v>-7561543.9119462222</v>
      </c>
      <c r="Z38" s="26">
        <f t="shared" si="180"/>
        <v>-7621438.2475341121</v>
      </c>
      <c r="AA38" s="24">
        <f t="shared" si="180"/>
        <v>-9037394.8385066576</v>
      </c>
      <c r="AB38" s="25">
        <f t="shared" si="180"/>
        <v>-13282415.773866694</v>
      </c>
      <c r="AC38" s="25">
        <f t="shared" si="180"/>
        <v>-15615795.99696245</v>
      </c>
      <c r="AD38" s="25">
        <f t="shared" si="180"/>
        <v>-15836589.779592603</v>
      </c>
      <c r="AE38" s="25">
        <f t="shared" si="180"/>
        <v>-14971443.801829642</v>
      </c>
      <c r="AF38" s="25">
        <f t="shared" si="180"/>
        <v>-16211780.36985069</v>
      </c>
      <c r="AG38" s="25">
        <f t="shared" si="180"/>
        <v>-17221303.30320343</v>
      </c>
      <c r="AH38" s="25">
        <f t="shared" si="180"/>
        <v>-16925124.382670853</v>
      </c>
      <c r="AI38" s="25">
        <f t="shared" si="180"/>
        <v>-17906227.179729439</v>
      </c>
      <c r="AJ38" s="25">
        <f t="shared" si="180"/>
        <v>-17497837.732665896</v>
      </c>
      <c r="AK38" s="25">
        <f t="shared" si="180"/>
        <v>-14331509.354027592</v>
      </c>
      <c r="AL38" s="69">
        <f t="shared" si="180"/>
        <v>-8340850.2580203852</v>
      </c>
      <c r="AM38" s="67">
        <f t="shared" ref="AM38" si="181">IF(OR(AM37="",AL38=""),"",AM37+AL38)</f>
        <v>-13673652.669161882</v>
      </c>
      <c r="AN38" s="68" t="str">
        <f t="shared" ref="AN38" si="182">IF(OR(AN37="",AM38=""),"",AN37+AM38)</f>
        <v/>
      </c>
      <c r="AO38" s="68" t="str">
        <f t="shared" ref="AO38" si="183">IF(OR(AO37="",AN38=""),"",AO37+AN38)</f>
        <v/>
      </c>
      <c r="AP38" s="68" t="str">
        <f t="shared" ref="AP38" si="184">IF(OR(AP37="",AO38=""),"",AP37+AO38)</f>
        <v/>
      </c>
      <c r="AQ38" s="68" t="str">
        <f t="shared" ref="AQ38" si="185">IF(OR(AQ37="",AP38=""),"",AQ37+AP38)</f>
        <v/>
      </c>
      <c r="AR38" s="68" t="str">
        <f t="shared" ref="AR38" si="186">IF(OR(AR37="",AQ38=""),"",AR37+AQ38)</f>
        <v/>
      </c>
      <c r="AS38" s="68" t="str">
        <f t="shared" ref="AS38" si="187">IF(OR(AS37="",AR38=""),"",AS37+AR38)</f>
        <v/>
      </c>
      <c r="AT38" s="68" t="str">
        <f t="shared" ref="AT38" si="188">IF(OR(AT37="",AS38=""),"",AT37+AS38)</f>
        <v/>
      </c>
      <c r="AU38" s="68" t="str">
        <f t="shared" ref="AU38" si="189">IF(OR(AU37="",AT38=""),"",AU37+AT38)</f>
        <v/>
      </c>
      <c r="AV38" s="68" t="str">
        <f t="shared" ref="AV38" si="190">IF(OR(AV37="",AU38=""),"",AV37+AU38)</f>
        <v/>
      </c>
      <c r="AW38" s="68" t="str">
        <f t="shared" ref="AW38" si="191">IF(OR(AW37="",AV38=""),"",AW37+AV38)</f>
        <v/>
      </c>
      <c r="AX38" s="69" t="str">
        <f t="shared" ref="AX38" si="192">IF(OR(AX37="",AW38=""),"",AX37+AW38)</f>
        <v/>
      </c>
    </row>
    <row r="39" spans="1:50" ht="15.75" hidden="1" thickTop="1" x14ac:dyDescent="0.25">
      <c r="A39" s="160"/>
      <c r="B39" s="92" t="s">
        <v>45</v>
      </c>
      <c r="C39" s="49"/>
      <c r="D39" s="49"/>
      <c r="E39" s="49"/>
      <c r="F39" s="49"/>
      <c r="G39" s="49"/>
      <c r="H39" s="49"/>
      <c r="I39" s="49"/>
      <c r="J39" s="49"/>
      <c r="K39" s="94"/>
      <c r="L39" s="89">
        <v>5.5899999999999998E-2</v>
      </c>
      <c r="M39" s="89">
        <v>5.57E-2</v>
      </c>
      <c r="N39" s="89">
        <v>5.4100000000000002E-2</v>
      </c>
      <c r="O39" s="89">
        <v>4.6699999999999998E-2</v>
      </c>
      <c r="P39" s="89"/>
      <c r="Q39" s="89"/>
      <c r="R39" s="89"/>
      <c r="S39" s="89"/>
      <c r="T39" s="89"/>
      <c r="U39" s="89"/>
      <c r="V39" s="89"/>
      <c r="W39" s="89"/>
      <c r="X39" s="89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20"/>
    </row>
    <row r="40" spans="1:50" ht="15.75" hidden="1" thickTop="1" x14ac:dyDescent="0.25">
      <c r="A40" s="160"/>
      <c r="B40" s="92" t="s">
        <v>46</v>
      </c>
      <c r="C40" s="49"/>
      <c r="D40" s="49"/>
      <c r="E40" s="49"/>
      <c r="F40" s="49"/>
      <c r="G40" s="49"/>
      <c r="H40" s="49"/>
      <c r="I40" s="49"/>
      <c r="J40" s="49"/>
      <c r="K40" s="94"/>
      <c r="L40" s="93">
        <f t="shared" ref="L40:O40" si="193">L39/12</f>
        <v>4.6583333333333329E-3</v>
      </c>
      <c r="M40" s="93">
        <f t="shared" si="193"/>
        <v>4.6416666666666663E-3</v>
      </c>
      <c r="N40" s="93">
        <f t="shared" si="193"/>
        <v>4.5083333333333338E-3</v>
      </c>
      <c r="O40" s="93">
        <f t="shared" si="193"/>
        <v>3.8916666666666665E-3</v>
      </c>
      <c r="P40" s="93"/>
      <c r="Q40" s="93"/>
      <c r="R40" s="93"/>
      <c r="S40" s="93"/>
      <c r="T40" s="93"/>
      <c r="U40" s="93"/>
      <c r="V40" s="93"/>
      <c r="W40" s="93"/>
      <c r="X40" s="93"/>
      <c r="AM40" s="20"/>
    </row>
    <row r="41" spans="1:50" ht="15.75" hidden="1" thickTop="1" x14ac:dyDescent="0.25">
      <c r="A41" s="160"/>
      <c r="B41" s="92" t="s">
        <v>39</v>
      </c>
      <c r="C41" s="49"/>
      <c r="D41" s="49"/>
      <c r="E41" s="49"/>
      <c r="F41" s="49"/>
      <c r="G41" s="49"/>
      <c r="H41" s="49"/>
      <c r="I41" s="49"/>
      <c r="J41" s="49"/>
      <c r="K41" s="94"/>
      <c r="L41" s="94">
        <f>L31</f>
        <v>3205126.8085156372</v>
      </c>
      <c r="M41" s="94">
        <f>M31</f>
        <v>5671769.850712196</v>
      </c>
      <c r="N41" s="94"/>
      <c r="O41" s="94"/>
      <c r="P41" s="49"/>
      <c r="Q41" s="49"/>
      <c r="R41" s="49"/>
      <c r="S41" s="49"/>
      <c r="T41" s="49"/>
      <c r="U41" s="49"/>
      <c r="V41" s="49"/>
      <c r="W41" s="49"/>
      <c r="X41" s="49"/>
      <c r="AM41" s="20"/>
    </row>
    <row r="42" spans="1:50" ht="15.75" hidden="1" thickTop="1" x14ac:dyDescent="0.25">
      <c r="A42" s="160"/>
      <c r="B42" s="92" t="s">
        <v>48</v>
      </c>
      <c r="C42" s="49"/>
      <c r="D42" s="49"/>
      <c r="E42" s="49"/>
      <c r="F42" s="49"/>
      <c r="G42" s="49"/>
      <c r="H42" s="49"/>
      <c r="I42" s="49"/>
      <c r="J42" s="49"/>
      <c r="K42" s="49"/>
      <c r="L42" s="94">
        <f>L40*L41</f>
        <v>14930.549049668674</v>
      </c>
      <c r="M42" s="94">
        <f>M40*M41</f>
        <v>26326.465057055775</v>
      </c>
      <c r="N42" s="94"/>
      <c r="O42" s="49"/>
      <c r="P42" s="49"/>
      <c r="Q42" s="49"/>
      <c r="R42" s="49"/>
      <c r="S42" s="49"/>
      <c r="T42" s="49"/>
      <c r="U42" s="49"/>
      <c r="V42" s="49"/>
      <c r="W42" s="49"/>
      <c r="X42" s="49"/>
      <c r="AM42" s="20"/>
    </row>
    <row r="43" spans="1:50" ht="15.75" hidden="1" thickTop="1" x14ac:dyDescent="0.25">
      <c r="A43" s="160"/>
      <c r="B43" s="92" t="s">
        <v>47</v>
      </c>
      <c r="C43" s="49"/>
      <c r="D43" s="49"/>
      <c r="E43" s="49"/>
      <c r="F43" s="49"/>
      <c r="G43" s="49"/>
      <c r="H43" s="49"/>
      <c r="I43" s="49"/>
      <c r="J43" s="49"/>
      <c r="K43" s="49"/>
      <c r="L43" s="94">
        <f>+L26+L27</f>
        <v>20303.250184361881</v>
      </c>
      <c r="M43" s="94">
        <f>+M26+M27</f>
        <v>40233.330695743818</v>
      </c>
      <c r="N43" s="94"/>
      <c r="O43" s="49"/>
      <c r="P43" s="49"/>
      <c r="Q43" s="49"/>
      <c r="R43" s="49"/>
      <c r="S43" s="49"/>
      <c r="T43" s="49"/>
      <c r="U43" s="49"/>
      <c r="V43" s="49"/>
      <c r="W43" s="49"/>
      <c r="X43" s="49"/>
      <c r="AM43" s="20"/>
    </row>
    <row r="44" spans="1:50" ht="15.75" hidden="1" thickTop="1" x14ac:dyDescent="0.25">
      <c r="A44" s="160"/>
      <c r="B44" s="92" t="s">
        <v>50</v>
      </c>
      <c r="C44" s="49"/>
      <c r="D44" s="49"/>
      <c r="E44" s="49"/>
      <c r="F44" s="49"/>
      <c r="G44" s="49"/>
      <c r="H44" s="49"/>
      <c r="I44" s="49"/>
      <c r="J44" s="49"/>
      <c r="K44" s="49"/>
      <c r="L44" s="94">
        <f>+L42-L43</f>
        <v>-5372.7011346932068</v>
      </c>
      <c r="M44" s="94">
        <f>+M42-M43</f>
        <v>-13906.865638688043</v>
      </c>
      <c r="N44" s="94"/>
      <c r="O44" s="49"/>
      <c r="P44" s="49"/>
      <c r="Q44" s="49"/>
      <c r="R44" s="49"/>
      <c r="S44" s="49"/>
      <c r="T44" s="49"/>
      <c r="U44" s="49"/>
      <c r="V44" s="49"/>
      <c r="W44" s="49"/>
      <c r="X44" s="49"/>
      <c r="AM44" s="20"/>
    </row>
    <row r="45" spans="1:50" ht="15.75" hidden="1" thickTop="1" x14ac:dyDescent="0.25">
      <c r="A45" s="160"/>
      <c r="B45" s="92" t="s">
        <v>49</v>
      </c>
      <c r="C45" s="49"/>
      <c r="D45" s="49"/>
      <c r="E45" s="49"/>
      <c r="F45" s="49"/>
      <c r="G45" s="49"/>
      <c r="H45" s="49"/>
      <c r="I45" s="49"/>
      <c r="J45" s="49"/>
      <c r="K45" s="49"/>
      <c r="L45" s="94">
        <f>K45+L44</f>
        <v>-5372.7011346932068</v>
      </c>
      <c r="M45" s="94">
        <f>L45+M44</f>
        <v>-19279.566773381252</v>
      </c>
      <c r="N45" s="94"/>
      <c r="O45" s="49"/>
      <c r="P45" s="49"/>
      <c r="Q45" s="49"/>
      <c r="R45" s="49"/>
      <c r="S45" s="49"/>
      <c r="T45" s="49"/>
      <c r="U45" s="49"/>
      <c r="V45" s="49"/>
      <c r="W45" s="49"/>
      <c r="X45" s="49"/>
      <c r="AM45" s="20"/>
    </row>
    <row r="46" spans="1:50" s="48" customFormat="1" ht="15.75" thickTop="1" x14ac:dyDescent="0.25">
      <c r="A46" s="159"/>
      <c r="B46" s="105" t="s">
        <v>51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7">
        <f>L30</f>
        <v>3917880.3790659793</v>
      </c>
      <c r="M46" s="107">
        <f>M30</f>
        <v>6881505.8003547937</v>
      </c>
      <c r="N46" s="107">
        <f t="shared" ref="N46:O46" si="194">N30</f>
        <v>9352834.1977275889</v>
      </c>
      <c r="O46" s="107">
        <f t="shared" si="194"/>
        <v>8400585.5381251592</v>
      </c>
      <c r="P46" s="107"/>
      <c r="Q46" s="107"/>
      <c r="R46" s="107"/>
      <c r="S46" s="107"/>
      <c r="T46" s="107"/>
      <c r="U46" s="107"/>
      <c r="V46" s="107"/>
      <c r="W46" s="107"/>
      <c r="X46" s="107"/>
      <c r="AM46" s="144"/>
    </row>
    <row r="47" spans="1:50" s="47" customFormat="1" x14ac:dyDescent="0.25">
      <c r="A47" s="159"/>
      <c r="B47" s="102" t="s">
        <v>52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4">
        <f>L40*L46</f>
        <v>18250.792765815684</v>
      </c>
      <c r="M47" s="104">
        <f>M40*M46</f>
        <v>31941.656089980166</v>
      </c>
      <c r="N47" s="104">
        <f t="shared" ref="N47:O47" si="195">N40*N46</f>
        <v>42165.694174755219</v>
      </c>
      <c r="O47" s="104">
        <f t="shared" si="195"/>
        <v>32692.278719203743</v>
      </c>
      <c r="P47" s="104"/>
      <c r="Q47" s="104"/>
      <c r="R47" s="104"/>
      <c r="S47" s="104"/>
      <c r="T47" s="104"/>
      <c r="U47" s="104"/>
      <c r="V47" s="104"/>
      <c r="W47" s="104"/>
      <c r="X47" s="104"/>
      <c r="AM47" s="144"/>
    </row>
    <row r="48" spans="1:50" s="47" customFormat="1" x14ac:dyDescent="0.25">
      <c r="A48" s="159"/>
      <c r="B48" s="102" t="s">
        <v>53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4">
        <f>+L22+L23</f>
        <v>24818.270939307535</v>
      </c>
      <c r="M48" s="104">
        <f>+M22+M23</f>
        <v>43365.162954575469</v>
      </c>
      <c r="N48" s="104">
        <f t="shared" ref="N48:O48" si="196">+N22+N23</f>
        <v>57091.384762105721</v>
      </c>
      <c r="O48" s="104">
        <f t="shared" si="196"/>
        <v>44149.807588217736</v>
      </c>
      <c r="P48" s="104"/>
      <c r="Q48" s="104"/>
      <c r="R48" s="104"/>
      <c r="S48" s="104"/>
      <c r="T48" s="104"/>
      <c r="U48" s="104"/>
      <c r="V48" s="104"/>
      <c r="W48" s="104"/>
      <c r="X48" s="104"/>
      <c r="AM48" s="144"/>
    </row>
    <row r="49" spans="1:39" s="47" customFormat="1" x14ac:dyDescent="0.25">
      <c r="A49" s="159"/>
      <c r="B49" s="102" t="s">
        <v>54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4">
        <f>+L47-L48</f>
        <v>-6567.4781734918506</v>
      </c>
      <c r="M49" s="104">
        <f>+M47-M48</f>
        <v>-11423.506864595303</v>
      </c>
      <c r="N49" s="104">
        <f t="shared" ref="N49:O49" si="197">+N47-N48</f>
        <v>-14925.690587350502</v>
      </c>
      <c r="O49" s="104">
        <f t="shared" si="197"/>
        <v>-11457.528869013993</v>
      </c>
      <c r="P49" s="104"/>
      <c r="Q49" s="104"/>
      <c r="R49" s="104"/>
      <c r="S49" s="104"/>
      <c r="T49" s="104"/>
      <c r="U49" s="104"/>
      <c r="V49" s="104"/>
      <c r="W49" s="104"/>
      <c r="X49" s="104"/>
      <c r="AM49" s="144"/>
    </row>
    <row r="50" spans="1:39" s="47" customFormat="1" x14ac:dyDescent="0.25">
      <c r="A50" s="159"/>
      <c r="B50" s="102" t="s">
        <v>55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4">
        <f>K50+L49</f>
        <v>-6567.4781734918506</v>
      </c>
      <c r="M50" s="104">
        <f t="shared" ref="M50:N50" si="198">L50+M49</f>
        <v>-17990.985038087154</v>
      </c>
      <c r="N50" s="104">
        <f t="shared" si="198"/>
        <v>-32916.675625437652</v>
      </c>
      <c r="O50" s="104">
        <f>N50+O49</f>
        <v>-44374.204494451646</v>
      </c>
      <c r="P50" s="104">
        <f t="shared" ref="P50:AB50" si="199">O50+P49</f>
        <v>-44374.204494451646</v>
      </c>
      <c r="Q50" s="104">
        <f t="shared" si="199"/>
        <v>-44374.204494451646</v>
      </c>
      <c r="R50" s="104">
        <f t="shared" si="199"/>
        <v>-44374.204494451646</v>
      </c>
      <c r="S50" s="104">
        <f t="shared" si="199"/>
        <v>-44374.204494451646</v>
      </c>
      <c r="T50" s="104">
        <f t="shared" si="199"/>
        <v>-44374.204494451646</v>
      </c>
      <c r="U50" s="104">
        <f t="shared" si="199"/>
        <v>-44374.204494451646</v>
      </c>
      <c r="V50" s="104">
        <f t="shared" si="199"/>
        <v>-44374.204494451646</v>
      </c>
      <c r="W50" s="104">
        <f t="shared" si="199"/>
        <v>-44374.204494451646</v>
      </c>
      <c r="X50" s="104">
        <f t="shared" si="199"/>
        <v>-44374.204494451646</v>
      </c>
      <c r="Y50" s="104">
        <f t="shared" si="199"/>
        <v>-44374.204494451646</v>
      </c>
      <c r="Z50" s="104">
        <f t="shared" si="199"/>
        <v>-44374.204494451646</v>
      </c>
      <c r="AA50" s="104">
        <f t="shared" si="199"/>
        <v>-44374.204494451646</v>
      </c>
      <c r="AB50" s="104">
        <f t="shared" si="199"/>
        <v>-44374.204494451646</v>
      </c>
      <c r="AC50" s="104">
        <f>AB50+AC49</f>
        <v>-44374.204494451646</v>
      </c>
      <c r="AD50" s="104">
        <f>AC50+AD49</f>
        <v>-44374.204494451646</v>
      </c>
      <c r="AE50" s="104">
        <f>AD50+AE49</f>
        <v>-44374.204494451646</v>
      </c>
      <c r="AF50" s="104">
        <f>AE50+18489.25</f>
        <v>-25884.954494451646</v>
      </c>
      <c r="AG50" s="134">
        <f>AF50+3697.85</f>
        <v>-22187.104494451647</v>
      </c>
      <c r="AH50" s="134">
        <f>AG50+3697.85</f>
        <v>-18489.254494451648</v>
      </c>
      <c r="AI50" s="136">
        <f>AH50+3697.85</f>
        <v>-14791.404494451648</v>
      </c>
      <c r="AJ50" s="136">
        <f>AI50+3697.85</f>
        <v>-11093.554494451648</v>
      </c>
      <c r="AK50" s="136">
        <f t="shared" ref="AK50:AM50" si="200">AJ50+3697.85</f>
        <v>-7395.7044944516474</v>
      </c>
      <c r="AL50" s="136">
        <f t="shared" si="200"/>
        <v>-3697.8544944516475</v>
      </c>
      <c r="AM50" s="136">
        <f t="shared" si="200"/>
        <v>-4.4944516475879936E-3</v>
      </c>
    </row>
    <row r="51" spans="1:39" x14ac:dyDescent="0.25">
      <c r="A51" s="3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21" customHeight="1" x14ac:dyDescent="0.25">
      <c r="A52" s="3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</sheetData>
  <mergeCells count="10">
    <mergeCell ref="AM6:AX6"/>
    <mergeCell ref="A46:A50"/>
    <mergeCell ref="A39:A45"/>
    <mergeCell ref="A32:A38"/>
    <mergeCell ref="O6:Z6"/>
    <mergeCell ref="AA6:AL6"/>
    <mergeCell ref="C6:H6"/>
    <mergeCell ref="I6:N6"/>
    <mergeCell ref="A8:A15"/>
    <mergeCell ref="A16:A31"/>
  </mergeCells>
  <printOptions headings="1"/>
  <pageMargins left="0.7" right="0.2" top="0.75" bottom="0.75" header="0.3" footer="0.3"/>
  <pageSetup scale="65" orientation="landscape" cellComments="asDisplayed" r:id="rId1"/>
  <headerFooter>
    <oddHeader>&amp;C&amp;A&amp;RSCHEDULE WRD-3</oddHeader>
  </headerFooter>
  <colBreaks count="2" manualBreakCount="2">
    <brk id="8" max="1048575" man="1"/>
    <brk id="14" max="4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7b4650c32dc7bd59e63521ac05aff8c5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>schedule WRD3</Comments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E70EB-2C3E-4076-ABA4-D6A3B864C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07B67-19EB-4B96-A323-3D485BBA4FF9}">
  <ds:schemaRefs>
    <ds:schemaRef ds:uri="http://schemas.microsoft.com/office/2006/metadata/properties"/>
    <ds:schemaRef ds:uri="37C40F9E-044B-4F26-A90E-5C1316E52537"/>
  </ds:schemaRefs>
</ds:datastoreItem>
</file>

<file path=customXml/itemProps3.xml><?xml version="1.0" encoding="utf-8"?>
<ds:datastoreItem xmlns:ds="http://schemas.openxmlformats.org/officeDocument/2006/customXml" ds:itemID="{89B4CCAA-8671-4113-8547-D2C933470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MonthlyNSBCalculation</vt:lpstr>
      <vt:lpstr>MonthlyNSBCalculation!Print_Area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e21586</dc:creator>
  <cp:lastModifiedBy>Donohue, Julie E</cp:lastModifiedBy>
  <cp:lastPrinted>2015-10-07T14:57:50Z</cp:lastPrinted>
  <dcterms:created xsi:type="dcterms:W3CDTF">2013-01-09T19:50:07Z</dcterms:created>
  <dcterms:modified xsi:type="dcterms:W3CDTF">2015-11-24T19:44:50Z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